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mc:AlternateContent xmlns:mc="http://schemas.openxmlformats.org/markup-compatibility/2006">
    <mc:Choice Requires="x15">
      <x15ac:absPath xmlns:x15ac="http://schemas.microsoft.com/office/spreadsheetml/2010/11/ac" url="/Users/maliwan.p/Google Drive/PTTDIGITAL/PTT GSP Allocation System/9. Information จากคุณเตย/1. Input/Optimization (Volume Inventory LR)/"/>
    </mc:Choice>
  </mc:AlternateContent>
  <xr:revisionPtr revIDLastSave="0" documentId="13_ncr:1_{602B938F-DA57-2E47-B372-0D1F740AA9B6}" xr6:coauthVersionLast="47" xr6:coauthVersionMax="47" xr10:uidLastSave="{00000000-0000-0000-0000-000000000000}"/>
  <bookViews>
    <workbookView xWindow="0" yWindow="0" windowWidth="28800" windowHeight="18000" tabRatio="966" activeTab="3" xr2:uid="{00000000-000D-0000-FFFF-FFFF00000000}"/>
  </bookViews>
  <sheets>
    <sheet name="C2" sheetId="129" r:id="rId1"/>
    <sheet name="LR monthly" sheetId="56" r:id="rId2"/>
    <sheet name="C3LPG" sheetId="50" r:id="rId3"/>
    <sheet name="NGL" sheetId="111" r:id="rId4"/>
  </sheets>
  <externalReferences>
    <externalReference r:id="rId5"/>
    <externalReference r:id="rId6"/>
    <externalReference r:id="rId7"/>
    <externalReference r:id="rId8"/>
    <externalReference r:id="rId9"/>
    <externalReference r:id="rId10"/>
  </externalReferences>
  <definedNames>
    <definedName name="__123Graph_A" hidden="1">[1]AGP!$BI$93:$BO$93</definedName>
    <definedName name="__123Graph_B" hidden="1">[1]AGP!$BI$97:$BO$97</definedName>
    <definedName name="__123Graph_C" hidden="1">[1]AGP!$BI$98:$BO$98</definedName>
    <definedName name="__123Graph_D" hidden="1">[1]AGP!$BI$99:$BO$99</definedName>
    <definedName name="__123Graph_X" localSheetId="0" hidden="1">[1]AGP!#REF!</definedName>
    <definedName name="__123Graph_X" localSheetId="2" hidden="1">[1]AGP!#REF!</definedName>
    <definedName name="__123Graph_X" localSheetId="3" hidden="1">[1]AGP!#REF!</definedName>
    <definedName name="__123Graph_X" hidden="1">[1]AGP!#REF!</definedName>
    <definedName name="__SCR1" localSheetId="0">#REF!</definedName>
    <definedName name="__SCR1" localSheetId="2">#REF!</definedName>
    <definedName name="__SCR1" localSheetId="3">#REF!</definedName>
    <definedName name="__SCR1">#REF!</definedName>
    <definedName name="_1B" localSheetId="0">#REF!</definedName>
    <definedName name="_1B" localSheetId="2">#REF!</definedName>
    <definedName name="_1B" localSheetId="3">#REF!</definedName>
    <definedName name="_1B">#REF!</definedName>
    <definedName name="_1E" localSheetId="0">#REF!</definedName>
    <definedName name="_1E" localSheetId="2">#REF!</definedName>
    <definedName name="_1E" localSheetId="3">#REF!</definedName>
    <definedName name="_1E">#REF!</definedName>
    <definedName name="_1M" localSheetId="0">#REF!</definedName>
    <definedName name="_1M" localSheetId="2">#REF!</definedName>
    <definedName name="_1M" localSheetId="3">#REF!</definedName>
    <definedName name="_1M">#REF!</definedName>
    <definedName name="_1U" localSheetId="0">#REF!</definedName>
    <definedName name="_1U" localSheetId="2">#REF!</definedName>
    <definedName name="_1U" localSheetId="3">#REF!</definedName>
    <definedName name="_1U">#REF!</definedName>
    <definedName name="_2U" localSheetId="0">#REF!</definedName>
    <definedName name="_2U" localSheetId="2">#REF!</definedName>
    <definedName name="_2U" localSheetId="3">#REF!</definedName>
    <definedName name="_2U">#REF!</definedName>
    <definedName name="_3U" localSheetId="0">#REF!</definedName>
    <definedName name="_3U" localSheetId="2">#REF!</definedName>
    <definedName name="_3U" localSheetId="3">#REF!</definedName>
    <definedName name="_3U">#REF!</definedName>
    <definedName name="_4U" localSheetId="0">#REF!</definedName>
    <definedName name="_4U" localSheetId="2">#REF!</definedName>
    <definedName name="_4U" localSheetId="3">#REF!</definedName>
    <definedName name="_4U">#REF!</definedName>
    <definedName name="_Fill" localSheetId="0" hidden="1">#REF!</definedName>
    <definedName name="_Fill" localSheetId="2" hidden="1">#REF!</definedName>
    <definedName name="_Fill" localSheetId="3" hidden="1">#REF!</definedName>
    <definedName name="_Fill" hidden="1">#REF!</definedName>
    <definedName name="_MO1" localSheetId="0">#REF!</definedName>
    <definedName name="_MO1" localSheetId="2">#REF!</definedName>
    <definedName name="_MO1" localSheetId="3">#REF!</definedName>
    <definedName name="_MO1">#REF!</definedName>
    <definedName name="_MO10" localSheetId="0">#REF!</definedName>
    <definedName name="_MO10" localSheetId="2">#REF!</definedName>
    <definedName name="_MO10" localSheetId="3">#REF!</definedName>
    <definedName name="_MO10">#REF!</definedName>
    <definedName name="_MO11" localSheetId="0">#REF!</definedName>
    <definedName name="_MO11" localSheetId="2">#REF!</definedName>
    <definedName name="_MO11" localSheetId="3">#REF!</definedName>
    <definedName name="_MO11">#REF!</definedName>
    <definedName name="_MO12" localSheetId="0">#REF!</definedName>
    <definedName name="_MO12" localSheetId="2">#REF!</definedName>
    <definedName name="_MO12" localSheetId="3">#REF!</definedName>
    <definedName name="_MO12">#REF!</definedName>
    <definedName name="_MO2" localSheetId="0">#REF!</definedName>
    <definedName name="_MO2" localSheetId="2">#REF!</definedName>
    <definedName name="_MO2" localSheetId="3">#REF!</definedName>
    <definedName name="_MO2">#REF!</definedName>
    <definedName name="_MO3" localSheetId="0">#REF!</definedName>
    <definedName name="_MO3" localSheetId="2">#REF!</definedName>
    <definedName name="_MO3" localSheetId="3">#REF!</definedName>
    <definedName name="_MO3">#REF!</definedName>
    <definedName name="_MO4" localSheetId="0">#REF!</definedName>
    <definedName name="_MO4" localSheetId="2">#REF!</definedName>
    <definedName name="_MO4" localSheetId="3">#REF!</definedName>
    <definedName name="_MO4">#REF!</definedName>
    <definedName name="_MO5" localSheetId="0">#REF!</definedName>
    <definedName name="_MO5" localSheetId="2">#REF!</definedName>
    <definedName name="_MO5" localSheetId="3">#REF!</definedName>
    <definedName name="_MO5">#REF!</definedName>
    <definedName name="_MO6" localSheetId="0">#REF!</definedName>
    <definedName name="_MO6" localSheetId="2">#REF!</definedName>
    <definedName name="_MO6" localSheetId="3">#REF!</definedName>
    <definedName name="_MO6">#REF!</definedName>
    <definedName name="_MO7" localSheetId="0">#REF!</definedName>
    <definedName name="_MO7" localSheetId="2">#REF!</definedName>
    <definedName name="_MO7" localSheetId="3">#REF!</definedName>
    <definedName name="_MO7">#REF!</definedName>
    <definedName name="_MO8" localSheetId="0">#REF!</definedName>
    <definedName name="_MO8" localSheetId="2">#REF!</definedName>
    <definedName name="_MO8" localSheetId="3">#REF!</definedName>
    <definedName name="_MO8">#REF!</definedName>
    <definedName name="_MO9" localSheetId="0">#REF!</definedName>
    <definedName name="_MO9" localSheetId="2">#REF!</definedName>
    <definedName name="_MO9" localSheetId="3">#REF!</definedName>
    <definedName name="_MO9">#REF!</definedName>
    <definedName name="_SCR1" localSheetId="0">#REF!</definedName>
    <definedName name="_SCR1" localSheetId="2">#REF!</definedName>
    <definedName name="_SCR1" localSheetId="3">#REF!</definedName>
    <definedName name="_SCR1">#REF!</definedName>
    <definedName name="\d" localSheetId="0">'[2]ESSO-ESSO (incre.)'!#REF!</definedName>
    <definedName name="\d" localSheetId="2">'[2]ESSO-ESSO (incre.)'!#REF!</definedName>
    <definedName name="\d" localSheetId="3">'[2]ESSO-ESSO (incre.)'!#REF!</definedName>
    <definedName name="\d">'[2]ESSO-ESSO (incre.)'!#REF!</definedName>
    <definedName name="\e" localSheetId="0">'[2]ESSO-ESSO (incre.)'!#REF!</definedName>
    <definedName name="\e" localSheetId="2">'[2]ESSO-ESSO (incre.)'!#REF!</definedName>
    <definedName name="\e" localSheetId="3">'[2]ESSO-ESSO (incre.)'!#REF!</definedName>
    <definedName name="\e">'[2]ESSO-ESSO (incre.)'!#REF!</definedName>
    <definedName name="\f" localSheetId="0">'[2]ESSO-ESSO (incre.)'!#REF!</definedName>
    <definedName name="\f" localSheetId="2">'[2]ESSO-ESSO (incre.)'!#REF!</definedName>
    <definedName name="\f" localSheetId="3">'[2]ESSO-ESSO (incre.)'!#REF!</definedName>
    <definedName name="\f">'[2]ESSO-ESSO (incre.)'!#REF!</definedName>
    <definedName name="\O" localSheetId="0">#REF!</definedName>
    <definedName name="\O" localSheetId="2">#REF!</definedName>
    <definedName name="\O" localSheetId="3">#REF!</definedName>
    <definedName name="\O">#REF!</definedName>
    <definedName name="\P" localSheetId="0">#REF!</definedName>
    <definedName name="\P" localSheetId="2">#REF!</definedName>
    <definedName name="\P" localSheetId="3">#REF!</definedName>
    <definedName name="\P">#REF!</definedName>
    <definedName name="a" localSheetId="0">[3]Purchase!#REF!</definedName>
    <definedName name="a" localSheetId="2">[3]Purchase!#REF!</definedName>
    <definedName name="a" localSheetId="3">[3]Purchase!#REF!</definedName>
    <definedName name="a">[3]Purchase!#REF!</definedName>
    <definedName name="ALL_IDX" localSheetId="0">#REF!</definedName>
    <definedName name="ALL_IDX" localSheetId="2">#REF!</definedName>
    <definedName name="ALL_IDX" localSheetId="3">#REF!</definedName>
    <definedName name="ALL_IDX">#REF!</definedName>
    <definedName name="Apr" localSheetId="0">#REF!</definedName>
    <definedName name="Apr" localSheetId="2">#REF!</definedName>
    <definedName name="Apr" localSheetId="3">#REF!</definedName>
    <definedName name="Apr">#REF!</definedName>
    <definedName name="AprSun1" localSheetId="0">DATEVALUE("4/1/"&amp;'C2'!TheYear)-WEEKDAY(DATEVALUE("4/1/"&amp;'C2'!TheYear))+1</definedName>
    <definedName name="AprSun1" localSheetId="2">DATEVALUE("4/1/"&amp;'C3LPG'!TheYear)-WEEKDAY(DATEVALUE("4/1/"&amp;'C3LPG'!TheYear))+1</definedName>
    <definedName name="AprSun1" localSheetId="3">DATEVALUE("4/1/"&amp;NGL!TheYear)-WEEKDAY(DATEVALUE("4/1/"&amp;NGL!TheYear))+1</definedName>
    <definedName name="AprSun1">DATEVALUE("4/1/"&amp;TheYear)-WEEKDAY(DATEVALUE("4/1/"&amp;TheYear))+1</definedName>
    <definedName name="Aug" localSheetId="0">#REF!</definedName>
    <definedName name="Aug" localSheetId="2">#REF!</definedName>
    <definedName name="Aug" localSheetId="3">#REF!</definedName>
    <definedName name="Aug">#REF!</definedName>
    <definedName name="AugSun1" localSheetId="0">DATEVALUE("8/1/"&amp;'C2'!TheYear)-WEEKDAY(DATEVALUE("8/1/"&amp;'C2'!TheYear))+1</definedName>
    <definedName name="AugSun1" localSheetId="2">DATEVALUE("8/1/"&amp;'C3LPG'!TheYear)-WEEKDAY(DATEVALUE("8/1/"&amp;'C3LPG'!TheYear))+1</definedName>
    <definedName name="AugSun1" localSheetId="3">DATEVALUE("8/1/"&amp;NGL!TheYear)-WEEKDAY(DATEVALUE("8/1/"&amp;NGL!TheYear))+1</definedName>
    <definedName name="AugSun1">DATEVALUE("8/1/"&amp;TheYear)-WEEKDAY(DATEVALUE("8/1/"&amp;TheYear))+1</definedName>
    <definedName name="bb">[4]level_all!$E$3:$K$15</definedName>
    <definedName name="BLG">[4]level_all!$FH$2:$FQ$15</definedName>
    <definedName name="ca" localSheetId="0">[3]Purchase!#REF!</definedName>
    <definedName name="ca" localSheetId="2">[3]Purchase!#REF!</definedName>
    <definedName name="ca" localSheetId="3">[3]Purchase!#REF!</definedName>
    <definedName name="ca">[3]Purchase!#REF!</definedName>
    <definedName name="CASE2" localSheetId="0">#REF!</definedName>
    <definedName name="CASE2" localSheetId="2">#REF!</definedName>
    <definedName name="CASE2" localSheetId="3">#REF!</definedName>
    <definedName name="CASE2">#REF!</definedName>
    <definedName name="ccc" localSheetId="0">[3]Purchase!#REF!</definedName>
    <definedName name="ccc" localSheetId="2">[3]Purchase!#REF!</definedName>
    <definedName name="ccc" localSheetId="3">[3]Purchase!#REF!</definedName>
    <definedName name="ccc">[3]Purchase!#REF!</definedName>
    <definedName name="CLB">[4]level_all!$DQ$2:$DZ$15</definedName>
    <definedName name="CRUDE" localSheetId="0">#REF!</definedName>
    <definedName name="CRUDE" localSheetId="2">#REF!</definedName>
    <definedName name="CRUDE" localSheetId="3">#REF!</definedName>
    <definedName name="CRUDE">#REF!</definedName>
    <definedName name="Customercode">[5]Invent.!$B$7:$B$4500</definedName>
    <definedName name="DDD" localSheetId="0">#REF!</definedName>
    <definedName name="DDD" localSheetId="2">#REF!</definedName>
    <definedName name="DDD" localSheetId="3">#REF!</definedName>
    <definedName name="DDD">#REF!</definedName>
    <definedName name="Dec" localSheetId="0">#REF!</definedName>
    <definedName name="Dec" localSheetId="2">#REF!</definedName>
    <definedName name="Dec" localSheetId="3">#REF!</definedName>
    <definedName name="Dec">#REF!</definedName>
    <definedName name="DecSun1" localSheetId="0">DATEVALUE("12/1/"&amp;'C2'!TheYear)-WEEKDAY(DATEVALUE("12/1/"&amp;'C2'!TheYear))+1</definedName>
    <definedName name="DecSun1" localSheetId="2">DATEVALUE("12/1/"&amp;'C3LPG'!TheYear)-WEEKDAY(DATEVALUE("12/1/"&amp;'C3LPG'!TheYear))+1</definedName>
    <definedName name="DecSun1" localSheetId="3">DATEVALUE("12/1/"&amp;NGL!TheYear)-WEEKDAY(DATEVALUE("12/1/"&amp;NGL!TheYear))+1</definedName>
    <definedName name="DecSun1">DATEVALUE("12/1/"&amp;TheYear)-WEEKDAY(DATEVALUE("12/1/"&amp;TheYear))+1</definedName>
    <definedName name="Dry_Test" localSheetId="0">#REF!</definedName>
    <definedName name="Dry_Test" localSheetId="2">#REF!</definedName>
    <definedName name="Dry_Test" localSheetId="3">#REF!</definedName>
    <definedName name="Dry_Test">#REF!</definedName>
    <definedName name="dsfrgt" localSheetId="0">#REF!</definedName>
    <definedName name="dsfrgt" localSheetId="2">#REF!</definedName>
    <definedName name="dsfrgt" localSheetId="3">#REF!</definedName>
    <definedName name="dsfrgt">#REF!</definedName>
    <definedName name="Feb" localSheetId="0">#REF!</definedName>
    <definedName name="Feb" localSheetId="2">#REF!</definedName>
    <definedName name="Feb" localSheetId="3">#REF!</definedName>
    <definedName name="Feb">#REF!</definedName>
    <definedName name="FebSun1" localSheetId="0">DATEVALUE("2/1/"&amp;'C2'!TheYear)-WEEKDAY(DATEVALUE("2/1/"&amp;'C2'!TheYear))+1</definedName>
    <definedName name="FebSun1" localSheetId="2">DATEVALUE("2/1/"&amp;'C3LPG'!TheYear)-WEEKDAY(DATEVALUE("2/1/"&amp;'C3LPG'!TheYear))+1</definedName>
    <definedName name="FebSun1" localSheetId="3">DATEVALUE("2/1/"&amp;NGL!TheYear)-WEEKDAY(DATEVALUE("2/1/"&amp;NGL!TheYear))+1</definedName>
    <definedName name="FebSun1">DATEVALUE("2/1/"&amp;TheYear)-WEEKDAY(DATEVALUE("2/1/"&amp;TheYear))+1</definedName>
    <definedName name="GAS" localSheetId="0">#REF!</definedName>
    <definedName name="GAS" localSheetId="2">#REF!</definedName>
    <definedName name="GAS" localSheetId="3">#REF!</definedName>
    <definedName name="GAS">#REF!</definedName>
    <definedName name="GROWTH_Y_o_Y" localSheetId="0">#REF!</definedName>
    <definedName name="GROWTH_Y_o_Y" localSheetId="2">#REF!</definedName>
    <definedName name="GROWTH_Y_o_Y" localSheetId="3">#REF!</definedName>
    <definedName name="GROWTH_Y_o_Y">#REF!</definedName>
    <definedName name="HEAD" localSheetId="0">#REF!</definedName>
    <definedName name="HEAD" localSheetId="2">#REF!</definedName>
    <definedName name="HEAD" localSheetId="3">#REF!</definedName>
    <definedName name="HEAD">#REF!</definedName>
    <definedName name="I1U" localSheetId="0">#REF!</definedName>
    <definedName name="I1U" localSheetId="2">#REF!</definedName>
    <definedName name="I1U" localSheetId="3">#REF!</definedName>
    <definedName name="I1U">#REF!</definedName>
    <definedName name="I2U" localSheetId="0">#REF!</definedName>
    <definedName name="I2U" localSheetId="2">#REF!</definedName>
    <definedName name="I2U" localSheetId="3">#REF!</definedName>
    <definedName name="I2U">#REF!</definedName>
    <definedName name="IBK" localSheetId="0">#REF!</definedName>
    <definedName name="IBK" localSheetId="2">#REF!</definedName>
    <definedName name="IBK" localSheetId="3">#REF!</definedName>
    <definedName name="IBK">#REF!</definedName>
    <definedName name="IDX" localSheetId="0">#REF!</definedName>
    <definedName name="IDX" localSheetId="2">#REF!</definedName>
    <definedName name="IDX" localSheetId="3">#REF!</definedName>
    <definedName name="IDX">#REF!</definedName>
    <definedName name="IM" localSheetId="0">#REF!</definedName>
    <definedName name="IM" localSheetId="2">#REF!</definedName>
    <definedName name="IM" localSheetId="3">#REF!</definedName>
    <definedName name="IM">#REF!</definedName>
    <definedName name="Inputcode">[5]Invent.!$B$3:$BS$3</definedName>
    <definedName name="Jan" localSheetId="0">#REF!</definedName>
    <definedName name="Jan" localSheetId="2">#REF!</definedName>
    <definedName name="Jan" localSheetId="3">#REF!</definedName>
    <definedName name="Jan">#REF!</definedName>
    <definedName name="JanSun1" localSheetId="0">DATEVALUE("1/1/"&amp;'C2'!TheYear)-WEEKDAY(DATEVALUE("1/1/"&amp;'C2'!TheYear))+1</definedName>
    <definedName name="JanSun1" localSheetId="2">DATEVALUE("1/1/"&amp;'C3LPG'!TheYear)-WEEKDAY(DATEVALUE("1/1/"&amp;'C3LPG'!TheYear))+1</definedName>
    <definedName name="JanSun1" localSheetId="3">DATEVALUE("1/1/"&amp;NGL!TheYear)-WEEKDAY(DATEVALUE("1/1/"&amp;NGL!TheYear))+1</definedName>
    <definedName name="JanSun1">DATEVALUE("1/1/"&amp;TheYear)-WEEKDAY(DATEVALUE("1/1/"&amp;TheYear))+1</definedName>
    <definedName name="JDA" localSheetId="0">#REF!</definedName>
    <definedName name="JDA" localSheetId="2">#REF!</definedName>
    <definedName name="JDA" localSheetId="3">#REF!</definedName>
    <definedName name="JDA">#REF!</definedName>
    <definedName name="Jul" localSheetId="0">#REF!</definedName>
    <definedName name="Jul" localSheetId="2">#REF!</definedName>
    <definedName name="Jul" localSheetId="3">#REF!</definedName>
    <definedName name="Jul">#REF!</definedName>
    <definedName name="JulSun1" localSheetId="0">DATEVALUE("7/1/"&amp;'C2'!TheYear)-WEEKDAY(DATEVALUE("7/1/"&amp;'C2'!TheYear))+1</definedName>
    <definedName name="JulSun1" localSheetId="2">DATEVALUE("7/1/"&amp;'C3LPG'!TheYear)-WEEKDAY(DATEVALUE("7/1/"&amp;'C3LPG'!TheYear))+1</definedName>
    <definedName name="JulSun1" localSheetId="3">DATEVALUE("7/1/"&amp;NGL!TheYear)-WEEKDAY(DATEVALUE("7/1/"&amp;NGL!TheYear))+1</definedName>
    <definedName name="JulSun1">DATEVALUE("7/1/"&amp;TheYear)-WEEKDAY(DATEVALUE("7/1/"&amp;TheYear))+1</definedName>
    <definedName name="Jun" localSheetId="0">#REF!</definedName>
    <definedName name="Jun" localSheetId="2">#REF!</definedName>
    <definedName name="Jun" localSheetId="3">#REF!</definedName>
    <definedName name="Jun">#REF!</definedName>
    <definedName name="JunSun1" localSheetId="0">DATEVALUE("6/1/"&amp;'C2'!TheYear)-WEEKDAY(DATEVALUE("6/1/"&amp;'C2'!TheYear))+1</definedName>
    <definedName name="JunSun1" localSheetId="2">DATEVALUE("6/1/"&amp;'C3LPG'!TheYear)-WEEKDAY(DATEVALUE("6/1/"&amp;'C3LPG'!TheYear))+1</definedName>
    <definedName name="JunSun1" localSheetId="3">DATEVALUE("6/1/"&amp;NGL!TheYear)-WEEKDAY(DATEVALUE("6/1/"&amp;NGL!TheYear))+1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0">#REF!</definedName>
    <definedName name="Lost_seal" localSheetId="2">#REF!</definedName>
    <definedName name="Lost_seal" localSheetId="3">#REF!</definedName>
    <definedName name="Lost_seal">#REF!</definedName>
    <definedName name="Mar" localSheetId="0">#REF!</definedName>
    <definedName name="Mar" localSheetId="2">#REF!</definedName>
    <definedName name="Mar" localSheetId="3">#REF!</definedName>
    <definedName name="Mar">#REF!</definedName>
    <definedName name="MarSun1" localSheetId="0">DATEVALUE("3/1/"&amp;'C2'!TheYear)-WEEKDAY(DATEVALUE("3/1/"&amp;'C2'!TheYear))+1</definedName>
    <definedName name="MarSun1" localSheetId="2">DATEVALUE("3/1/"&amp;'C3LPG'!TheYear)-WEEKDAY(DATEVALUE("3/1/"&amp;'C3LPG'!TheYear))+1</definedName>
    <definedName name="MarSun1" localSheetId="3">DATEVALUE("3/1/"&amp;NGL!TheYear)-WEEKDAY(DATEVALUE("3/1/"&amp;NGL!TheYear))+1</definedName>
    <definedName name="MarSun1">DATEVALUE("3/1/"&amp;TheYear)-WEEKDAY(DATEVALUE("3/1/"&amp;TheYear))+1</definedName>
    <definedName name="May" localSheetId="0">#REF!</definedName>
    <definedName name="May" localSheetId="2">#REF!</definedName>
    <definedName name="May" localSheetId="3">#REF!</definedName>
    <definedName name="May">#REF!</definedName>
    <definedName name="MaySun1" localSheetId="0">DATEVALUE("5/1/"&amp;'C2'!TheYear)-WEEKDAY(DATEVALUE("5/1/"&amp;'C2'!TheYear))+1</definedName>
    <definedName name="MaySun1" localSheetId="2">DATEVALUE("5/1/"&amp;'C3LPG'!TheYear)-WEEKDAY(DATEVALUE("5/1/"&amp;'C3LPG'!TheYear))+1</definedName>
    <definedName name="MaySun1" localSheetId="3">DATEVALUE("5/1/"&amp;NGL!TheYear)-WEEKDAY(DATEVALUE("5/1/"&amp;NGL!TheYear))+1</definedName>
    <definedName name="MaySun1">DATEVALUE("5/1/"&amp;TheYear)-WEEKDAY(DATEVALUE("5/1/"&amp;TheYear))+1</definedName>
    <definedName name="mng">[4]level_all!$AC$2:$AL$15</definedName>
    <definedName name="MonRange" localSheetId="0">#REF!</definedName>
    <definedName name="MonRange" localSheetId="2">#REF!</definedName>
    <definedName name="MonRange" localSheetId="3">#REF!</definedName>
    <definedName name="MonRange">#REF!</definedName>
    <definedName name="Nov" localSheetId="0">#REF!</definedName>
    <definedName name="Nov" localSheetId="2">#REF!</definedName>
    <definedName name="Nov" localSheetId="3">#REF!</definedName>
    <definedName name="Nov">#REF!</definedName>
    <definedName name="NovSun1" localSheetId="0">DATEVALUE("11/1/"&amp;'C2'!TheYear)-WEEKDAY(DATEVALUE("11/1/"&amp;'C2'!TheYear))+1</definedName>
    <definedName name="NovSun1" localSheetId="2">DATEVALUE("11/1/"&amp;'C3LPG'!TheYear)-WEEKDAY(DATEVALUE("11/1/"&amp;'C3LPG'!TheYear))+1</definedName>
    <definedName name="NovSun1" localSheetId="3">DATEVALUE("11/1/"&amp;NGL!TheYear)-WEEKDAY(DATEVALUE("11/1/"&amp;NGL!TheYear))+1</definedName>
    <definedName name="NovSun1">DATEVALUE("11/1/"&amp;TheYear)-WEEKDAY(DATEVALUE("11/1/"&amp;TheYear))+1</definedName>
    <definedName name="NP">[4]level_all!$EG$2:$EP$15</definedName>
    <definedName name="Oct" localSheetId="0">#REF!</definedName>
    <definedName name="Oct" localSheetId="2">#REF!</definedName>
    <definedName name="Oct" localSheetId="3">#REF!</definedName>
    <definedName name="Oct">#REF!</definedName>
    <definedName name="OctSun1" localSheetId="0">DATEVALUE("10/1/"&amp;'C2'!TheYear)-WEEKDAY(DATEVALUE("10/1/"&amp;'C2'!TheYear))+1</definedName>
    <definedName name="OctSun1" localSheetId="2">DATEVALUE("10/1/"&amp;'C3LPG'!TheYear)-WEEKDAY(DATEVALUE("10/1/"&amp;'C3LPG'!TheYear))+1</definedName>
    <definedName name="OctSun1" localSheetId="3">DATEVALUE("10/1/"&amp;NGL!TheYear)-WEEKDAY(DATEVALUE("10/1/"&amp;NGL!TheYear))+1</definedName>
    <definedName name="OctSun1">DATEVALUE("10/1/"&amp;TheYear)-WEEKDAY(DATEVALUE("10/1/"&amp;TheYear))+1</definedName>
    <definedName name="OneStepChart" localSheetId="0">[6]!OneStepChart</definedName>
    <definedName name="OneStepChart" localSheetId="2">[6]!OneStepChart</definedName>
    <definedName name="OneStepChart" localSheetId="3">[6]!OneStepChart</definedName>
    <definedName name="OneStepChart">[6]!OneStepChart</definedName>
    <definedName name="outad" localSheetId="0">#REF!</definedName>
    <definedName name="outad" localSheetId="2">#REF!</definedName>
    <definedName name="outad" localSheetId="3">#REF!</definedName>
    <definedName name="outad">#REF!</definedName>
    <definedName name="PAGE2" localSheetId="0">#REF!</definedName>
    <definedName name="PAGE2" localSheetId="2">#REF!</definedName>
    <definedName name="PAGE2" localSheetId="3">#REF!</definedName>
    <definedName name="PAGE2">#REF!</definedName>
    <definedName name="pool3" localSheetId="0">[3]Purchase!#REF!</definedName>
    <definedName name="pool3" localSheetId="2">[3]Purchase!#REF!</definedName>
    <definedName name="pool3" localSheetId="3">[3]Purchase!#REF!</definedName>
    <definedName name="pool3">[3]Purchase!#REF!</definedName>
    <definedName name="Pressure_not_stabilized" localSheetId="0">#REF!</definedName>
    <definedName name="Pressure_not_stabilized" localSheetId="2">#REF!</definedName>
    <definedName name="Pressure_not_stabilized" localSheetId="3">#REF!</definedName>
    <definedName name="Pressure_not_stabilized">#REF!</definedName>
    <definedName name="_xlnm.Print_Area" localSheetId="0">#REF!</definedName>
    <definedName name="_xlnm.Print_Area" localSheetId="2">#REF!</definedName>
    <definedName name="_xlnm.Print_Area" localSheetId="3">#REF!</definedName>
    <definedName name="_xlnm.Print_Area">#REF!</definedName>
    <definedName name="PRINT_AREA_MI" localSheetId="0">#REF!</definedName>
    <definedName name="PRINT_AREA_MI" localSheetId="2">#REF!</definedName>
    <definedName name="PRINT_AREA_MI" localSheetId="3">#REF!</definedName>
    <definedName name="PRINT_AREA_MI">#REF!</definedName>
    <definedName name="Q" localSheetId="0">[3]Purchase!#REF!</definedName>
    <definedName name="Q" localSheetId="2">[3]Purchase!#REF!</definedName>
    <definedName name="Q" localSheetId="3">[3]Purchase!#REF!</definedName>
    <definedName name="Q">[3]Purchase!#REF!</definedName>
    <definedName name="RPB">[4]level_all!$ER$2:$EZ$15</definedName>
    <definedName name="S234gal." localSheetId="0">#REF!</definedName>
    <definedName name="S234gal." localSheetId="2">#REF!</definedName>
    <definedName name="S234gal." localSheetId="3">#REF!</definedName>
    <definedName name="S234gal.">#REF!</definedName>
    <definedName name="S6gal." localSheetId="0">#REF!</definedName>
    <definedName name="S6gal." localSheetId="2">#REF!</definedName>
    <definedName name="S6gal." localSheetId="3">#REF!</definedName>
    <definedName name="S6gal.">#REF!</definedName>
    <definedName name="SALES" localSheetId="0">#REF!</definedName>
    <definedName name="SALES" localSheetId="2">#REF!</definedName>
    <definedName name="SALES" localSheetId="3">#REF!</definedName>
    <definedName name="SALES">#REF!</definedName>
    <definedName name="Seal_Failure" localSheetId="0">#REF!</definedName>
    <definedName name="Seal_Failure" localSheetId="2">#REF!</definedName>
    <definedName name="Seal_Failure" localSheetId="3">#REF!</definedName>
    <definedName name="Seal_Failure">#REF!</definedName>
    <definedName name="Sep" localSheetId="0">#REF!</definedName>
    <definedName name="Sep" localSheetId="2">#REF!</definedName>
    <definedName name="Sep" localSheetId="3">#REF!</definedName>
    <definedName name="Sep">#REF!</definedName>
    <definedName name="SepSun1" localSheetId="0">DATEVALUE("9/1/"&amp;'C2'!TheYear)-WEEKDAY(DATEVALUE("9/1/"&amp;'C2'!TheYear))+1</definedName>
    <definedName name="SepSun1" localSheetId="2">DATEVALUE("9/1/"&amp;'C3LPG'!TheYear)-WEEKDAY(DATEVALUE("9/1/"&amp;'C3LPG'!TheYear))+1</definedName>
    <definedName name="SepSun1" localSheetId="3">DATEVALUE("9/1/"&amp;NGL!TheYear)-WEEKDAY(DATEVALUE("9/1/"&amp;NGL!TheYear))+1</definedName>
    <definedName name="SepSun1">DATEVALUE("9/1/"&amp;TheYear)-WEEKDAY(DATEVALUE("9/1/"&amp;TheYear))+1</definedName>
    <definedName name="sfsdfd" localSheetId="0">#REF!</definedName>
    <definedName name="sfsdfd" localSheetId="2">#REF!</definedName>
    <definedName name="sfsdfd" localSheetId="3">#REF!</definedName>
    <definedName name="sfsdfd">#REF!</definedName>
    <definedName name="sk">[4]level_all!$N$2:$U$15</definedName>
    <definedName name="SNR">[4]level_all!$AO$2:$AX$15</definedName>
    <definedName name="SRD">[4]level_all!$DD$2:$DM$15</definedName>
    <definedName name="su" localSheetId="0">#REF!</definedName>
    <definedName name="su" localSheetId="2">#REF!</definedName>
    <definedName name="su" localSheetId="3">#REF!</definedName>
    <definedName name="su">#REF!</definedName>
    <definedName name="Supercharged_?" localSheetId="0">#REF!</definedName>
    <definedName name="Supercharged_?" localSheetId="2">#REF!</definedName>
    <definedName name="Supercharged_?" localSheetId="3">#REF!</definedName>
    <definedName name="Supercharged_?">#REF!</definedName>
    <definedName name="suree" localSheetId="0">#REF!</definedName>
    <definedName name="suree" localSheetId="2">#REF!</definedName>
    <definedName name="suree" localSheetId="3">#REF!</definedName>
    <definedName name="suree">#REF!</definedName>
    <definedName name="TheYear" localSheetId="0">#REF!</definedName>
    <definedName name="TheYear" localSheetId="2">#REF!</definedName>
    <definedName name="TheYear" localSheetId="3">#REF!</definedName>
    <definedName name="TheYear">#REF!</definedName>
    <definedName name="UNIT__Bbtu" localSheetId="0">#REF!</definedName>
    <definedName name="UNIT__Bbtu" localSheetId="2">#REF!</definedName>
    <definedName name="UNIT__Bbtu" localSheetId="3">#REF!</definedName>
    <definedName name="UNIT__Bbtu">#REF!</definedName>
    <definedName name="UNIT__Bbtu_d" localSheetId="0">#REF!</definedName>
    <definedName name="UNIT__Bbtu_d" localSheetId="2">#REF!</definedName>
    <definedName name="UNIT__Bbtu_d" localSheetId="3">#REF!</definedName>
    <definedName name="UNIT__Bbtu_d">#REF!</definedName>
    <definedName name="UR">[4]level_all!$CP$2:$CY$15</definedName>
    <definedName name="VOLUME" localSheetId="0">#REF!</definedName>
    <definedName name="VOLUME" localSheetId="2">#REF!</definedName>
    <definedName name="VOLUME" localSheetId="3">#REF!</definedName>
    <definedName name="VOLUME">#REF!</definedName>
    <definedName name="WATER" localSheetId="0">#REF!</definedName>
    <definedName name="WATER" localSheetId="2">#REF!</definedName>
    <definedName name="WATER" localSheetId="3">#REF!</definedName>
    <definedName name="WATER">#REF!</definedName>
    <definedName name="WH" localSheetId="0">#REF!</definedName>
    <definedName name="WH" localSheetId="2">#REF!</definedName>
    <definedName name="WH" localSheetId="3">#REF!</definedName>
    <definedName name="WH">#REF!</definedName>
    <definedName name="wrn.A." hidden="1">{#N/A,#N/A,TRUE,"mng";#N/A,#N/A,TRUE,"snr";#N/A,#N/A,TRUE,"khl";#N/A,#N/A,TRUE,"kkc";#N/A,#N/A,TRUE,"krd";#N/A,#N/A,TRUE,"ur";#N/A,#N/A,TRUE,"srd";#N/A,#N/A,TRUE,"clb";#N/A,#N/A,TRUE,"np";#N/A,#N/A,TRUE,"rpb";#N/A,#N/A,TRUE,"blg"}</definedName>
    <definedName name="x" localSheetId="0">[3]Purchase!#REF!</definedName>
    <definedName name="x" localSheetId="2">[3]Purchase!#REF!</definedName>
    <definedName name="x" localSheetId="3">[3]Purchase!#REF!</definedName>
    <definedName name="x">[3]Purchase!#REF!</definedName>
    <definedName name="xxx" localSheetId="0">[3]Purchase!#REF!</definedName>
    <definedName name="xxx" localSheetId="2">[3]Purchase!#REF!</definedName>
    <definedName name="xxx" localSheetId="3">[3]Purchase!#REF!</definedName>
    <definedName name="xxx">[3]Purchase!#REF!</definedName>
    <definedName name="ZeroRef">[5]Invent.!$B$6</definedName>
    <definedName name="น้ำระบาย" localSheetId="0">#REF!</definedName>
    <definedName name="น้ำระบาย" localSheetId="2">#REF!</definedName>
    <definedName name="น้ำระบาย" localSheetId="3">#REF!</definedName>
    <definedName name="น้ำระบาย">#REF!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A19" i="111" l="1"/>
  <c r="CA16" i="111"/>
  <c r="CA14" i="111"/>
  <c r="CA13" i="111"/>
  <c r="CA11" i="111"/>
  <c r="CA12" i="111" s="1"/>
  <c r="CA8" i="111"/>
  <c r="CA7" i="111"/>
  <c r="CA2" i="111"/>
  <c r="AO2" i="50" l="1"/>
  <c r="AO97" i="50"/>
  <c r="AO68" i="50"/>
  <c r="AO78" i="50"/>
  <c r="AO183" i="50" l="1"/>
  <c r="AO182" i="50"/>
  <c r="AO181" i="50"/>
  <c r="AO180" i="50"/>
  <c r="AO178" i="50"/>
  <c r="AO177" i="50"/>
  <c r="AO176" i="50"/>
  <c r="AO175" i="50"/>
  <c r="AO174" i="50"/>
  <c r="AO173" i="50"/>
  <c r="AO172" i="50"/>
  <c r="AO171" i="50"/>
  <c r="AO170" i="50"/>
  <c r="AO169" i="50"/>
  <c r="AO168" i="50"/>
  <c r="AO167" i="50"/>
  <c r="AO166" i="50"/>
  <c r="AO165" i="50"/>
  <c r="AO164" i="50"/>
  <c r="AO163" i="50"/>
  <c r="AN163" i="50"/>
  <c r="AO162" i="50"/>
  <c r="AO161" i="50"/>
  <c r="AO153" i="50"/>
  <c r="AO135" i="50"/>
  <c r="AO95" i="50"/>
  <c r="AO94" i="50"/>
  <c r="AC93" i="50"/>
  <c r="AO92" i="50"/>
  <c r="AO91" i="50"/>
  <c r="AO90" i="50"/>
  <c r="AO84" i="50"/>
  <c r="AO79" i="50" l="1"/>
  <c r="AO82" i="50" s="1"/>
  <c r="AO80" i="50" s="1"/>
  <c r="AO81" i="50"/>
  <c r="AO77" i="50"/>
  <c r="AO73" i="50"/>
  <c r="AO56" i="50"/>
  <c r="AO72" i="50"/>
  <c r="AO52" i="50"/>
  <c r="AO65" i="50"/>
  <c r="AO53" i="50"/>
  <c r="AO38" i="50"/>
  <c r="AO37" i="50"/>
  <c r="AO32" i="50"/>
  <c r="AO30" i="50"/>
  <c r="AO25" i="50"/>
  <c r="AO24" i="50"/>
  <c r="AO16" i="50"/>
  <c r="AO6" i="50"/>
  <c r="AF44" i="56"/>
  <c r="AF43" i="56"/>
  <c r="AF42" i="56"/>
  <c r="AF37" i="56"/>
  <c r="AF29" i="56"/>
  <c r="AF28" i="56"/>
  <c r="AD27" i="56"/>
  <c r="U27" i="56"/>
  <c r="AE27" i="56"/>
  <c r="AF27" i="56"/>
  <c r="AF23" i="56"/>
  <c r="AF20" i="56"/>
  <c r="S42" i="129"/>
  <c r="S41" i="129"/>
  <c r="S39" i="129"/>
  <c r="S38" i="129"/>
  <c r="S37" i="129"/>
  <c r="S36" i="129"/>
  <c r="S35" i="129"/>
  <c r="S34" i="129"/>
  <c r="S33" i="129"/>
  <c r="S32" i="129"/>
  <c r="S29" i="129"/>
  <c r="S28" i="129"/>
  <c r="A24" i="129"/>
  <c r="S27" i="129"/>
  <c r="S26" i="129"/>
  <c r="S25" i="129"/>
  <c r="S24" i="129"/>
  <c r="S23" i="129"/>
  <c r="S10" i="129"/>
  <c r="S8" i="129"/>
  <c r="A8" i="129"/>
  <c r="S4" i="129"/>
  <c r="C2" i="129"/>
  <c r="AF14" i="56" l="1"/>
  <c r="AO7" i="50"/>
  <c r="C8" i="129"/>
  <c r="AF161" i="50"/>
  <c r="AG161" i="50"/>
  <c r="AH161" i="50"/>
  <c r="AI161" i="50"/>
  <c r="AJ161" i="50"/>
  <c r="V33" i="56" l="1"/>
  <c r="AF104" i="50" l="1"/>
  <c r="AE102" i="50"/>
  <c r="AD8" i="50" l="1"/>
  <c r="AD98" i="50" l="1"/>
  <c r="AE98" i="50"/>
  <c r="AE161" i="50" l="1"/>
  <c r="BP7" i="111"/>
  <c r="BT22" i="111" l="1"/>
  <c r="BT26" i="111"/>
  <c r="BQ7" i="111"/>
  <c r="BU22" i="111" l="1"/>
  <c r="BU24" i="111" s="1"/>
  <c r="BV24" i="111" s="1"/>
  <c r="BU23" i="111" l="1"/>
  <c r="BV23" i="111" s="1"/>
  <c r="AF39" i="56" l="1"/>
  <c r="AF13" i="56"/>
  <c r="AF6" i="56"/>
  <c r="AF19" i="56" s="1"/>
  <c r="AF18" i="56" s="1"/>
  <c r="AF5" i="56"/>
  <c r="AF4" i="56"/>
  <c r="AF3" i="56" l="1"/>
  <c r="U33" i="56"/>
  <c r="BZ7" i="111" l="1"/>
  <c r="BY7" i="111"/>
  <c r="BX7" i="111"/>
  <c r="BW7" i="111"/>
  <c r="BT7" i="111"/>
  <c r="BR7" i="111"/>
  <c r="AD99" i="50" l="1"/>
  <c r="AD101" i="50" l="1"/>
  <c r="AD161" i="50" l="1"/>
  <c r="T33" i="56"/>
  <c r="AF12" i="56" l="1"/>
  <c r="AF10" i="56"/>
  <c r="AO158" i="50"/>
  <c r="AO157" i="50"/>
  <c r="AO102" i="50"/>
  <c r="AO98" i="50"/>
  <c r="AO96" i="50"/>
  <c r="AO87" i="50"/>
  <c r="AO76" i="50"/>
  <c r="AO75" i="50"/>
  <c r="AO74" i="50"/>
  <c r="AO67" i="50"/>
  <c r="AO69" i="50"/>
  <c r="AO54" i="50"/>
  <c r="AO41" i="50"/>
  <c r="AO34" i="50"/>
  <c r="AO27" i="50"/>
  <c r="AO21" i="50"/>
  <c r="AO13" i="50"/>
  <c r="CA31" i="111"/>
  <c r="CA17" i="111"/>
  <c r="CA20" i="111"/>
  <c r="AO160" i="50" l="1"/>
  <c r="CA15" i="111"/>
  <c r="AO85" i="50"/>
  <c r="AF11" i="56"/>
  <c r="AO185" i="50"/>
  <c r="AO83" i="50"/>
  <c r="AO19" i="50"/>
  <c r="AF8" i="56" l="1"/>
  <c r="AO179" i="50"/>
  <c r="AF22" i="56"/>
  <c r="AF21" i="56" s="1"/>
  <c r="AF17" i="56"/>
  <c r="AF16" i="56" s="1"/>
  <c r="AF9" i="56"/>
  <c r="AO88" i="50"/>
  <c r="AO86" i="50"/>
  <c r="AO89" i="50" s="1"/>
  <c r="AF7" i="56" l="1"/>
  <c r="S31" i="129"/>
  <c r="S21" i="129"/>
  <c r="S16" i="129"/>
  <c r="S2" i="129"/>
  <c r="S19" i="129" l="1"/>
  <c r="S18" i="129"/>
  <c r="AB101" i="50" l="1"/>
  <c r="AB8" i="50" l="1"/>
  <c r="AB103" i="50" l="1"/>
  <c r="BN6" i="111" l="1"/>
  <c r="BO7" i="111"/>
  <c r="AB104" i="50" l="1"/>
  <c r="BN7" i="111" l="1"/>
  <c r="AA135" i="50" l="1"/>
  <c r="AB135" i="50"/>
  <c r="AC135" i="50"/>
  <c r="AD135" i="50"/>
  <c r="AE135" i="50"/>
  <c r="AF135" i="50"/>
  <c r="AG135" i="50"/>
  <c r="AH135" i="50"/>
  <c r="AI135" i="50"/>
  <c r="AJ135" i="50"/>
  <c r="AK135" i="50"/>
  <c r="AL135" i="50"/>
  <c r="AM135" i="50"/>
  <c r="AN135" i="50"/>
  <c r="AE44" i="56" l="1"/>
  <c r="AE43" i="56"/>
  <c r="AE42" i="56"/>
  <c r="AE39" i="56"/>
  <c r="AE37" i="56"/>
  <c r="AE23" i="56"/>
  <c r="AE20" i="56"/>
  <c r="AE13" i="56"/>
  <c r="AE6" i="56"/>
  <c r="AE19" i="56" s="1"/>
  <c r="AE5" i="56"/>
  <c r="AE4" i="56"/>
  <c r="AE3" i="56" l="1"/>
  <c r="AE18" i="56"/>
  <c r="C59" i="50" l="1"/>
  <c r="C58" i="50"/>
  <c r="C57" i="50"/>
  <c r="C56" i="50"/>
  <c r="C29" i="129" l="1"/>
  <c r="BV7" i="111" l="1"/>
  <c r="BU7" i="111"/>
  <c r="BZ31" i="111"/>
  <c r="BZ17" i="111"/>
  <c r="BZ8" i="111"/>
  <c r="BZ20" i="111" s="1"/>
  <c r="BZ2" i="111"/>
  <c r="AN180" i="50"/>
  <c r="AN177" i="50"/>
  <c r="AN176" i="50"/>
  <c r="AN175" i="50"/>
  <c r="AN174" i="50"/>
  <c r="AN173" i="50"/>
  <c r="AN172" i="50"/>
  <c r="AN171" i="50"/>
  <c r="AN168" i="50"/>
  <c r="AN166" i="50"/>
  <c r="AE12" i="56" s="1"/>
  <c r="AN165" i="50"/>
  <c r="AE11" i="56" s="1"/>
  <c r="AN164" i="50"/>
  <c r="AE10" i="56" s="1"/>
  <c r="AN158" i="50"/>
  <c r="AN183" i="50" s="1"/>
  <c r="AN157" i="50"/>
  <c r="AN182" i="50" s="1"/>
  <c r="AN153" i="50"/>
  <c r="AN102" i="50"/>
  <c r="AN162" i="50" s="1"/>
  <c r="AN98" i="50"/>
  <c r="AN97" i="50"/>
  <c r="AN96" i="50"/>
  <c r="AN94" i="50"/>
  <c r="AN91" i="50"/>
  <c r="AN90" i="50"/>
  <c r="AN84" i="50"/>
  <c r="AN85" i="50" s="1"/>
  <c r="AN78" i="50"/>
  <c r="AN81" i="50" s="1"/>
  <c r="AN76" i="50"/>
  <c r="AN75" i="50"/>
  <c r="AN74" i="50"/>
  <c r="AN73" i="50"/>
  <c r="AN72" i="50"/>
  <c r="AN68" i="50"/>
  <c r="AN67" i="50"/>
  <c r="AN65" i="50"/>
  <c r="AN56" i="50"/>
  <c r="AN69" i="50" s="1"/>
  <c r="AN54" i="50"/>
  <c r="AN52" i="50"/>
  <c r="AN41" i="50"/>
  <c r="AN34" i="50"/>
  <c r="AN27" i="50"/>
  <c r="AN21" i="50"/>
  <c r="AN13" i="50"/>
  <c r="AN161" i="50" l="1"/>
  <c r="AN178" i="50"/>
  <c r="AN160" i="50"/>
  <c r="AE8" i="56" s="1"/>
  <c r="AE9" i="56"/>
  <c r="AE22" i="56"/>
  <c r="AE21" i="56" s="1"/>
  <c r="AE17" i="56"/>
  <c r="AE16" i="56" s="1"/>
  <c r="AN95" i="50"/>
  <c r="AN53" i="50" s="1"/>
  <c r="AN167" i="50"/>
  <c r="AN92" i="50"/>
  <c r="AN77" i="50"/>
  <c r="AN169" i="50"/>
  <c r="AN170" i="50" s="1"/>
  <c r="AN185" i="50" s="1"/>
  <c r="BZ13" i="111"/>
  <c r="BZ16" i="111"/>
  <c r="BZ15" i="111" s="1"/>
  <c r="BZ19" i="111"/>
  <c r="AN79" i="50"/>
  <c r="AN82" i="50" s="1"/>
  <c r="AN87" i="50"/>
  <c r="AN19" i="50"/>
  <c r="AN86" i="50"/>
  <c r="AN89" i="50" s="1"/>
  <c r="AN88" i="50"/>
  <c r="AN181" i="50"/>
  <c r="AN80" i="50" l="1"/>
  <c r="AN83" i="50" s="1"/>
  <c r="AE7" i="56"/>
  <c r="AN179" i="50"/>
  <c r="BZ14" i="111"/>
  <c r="R31" i="129" l="1"/>
  <c r="R23" i="129"/>
  <c r="R24" i="129" s="1"/>
  <c r="R21" i="129"/>
  <c r="R10" i="129"/>
  <c r="R8" i="129"/>
  <c r="R4" i="129"/>
  <c r="R2" i="129"/>
  <c r="R38" i="129" l="1"/>
  <c r="R33" i="129" s="1"/>
  <c r="R36" i="129" s="1"/>
  <c r="R16" i="129"/>
  <c r="R19" i="129" s="1"/>
  <c r="R28" i="129" s="1"/>
  <c r="R29" i="129" s="1"/>
  <c r="R25" i="129"/>
  <c r="AA59" i="50"/>
  <c r="R18" i="129" l="1"/>
  <c r="R26" i="129"/>
  <c r="R27" i="129" s="1"/>
  <c r="R37" i="129"/>
  <c r="R32" i="129" l="1"/>
  <c r="R39" i="129"/>
  <c r="R35" i="129" l="1"/>
  <c r="R34" i="129"/>
  <c r="R41" i="129" l="1"/>
  <c r="R42" i="129"/>
  <c r="AM98" i="50" l="1"/>
  <c r="AL98" i="50"/>
  <c r="AK98" i="50"/>
  <c r="AA33" i="56"/>
  <c r="AD44" i="56" l="1"/>
  <c r="AD43" i="56"/>
  <c r="AD42" i="56"/>
  <c r="AD39" i="56"/>
  <c r="AD37" i="56"/>
  <c r="AD23" i="56"/>
  <c r="AD20" i="56"/>
  <c r="AD13" i="56"/>
  <c r="AD6" i="56"/>
  <c r="AD19" i="56" s="1"/>
  <c r="AD5" i="56"/>
  <c r="AD4" i="56"/>
  <c r="AD18" i="56" l="1"/>
  <c r="AD3" i="56"/>
  <c r="AA121" i="50" l="1"/>
  <c r="S33" i="56" l="1"/>
  <c r="AA104" i="50" l="1"/>
  <c r="AI102" i="50" l="1"/>
  <c r="AA98" i="50" l="1"/>
  <c r="AA97" i="50"/>
  <c r="AA17" i="50" l="1"/>
  <c r="Q31" i="129" l="1"/>
  <c r="P31" i="129"/>
  <c r="O31" i="129"/>
  <c r="N31" i="129"/>
  <c r="M31" i="129"/>
  <c r="L31" i="129"/>
  <c r="K31" i="129"/>
  <c r="J31" i="129"/>
  <c r="I31" i="129"/>
  <c r="H31" i="129"/>
  <c r="G31" i="129"/>
  <c r="F31" i="129"/>
  <c r="E31" i="129"/>
  <c r="D31" i="129"/>
  <c r="C31" i="129"/>
  <c r="D24" i="129"/>
  <c r="D25" i="129" s="1"/>
  <c r="C24" i="129"/>
  <c r="Q23" i="129"/>
  <c r="Q24" i="129" s="1"/>
  <c r="P23" i="129"/>
  <c r="P24" i="129" s="1"/>
  <c r="P25" i="129" s="1"/>
  <c r="O23" i="129"/>
  <c r="O24" i="129" s="1"/>
  <c r="N23" i="129"/>
  <c r="N24" i="129" s="1"/>
  <c r="N25" i="129" s="1"/>
  <c r="M23" i="129"/>
  <c r="M24" i="129" s="1"/>
  <c r="L23" i="129"/>
  <c r="L24" i="129" s="1"/>
  <c r="L25" i="129" s="1"/>
  <c r="K23" i="129"/>
  <c r="K24" i="129" s="1"/>
  <c r="K25" i="129" s="1"/>
  <c r="J23" i="129"/>
  <c r="J24" i="129" s="1"/>
  <c r="I23" i="129"/>
  <c r="I24" i="129" s="1"/>
  <c r="H23" i="129"/>
  <c r="H24" i="129" s="1"/>
  <c r="H28" i="129" s="1"/>
  <c r="H29" i="129" s="1"/>
  <c r="G23" i="129"/>
  <c r="G24" i="129" s="1"/>
  <c r="F23" i="129"/>
  <c r="F24" i="129" s="1"/>
  <c r="F25" i="129" s="1"/>
  <c r="E23" i="129"/>
  <c r="A23" i="129"/>
  <c r="A25" i="129" s="1"/>
  <c r="Q21" i="129"/>
  <c r="P21" i="129"/>
  <c r="O21" i="129"/>
  <c r="N21" i="129"/>
  <c r="M21" i="129"/>
  <c r="L21" i="129"/>
  <c r="K21" i="129"/>
  <c r="J21" i="129"/>
  <c r="I21" i="129"/>
  <c r="H21" i="129"/>
  <c r="G21" i="129"/>
  <c r="F21" i="129"/>
  <c r="E21" i="129"/>
  <c r="D21" i="129"/>
  <c r="C21" i="129"/>
  <c r="Q10" i="129"/>
  <c r="P10" i="129"/>
  <c r="O10" i="129"/>
  <c r="N10" i="129"/>
  <c r="M10" i="129"/>
  <c r="L10" i="129"/>
  <c r="K10" i="129"/>
  <c r="J10" i="129"/>
  <c r="I10" i="129"/>
  <c r="H10" i="129"/>
  <c r="G10" i="129"/>
  <c r="F10" i="129"/>
  <c r="E10" i="129"/>
  <c r="D10" i="129"/>
  <c r="C10" i="129"/>
  <c r="V9" i="129"/>
  <c r="Q8" i="129"/>
  <c r="Q38" i="129" s="1"/>
  <c r="Q33" i="129" s="1"/>
  <c r="Q36" i="129" s="1"/>
  <c r="P8" i="129"/>
  <c r="O8" i="129"/>
  <c r="O38" i="129" s="1"/>
  <c r="O33" i="129" s="1"/>
  <c r="O36" i="129" s="1"/>
  <c r="N8" i="129"/>
  <c r="N38" i="129" s="1"/>
  <c r="N33" i="129" s="1"/>
  <c r="N36" i="129" s="1"/>
  <c r="M8" i="129"/>
  <c r="L8" i="129"/>
  <c r="L38" i="129" s="1"/>
  <c r="L33" i="129" s="1"/>
  <c r="L36" i="129" s="1"/>
  <c r="K8" i="129"/>
  <c r="K38" i="129" s="1"/>
  <c r="K33" i="129" s="1"/>
  <c r="K36" i="129" s="1"/>
  <c r="J8" i="129"/>
  <c r="I8" i="129"/>
  <c r="H8" i="129"/>
  <c r="G8" i="129"/>
  <c r="G38" i="129" s="1"/>
  <c r="G33" i="129" s="1"/>
  <c r="G36" i="129" s="1"/>
  <c r="F8" i="129"/>
  <c r="F38" i="129" s="1"/>
  <c r="F33" i="129" s="1"/>
  <c r="F36" i="129" s="1"/>
  <c r="E8" i="129"/>
  <c r="E38" i="129" s="1"/>
  <c r="E33" i="129" s="1"/>
  <c r="E36" i="129" s="1"/>
  <c r="D8" i="129"/>
  <c r="D38" i="129" s="1"/>
  <c r="D33" i="129" s="1"/>
  <c r="D36" i="129" s="1"/>
  <c r="V7" i="129"/>
  <c r="Q4" i="129"/>
  <c r="P4" i="129"/>
  <c r="O4" i="129"/>
  <c r="N4" i="129"/>
  <c r="M4" i="129"/>
  <c r="L4" i="129"/>
  <c r="K4" i="129"/>
  <c r="J4" i="129"/>
  <c r="I4" i="129"/>
  <c r="H4" i="129"/>
  <c r="G4" i="129"/>
  <c r="F4" i="129"/>
  <c r="E4" i="129"/>
  <c r="D4" i="129"/>
  <c r="C4" i="129"/>
  <c r="Q2" i="129"/>
  <c r="P2" i="129"/>
  <c r="O2" i="129"/>
  <c r="N2" i="129"/>
  <c r="M2" i="129"/>
  <c r="L2" i="129"/>
  <c r="K2" i="129"/>
  <c r="J2" i="129"/>
  <c r="I2" i="129"/>
  <c r="H2" i="129"/>
  <c r="G2" i="129"/>
  <c r="F2" i="129"/>
  <c r="E2" i="129"/>
  <c r="D2" i="129"/>
  <c r="M38" i="129" l="1"/>
  <c r="M33" i="129" s="1"/>
  <c r="M36" i="129" s="1"/>
  <c r="J38" i="129"/>
  <c r="J33" i="129" s="1"/>
  <c r="J36" i="129" s="1"/>
  <c r="H38" i="129"/>
  <c r="H33" i="129" s="1"/>
  <c r="H36" i="129" s="1"/>
  <c r="P38" i="129"/>
  <c r="P33" i="129" s="1"/>
  <c r="P36" i="129" s="1"/>
  <c r="I38" i="129"/>
  <c r="I33" i="129" s="1"/>
  <c r="I36" i="129" s="1"/>
  <c r="H37" i="129"/>
  <c r="H32" i="129" s="1"/>
  <c r="D28" i="129"/>
  <c r="Q16" i="129"/>
  <c r="Q18" i="129" s="1"/>
  <c r="H25" i="129"/>
  <c r="H26" i="129"/>
  <c r="H27" i="129" s="1"/>
  <c r="N16" i="129"/>
  <c r="J16" i="129"/>
  <c r="F16" i="129"/>
  <c r="F28" i="129"/>
  <c r="M16" i="129"/>
  <c r="I16" i="129"/>
  <c r="E16" i="129"/>
  <c r="P16" i="129"/>
  <c r="L16" i="129"/>
  <c r="H16" i="129"/>
  <c r="O16" i="129"/>
  <c r="K16" i="129"/>
  <c r="G16" i="129"/>
  <c r="G28" i="129"/>
  <c r="G29" i="129" s="1"/>
  <c r="G25" i="129"/>
  <c r="I25" i="129"/>
  <c r="M25" i="129"/>
  <c r="Q25" i="129"/>
  <c r="E24" i="129"/>
  <c r="J25" i="129"/>
  <c r="O25" i="129"/>
  <c r="F26" i="129" l="1"/>
  <c r="F27" i="129" s="1"/>
  <c r="F29" i="129"/>
  <c r="D26" i="129"/>
  <c r="D27" i="129" s="1"/>
  <c r="D29" i="129"/>
  <c r="Q19" i="129"/>
  <c r="Q28" i="129" s="1"/>
  <c r="H35" i="129"/>
  <c r="H41" i="129" s="1"/>
  <c r="H34" i="129"/>
  <c r="D37" i="129"/>
  <c r="D39" i="129" s="1"/>
  <c r="H39" i="129"/>
  <c r="K18" i="129"/>
  <c r="K19" i="129"/>
  <c r="K28" i="129" s="1"/>
  <c r="K29" i="129" s="1"/>
  <c r="P18" i="129"/>
  <c r="P19" i="129"/>
  <c r="P28" i="129" s="1"/>
  <c r="P29" i="129" s="1"/>
  <c r="N18" i="129"/>
  <c r="N19" i="129"/>
  <c r="N28" i="129" s="1"/>
  <c r="N29" i="129" s="1"/>
  <c r="O18" i="129"/>
  <c r="O19" i="129"/>
  <c r="O28" i="129" s="1"/>
  <c r="O29" i="129" s="1"/>
  <c r="E18" i="129"/>
  <c r="E19" i="129"/>
  <c r="H18" i="129"/>
  <c r="H19" i="129"/>
  <c r="I18" i="129"/>
  <c r="I19" i="129"/>
  <c r="I28" i="129" s="1"/>
  <c r="F18" i="129"/>
  <c r="F19" i="129"/>
  <c r="F37" i="129"/>
  <c r="F39" i="129" s="1"/>
  <c r="G18" i="129"/>
  <c r="G19" i="129"/>
  <c r="L18" i="129"/>
  <c r="L19" i="129"/>
  <c r="L28" i="129" s="1"/>
  <c r="M18" i="129"/>
  <c r="M19" i="129"/>
  <c r="M28" i="129" s="1"/>
  <c r="J19" i="129"/>
  <c r="J28" i="129" s="1"/>
  <c r="J29" i="129" s="1"/>
  <c r="J18" i="129"/>
  <c r="G26" i="129"/>
  <c r="G27" i="129" s="1"/>
  <c r="G37" i="129"/>
  <c r="E25" i="129"/>
  <c r="E28" i="129"/>
  <c r="E29" i="129" s="1"/>
  <c r="BY31" i="111"/>
  <c r="BY17" i="111"/>
  <c r="BY8" i="111"/>
  <c r="BY20" i="111" s="1"/>
  <c r="BY2" i="111"/>
  <c r="AM177" i="50"/>
  <c r="AM176" i="50"/>
  <c r="AM175" i="50"/>
  <c r="AM174" i="50"/>
  <c r="AM173" i="50"/>
  <c r="AM172" i="50"/>
  <c r="AM171" i="50"/>
  <c r="AM168" i="50"/>
  <c r="AM166" i="50"/>
  <c r="AD12" i="56" s="1"/>
  <c r="AM164" i="50"/>
  <c r="AD10" i="56" s="1"/>
  <c r="AM158" i="50"/>
  <c r="AM183" i="50" s="1"/>
  <c r="AM157" i="50"/>
  <c r="AM182" i="50" s="1"/>
  <c r="AM153" i="50"/>
  <c r="AM180" i="50"/>
  <c r="AM102" i="50"/>
  <c r="AM162" i="50" s="1"/>
  <c r="AM97" i="50"/>
  <c r="AM96" i="50"/>
  <c r="AM94" i="50"/>
  <c r="AM84" i="50"/>
  <c r="AM87" i="50" s="1"/>
  <c r="AM78" i="50"/>
  <c r="AM81" i="50" s="1"/>
  <c r="AM76" i="50"/>
  <c r="AM75" i="50"/>
  <c r="AM74" i="50"/>
  <c r="AM73" i="50"/>
  <c r="AM72" i="50"/>
  <c r="AM68" i="50"/>
  <c r="AM67" i="50"/>
  <c r="AM65" i="50"/>
  <c r="AM56" i="50"/>
  <c r="AM69" i="50" s="1"/>
  <c r="AM54" i="50"/>
  <c r="AM52" i="50"/>
  <c r="AM41" i="50"/>
  <c r="AM34" i="50"/>
  <c r="AM27" i="50"/>
  <c r="AM21" i="50"/>
  <c r="AM13" i="50"/>
  <c r="AM161" i="50" l="1"/>
  <c r="AM160" i="50" s="1"/>
  <c r="AD8" i="56" s="1"/>
  <c r="AM178" i="50"/>
  <c r="H42" i="129"/>
  <c r="I26" i="129"/>
  <c r="I27" i="129" s="1"/>
  <c r="I29" i="129"/>
  <c r="L26" i="129"/>
  <c r="L27" i="129" s="1"/>
  <c r="L29" i="129"/>
  <c r="M37" i="129"/>
  <c r="M32" i="129" s="1"/>
  <c r="M29" i="129"/>
  <c r="Q37" i="129"/>
  <c r="Q39" i="129" s="1"/>
  <c r="Q29" i="129"/>
  <c r="Q26" i="129"/>
  <c r="Q27" i="129" s="1"/>
  <c r="D32" i="129"/>
  <c r="D35" i="129" s="1"/>
  <c r="D41" i="129" s="1"/>
  <c r="I37" i="129"/>
  <c r="I39" i="129" s="1"/>
  <c r="M26" i="129"/>
  <c r="M27" i="129" s="1"/>
  <c r="AM91" i="50"/>
  <c r="AM167" i="50"/>
  <c r="L37" i="129"/>
  <c r="L39" i="129" s="1"/>
  <c r="F32" i="129"/>
  <c r="O26" i="129"/>
  <c r="O27" i="129" s="1"/>
  <c r="O37" i="129"/>
  <c r="E26" i="129"/>
  <c r="E37" i="129"/>
  <c r="J26" i="129"/>
  <c r="J27" i="129" s="1"/>
  <c r="J37" i="129"/>
  <c r="K26" i="129"/>
  <c r="K27" i="129" s="1"/>
  <c r="K37" i="129"/>
  <c r="N26" i="129"/>
  <c r="N27" i="129" s="1"/>
  <c r="N37" i="129"/>
  <c r="P26" i="129"/>
  <c r="P27" i="129" s="1"/>
  <c r="P37" i="129"/>
  <c r="G39" i="129"/>
  <c r="G32" i="129"/>
  <c r="AM92" i="50"/>
  <c r="AM77" i="50"/>
  <c r="AM79" i="50"/>
  <c r="AM82" i="50" s="1"/>
  <c r="AM80" i="50" s="1"/>
  <c r="AM83" i="50" s="1"/>
  <c r="AM163" i="50"/>
  <c r="AM165" i="50"/>
  <c r="AD11" i="56" s="1"/>
  <c r="AD9" i="56" s="1"/>
  <c r="BY13" i="111"/>
  <c r="BY14" i="111" s="1"/>
  <c r="BY16" i="111"/>
  <c r="BY15" i="111" s="1"/>
  <c r="BY19" i="111"/>
  <c r="AM169" i="50"/>
  <c r="AM170" i="50" s="1"/>
  <c r="AM185" i="50" s="1"/>
  <c r="AM85" i="50"/>
  <c r="AM181" i="50"/>
  <c r="AM19" i="50"/>
  <c r="AM90" i="50"/>
  <c r="AM95" i="50"/>
  <c r="AD7" i="56" l="1"/>
  <c r="M39" i="129"/>
  <c r="Q32" i="129"/>
  <c r="Q35" i="129" s="1"/>
  <c r="Q41" i="129" s="1"/>
  <c r="AD17" i="56"/>
  <c r="AD16" i="56" s="1"/>
  <c r="AD22" i="56"/>
  <c r="AD21" i="56" s="1"/>
  <c r="M35" i="129"/>
  <c r="M41" i="129" s="1"/>
  <c r="M34" i="129"/>
  <c r="F35" i="129"/>
  <c r="F41" i="129" s="1"/>
  <c r="F34" i="129"/>
  <c r="G35" i="129"/>
  <c r="G41" i="129" s="1"/>
  <c r="G34" i="129"/>
  <c r="I32" i="129"/>
  <c r="L32" i="129"/>
  <c r="E27" i="129"/>
  <c r="AD25" i="129"/>
  <c r="K32" i="129"/>
  <c r="K39" i="129"/>
  <c r="O39" i="129"/>
  <c r="O32" i="129"/>
  <c r="J39" i="129"/>
  <c r="J32" i="129"/>
  <c r="N39" i="129"/>
  <c r="N32" i="129"/>
  <c r="E32" i="129"/>
  <c r="E39" i="129"/>
  <c r="P32" i="129"/>
  <c r="P39" i="129"/>
  <c r="AM179" i="50"/>
  <c r="AM86" i="50"/>
  <c r="AM89" i="50" s="1"/>
  <c r="AM88" i="50"/>
  <c r="AM53" i="50"/>
  <c r="Q34" i="129" l="1"/>
  <c r="G42" i="129"/>
  <c r="M42" i="129"/>
  <c r="Q42" i="129"/>
  <c r="F42" i="129"/>
  <c r="P35" i="129"/>
  <c r="P41" i="129" s="1"/>
  <c r="P34" i="129"/>
  <c r="J35" i="129"/>
  <c r="J41" i="129" s="1"/>
  <c r="J34" i="129"/>
  <c r="E35" i="129"/>
  <c r="E41" i="129" s="1"/>
  <c r="E34" i="129"/>
  <c r="K35" i="129"/>
  <c r="K41" i="129" s="1"/>
  <c r="K34" i="129"/>
  <c r="L35" i="129"/>
  <c r="L41" i="129" s="1"/>
  <c r="L34" i="129"/>
  <c r="N35" i="129"/>
  <c r="N41" i="129" s="1"/>
  <c r="N34" i="129"/>
  <c r="O35" i="129"/>
  <c r="O41" i="129" s="1"/>
  <c r="O34" i="129"/>
  <c r="I35" i="129"/>
  <c r="I42" i="129" s="1"/>
  <c r="I34" i="129"/>
  <c r="E42" i="129" l="1"/>
  <c r="P42" i="129"/>
  <c r="L42" i="129"/>
  <c r="K42" i="129"/>
  <c r="J42" i="129"/>
  <c r="N42" i="129"/>
  <c r="O42" i="129"/>
  <c r="I41" i="129"/>
  <c r="Z107" i="50"/>
  <c r="Z121" i="50" l="1"/>
  <c r="AA56" i="50" l="1"/>
  <c r="AB56" i="50"/>
  <c r="AC56" i="50"/>
  <c r="AD56" i="50"/>
  <c r="AE56" i="50"/>
  <c r="AF56" i="50"/>
  <c r="AG56" i="50"/>
  <c r="AH56" i="50"/>
  <c r="AI56" i="50"/>
  <c r="AJ56" i="50"/>
  <c r="AK56" i="50"/>
  <c r="AL56" i="50"/>
  <c r="AL34" i="50" l="1"/>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55" i="50" l="1"/>
  <c r="Z62" i="50"/>
  <c r="BS7" i="111" l="1"/>
  <c r="BX8" i="111"/>
  <c r="BW8" i="111"/>
  <c r="BV8" i="111"/>
  <c r="BU8" i="111"/>
  <c r="BS8" i="111"/>
  <c r="BR8" i="111"/>
  <c r="BO8" i="111"/>
  <c r="BP8" i="111"/>
  <c r="AL102" i="50"/>
  <c r="AK102" i="50"/>
  <c r="AJ102" i="50"/>
  <c r="AF102" i="50"/>
  <c r="AD102" i="50"/>
  <c r="AC44" i="56" l="1"/>
  <c r="AC43" i="56"/>
  <c r="AC42" i="56"/>
  <c r="AC39" i="56"/>
  <c r="AC37" i="56"/>
  <c r="AC23" i="56"/>
  <c r="AC20" i="56"/>
  <c r="AC13" i="56"/>
  <c r="AC6" i="56"/>
  <c r="AC19" i="56" s="1"/>
  <c r="AC5" i="56"/>
  <c r="AC4" i="56"/>
  <c r="AC3" i="56" l="1"/>
  <c r="AC18" i="56"/>
  <c r="AE162" i="50" l="1"/>
  <c r="AE160" i="50" s="1"/>
  <c r="V8" i="56" s="1"/>
  <c r="AH162" i="50"/>
  <c r="AH160" i="50" s="1"/>
  <c r="AI162" i="50"/>
  <c r="AI160" i="50" s="1"/>
  <c r="AK162" i="50"/>
  <c r="AL162" i="50"/>
  <c r="AJ162" i="50"/>
  <c r="AG162" i="50"/>
  <c r="AG160" i="50" s="1"/>
  <c r="AF162" i="50"/>
  <c r="AF160" i="50" s="1"/>
  <c r="AD162" i="50"/>
  <c r="AD160" i="50" s="1"/>
  <c r="U8" i="56" s="1"/>
  <c r="AC162" i="50"/>
  <c r="Z103" i="50" l="1"/>
  <c r="Z162" i="50" l="1"/>
  <c r="AB162" i="50" l="1"/>
  <c r="Z111" i="50" l="1"/>
  <c r="BM7" i="111" l="1"/>
  <c r="BL7" i="111"/>
  <c r="AA78" i="50" l="1"/>
  <c r="AC78" i="50"/>
  <c r="AD78" i="50"/>
  <c r="AE78" i="50"/>
  <c r="AF78" i="50"/>
  <c r="AG78" i="50"/>
  <c r="AH78" i="50"/>
  <c r="AI78" i="50"/>
  <c r="AJ78" i="50"/>
  <c r="AK78" i="50"/>
  <c r="AL78" i="50"/>
  <c r="AL81" i="50" s="1"/>
  <c r="AB78" i="50"/>
  <c r="AI81" i="50" l="1"/>
  <c r="AD81" i="50"/>
  <c r="AC81" i="50"/>
  <c r="AB79" i="50"/>
  <c r="AE79" i="50"/>
  <c r="AJ79" i="50"/>
  <c r="AJ82" i="50" s="1"/>
  <c r="AF79" i="50"/>
  <c r="AI79" i="50"/>
  <c r="AC79" i="50"/>
  <c r="AB81" i="50"/>
  <c r="AA79" i="50"/>
  <c r="AA81" i="50"/>
  <c r="AH81" i="50"/>
  <c r="AL79" i="50"/>
  <c r="AL82" i="50" s="1"/>
  <c r="AL80" i="50" s="1"/>
  <c r="AL83" i="50" s="1"/>
  <c r="AH79" i="50"/>
  <c r="AK81" i="50"/>
  <c r="AG81" i="50"/>
  <c r="AK79" i="50"/>
  <c r="AK82" i="50" s="1"/>
  <c r="AG79" i="50"/>
  <c r="AJ81" i="50"/>
  <c r="AF81" i="50"/>
  <c r="AD79" i="50"/>
  <c r="AE81" i="50"/>
  <c r="AE82" i="50" l="1"/>
  <c r="AE80" i="50" s="1"/>
  <c r="AA82" i="50"/>
  <c r="AD82" i="50"/>
  <c r="AI82" i="50"/>
  <c r="AB82" i="50"/>
  <c r="AG82" i="50"/>
  <c r="AH82" i="50"/>
  <c r="AF82" i="50"/>
  <c r="AC82" i="50"/>
  <c r="AJ80" i="50"/>
  <c r="AK80" i="50"/>
  <c r="AK83" i="50" s="1"/>
  <c r="AL177" i="50"/>
  <c r="AL176" i="50"/>
  <c r="AL175" i="50"/>
  <c r="AL174" i="50"/>
  <c r="AL173" i="50"/>
  <c r="AL172" i="50"/>
  <c r="AL171" i="50"/>
  <c r="AL168" i="50"/>
  <c r="AL166" i="50"/>
  <c r="AC12" i="56" s="1"/>
  <c r="AL164" i="50"/>
  <c r="AC10" i="56" s="1"/>
  <c r="AL158" i="50"/>
  <c r="AL157" i="50"/>
  <c r="AL182" i="50" s="1"/>
  <c r="AL153" i="50"/>
  <c r="AL97" i="50"/>
  <c r="AL96" i="50"/>
  <c r="AL94" i="50"/>
  <c r="AL84" i="50"/>
  <c r="AL76" i="50"/>
  <c r="AL75" i="50"/>
  <c r="AL74" i="50"/>
  <c r="AL73" i="50"/>
  <c r="AL72" i="50"/>
  <c r="AL68" i="50"/>
  <c r="AL67" i="50"/>
  <c r="AL65" i="50"/>
  <c r="AL69" i="50"/>
  <c r="AL54" i="50"/>
  <c r="AL52" i="50"/>
  <c r="AL41" i="50"/>
  <c r="AL21" i="50"/>
  <c r="AL13" i="50"/>
  <c r="BX31" i="111"/>
  <c r="BX20" i="111"/>
  <c r="BX17" i="111"/>
  <c r="BX19" i="111"/>
  <c r="BX2" i="111"/>
  <c r="AL161" i="50" l="1"/>
  <c r="AL160" i="50" s="1"/>
  <c r="AL178" i="50"/>
  <c r="AL181" i="50"/>
  <c r="AE83" i="50"/>
  <c r="AC80" i="50"/>
  <c r="AC83" i="50" s="1"/>
  <c r="AB80" i="50"/>
  <c r="AB83" i="50" s="1"/>
  <c r="AG80" i="50"/>
  <c r="AG83" i="50" s="1"/>
  <c r="AA80" i="50"/>
  <c r="AA83" i="50" s="1"/>
  <c r="AF80" i="50"/>
  <c r="AF83" i="50" s="1"/>
  <c r="AI80" i="50"/>
  <c r="AI83" i="50" s="1"/>
  <c r="AH80" i="50"/>
  <c r="AH83" i="50" s="1"/>
  <c r="AD80" i="50"/>
  <c r="AJ83" i="50"/>
  <c r="AL90" i="50"/>
  <c r="AL85" i="50"/>
  <c r="AL87" i="50"/>
  <c r="AL169" i="50"/>
  <c r="AL170" i="50" s="1"/>
  <c r="AL185" i="50" s="1"/>
  <c r="BX13" i="111"/>
  <c r="BX14" i="111" s="1"/>
  <c r="AL91" i="50"/>
  <c r="BX16" i="111"/>
  <c r="BX15" i="111" s="1"/>
  <c r="AL77" i="50"/>
  <c r="AL95" i="50"/>
  <c r="AL53" i="50" s="1"/>
  <c r="AL163" i="50"/>
  <c r="AL167" i="50"/>
  <c r="AL180" i="50"/>
  <c r="AL92" i="50"/>
  <c r="AL165" i="50"/>
  <c r="AC11" i="56" s="1"/>
  <c r="AL19" i="50"/>
  <c r="AL183" i="50"/>
  <c r="Z98" i="50"/>
  <c r="AD83" i="50" l="1"/>
  <c r="AC8" i="56"/>
  <c r="AC22" i="56"/>
  <c r="AC21" i="56" s="1"/>
  <c r="AC17" i="56"/>
  <c r="AC16" i="56" s="1"/>
  <c r="AC9" i="56"/>
  <c r="AL86" i="50"/>
  <c r="AL89" i="50" s="1"/>
  <c r="AL88" i="50"/>
  <c r="AC7" i="56" l="1"/>
  <c r="AL179" i="50"/>
  <c r="Z99" i="50"/>
  <c r="Y8" i="50" l="1"/>
  <c r="AB43" i="56" l="1"/>
  <c r="AB44" i="56"/>
  <c r="BL25" i="111" l="1"/>
  <c r="Y107" i="50" l="1"/>
  <c r="O33" i="56" l="1"/>
  <c r="P43" i="56" l="1"/>
  <c r="Q43" i="56"/>
  <c r="R43" i="56"/>
  <c r="P44" i="56"/>
  <c r="Q44" i="56"/>
  <c r="R44" i="56"/>
  <c r="S43" i="56"/>
  <c r="T43" i="56"/>
  <c r="U43" i="56"/>
  <c r="V43" i="56"/>
  <c r="W43" i="56"/>
  <c r="X43" i="56"/>
  <c r="Y43" i="56"/>
  <c r="Z43" i="56"/>
  <c r="AA43" i="56"/>
  <c r="S44" i="56"/>
  <c r="T44" i="56"/>
  <c r="U44" i="56"/>
  <c r="V44" i="56"/>
  <c r="W44" i="56"/>
  <c r="X44" i="56"/>
  <c r="Y44" i="56"/>
  <c r="Z44" i="56"/>
  <c r="AA44" i="56"/>
  <c r="Z61" i="50" l="1"/>
  <c r="Z133" i="50" l="1"/>
  <c r="Z173" i="50" l="1"/>
  <c r="Z78" i="50"/>
  <c r="Z153" i="50"/>
  <c r="Z81" i="50" l="1"/>
  <c r="Z79" i="50"/>
  <c r="Z82" i="50" l="1"/>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AA6" i="56"/>
  <c r="Z13" i="56"/>
  <c r="AA13" i="56"/>
  <c r="AB42" i="56"/>
  <c r="AB39" i="56"/>
  <c r="AB37" i="56"/>
  <c r="AB23" i="56"/>
  <c r="AB20" i="56"/>
  <c r="AB13" i="56"/>
  <c r="AB6" i="56"/>
  <c r="AB19" i="56" s="1"/>
  <c r="AB5" i="56"/>
  <c r="AB4" i="56"/>
  <c r="Z80" i="50" l="1"/>
  <c r="Z83" i="50" s="1"/>
  <c r="AA3" i="56"/>
  <c r="AB18" i="56"/>
  <c r="Z3" i="56"/>
  <c r="AB3" i="56"/>
  <c r="Z101" i="50" l="1"/>
  <c r="Z30" i="50" l="1"/>
  <c r="Z134" i="50"/>
  <c r="AA134" i="50"/>
  <c r="Y134" i="50"/>
  <c r="Z32" i="50" l="1"/>
  <c r="BK7" i="111"/>
  <c r="AA32" i="50" l="1"/>
  <c r="BN24" i="111"/>
  <c r="AC30" i="50" l="1"/>
  <c r="AB32" i="50"/>
  <c r="BP25" i="111"/>
  <c r="BQ23" i="111" s="1"/>
  <c r="BR23" i="111" s="1"/>
  <c r="BS23" i="111" s="1"/>
  <c r="BM8" i="111"/>
  <c r="AD30" i="50" l="1"/>
  <c r="AC32" i="50"/>
  <c r="BQ24" i="111"/>
  <c r="BR24" i="111" s="1"/>
  <c r="AE30" i="50" l="1"/>
  <c r="AD32" i="50"/>
  <c r="Y98" i="50"/>
  <c r="AF30" i="50" l="1"/>
  <c r="AE32" i="50"/>
  <c r="Z164" i="50"/>
  <c r="AA164" i="50"/>
  <c r="AB164" i="50"/>
  <c r="AC164" i="50"/>
  <c r="AD164" i="50"/>
  <c r="AE164" i="50"/>
  <c r="AF164" i="50"/>
  <c r="AG164" i="50"/>
  <c r="AH164" i="50"/>
  <c r="AI164" i="50"/>
  <c r="Z10" i="56" s="1"/>
  <c r="AJ164" i="50"/>
  <c r="AA10" i="56" s="1"/>
  <c r="AK164" i="50"/>
  <c r="AB10" i="56" s="1"/>
  <c r="Y164" i="50"/>
  <c r="AG30" i="50" l="1"/>
  <c r="AF32" i="50"/>
  <c r="Z56" i="50"/>
  <c r="Y56" i="50"/>
  <c r="AH30" i="50" l="1"/>
  <c r="AG32" i="50"/>
  <c r="AI30" i="50" l="1"/>
  <c r="AH32" i="50"/>
  <c r="BW31" i="111"/>
  <c r="BW20" i="111"/>
  <c r="BW17" i="111"/>
  <c r="BW16" i="111"/>
  <c r="BW2" i="111"/>
  <c r="AJ30" i="50" l="1"/>
  <c r="AI32" i="50"/>
  <c r="BW15" i="111"/>
  <c r="BW13" i="111"/>
  <c r="BW14" i="111" s="1"/>
  <c r="BW19" i="111"/>
  <c r="AK177" i="50"/>
  <c r="AK176" i="50"/>
  <c r="AK175" i="50"/>
  <c r="AK174" i="50"/>
  <c r="AK173" i="50"/>
  <c r="AK172" i="50"/>
  <c r="AK171" i="50"/>
  <c r="AK168" i="50"/>
  <c r="AK166" i="50"/>
  <c r="AB12" i="56" s="1"/>
  <c r="AK158" i="50"/>
  <c r="AK183" i="50" s="1"/>
  <c r="AK157" i="50"/>
  <c r="AK182" i="50" s="1"/>
  <c r="AK153" i="50"/>
  <c r="AK180" i="50"/>
  <c r="AK97" i="50"/>
  <c r="AK96" i="50"/>
  <c r="AK94" i="50"/>
  <c r="AK84" i="50"/>
  <c r="AK76" i="50"/>
  <c r="AK75" i="50"/>
  <c r="AK74" i="50"/>
  <c r="AK73" i="50"/>
  <c r="AK72" i="50"/>
  <c r="AK68" i="50"/>
  <c r="AK67" i="50"/>
  <c r="AK65" i="50"/>
  <c r="AK69" i="50"/>
  <c r="AK54" i="50"/>
  <c r="AK52" i="50"/>
  <c r="AK41" i="50"/>
  <c r="AK178" i="50" l="1"/>
  <c r="AK161" i="50"/>
  <c r="AK160" i="50" s="1"/>
  <c r="AK181" i="50"/>
  <c r="AJ32" i="50"/>
  <c r="AK85" i="50"/>
  <c r="AK87" i="50"/>
  <c r="AK91" i="50"/>
  <c r="AK169" i="50"/>
  <c r="AK170" i="50" s="1"/>
  <c r="AK185" i="50" s="1"/>
  <c r="AK90" i="50"/>
  <c r="AK165" i="50"/>
  <c r="AB11" i="56" s="1"/>
  <c r="AK77" i="50"/>
  <c r="AK92" i="50"/>
  <c r="AK19" i="50"/>
  <c r="AK163" i="50"/>
  <c r="AK167" i="50"/>
  <c r="AK88" i="50" l="1"/>
  <c r="AK86" i="50"/>
  <c r="AK89" i="50" s="1"/>
  <c r="AB17" i="56"/>
  <c r="AB16" i="56" s="1"/>
  <c r="AB22" i="56"/>
  <c r="AB21" i="56" s="1"/>
  <c r="AB9" i="56"/>
  <c r="BK17" i="111" l="1"/>
  <c r="Y103" i="50" l="1"/>
  <c r="BJ8" i="111" l="1"/>
  <c r="X121" i="50" l="1"/>
  <c r="X133" i="50"/>
  <c r="Z135" i="50" l="1"/>
  <c r="Y135" i="50"/>
  <c r="Z37" i="50" l="1"/>
  <c r="Y94" i="50"/>
  <c r="Z94" i="50"/>
  <c r="AA94" i="50"/>
  <c r="AC94" i="50"/>
  <c r="AE94" i="50"/>
  <c r="AF94" i="50"/>
  <c r="AG94" i="50"/>
  <c r="AH94" i="50"/>
  <c r="AI94" i="50"/>
  <c r="AJ94" i="50"/>
  <c r="Z38" i="50" l="1"/>
  <c r="AB94" i="50"/>
  <c r="AA38" i="50" l="1"/>
  <c r="Z172" i="50"/>
  <c r="AA172" i="50"/>
  <c r="AB172" i="50"/>
  <c r="AC172" i="50"/>
  <c r="AD172" i="50"/>
  <c r="AE172" i="50"/>
  <c r="AF172" i="50"/>
  <c r="AG172" i="50"/>
  <c r="AH172" i="50"/>
  <c r="AI172" i="50"/>
  <c r="AJ172" i="50"/>
  <c r="Y172" i="50"/>
  <c r="Y153" i="50"/>
  <c r="AA153" i="50"/>
  <c r="AB153" i="50"/>
  <c r="AC153" i="50"/>
  <c r="AD153" i="50"/>
  <c r="AE153" i="50"/>
  <c r="AF153" i="50"/>
  <c r="AG153" i="50"/>
  <c r="AH153" i="50"/>
  <c r="AI153" i="50"/>
  <c r="AJ153" i="50"/>
  <c r="AC37" i="50" l="1"/>
  <c r="AB38" i="50"/>
  <c r="AA102" i="50"/>
  <c r="AD37" i="50" l="1"/>
  <c r="AC38" i="50"/>
  <c r="AA162" i="50"/>
  <c r="AE37" i="50" l="1"/>
  <c r="AD38" i="50"/>
  <c r="AF37" i="50" l="1"/>
  <c r="AE38" i="50"/>
  <c r="X103" i="50"/>
  <c r="AG37" i="50" l="1"/>
  <c r="AF38" i="50"/>
  <c r="AH37" i="50" l="1"/>
  <c r="AG38" i="50"/>
  <c r="AI37" i="50" l="1"/>
  <c r="AH38" i="50"/>
  <c r="AJ37" i="50" l="1"/>
  <c r="AI38" i="50"/>
  <c r="AK37" i="50" l="1"/>
  <c r="AJ38" i="50"/>
  <c r="AL37" i="50" l="1"/>
  <c r="AK38" i="50"/>
  <c r="AL38" i="50" l="1"/>
  <c r="AM37" i="50"/>
  <c r="Q37" i="56"/>
  <c r="R37" i="56"/>
  <c r="S37" i="56"/>
  <c r="T37" i="56"/>
  <c r="U37" i="56"/>
  <c r="V37" i="56"/>
  <c r="W37" i="56"/>
  <c r="X37" i="56"/>
  <c r="Y37" i="56"/>
  <c r="Z37" i="56"/>
  <c r="AA37" i="56"/>
  <c r="P37" i="56"/>
  <c r="AM38" i="50" l="1"/>
  <c r="AN37" i="50"/>
  <c r="X56" i="50"/>
  <c r="AN38" i="50" l="1"/>
  <c r="W8" i="50"/>
  <c r="BJ7" i="111" l="1"/>
  <c r="X144" i="50" l="1"/>
  <c r="BI8" i="111" l="1"/>
  <c r="BI7" i="111"/>
  <c r="BI25" i="111"/>
  <c r="BJ24" i="111" s="1"/>
  <c r="W97" i="50"/>
  <c r="BJ23" i="111" l="1"/>
  <c r="BK23" i="111" s="1"/>
  <c r="BL23" i="111" s="1"/>
  <c r="BK24" i="111"/>
  <c r="W56" i="50" l="1"/>
  <c r="BT8" i="111" l="1"/>
  <c r="Y102" i="50" l="1"/>
  <c r="Z97" i="50" l="1"/>
  <c r="X175" i="50"/>
  <c r="Y175" i="50"/>
  <c r="Z175" i="50"/>
  <c r="AA175" i="50"/>
  <c r="AB175" i="50"/>
  <c r="AC175" i="50"/>
  <c r="AD175" i="50"/>
  <c r="AE175" i="50"/>
  <c r="AF175" i="50"/>
  <c r="AG175" i="50"/>
  <c r="AH175" i="50"/>
  <c r="AI175" i="50"/>
  <c r="AJ175" i="50"/>
  <c r="X176" i="50"/>
  <c r="Y176" i="50"/>
  <c r="Z176" i="50"/>
  <c r="AA176" i="50"/>
  <c r="AB176" i="50"/>
  <c r="AC176" i="50"/>
  <c r="AD176" i="50"/>
  <c r="AE176" i="50"/>
  <c r="AF176" i="50"/>
  <c r="AG176" i="50"/>
  <c r="AH176" i="50"/>
  <c r="AI176" i="50"/>
  <c r="AJ176" i="50"/>
  <c r="X177" i="50"/>
  <c r="Y177" i="50"/>
  <c r="Z177" i="50"/>
  <c r="AA177" i="50"/>
  <c r="AB177" i="50"/>
  <c r="AC177" i="50"/>
  <c r="AD177" i="50"/>
  <c r="AE177" i="50"/>
  <c r="AF177" i="50"/>
  <c r="AG177" i="50"/>
  <c r="AH177" i="50"/>
  <c r="AI177" i="50"/>
  <c r="AJ177" i="50"/>
  <c r="W177" i="50"/>
  <c r="W176" i="50"/>
  <c r="W175" i="50"/>
  <c r="AJ160" i="50" l="1"/>
  <c r="AC161" i="50"/>
  <c r="AA161" i="50"/>
  <c r="AB161" i="50"/>
  <c r="Z161" i="50"/>
  <c r="Z16" i="50"/>
  <c r="AC16" i="50" s="1"/>
  <c r="W121" i="50" l="1"/>
  <c r="V109" i="50" l="1"/>
  <c r="V62" i="50"/>
  <c r="Z39" i="56" l="1"/>
  <c r="AA39" i="56"/>
  <c r="Z42" i="56"/>
  <c r="AA42" i="56"/>
  <c r="Z19" i="56"/>
  <c r="AA19" i="56"/>
  <c r="Z20" i="56"/>
  <c r="AA20" i="56"/>
  <c r="Z23" i="56"/>
  <c r="AA23" i="56"/>
  <c r="AA18" i="56" l="1"/>
  <c r="Z18" i="56"/>
  <c r="V107" i="50"/>
  <c r="V164" i="50" l="1"/>
  <c r="X164" i="50"/>
  <c r="W164" i="50"/>
  <c r="V172" i="50" l="1"/>
  <c r="X172" i="50"/>
  <c r="W172" i="50"/>
  <c r="W135" i="50" l="1"/>
  <c r="X135" i="50"/>
  <c r="W153" i="50"/>
  <c r="X153" i="50"/>
  <c r="W157" i="50"/>
  <c r="X157" i="50"/>
  <c r="Y157" i="50"/>
  <c r="Z157" i="50"/>
  <c r="AA157" i="50"/>
  <c r="AB157" i="50"/>
  <c r="AC157" i="50"/>
  <c r="AD157" i="50"/>
  <c r="AE157" i="50"/>
  <c r="AF157" i="50"/>
  <c r="AG157" i="50"/>
  <c r="AH157" i="50"/>
  <c r="W158" i="50"/>
  <c r="X158" i="50"/>
  <c r="Y158" i="50"/>
  <c r="Z158" i="50"/>
  <c r="AA158" i="50"/>
  <c r="AB158" i="50"/>
  <c r="AC158" i="50"/>
  <c r="AD158" i="50"/>
  <c r="AD178" i="50" s="1"/>
  <c r="AE158" i="50"/>
  <c r="AE178" i="50" s="1"/>
  <c r="AF158" i="50"/>
  <c r="AG158" i="50"/>
  <c r="AH158" i="50"/>
  <c r="AH178" i="50" l="1"/>
  <c r="AG178" i="50"/>
  <c r="AF178" i="50"/>
  <c r="AF179" i="50" s="1"/>
  <c r="AD179" i="50"/>
  <c r="AE179" i="50"/>
  <c r="AB178" i="50"/>
  <c r="Z178" i="50"/>
  <c r="AC178" i="50"/>
  <c r="AA178" i="50"/>
  <c r="W102" i="50"/>
  <c r="V102" i="50"/>
  <c r="Z168" i="50" l="1"/>
  <c r="AA168" i="50"/>
  <c r="AB168" i="50"/>
  <c r="AC168" i="50"/>
  <c r="AD168" i="50"/>
  <c r="AE168" i="50"/>
  <c r="AF168" i="50"/>
  <c r="AG168" i="50"/>
  <c r="AH168" i="50"/>
  <c r="AI168" i="50"/>
  <c r="AJ168" i="50"/>
  <c r="Y168" i="50"/>
  <c r="BT20" i="111" l="1"/>
  <c r="BL20" i="111"/>
  <c r="BM20" i="111"/>
  <c r="BN20" i="111"/>
  <c r="BO20" i="111"/>
  <c r="BP20" i="111"/>
  <c r="BQ20" i="111"/>
  <c r="BR20" i="111"/>
  <c r="BS20" i="111"/>
  <c r="BU20" i="111"/>
  <c r="BV20" i="111"/>
  <c r="CO6" i="111" l="1"/>
  <c r="CP6" i="111" s="1"/>
  <c r="V168" i="50" l="1"/>
  <c r="W168" i="50" l="1"/>
  <c r="X168" i="50" l="1"/>
  <c r="W4" i="56" l="1"/>
  <c r="X4" i="56"/>
  <c r="W5" i="56"/>
  <c r="X5" i="56"/>
  <c r="W6" i="56"/>
  <c r="X6" i="56"/>
  <c r="Y42" i="56"/>
  <c r="Y39" i="56"/>
  <c r="Y23" i="56"/>
  <c r="Y20" i="56"/>
  <c r="Y13" i="56"/>
  <c r="Y6" i="56"/>
  <c r="Y19" i="56" s="1"/>
  <c r="Y5" i="56"/>
  <c r="Y4" i="56"/>
  <c r="Y18" i="56" l="1"/>
  <c r="X3" i="56"/>
  <c r="Y3" i="56"/>
  <c r="W3" i="56"/>
  <c r="BV31" i="111" l="1"/>
  <c r="BV17" i="111"/>
  <c r="BV19" i="111"/>
  <c r="BV2" i="111"/>
  <c r="BU31" i="111"/>
  <c r="BU17" i="111"/>
  <c r="BU16" i="111"/>
  <c r="BU19" i="111"/>
  <c r="BU2" i="111"/>
  <c r="BU15" i="111" l="1"/>
  <c r="BV13" i="111"/>
  <c r="BV14" i="111" s="1"/>
  <c r="BV16" i="111"/>
  <c r="BV15" i="111" s="1"/>
  <c r="BU13" i="111"/>
  <c r="BU14" i="111" l="1"/>
  <c r="BH7" i="111" l="1"/>
  <c r="BT31" i="111" l="1"/>
  <c r="BT17" i="111"/>
  <c r="BT19" i="111"/>
  <c r="BT2" i="111"/>
  <c r="BT16" i="111" l="1"/>
  <c r="BT15" i="111" s="1"/>
  <c r="BT13" i="111"/>
  <c r="BT14" i="111" l="1"/>
  <c r="U168" i="50" l="1"/>
  <c r="O181" i="50" l="1"/>
  <c r="E180" i="50"/>
  <c r="F180" i="50"/>
  <c r="J164" i="50"/>
  <c r="K164" i="50"/>
  <c r="L164" i="50"/>
  <c r="N164" i="50"/>
  <c r="O164" i="50"/>
  <c r="P164" i="50"/>
  <c r="Q164" i="50"/>
  <c r="R164" i="50"/>
  <c r="T164" i="50"/>
  <c r="U164" i="50"/>
  <c r="W10" i="56"/>
  <c r="X10" i="56"/>
  <c r="Y10" i="56"/>
  <c r="I164" i="50"/>
  <c r="I135" i="50"/>
  <c r="I180" i="50" s="1"/>
  <c r="J135" i="50"/>
  <c r="J180" i="50" s="1"/>
  <c r="K135" i="50"/>
  <c r="K91" i="50" s="1"/>
  <c r="L135" i="50"/>
  <c r="L180" i="50" s="1"/>
  <c r="N135" i="50"/>
  <c r="N180" i="50" s="1"/>
  <c r="O135" i="50"/>
  <c r="O91" i="50" s="1"/>
  <c r="P135" i="50"/>
  <c r="P91" i="50" s="1"/>
  <c r="Q135" i="50"/>
  <c r="Q91" i="50" s="1"/>
  <c r="R135" i="50"/>
  <c r="R180" i="50" s="1"/>
  <c r="T135" i="50"/>
  <c r="T91" i="50" s="1"/>
  <c r="U135" i="50"/>
  <c r="U91" i="50" s="1"/>
  <c r="V135" i="50"/>
  <c r="V91" i="50" s="1"/>
  <c r="W91" i="50"/>
  <c r="X91" i="50"/>
  <c r="Y91" i="50"/>
  <c r="Z91" i="50"/>
  <c r="AA91" i="50"/>
  <c r="AB91" i="50"/>
  <c r="AC91" i="50"/>
  <c r="AD91" i="50"/>
  <c r="AE91" i="50"/>
  <c r="AF91" i="50"/>
  <c r="AG91" i="50"/>
  <c r="AH91" i="50"/>
  <c r="AI91" i="50"/>
  <c r="H135" i="50"/>
  <c r="H180" i="50" s="1"/>
  <c r="G135" i="50"/>
  <c r="G180" i="50" s="1"/>
  <c r="U174" i="50"/>
  <c r="V174" i="50"/>
  <c r="W174" i="50"/>
  <c r="X174" i="50"/>
  <c r="Y174" i="50"/>
  <c r="Z174" i="50"/>
  <c r="AA174" i="50"/>
  <c r="AB174" i="50"/>
  <c r="AC174" i="50"/>
  <c r="AD174" i="50"/>
  <c r="AE174" i="50"/>
  <c r="AF174" i="50"/>
  <c r="AG174" i="50"/>
  <c r="AH174" i="50"/>
  <c r="AI174" i="50"/>
  <c r="AJ174" i="50"/>
  <c r="T174" i="50"/>
  <c r="Y181" i="50"/>
  <c r="Z181" i="50"/>
  <c r="AA181" i="50"/>
  <c r="AB181" i="50"/>
  <c r="AC181" i="50"/>
  <c r="AD181" i="50"/>
  <c r="AE181" i="50"/>
  <c r="AF181" i="50"/>
  <c r="AG181" i="50"/>
  <c r="AH181" i="50"/>
  <c r="AI181" i="50"/>
  <c r="AJ181" i="50"/>
  <c r="U153" i="50"/>
  <c r="U181" i="50" s="1"/>
  <c r="W181" i="50"/>
  <c r="X181" i="50"/>
  <c r="V153" i="50"/>
  <c r="AJ91" i="50" l="1"/>
  <c r="V181" i="50"/>
  <c r="AI165" i="50"/>
  <c r="Z11" i="56" s="1"/>
  <c r="O165" i="50"/>
  <c r="P180" i="50"/>
  <c r="AE165" i="50"/>
  <c r="K165" i="50"/>
  <c r="AA165" i="50"/>
  <c r="W165" i="50"/>
  <c r="T180" i="50"/>
  <c r="AH165" i="50"/>
  <c r="Y11" i="56" s="1"/>
  <c r="AD165" i="50"/>
  <c r="Z165" i="50"/>
  <c r="V165" i="50"/>
  <c r="R165" i="50"/>
  <c r="J165" i="50"/>
  <c r="AJ180" i="50"/>
  <c r="AF180" i="50"/>
  <c r="AB180" i="50"/>
  <c r="X180" i="50"/>
  <c r="O180" i="50"/>
  <c r="K180" i="50"/>
  <c r="U180" i="50"/>
  <c r="AG180" i="50"/>
  <c r="AC180" i="50"/>
  <c r="Y180" i="50"/>
  <c r="I165" i="50"/>
  <c r="AG165" i="50"/>
  <c r="X11" i="56" s="1"/>
  <c r="AC165" i="50"/>
  <c r="Y165" i="50"/>
  <c r="U165" i="50"/>
  <c r="Q165" i="50"/>
  <c r="AI180" i="50"/>
  <c r="AE180" i="50"/>
  <c r="AA180" i="50"/>
  <c r="W180" i="50"/>
  <c r="AJ165" i="50"/>
  <c r="AA11" i="56" s="1"/>
  <c r="AF165" i="50"/>
  <c r="W11" i="56" s="1"/>
  <c r="AB165" i="50"/>
  <c r="X165" i="50"/>
  <c r="T165" i="50"/>
  <c r="P165" i="50"/>
  <c r="L165" i="50"/>
  <c r="AH180" i="50"/>
  <c r="AD180" i="50"/>
  <c r="Z180" i="50"/>
  <c r="V180" i="50"/>
  <c r="Q180" i="50"/>
  <c r="Y97" i="50"/>
  <c r="AD16" i="50" l="1"/>
  <c r="AE16" i="50" s="1"/>
  <c r="AF16" i="50" s="1"/>
  <c r="AG16" i="50" s="1"/>
  <c r="AH16" i="50" s="1"/>
  <c r="AI16" i="50" s="1"/>
  <c r="AJ16" i="50" s="1"/>
  <c r="AK16" i="50" s="1"/>
  <c r="AL16" i="50" s="1"/>
  <c r="AM16" i="50" s="1"/>
  <c r="AA17" i="56"/>
  <c r="AA16" i="56" s="1"/>
  <c r="AA22" i="56"/>
  <c r="AA21" i="56" s="1"/>
  <c r="Z17" i="56"/>
  <c r="Z16" i="56" s="1"/>
  <c r="Z22" i="56"/>
  <c r="Z21" i="56" s="1"/>
  <c r="Y17" i="56"/>
  <c r="Y16" i="56" s="1"/>
  <c r="Y22" i="56"/>
  <c r="Y21" i="56" s="1"/>
  <c r="AJ173" i="50"/>
  <c r="AI173" i="50"/>
  <c r="AH173" i="50"/>
  <c r="AJ171" i="50"/>
  <c r="AI171" i="50"/>
  <c r="AH171" i="50"/>
  <c r="AJ166" i="50"/>
  <c r="AA12" i="56" s="1"/>
  <c r="AA9" i="56" s="1"/>
  <c r="AI166" i="50"/>
  <c r="Z12" i="56" s="1"/>
  <c r="Z9" i="56" s="1"/>
  <c r="AH166" i="50"/>
  <c r="Y12" i="56" s="1"/>
  <c r="Y9" i="56" s="1"/>
  <c r="AJ158" i="50"/>
  <c r="AI158" i="50"/>
  <c r="AH183" i="50"/>
  <c r="AJ157" i="50"/>
  <c r="AI157" i="50"/>
  <c r="AH182" i="50"/>
  <c r="AJ96" i="50"/>
  <c r="AI96" i="50"/>
  <c r="AH96" i="50"/>
  <c r="AJ95" i="50"/>
  <c r="AI95" i="50"/>
  <c r="AH95" i="50"/>
  <c r="AJ84" i="50"/>
  <c r="AI84" i="50"/>
  <c r="AH84" i="50"/>
  <c r="AJ76" i="50"/>
  <c r="AI76" i="50"/>
  <c r="AH76" i="50"/>
  <c r="AJ75" i="50"/>
  <c r="AI75" i="50"/>
  <c r="AH75" i="50"/>
  <c r="AJ74" i="50"/>
  <c r="AI74" i="50"/>
  <c r="AH74" i="50"/>
  <c r="AJ73" i="50"/>
  <c r="AI73" i="50"/>
  <c r="AH73" i="50"/>
  <c r="AJ72" i="50"/>
  <c r="AI72" i="50"/>
  <c r="AH72" i="50"/>
  <c r="AJ68" i="50"/>
  <c r="AI68" i="50"/>
  <c r="AH68" i="50"/>
  <c r="AJ67" i="50"/>
  <c r="AI67" i="50"/>
  <c r="AH67" i="50"/>
  <c r="AJ65" i="50"/>
  <c r="AI65" i="50"/>
  <c r="AH65" i="50"/>
  <c r="AJ69" i="50"/>
  <c r="AI69" i="50"/>
  <c r="AH69" i="50"/>
  <c r="AJ54" i="50"/>
  <c r="AI54" i="50"/>
  <c r="AH54" i="50"/>
  <c r="AJ52" i="50"/>
  <c r="AI52" i="50"/>
  <c r="AH52" i="50"/>
  <c r="AJ41" i="50"/>
  <c r="AI41" i="50"/>
  <c r="AH41" i="50"/>
  <c r="AI19" i="50"/>
  <c r="AH19" i="50"/>
  <c r="AI178" i="50" l="1"/>
  <c r="AJ178" i="50"/>
  <c r="AM18" i="50"/>
  <c r="AN16" i="50"/>
  <c r="AI182" i="50"/>
  <c r="AJ183" i="50"/>
  <c r="AI183" i="50"/>
  <c r="AI85" i="50"/>
  <c r="AI87" i="50"/>
  <c r="AJ85" i="50"/>
  <c r="AJ87" i="50"/>
  <c r="AH85" i="50"/>
  <c r="AH87" i="50"/>
  <c r="AK18" i="50"/>
  <c r="AL18" i="50"/>
  <c r="AJ182" i="50"/>
  <c r="AJ169" i="50"/>
  <c r="AI90" i="50"/>
  <c r="Z8" i="56"/>
  <c r="Z7" i="56" s="1"/>
  <c r="AH77" i="50"/>
  <c r="Y8" i="56"/>
  <c r="Y7" i="56" s="1"/>
  <c r="AH53" i="50"/>
  <c r="AJ163" i="50"/>
  <c r="AJ77" i="50"/>
  <c r="AJ90" i="50"/>
  <c r="AI92" i="50"/>
  <c r="AI169" i="50"/>
  <c r="AI77" i="50"/>
  <c r="AH90" i="50"/>
  <c r="AH92" i="50"/>
  <c r="AI53" i="50"/>
  <c r="AJ92" i="50"/>
  <c r="AH163" i="50"/>
  <c r="AH167" i="50"/>
  <c r="AH169" i="50"/>
  <c r="AI163" i="50"/>
  <c r="AI167" i="50"/>
  <c r="AJ167" i="50"/>
  <c r="X42" i="56"/>
  <c r="X39" i="56"/>
  <c r="X23" i="56"/>
  <c r="X20" i="56"/>
  <c r="X13" i="56"/>
  <c r="X19" i="56"/>
  <c r="AN18" i="50" l="1"/>
  <c r="AO18" i="50"/>
  <c r="AI179" i="50"/>
  <c r="AH179" i="50"/>
  <c r="AJ86" i="50"/>
  <c r="AJ88" i="50"/>
  <c r="AH88" i="50"/>
  <c r="AH86" i="50"/>
  <c r="AI88" i="50"/>
  <c r="AI86" i="50"/>
  <c r="AJ170" i="50"/>
  <c r="AH170" i="50"/>
  <c r="AI170" i="50"/>
  <c r="X18" i="56"/>
  <c r="BS19" i="111"/>
  <c r="BS31" i="111"/>
  <c r="BS17" i="111"/>
  <c r="BS2" i="111"/>
  <c r="U56" i="50"/>
  <c r="AG69" i="50"/>
  <c r="AG173" i="50"/>
  <c r="AG171" i="50"/>
  <c r="AG166" i="50"/>
  <c r="X12" i="56" s="1"/>
  <c r="X9" i="56" s="1"/>
  <c r="AG183" i="50"/>
  <c r="AG182" i="50"/>
  <c r="AG96" i="50"/>
  <c r="AG95" i="50"/>
  <c r="AG84" i="50"/>
  <c r="AG76" i="50"/>
  <c r="AG75" i="50"/>
  <c r="AG74" i="50"/>
  <c r="AG73" i="50"/>
  <c r="AG72" i="50"/>
  <c r="AG68" i="50"/>
  <c r="AG67" i="50"/>
  <c r="AG65" i="50"/>
  <c r="AG54" i="50"/>
  <c r="AG52" i="50"/>
  <c r="AG41" i="50"/>
  <c r="AI89" i="50" l="1"/>
  <c r="AJ89" i="50"/>
  <c r="AH89" i="50"/>
  <c r="AG87" i="50"/>
  <c r="AG85" i="50"/>
  <c r="AH185" i="50"/>
  <c r="AI185" i="50"/>
  <c r="AJ185" i="50"/>
  <c r="BS16" i="111"/>
  <c r="BS15" i="111" s="1"/>
  <c r="AG167" i="50"/>
  <c r="AG169" i="50"/>
  <c r="X8" i="56"/>
  <c r="X7" i="56" s="1"/>
  <c r="AG92" i="50"/>
  <c r="AG163" i="50"/>
  <c r="AG77" i="50"/>
  <c r="BS13" i="111"/>
  <c r="AG19" i="50"/>
  <c r="AG90" i="50"/>
  <c r="AG53" i="50"/>
  <c r="AG179" i="50" l="1"/>
  <c r="AG88" i="50"/>
  <c r="AG86" i="50"/>
  <c r="AG170" i="50"/>
  <c r="X17" i="56"/>
  <c r="X16" i="56" s="1"/>
  <c r="X22" i="56"/>
  <c r="X21" i="56" s="1"/>
  <c r="BS14" i="111"/>
  <c r="BG7" i="111"/>
  <c r="AG89" i="50" l="1"/>
  <c r="AG185" i="50"/>
  <c r="V56" i="50"/>
  <c r="Z24" i="50" s="1"/>
  <c r="AC24" i="50" s="1"/>
  <c r="AD24" i="50" s="1"/>
  <c r="AE24" i="50" s="1"/>
  <c r="AF24" i="50" s="1"/>
  <c r="AG24" i="50" s="1"/>
  <c r="AH24" i="50" s="1"/>
  <c r="AI24" i="50" s="1"/>
  <c r="AJ24" i="50" s="1"/>
  <c r="AA25" i="50" l="1"/>
  <c r="AB25" i="50" l="1"/>
  <c r="W42" i="56"/>
  <c r="W39" i="56"/>
  <c r="W23" i="56"/>
  <c r="W20" i="56"/>
  <c r="W13" i="56"/>
  <c r="W19" i="56"/>
  <c r="AC25" i="50" l="1"/>
  <c r="W18" i="56"/>
  <c r="AD25" i="50" l="1"/>
  <c r="AE25" i="50" l="1"/>
  <c r="T98" i="50"/>
  <c r="AF25" i="50" l="1"/>
  <c r="AG25" i="50" l="1"/>
  <c r="BF24" i="111"/>
  <c r="AH25" i="50" l="1"/>
  <c r="CO7" i="111"/>
  <c r="CP7" i="111" s="1"/>
  <c r="CQ7" i="111" s="1"/>
  <c r="BR31" i="111"/>
  <c r="BR17" i="111"/>
  <c r="BR2" i="111"/>
  <c r="BK20" i="111" l="1"/>
  <c r="CO8" i="111"/>
  <c r="CP8" i="111" s="1"/>
  <c r="CQ8" i="111" s="1"/>
  <c r="AJ25" i="50"/>
  <c r="AI25" i="50"/>
  <c r="BR13" i="111"/>
  <c r="BR14" i="111" s="1"/>
  <c r="BR19" i="111"/>
  <c r="BR16" i="111"/>
  <c r="BR15" i="111" s="1"/>
  <c r="AF173" i="50" l="1"/>
  <c r="AF171" i="50"/>
  <c r="AF166" i="50"/>
  <c r="W12" i="56" s="1"/>
  <c r="W9" i="56" s="1"/>
  <c r="AF183" i="50"/>
  <c r="AF182" i="50"/>
  <c r="AF96" i="50"/>
  <c r="AF95" i="50"/>
  <c r="AF84" i="50"/>
  <c r="AF76" i="50"/>
  <c r="AF75" i="50"/>
  <c r="AF74" i="50"/>
  <c r="AF73" i="50"/>
  <c r="AF72" i="50"/>
  <c r="AF68" i="50"/>
  <c r="AF67" i="50"/>
  <c r="AF65" i="50"/>
  <c r="AF69" i="50"/>
  <c r="AF54" i="50"/>
  <c r="AF52" i="50"/>
  <c r="AF41" i="50"/>
  <c r="AF85" i="50" l="1"/>
  <c r="AF87" i="50"/>
  <c r="AF90" i="50"/>
  <c r="AF169" i="50"/>
  <c r="AF92" i="50"/>
  <c r="AF77" i="50"/>
  <c r="AF163" i="50"/>
  <c r="AF167" i="50"/>
  <c r="AF86" i="50" l="1"/>
  <c r="AF88" i="50"/>
  <c r="AF170" i="50"/>
  <c r="W17" i="56"/>
  <c r="W16" i="56" s="1"/>
  <c r="W22" i="56"/>
  <c r="W21" i="56" s="1"/>
  <c r="S59" i="50"/>
  <c r="AF89" i="50" l="1"/>
  <c r="AF185" i="50"/>
  <c r="S8" i="50"/>
  <c r="T56" i="50" l="1"/>
  <c r="BG8" i="111" l="1"/>
  <c r="BF7" i="111" l="1"/>
  <c r="T153" i="50" l="1"/>
  <c r="T181" i="50" s="1"/>
  <c r="V42" i="56" l="1"/>
  <c r="V39" i="56"/>
  <c r="V23" i="56"/>
  <c r="V20" i="56"/>
  <c r="V13" i="56"/>
  <c r="V6" i="56"/>
  <c r="V19" i="56" s="1"/>
  <c r="V5" i="56"/>
  <c r="V4" i="56"/>
  <c r="V3" i="56" l="1"/>
  <c r="V18" i="56"/>
  <c r="S56" i="50" l="1"/>
  <c r="S43" i="50"/>
  <c r="BQ31" i="111" l="1"/>
  <c r="BQ17" i="111"/>
  <c r="BQ2" i="111"/>
  <c r="AE171" i="50"/>
  <c r="AE166" i="50"/>
  <c r="V12" i="56" s="1"/>
  <c r="V10" i="56"/>
  <c r="AE183" i="50"/>
  <c r="AE182" i="50"/>
  <c r="AE96" i="50"/>
  <c r="AE95" i="50"/>
  <c r="AE84" i="50"/>
  <c r="AE76" i="50"/>
  <c r="AE75" i="50"/>
  <c r="AE74" i="50"/>
  <c r="AE73" i="50"/>
  <c r="AE72" i="50"/>
  <c r="AE69" i="50"/>
  <c r="AE68" i="50"/>
  <c r="AE67" i="50"/>
  <c r="AE65" i="50"/>
  <c r="AE54" i="50"/>
  <c r="AE52" i="50"/>
  <c r="AE41" i="50"/>
  <c r="AE19" i="50"/>
  <c r="AE85" i="50" l="1"/>
  <c r="AE87" i="50"/>
  <c r="AE169" i="50"/>
  <c r="AE90" i="50"/>
  <c r="AE92" i="50"/>
  <c r="AE77" i="50"/>
  <c r="BQ16" i="111"/>
  <c r="BQ15" i="111" s="1"/>
  <c r="BQ19" i="111"/>
  <c r="BQ13" i="111"/>
  <c r="BQ14" i="111" s="1"/>
  <c r="AE163" i="50"/>
  <c r="AE53" i="50"/>
  <c r="V11" i="56"/>
  <c r="AE173" i="50"/>
  <c r="AE167" i="50"/>
  <c r="AE86" i="50" l="1"/>
  <c r="AE88" i="50"/>
  <c r="AE170" i="50"/>
  <c r="V17" i="56"/>
  <c r="V16" i="56" s="1"/>
  <c r="V22" i="56"/>
  <c r="V21" i="56" s="1"/>
  <c r="V9" i="56"/>
  <c r="V7" i="56" s="1"/>
  <c r="BG17" i="111"/>
  <c r="AE89" i="50" l="1"/>
  <c r="AE185" i="50"/>
  <c r="R8" i="50"/>
  <c r="R91" i="50" s="1"/>
  <c r="S136" i="50" l="1"/>
  <c r="S164" i="50" l="1"/>
  <c r="S135" i="50"/>
  <c r="S98" i="50"/>
  <c r="S91" i="50" l="1"/>
  <c r="S180" i="50"/>
  <c r="S165" i="50"/>
  <c r="BE7" i="111" l="1"/>
  <c r="BF19" i="111" l="1"/>
  <c r="AY34" i="111"/>
  <c r="BP31" i="111"/>
  <c r="BO31" i="111"/>
  <c r="BN31" i="111"/>
  <c r="BM31" i="111"/>
  <c r="BL31" i="111"/>
  <c r="BK31" i="111"/>
  <c r="BJ31" i="111"/>
  <c r="BI31" i="111"/>
  <c r="BH31" i="111"/>
  <c r="BG31" i="111"/>
  <c r="BF31" i="111"/>
  <c r="BE31" i="111"/>
  <c r="BD31" i="111"/>
  <c r="BC31" i="111"/>
  <c r="BB31" i="111"/>
  <c r="BA31" i="111"/>
  <c r="AZ31" i="111"/>
  <c r="AY31" i="111"/>
  <c r="AE28" i="111"/>
  <c r="AD28" i="111"/>
  <c r="AC28" i="111"/>
  <c r="AB28" i="111"/>
  <c r="AA28" i="111"/>
  <c r="Z28" i="111"/>
  <c r="BG27" i="111"/>
  <c r="BC27" i="111"/>
  <c r="AE27" i="111"/>
  <c r="AD27" i="111"/>
  <c r="AC27" i="111"/>
  <c r="AB27" i="111"/>
  <c r="AA27" i="111"/>
  <c r="AA29" i="111" s="1"/>
  <c r="Z27" i="111"/>
  <c r="Z29" i="111" s="1"/>
  <c r="AI23" i="111"/>
  <c r="BC20" i="111"/>
  <c r="AX19" i="111"/>
  <c r="AJ19" i="111"/>
  <c r="AI19" i="111"/>
  <c r="AH19" i="111"/>
  <c r="AG19" i="111"/>
  <c r="AF19" i="111"/>
  <c r="AE19" i="111"/>
  <c r="AD19" i="111"/>
  <c r="AC19" i="111"/>
  <c r="Y19" i="111"/>
  <c r="W19" i="111"/>
  <c r="V19" i="111"/>
  <c r="U19" i="111"/>
  <c r="T19" i="111"/>
  <c r="S19" i="111"/>
  <c r="R19" i="111"/>
  <c r="Q19" i="111"/>
  <c r="P19" i="111"/>
  <c r="O19" i="111"/>
  <c r="N19" i="111"/>
  <c r="M19" i="111"/>
  <c r="L19" i="111"/>
  <c r="K19" i="111"/>
  <c r="J19" i="111"/>
  <c r="I19" i="111"/>
  <c r="H19" i="111"/>
  <c r="G19" i="111"/>
  <c r="F19" i="111"/>
  <c r="E19" i="111"/>
  <c r="D19" i="111"/>
  <c r="C19" i="111"/>
  <c r="BD18" i="111"/>
  <c r="BC18" i="111"/>
  <c r="BP17" i="111"/>
  <c r="BO17" i="111"/>
  <c r="BN17" i="111"/>
  <c r="BM17" i="111"/>
  <c r="BL17" i="111"/>
  <c r="BJ17" i="111"/>
  <c r="BI17" i="111"/>
  <c r="BH17" i="111"/>
  <c r="BF17" i="111"/>
  <c r="BE17" i="111"/>
  <c r="BD17" i="111"/>
  <c r="BC17" i="111"/>
  <c r="BB17" i="111"/>
  <c r="BA17" i="111"/>
  <c r="AZ17" i="111"/>
  <c r="AY17" i="111"/>
  <c r="AX17" i="111"/>
  <c r="AW17" i="111"/>
  <c r="AV17" i="111"/>
  <c r="AU17" i="111"/>
  <c r="AT17" i="111"/>
  <c r="AS17" i="111"/>
  <c r="AR17" i="111"/>
  <c r="AQ17" i="111"/>
  <c r="AP17" i="111"/>
  <c r="AO17" i="111"/>
  <c r="AN17" i="111"/>
  <c r="AM17" i="111"/>
  <c r="AL17" i="111"/>
  <c r="AK17" i="111"/>
  <c r="AJ17" i="111"/>
  <c r="AI17" i="111"/>
  <c r="AH17" i="111"/>
  <c r="AG17" i="111"/>
  <c r="AF17" i="111"/>
  <c r="AE17" i="111"/>
  <c r="AD17" i="111"/>
  <c r="AC17" i="111"/>
  <c r="Z17" i="111"/>
  <c r="Y17" i="111"/>
  <c r="X17" i="111"/>
  <c r="W17" i="111"/>
  <c r="V17" i="111"/>
  <c r="U17" i="111"/>
  <c r="S17" i="111"/>
  <c r="R17" i="111"/>
  <c r="P17" i="111"/>
  <c r="O17" i="111"/>
  <c r="M17" i="111"/>
  <c r="L17" i="111"/>
  <c r="J17" i="111"/>
  <c r="I17" i="111"/>
  <c r="H17" i="111"/>
  <c r="G17" i="111"/>
  <c r="F17" i="111"/>
  <c r="E17" i="111"/>
  <c r="D17" i="111"/>
  <c r="C17" i="111"/>
  <c r="AX16" i="111"/>
  <c r="AJ16" i="111"/>
  <c r="AI16" i="111"/>
  <c r="Y16" i="111"/>
  <c r="W16" i="111"/>
  <c r="V16" i="111"/>
  <c r="U16" i="111"/>
  <c r="T16" i="111"/>
  <c r="S16" i="111"/>
  <c r="R16" i="111"/>
  <c r="Q16" i="111"/>
  <c r="P16" i="111"/>
  <c r="O16" i="111"/>
  <c r="N16" i="111"/>
  <c r="M16" i="111"/>
  <c r="L16" i="111"/>
  <c r="K16" i="111"/>
  <c r="J16" i="111"/>
  <c r="I16" i="111"/>
  <c r="H16" i="111"/>
  <c r="G16" i="111"/>
  <c r="F16" i="111"/>
  <c r="E16" i="111"/>
  <c r="D16" i="111"/>
  <c r="C16" i="111"/>
  <c r="AX13" i="111"/>
  <c r="AX14" i="111" s="1"/>
  <c r="AJ13" i="111"/>
  <c r="AJ14" i="111" s="1"/>
  <c r="AI13" i="111"/>
  <c r="AI14" i="111" s="1"/>
  <c r="Y13" i="111"/>
  <c r="Y14" i="111" s="1"/>
  <c r="W13" i="111"/>
  <c r="W14" i="111" s="1"/>
  <c r="V13" i="111"/>
  <c r="V14" i="111" s="1"/>
  <c r="U13" i="111"/>
  <c r="U14" i="111" s="1"/>
  <c r="S13" i="111"/>
  <c r="S14" i="111" s="1"/>
  <c r="R13" i="111"/>
  <c r="R14" i="111" s="1"/>
  <c r="P13" i="111"/>
  <c r="P14" i="111" s="1"/>
  <c r="O13" i="111"/>
  <c r="O14" i="111" s="1"/>
  <c r="M13" i="111"/>
  <c r="M14" i="111" s="1"/>
  <c r="L13" i="111"/>
  <c r="L14" i="111" s="1"/>
  <c r="J13" i="111"/>
  <c r="J14" i="111" s="1"/>
  <c r="I13" i="111"/>
  <c r="I14" i="111" s="1"/>
  <c r="H13" i="111"/>
  <c r="H14" i="111" s="1"/>
  <c r="G13" i="111"/>
  <c r="G14" i="111" s="1"/>
  <c r="F13" i="111"/>
  <c r="F14" i="111" s="1"/>
  <c r="E13" i="111"/>
  <c r="E14" i="111" s="1"/>
  <c r="D13" i="111"/>
  <c r="D14" i="111" s="1"/>
  <c r="C13" i="111"/>
  <c r="C14" i="111" s="1"/>
  <c r="BC12" i="111"/>
  <c r="BB12" i="111"/>
  <c r="BA12" i="111"/>
  <c r="AZ12" i="111"/>
  <c r="AY12" i="111"/>
  <c r="AX12" i="111"/>
  <c r="AW12" i="111"/>
  <c r="AV12" i="111"/>
  <c r="AU12" i="111"/>
  <c r="AT12" i="111"/>
  <c r="AS12" i="111"/>
  <c r="AR12" i="111"/>
  <c r="AQ12" i="111"/>
  <c r="AP12" i="111"/>
  <c r="AO12" i="111"/>
  <c r="AN12" i="111"/>
  <c r="AM12" i="111"/>
  <c r="AL12" i="111"/>
  <c r="AK12" i="111"/>
  <c r="AJ12" i="111"/>
  <c r="AI12" i="111"/>
  <c r="AH12" i="111"/>
  <c r="AF12" i="111"/>
  <c r="AE12" i="111"/>
  <c r="AD12" i="111"/>
  <c r="AC12" i="111"/>
  <c r="AB12" i="111"/>
  <c r="AA12" i="111"/>
  <c r="Z12" i="111"/>
  <c r="Y12" i="111"/>
  <c r="X12" i="111"/>
  <c r="W12" i="111"/>
  <c r="V12" i="111"/>
  <c r="U12" i="111"/>
  <c r="T12" i="111"/>
  <c r="S12" i="111"/>
  <c r="R12" i="111"/>
  <c r="Q12" i="111"/>
  <c r="P12" i="111"/>
  <c r="O12" i="111"/>
  <c r="N12" i="111"/>
  <c r="M12" i="111"/>
  <c r="L12" i="111"/>
  <c r="K12" i="111"/>
  <c r="J12" i="111"/>
  <c r="I12" i="111"/>
  <c r="H12" i="111"/>
  <c r="G12" i="111"/>
  <c r="F12" i="111"/>
  <c r="E12" i="111"/>
  <c r="D12" i="111"/>
  <c r="C12" i="111"/>
  <c r="BA10" i="111"/>
  <c r="AZ10" i="111"/>
  <c r="T10" i="111"/>
  <c r="N10" i="111"/>
  <c r="N17" i="111" s="1"/>
  <c r="K10" i="111"/>
  <c r="K13" i="111" s="1"/>
  <c r="K14" i="111" s="1"/>
  <c r="CJ9" i="111"/>
  <c r="CK9" i="111" s="1"/>
  <c r="BH8" i="111"/>
  <c r="BH20" i="111" s="1"/>
  <c r="BG20" i="111"/>
  <c r="BF8" i="111"/>
  <c r="BE20" i="111"/>
  <c r="BD8" i="111"/>
  <c r="BD20" i="111" s="1"/>
  <c r="AZ8" i="111"/>
  <c r="AY8" i="111"/>
  <c r="AW8" i="111"/>
  <c r="AV8" i="111"/>
  <c r="AM8" i="111"/>
  <c r="AL8" i="111"/>
  <c r="AH8" i="111"/>
  <c r="AH16" i="111" s="1"/>
  <c r="AG8" i="111"/>
  <c r="AG13" i="111" s="1"/>
  <c r="AG11" i="111" s="1"/>
  <c r="AG12" i="111" s="1"/>
  <c r="AF8" i="111"/>
  <c r="AF13" i="111" s="1"/>
  <c r="AF14" i="111" s="1"/>
  <c r="AE8" i="111"/>
  <c r="AD8" i="111"/>
  <c r="AD13" i="111" s="1"/>
  <c r="AD14" i="111" s="1"/>
  <c r="AC8" i="111"/>
  <c r="AC13" i="111" s="1"/>
  <c r="AC14" i="111" s="1"/>
  <c r="AB8" i="111"/>
  <c r="AB17" i="111" s="1"/>
  <c r="AA8" i="111"/>
  <c r="AA17" i="111" s="1"/>
  <c r="Q8" i="111"/>
  <c r="Q13" i="111" s="1"/>
  <c r="Q14" i="111" s="1"/>
  <c r="BP19" i="111"/>
  <c r="BL19" i="111"/>
  <c r="BJ19" i="111"/>
  <c r="BI19" i="111"/>
  <c r="BE19" i="111"/>
  <c r="BD7" i="111"/>
  <c r="BD19" i="111" s="1"/>
  <c r="BC7" i="111"/>
  <c r="BB7" i="111"/>
  <c r="BB16" i="111" s="1"/>
  <c r="BA7" i="111"/>
  <c r="BA19" i="111" s="1"/>
  <c r="AZ7" i="111"/>
  <c r="AZ19" i="111" s="1"/>
  <c r="AY7" i="111"/>
  <c r="AW7" i="111"/>
  <c r="AV7" i="111"/>
  <c r="AU7" i="111"/>
  <c r="AU16" i="111" s="1"/>
  <c r="AT7" i="111"/>
  <c r="AT13" i="111" s="1"/>
  <c r="AT14" i="111" s="1"/>
  <c r="AS7" i="111"/>
  <c r="AS19" i="111" s="1"/>
  <c r="AR7" i="111"/>
  <c r="AR16" i="111" s="1"/>
  <c r="AQ7" i="111"/>
  <c r="AQ16" i="111" s="1"/>
  <c r="AP7" i="111"/>
  <c r="AO7" i="111"/>
  <c r="AO13" i="111" s="1"/>
  <c r="AO14" i="111" s="1"/>
  <c r="AN7" i="111"/>
  <c r="AN16" i="111" s="1"/>
  <c r="AM7" i="111"/>
  <c r="AL7" i="111"/>
  <c r="AK7" i="111"/>
  <c r="AK19" i="111" s="1"/>
  <c r="AB7" i="111"/>
  <c r="AB19" i="111" s="1"/>
  <c r="AA7" i="111"/>
  <c r="AA16" i="111" s="1"/>
  <c r="Z7" i="111"/>
  <c r="Z13" i="111" s="1"/>
  <c r="Z14" i="111" s="1"/>
  <c r="X7" i="111"/>
  <c r="X13" i="111" s="1"/>
  <c r="CM6" i="111"/>
  <c r="CN6" i="111" s="1"/>
  <c r="CK6" i="111"/>
  <c r="X6" i="111"/>
  <c r="BP2" i="111"/>
  <c r="BO2" i="111"/>
  <c r="BN2" i="111"/>
  <c r="BM2" i="111"/>
  <c r="BL2" i="111"/>
  <c r="BK2" i="111"/>
  <c r="BJ2" i="111"/>
  <c r="BI2" i="111"/>
  <c r="BH2" i="111"/>
  <c r="BG2" i="111"/>
  <c r="BF2" i="111"/>
  <c r="BE2" i="111"/>
  <c r="BD2" i="111"/>
  <c r="BC2" i="111"/>
  <c r="BB2" i="111"/>
  <c r="BA2" i="111"/>
  <c r="AZ2" i="111"/>
  <c r="AY2" i="111"/>
  <c r="AX2" i="111"/>
  <c r="AW2" i="111"/>
  <c r="AV2" i="111"/>
  <c r="AU2" i="111"/>
  <c r="AT2" i="111"/>
  <c r="AS2" i="111"/>
  <c r="AR2" i="111"/>
  <c r="AQ2" i="111"/>
  <c r="AP2" i="111"/>
  <c r="AO2" i="111"/>
  <c r="AN2" i="111"/>
  <c r="AM2" i="111"/>
  <c r="AB29" i="111" l="1"/>
  <c r="AE29" i="111"/>
  <c r="G15" i="111"/>
  <c r="AA15" i="111"/>
  <c r="AC29" i="111"/>
  <c r="BN13" i="111"/>
  <c r="BN14" i="111" s="1"/>
  <c r="W15" i="111"/>
  <c r="BM13" i="111"/>
  <c r="BM14" i="111" s="1"/>
  <c r="BH23" i="111"/>
  <c r="O15" i="111"/>
  <c r="Y15" i="111"/>
  <c r="AM16" i="111"/>
  <c r="AM15" i="111" s="1"/>
  <c r="AQ15" i="111"/>
  <c r="AU15" i="111"/>
  <c r="U15" i="111"/>
  <c r="AI15" i="111"/>
  <c r="AW13" i="111"/>
  <c r="AW14" i="111" s="1"/>
  <c r="AD29" i="111"/>
  <c r="AN15" i="111"/>
  <c r="AR15" i="111"/>
  <c r="BF13" i="111"/>
  <c r="BF14" i="111" s="1"/>
  <c r="AX15" i="111"/>
  <c r="F15" i="111"/>
  <c r="J15" i="111"/>
  <c r="BB15" i="111"/>
  <c r="AL13" i="111"/>
  <c r="AL14" i="111" s="1"/>
  <c r="AH15" i="111"/>
  <c r="D15" i="111"/>
  <c r="H15" i="111"/>
  <c r="P15" i="111"/>
  <c r="C15" i="111"/>
  <c r="AV13" i="111"/>
  <c r="AV14" i="111" s="1"/>
  <c r="R15" i="111"/>
  <c r="V15" i="111"/>
  <c r="AV16" i="111"/>
  <c r="AV15" i="111" s="1"/>
  <c r="AR13" i="111"/>
  <c r="AR14" i="111" s="1"/>
  <c r="AB16" i="111"/>
  <c r="AB15" i="111" s="1"/>
  <c r="AK16" i="111"/>
  <c r="AK15" i="111" s="1"/>
  <c r="BM16" i="111"/>
  <c r="BM15" i="111" s="1"/>
  <c r="AV19" i="111"/>
  <c r="N15" i="111"/>
  <c r="AG16" i="111"/>
  <c r="AG15" i="111" s="1"/>
  <c r="AS16" i="111"/>
  <c r="AS15" i="111" s="1"/>
  <c r="Q17" i="111"/>
  <c r="Q15" i="111" s="1"/>
  <c r="X19" i="111"/>
  <c r="BE13" i="111"/>
  <c r="N13" i="111"/>
  <c r="N14" i="111" s="1"/>
  <c r="AK13" i="111"/>
  <c r="AK14" i="111" s="1"/>
  <c r="BB19" i="111"/>
  <c r="AN13" i="111"/>
  <c r="AN14" i="111" s="1"/>
  <c r="L15" i="111"/>
  <c r="BE16" i="111"/>
  <c r="BE15" i="111" s="1"/>
  <c r="S15" i="111"/>
  <c r="AN19" i="111"/>
  <c r="BM19" i="111"/>
  <c r="BA23" i="111"/>
  <c r="X14" i="111"/>
  <c r="BN16" i="111"/>
  <c r="BN15" i="111" s="1"/>
  <c r="CJ8" i="111"/>
  <c r="CL8" i="111" s="1"/>
  <c r="AZ23" i="111"/>
  <c r="AH13" i="111"/>
  <c r="AH14" i="111" s="1"/>
  <c r="AS13" i="111"/>
  <c r="AS14" i="111" s="1"/>
  <c r="BA13" i="111"/>
  <c r="BA14" i="111" s="1"/>
  <c r="BI13" i="111"/>
  <c r="BI14" i="111" s="1"/>
  <c r="AC16" i="111"/>
  <c r="AC15" i="111" s="1"/>
  <c r="BA16" i="111"/>
  <c r="BA15" i="111" s="1"/>
  <c r="BH16" i="111"/>
  <c r="BH15" i="111" s="1"/>
  <c r="BP16" i="111"/>
  <c r="BP15" i="111" s="1"/>
  <c r="AO19" i="111"/>
  <c r="AW19" i="111"/>
  <c r="BN19" i="111"/>
  <c r="BB23" i="111"/>
  <c r="AG14" i="111"/>
  <c r="BB13" i="111"/>
  <c r="BB14" i="111" s="1"/>
  <c r="X16" i="111"/>
  <c r="X15" i="111" s="1"/>
  <c r="AD16" i="111"/>
  <c r="AD15" i="111" s="1"/>
  <c r="AO16" i="111"/>
  <c r="AO15" i="111" s="1"/>
  <c r="AW16" i="111"/>
  <c r="AW15" i="111" s="1"/>
  <c r="BI16" i="111"/>
  <c r="BI15" i="111" s="1"/>
  <c r="K17" i="111"/>
  <c r="K15" i="111" s="1"/>
  <c r="AR19" i="111"/>
  <c r="BI20" i="111"/>
  <c r="BE23" i="111"/>
  <c r="AZ16" i="111"/>
  <c r="AZ15" i="111" s="1"/>
  <c r="CJ10" i="111"/>
  <c r="CK10" i="111" s="1"/>
  <c r="E15" i="111"/>
  <c r="I15" i="111"/>
  <c r="M15" i="111"/>
  <c r="AF16" i="111"/>
  <c r="AF15" i="111" s="1"/>
  <c r="AJ15" i="111"/>
  <c r="BD16" i="111"/>
  <c r="BD15" i="111" s="1"/>
  <c r="BL16" i="111"/>
  <c r="BL15" i="111" s="1"/>
  <c r="T17" i="111"/>
  <c r="T15" i="111" s="1"/>
  <c r="T13" i="111"/>
  <c r="T14" i="111" s="1"/>
  <c r="Z19" i="111"/>
  <c r="Z16" i="111"/>
  <c r="Z15" i="111" s="1"/>
  <c r="AL16" i="111"/>
  <c r="AL15" i="111" s="1"/>
  <c r="AL19" i="111"/>
  <c r="AP19" i="111"/>
  <c r="AP16" i="111"/>
  <c r="AP15" i="111" s="1"/>
  <c r="AT16" i="111"/>
  <c r="AT15" i="111" s="1"/>
  <c r="AT19" i="111"/>
  <c r="AY35" i="111"/>
  <c r="AY16" i="111"/>
  <c r="AY15" i="111" s="1"/>
  <c r="AY19" i="111"/>
  <c r="AY13" i="111"/>
  <c r="AY14" i="111" s="1"/>
  <c r="CM7" i="111"/>
  <c r="CN7" i="111" s="1"/>
  <c r="BC16" i="111"/>
  <c r="BC15" i="111" s="1"/>
  <c r="BC19" i="111"/>
  <c r="BC23" i="111"/>
  <c r="BC13" i="111"/>
  <c r="BC14" i="111" s="1"/>
  <c r="BG16" i="111"/>
  <c r="BG15" i="111" s="1"/>
  <c r="BG13" i="111"/>
  <c r="BG14" i="111" s="1"/>
  <c r="BG19" i="111"/>
  <c r="BG25" i="111" s="1"/>
  <c r="BG23" i="111"/>
  <c r="BK16" i="111"/>
  <c r="BK15" i="111" s="1"/>
  <c r="BK19" i="111"/>
  <c r="BK13" i="111"/>
  <c r="BK14" i="111" s="1"/>
  <c r="BO16" i="111"/>
  <c r="BO15" i="111" s="1"/>
  <c r="BO19" i="111"/>
  <c r="BO13" i="111"/>
  <c r="BO14" i="111" s="1"/>
  <c r="AE16" i="111"/>
  <c r="AE15" i="111" s="1"/>
  <c r="AE13" i="111"/>
  <c r="AE14" i="111" s="1"/>
  <c r="CM8" i="111"/>
  <c r="CN8" i="111" s="1"/>
  <c r="AY23" i="111"/>
  <c r="BF23" i="111"/>
  <c r="BF20" i="111"/>
  <c r="BF25" i="111" s="1"/>
  <c r="BF16" i="111"/>
  <c r="BF15" i="111" s="1"/>
  <c r="BJ20" i="111"/>
  <c r="BJ16" i="111"/>
  <c r="BJ15" i="111" s="1"/>
  <c r="AP13" i="111"/>
  <c r="AP14" i="111" s="1"/>
  <c r="BJ13" i="111"/>
  <c r="BJ14" i="111" s="1"/>
  <c r="AA13" i="111"/>
  <c r="AA14" i="111" s="1"/>
  <c r="AM13" i="111"/>
  <c r="AM14" i="111" s="1"/>
  <c r="AA19" i="111"/>
  <c r="AQ19" i="111"/>
  <c r="BD23" i="111"/>
  <c r="CJ7" i="111"/>
  <c r="AB13" i="111"/>
  <c r="AB14" i="111" s="1"/>
  <c r="AZ13" i="111"/>
  <c r="AZ14" i="111" s="1"/>
  <c r="BD13" i="111"/>
  <c r="BH13" i="111"/>
  <c r="BH14" i="111" s="1"/>
  <c r="BL13" i="111"/>
  <c r="BL14" i="111" s="1"/>
  <c r="BP13" i="111"/>
  <c r="BP14" i="111" s="1"/>
  <c r="BH19" i="111"/>
  <c r="BH25" i="111" s="1"/>
  <c r="AQ13" i="111"/>
  <c r="AQ14" i="111" s="1"/>
  <c r="AU13" i="111"/>
  <c r="AU14" i="111" s="1"/>
  <c r="AM19" i="111"/>
  <c r="AU19" i="111"/>
  <c r="BE14" i="111" l="1"/>
  <c r="CK8" i="111"/>
  <c r="CK7" i="111"/>
  <c r="CL7" i="111"/>
  <c r="BD14" i="111"/>
  <c r="BD12" i="111" l="1"/>
  <c r="BE12" i="111" l="1"/>
  <c r="BF12" i="111" l="1"/>
  <c r="BG12" i="111" l="1"/>
  <c r="BH12" i="111" l="1"/>
  <c r="BI12" i="111" l="1"/>
  <c r="BJ12" i="111" l="1"/>
  <c r="BK12" i="111" l="1"/>
  <c r="BL12" i="111" l="1"/>
  <c r="BM12" i="111" l="1"/>
  <c r="BO11" i="111" l="1"/>
  <c r="BN12" i="111"/>
  <c r="BO12" i="111" l="1"/>
  <c r="BP11" i="111"/>
  <c r="BP12" i="111" l="1"/>
  <c r="BQ11" i="111"/>
  <c r="E168" i="50"/>
  <c r="BQ12" i="111" l="1"/>
  <c r="BR11" i="111"/>
  <c r="BR12" i="111" l="1"/>
  <c r="BS11" i="111"/>
  <c r="BS12" i="111" l="1"/>
  <c r="BT11" i="111"/>
  <c r="BT12" i="111" l="1"/>
  <c r="BU11" i="111"/>
  <c r="BU12" i="111" l="1"/>
  <c r="BV11" i="111"/>
  <c r="S155" i="50"/>
  <c r="S181" i="50" s="1"/>
  <c r="BV12" i="111" l="1"/>
  <c r="BW11" i="111"/>
  <c r="U84" i="50"/>
  <c r="V84" i="50"/>
  <c r="W84" i="50"/>
  <c r="X84" i="50"/>
  <c r="Y84" i="50"/>
  <c r="Z84" i="50"/>
  <c r="AA84" i="50"/>
  <c r="AB84" i="50"/>
  <c r="AC84" i="50"/>
  <c r="AD84" i="50"/>
  <c r="Y87" i="50" l="1"/>
  <c r="Z85" i="50"/>
  <c r="Z87" i="50"/>
  <c r="AC85" i="50"/>
  <c r="AC87" i="50"/>
  <c r="AB85" i="50"/>
  <c r="AB87" i="50"/>
  <c r="AA87" i="50"/>
  <c r="AA85" i="50"/>
  <c r="AD85" i="50"/>
  <c r="AD87" i="50"/>
  <c r="BW12" i="111"/>
  <c r="BX11" i="111"/>
  <c r="R84" i="50"/>
  <c r="BX12" i="111" l="1"/>
  <c r="BY11" i="111"/>
  <c r="AC86" i="50"/>
  <c r="AC88" i="50"/>
  <c r="AA86" i="50"/>
  <c r="AA88" i="50"/>
  <c r="AB86" i="50"/>
  <c r="AB88" i="50"/>
  <c r="Z86" i="50"/>
  <c r="Z88" i="50"/>
  <c r="AD86" i="50"/>
  <c r="AD88" i="50"/>
  <c r="S84" i="50"/>
  <c r="T84" i="50"/>
  <c r="BY12" i="111" l="1"/>
  <c r="BZ11" i="111"/>
  <c r="AB89" i="50"/>
  <c r="AD89" i="50"/>
  <c r="AC89" i="50"/>
  <c r="Z89" i="50"/>
  <c r="AA89" i="50"/>
  <c r="I168" i="50"/>
  <c r="J168" i="50"/>
  <c r="K168" i="50"/>
  <c r="L168" i="50"/>
  <c r="O168" i="50"/>
  <c r="P168" i="50"/>
  <c r="I171" i="50"/>
  <c r="J171" i="50"/>
  <c r="K171" i="50"/>
  <c r="L171" i="50"/>
  <c r="M171" i="50"/>
  <c r="N171" i="50"/>
  <c r="O171" i="50"/>
  <c r="P171" i="50"/>
  <c r="I172" i="50"/>
  <c r="J172" i="50"/>
  <c r="K172" i="50"/>
  <c r="L172" i="50"/>
  <c r="M172" i="50"/>
  <c r="N172" i="50"/>
  <c r="O172" i="50"/>
  <c r="P172" i="50"/>
  <c r="I173" i="50"/>
  <c r="J173" i="50"/>
  <c r="K173" i="50"/>
  <c r="L173" i="50"/>
  <c r="O173" i="50"/>
  <c r="P173" i="50"/>
  <c r="Q168" i="50"/>
  <c r="Q171" i="50"/>
  <c r="Q172" i="50"/>
  <c r="Q173" i="50"/>
  <c r="S171" i="50"/>
  <c r="T171" i="50"/>
  <c r="U171" i="50"/>
  <c r="V171" i="50"/>
  <c r="W171" i="50"/>
  <c r="X171" i="50"/>
  <c r="Y171" i="50"/>
  <c r="Z171" i="50"/>
  <c r="AA171" i="50"/>
  <c r="AB171" i="50"/>
  <c r="AC171" i="50"/>
  <c r="AD171" i="50"/>
  <c r="R171" i="50"/>
  <c r="BZ12" i="111" l="1"/>
  <c r="S172" i="50"/>
  <c r="T172" i="50"/>
  <c r="U172" i="50"/>
  <c r="S173" i="50"/>
  <c r="T173" i="50"/>
  <c r="U173" i="50"/>
  <c r="V173" i="50"/>
  <c r="W173" i="50"/>
  <c r="X173" i="50"/>
  <c r="Y173" i="50"/>
  <c r="AA173" i="50"/>
  <c r="AB173" i="50"/>
  <c r="AC173" i="50"/>
  <c r="AD173" i="50"/>
  <c r="R173" i="50"/>
  <c r="R172" i="50"/>
  <c r="J161" i="50" l="1"/>
  <c r="M161" i="50"/>
  <c r="N161" i="50"/>
  <c r="I162" i="50"/>
  <c r="J162" i="50"/>
  <c r="K162" i="50"/>
  <c r="L162" i="50"/>
  <c r="M162" i="50"/>
  <c r="P162" i="50"/>
  <c r="Q162" i="50"/>
  <c r="I166" i="50"/>
  <c r="J166" i="50"/>
  <c r="K166" i="50"/>
  <c r="L166" i="50"/>
  <c r="M166" i="50"/>
  <c r="N166" i="50"/>
  <c r="O166" i="50"/>
  <c r="P166" i="50"/>
  <c r="Q166" i="50"/>
  <c r="M160" i="50" l="1"/>
  <c r="J160" i="50"/>
  <c r="S168" i="50" l="1"/>
  <c r="T168" i="50"/>
  <c r="R168" i="50"/>
  <c r="U42" i="56"/>
  <c r="U39" i="56"/>
  <c r="U23" i="56"/>
  <c r="U20" i="56"/>
  <c r="U13" i="56"/>
  <c r="U6" i="56"/>
  <c r="U19" i="56" s="1"/>
  <c r="U5" i="56"/>
  <c r="U4" i="56"/>
  <c r="S162" i="50"/>
  <c r="T162" i="50"/>
  <c r="U162" i="50"/>
  <c r="S166" i="50"/>
  <c r="T166" i="50"/>
  <c r="U166" i="50"/>
  <c r="V166" i="50"/>
  <c r="W166" i="50"/>
  <c r="X166" i="50"/>
  <c r="Y166" i="50"/>
  <c r="Z166" i="50"/>
  <c r="AA166" i="50"/>
  <c r="AB166" i="50"/>
  <c r="AC166" i="50"/>
  <c r="AD166" i="50"/>
  <c r="U12" i="56" s="1"/>
  <c r="U10" i="56"/>
  <c r="Z95" i="50"/>
  <c r="AA95" i="50"/>
  <c r="AB95" i="50"/>
  <c r="AD95" i="50"/>
  <c r="Y95" i="50"/>
  <c r="S95" i="50"/>
  <c r="S161" i="50" s="1"/>
  <c r="T95" i="50"/>
  <c r="T161" i="50" s="1"/>
  <c r="U95" i="50"/>
  <c r="V95" i="50"/>
  <c r="W95" i="50"/>
  <c r="W161" i="50" s="1"/>
  <c r="X95" i="50"/>
  <c r="X161" i="50" s="1"/>
  <c r="S23" i="50"/>
  <c r="R23" i="50"/>
  <c r="Y161" i="50" l="1"/>
  <c r="V161" i="50"/>
  <c r="U161" i="50"/>
  <c r="U160" i="50" s="1"/>
  <c r="U18" i="56"/>
  <c r="U3" i="56"/>
  <c r="T160" i="50"/>
  <c r="S160" i="50"/>
  <c r="AC95" i="50"/>
  <c r="AC6" i="50" s="1"/>
  <c r="AD6" i="50" l="1"/>
  <c r="AE6" i="50" s="1"/>
  <c r="AF6" i="50" s="1"/>
  <c r="AG6" i="50" s="1"/>
  <c r="AH6" i="50" s="1"/>
  <c r="AI6" i="50" s="1"/>
  <c r="AJ6" i="50" s="1"/>
  <c r="X7" i="50"/>
  <c r="W7" i="50"/>
  <c r="V7" i="50"/>
  <c r="S19" i="50"/>
  <c r="T19" i="50"/>
  <c r="U19" i="50"/>
  <c r="R19" i="50"/>
  <c r="R56" i="50"/>
  <c r="Y7" i="50" l="1"/>
  <c r="Q69" i="50"/>
  <c r="AD69" i="50"/>
  <c r="AC69" i="50"/>
  <c r="AB69" i="50"/>
  <c r="AA69" i="50"/>
  <c r="Z69" i="50"/>
  <c r="Y69" i="50"/>
  <c r="X69" i="50"/>
  <c r="W69" i="50"/>
  <c r="V69" i="50"/>
  <c r="U69" i="50"/>
  <c r="T69" i="50"/>
  <c r="S69" i="50"/>
  <c r="R69" i="50"/>
  <c r="AD68" i="50"/>
  <c r="AC68" i="50"/>
  <c r="AB68" i="50"/>
  <c r="AA68" i="50"/>
  <c r="Z68" i="50"/>
  <c r="Y68" i="50"/>
  <c r="X68" i="50"/>
  <c r="W68" i="50"/>
  <c r="V68" i="50"/>
  <c r="U68" i="50"/>
  <c r="T68" i="50"/>
  <c r="S68" i="50"/>
  <c r="R68" i="50"/>
  <c r="Q68" i="50"/>
  <c r="Q25" i="50" l="1"/>
  <c r="Q12" i="50"/>
  <c r="E18" i="50" l="1"/>
  <c r="F18" i="50"/>
  <c r="G18" i="50"/>
  <c r="H18" i="50"/>
  <c r="I18" i="50"/>
  <c r="J18" i="50"/>
  <c r="K18" i="50"/>
  <c r="L18" i="50"/>
  <c r="M18" i="50"/>
  <c r="N18" i="50"/>
  <c r="O18" i="50"/>
  <c r="P18" i="50"/>
  <c r="Q18" i="50"/>
  <c r="R18" i="50"/>
  <c r="S18" i="50" l="1"/>
  <c r="T18" i="50" l="1"/>
  <c r="U18" i="50" l="1"/>
  <c r="P12" i="50" l="1"/>
  <c r="O12" i="50"/>
  <c r="N12" i="50"/>
  <c r="M12" i="50"/>
  <c r="L12" i="50"/>
  <c r="P25" i="50"/>
  <c r="O25" i="50"/>
  <c r="N25" i="50"/>
  <c r="M25" i="50"/>
  <c r="L25" i="50"/>
  <c r="K25" i="50"/>
  <c r="J25" i="50"/>
  <c r="I25" i="50"/>
  <c r="H25" i="50"/>
  <c r="G25" i="50"/>
  <c r="F25" i="50"/>
  <c r="E25" i="50"/>
  <c r="Q20" i="50"/>
  <c r="P20" i="50"/>
  <c r="O20" i="50"/>
  <c r="N20" i="50"/>
  <c r="M20" i="50"/>
  <c r="L20" i="50"/>
  <c r="AD96" i="50" l="1"/>
  <c r="AD76" i="50"/>
  <c r="AD75" i="50"/>
  <c r="AD74" i="50"/>
  <c r="AD73" i="50"/>
  <c r="AD72" i="50"/>
  <c r="AD67" i="50"/>
  <c r="AD65" i="50"/>
  <c r="AD54" i="50"/>
  <c r="AD52" i="50"/>
  <c r="AD41" i="50"/>
  <c r="AD169" i="50" l="1"/>
  <c r="AD167" i="50"/>
  <c r="AD90" i="50"/>
  <c r="AD163" i="50"/>
  <c r="U11" i="56"/>
  <c r="AD183" i="50"/>
  <c r="AD182" i="50"/>
  <c r="AD92" i="50"/>
  <c r="AD77" i="50"/>
  <c r="AD170" i="50" l="1"/>
  <c r="U22" i="56"/>
  <c r="U21" i="56" s="1"/>
  <c r="U17" i="56"/>
  <c r="U16" i="56" s="1"/>
  <c r="U9" i="56"/>
  <c r="U7" i="56" s="1"/>
  <c r="AD185" i="50" l="1"/>
  <c r="W162" i="50"/>
  <c r="W160" i="50" s="1"/>
  <c r="X162" i="50"/>
  <c r="X160" i="50" s="1"/>
  <c r="V162" i="50"/>
  <c r="V160" i="50" s="1"/>
  <c r="W19" i="50" l="1"/>
  <c r="X19" i="50"/>
  <c r="V19" i="50"/>
  <c r="Y162" i="50" l="1"/>
  <c r="Y160" i="50" s="1"/>
  <c r="Y19" i="50"/>
  <c r="AB90" i="50" l="1"/>
  <c r="W90" i="50"/>
  <c r="X90" i="50"/>
  <c r="R90" i="50"/>
  <c r="T90" i="50"/>
  <c r="AA90" i="50"/>
  <c r="S90" i="50"/>
  <c r="Z90" i="50"/>
  <c r="V90" i="50"/>
  <c r="AC90" i="50"/>
  <c r="Y90" i="50"/>
  <c r="U90" i="50"/>
  <c r="S53" i="50"/>
  <c r="T53" i="50"/>
  <c r="U53" i="50"/>
  <c r="V53" i="50"/>
  <c r="W53" i="50"/>
  <c r="X53" i="50"/>
  <c r="W25" i="50" l="1"/>
  <c r="X25" i="50"/>
  <c r="M23" i="56" l="1"/>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R4" i="56"/>
  <c r="S4" i="56"/>
  <c r="T4" i="56"/>
  <c r="N5" i="56"/>
  <c r="O5" i="56"/>
  <c r="P5" i="56"/>
  <c r="Q5" i="56"/>
  <c r="R5" i="56"/>
  <c r="S5" i="56"/>
  <c r="T5" i="56"/>
  <c r="N6" i="56"/>
  <c r="N19" i="56" s="1"/>
  <c r="O6" i="56"/>
  <c r="O19" i="56" s="1"/>
  <c r="P6" i="56"/>
  <c r="P19" i="56" s="1"/>
  <c r="Q6" i="56"/>
  <c r="Q19" i="56" s="1"/>
  <c r="R6" i="56"/>
  <c r="R19" i="56" s="1"/>
  <c r="S6" i="56"/>
  <c r="S19" i="56" s="1"/>
  <c r="T6" i="56"/>
  <c r="T19" i="56" s="1"/>
  <c r="T42" i="56"/>
  <c r="T39" i="56"/>
  <c r="S42" i="56"/>
  <c r="S39" i="56"/>
  <c r="N18" i="56" l="1"/>
  <c r="R18" i="56"/>
  <c r="Q18" i="56"/>
  <c r="R3" i="56"/>
  <c r="Q3" i="56"/>
  <c r="T3" i="56"/>
  <c r="T18" i="56"/>
  <c r="P18" i="56"/>
  <c r="S3" i="56"/>
  <c r="S18" i="56"/>
  <c r="O18" i="56"/>
  <c r="P3" i="56"/>
  <c r="T12" i="56" l="1"/>
  <c r="T10" i="56"/>
  <c r="T11" i="56"/>
  <c r="AC96" i="50"/>
  <c r="AC76" i="50"/>
  <c r="AC75" i="50"/>
  <c r="AC74" i="50"/>
  <c r="AC73" i="50"/>
  <c r="AC72" i="50"/>
  <c r="AC67" i="50"/>
  <c r="AC65" i="50"/>
  <c r="AC54" i="50"/>
  <c r="AC52" i="50"/>
  <c r="AC41" i="50"/>
  <c r="AC169" i="50" l="1"/>
  <c r="AC167" i="50"/>
  <c r="AC163" i="50"/>
  <c r="AC182" i="50"/>
  <c r="AC183" i="50"/>
  <c r="T22" i="56"/>
  <c r="T21" i="56" s="1"/>
  <c r="T17" i="56"/>
  <c r="T16" i="56" s="1"/>
  <c r="T9" i="56"/>
  <c r="AC77" i="50"/>
  <c r="AC92" i="50"/>
  <c r="AC170" i="50" l="1"/>
  <c r="AU28" i="56"/>
  <c r="AU29" i="56"/>
  <c r="AU30" i="56"/>
  <c r="AU31" i="56"/>
  <c r="AU32" i="56"/>
  <c r="AU27" i="56"/>
  <c r="AC185" i="50" l="1"/>
  <c r="P101" i="50"/>
  <c r="R95" i="50"/>
  <c r="Q95" i="50"/>
  <c r="Q161" i="50" s="1"/>
  <c r="Q160" i="50" s="1"/>
  <c r="P95" i="50"/>
  <c r="P161" i="50" l="1"/>
  <c r="P160" i="50" s="1"/>
  <c r="R53" i="50"/>
  <c r="R161" i="50"/>
  <c r="P96" i="50"/>
  <c r="Q96" i="50"/>
  <c r="R96" i="50"/>
  <c r="S96" i="50"/>
  <c r="T96" i="50"/>
  <c r="U96" i="50"/>
  <c r="V96" i="50"/>
  <c r="W96" i="50"/>
  <c r="X96" i="50"/>
  <c r="Y96" i="50"/>
  <c r="Z96" i="50"/>
  <c r="AA96" i="50"/>
  <c r="AB96" i="50"/>
  <c r="S12" i="56" l="1"/>
  <c r="S10" i="56"/>
  <c r="AB76" i="50"/>
  <c r="AB75" i="50"/>
  <c r="AB74" i="50"/>
  <c r="AB73" i="50"/>
  <c r="AB72" i="50"/>
  <c r="AB67" i="50"/>
  <c r="AB65" i="50"/>
  <c r="AB54" i="50"/>
  <c r="AB52" i="50"/>
  <c r="AB41" i="50"/>
  <c r="AB169" i="50" l="1"/>
  <c r="AB167" i="50"/>
  <c r="AB163" i="50"/>
  <c r="AB182" i="50"/>
  <c r="AB183" i="50"/>
  <c r="AB77" i="50"/>
  <c r="AB92" i="50"/>
  <c r="S11" i="56"/>
  <c r="AB170" i="50" l="1"/>
  <c r="S22" i="56"/>
  <c r="S21" i="56" s="1"/>
  <c r="S9" i="56"/>
  <c r="S17" i="56"/>
  <c r="S16" i="56" s="1"/>
  <c r="AB185" i="50" l="1"/>
  <c r="O103" i="50"/>
  <c r="O162" i="50" s="1"/>
  <c r="Q153" i="50" l="1"/>
  <c r="Q181" i="50" s="1"/>
  <c r="R153" i="50"/>
  <c r="R181" i="50" s="1"/>
  <c r="P153" i="50"/>
  <c r="P181" i="50" s="1"/>
  <c r="P157" i="50" l="1"/>
  <c r="Q157" i="50"/>
  <c r="R157" i="50"/>
  <c r="R182" i="50" s="1"/>
  <c r="S157" i="50"/>
  <c r="T157" i="50"/>
  <c r="T182" i="50" s="1"/>
  <c r="U157" i="50"/>
  <c r="V157" i="50"/>
  <c r="P158" i="50"/>
  <c r="Q158" i="50"/>
  <c r="R158" i="50"/>
  <c r="S158" i="50"/>
  <c r="S183" i="50" s="1"/>
  <c r="T158" i="50"/>
  <c r="T183" i="50" s="1"/>
  <c r="U158" i="50"/>
  <c r="U183" i="50" s="1"/>
  <c r="V158" i="50"/>
  <c r="V183" i="50" s="1"/>
  <c r="W183" i="50"/>
  <c r="X183" i="50"/>
  <c r="Y183" i="50"/>
  <c r="AA183" i="50"/>
  <c r="V169" i="50" l="1"/>
  <c r="V170" i="50" s="1"/>
  <c r="V185" i="50" s="1"/>
  <c r="Z182" i="50"/>
  <c r="Z169" i="50"/>
  <c r="X182" i="50"/>
  <c r="X169" i="50"/>
  <c r="W182" i="50"/>
  <c r="W169" i="50"/>
  <c r="V182" i="50"/>
  <c r="AA182" i="50"/>
  <c r="AA169" i="50"/>
  <c r="Y182" i="50"/>
  <c r="Y169" i="50"/>
  <c r="U182" i="50"/>
  <c r="U169" i="50"/>
  <c r="U170" i="50" s="1"/>
  <c r="X167" i="50"/>
  <c r="W167" i="50"/>
  <c r="S182" i="50"/>
  <c r="S167" i="50"/>
  <c r="Y167" i="50"/>
  <c r="V167" i="50"/>
  <c r="R167" i="50"/>
  <c r="Z167" i="50"/>
  <c r="T167" i="50"/>
  <c r="U167" i="50"/>
  <c r="AA167" i="50"/>
  <c r="P178" i="50"/>
  <c r="P179" i="50" s="1"/>
  <c r="Q167" i="50"/>
  <c r="P167" i="50"/>
  <c r="P169" i="50"/>
  <c r="Q169" i="50"/>
  <c r="Q163" i="50"/>
  <c r="Q178" i="50"/>
  <c r="Q179" i="50" s="1"/>
  <c r="P163" i="50"/>
  <c r="R169" i="50"/>
  <c r="R170" i="50" s="1"/>
  <c r="S169" i="50"/>
  <c r="S170" i="50" s="1"/>
  <c r="T169" i="50"/>
  <c r="T170" i="50" s="1"/>
  <c r="R178" i="50"/>
  <c r="S163" i="50"/>
  <c r="W178" i="50"/>
  <c r="W179" i="50" s="1"/>
  <c r="V163" i="50"/>
  <c r="Y178" i="50"/>
  <c r="Y179" i="50" s="1"/>
  <c r="S178" i="50"/>
  <c r="S179" i="50" s="1"/>
  <c r="X163" i="50"/>
  <c r="Y163" i="50"/>
  <c r="U163" i="50"/>
  <c r="U159" i="50" s="1"/>
  <c r="X178" i="50"/>
  <c r="X179" i="50" s="1"/>
  <c r="T178" i="50"/>
  <c r="T179" i="50" s="1"/>
  <c r="U178" i="50"/>
  <c r="U179" i="50" s="1"/>
  <c r="Z163" i="50"/>
  <c r="Z183" i="50"/>
  <c r="W163" i="50"/>
  <c r="AA163" i="50"/>
  <c r="V178" i="50"/>
  <c r="V179" i="50" s="1"/>
  <c r="T163" i="50"/>
  <c r="R42" i="56"/>
  <c r="R39" i="56"/>
  <c r="Z170" i="50" l="1"/>
  <c r="X170" i="50"/>
  <c r="X185" i="50" s="1"/>
  <c r="Y170" i="50"/>
  <c r="AA170" i="50"/>
  <c r="W170" i="50"/>
  <c r="W185" i="50" s="1"/>
  <c r="R12" i="56"/>
  <c r="AA76" i="50"/>
  <c r="AA75" i="50"/>
  <c r="AA74" i="50"/>
  <c r="AA73" i="50"/>
  <c r="AA72" i="50"/>
  <c r="AA67" i="50"/>
  <c r="AA65" i="50"/>
  <c r="AA54" i="50"/>
  <c r="AA52" i="50"/>
  <c r="AA41" i="50"/>
  <c r="Y185" i="50" l="1"/>
  <c r="AA185" i="50"/>
  <c r="Z185" i="50"/>
  <c r="AA77" i="50"/>
  <c r="N103" i="50" l="1"/>
  <c r="N162" i="50" l="1"/>
  <c r="N160" i="50" s="1"/>
  <c r="O101" i="50"/>
  <c r="O161" i="50" l="1"/>
  <c r="O160" i="50" s="1"/>
  <c r="N107" i="50"/>
  <c r="N91" i="50" l="1"/>
  <c r="N165" i="50"/>
  <c r="N168" i="50"/>
  <c r="E20" i="56"/>
  <c r="F20" i="56"/>
  <c r="G20" i="56"/>
  <c r="H20" i="56"/>
  <c r="I20" i="56"/>
  <c r="J20" i="56"/>
  <c r="K20" i="56"/>
  <c r="L20" i="56"/>
  <c r="O132" i="50" l="1"/>
  <c r="O157" i="50"/>
  <c r="O158" i="50"/>
  <c r="O167" i="50" l="1"/>
  <c r="I42" i="56"/>
  <c r="E42" i="56"/>
  <c r="F42" i="56"/>
  <c r="G42" i="56"/>
  <c r="H42" i="56"/>
  <c r="J42" i="56"/>
  <c r="K42" i="56"/>
  <c r="L42" i="56"/>
  <c r="M42" i="56"/>
  <c r="N42" i="56"/>
  <c r="O42" i="56"/>
  <c r="P42" i="56"/>
  <c r="Q42" i="56"/>
  <c r="C20" i="56" l="1"/>
  <c r="E13" i="56"/>
  <c r="F13" i="56"/>
  <c r="G13" i="56"/>
  <c r="H13" i="56"/>
  <c r="I13" i="56"/>
  <c r="J13" i="56"/>
  <c r="K13" i="56"/>
  <c r="L13" i="56"/>
  <c r="M13" i="56"/>
  <c r="D13" i="56"/>
  <c r="E6" i="56"/>
  <c r="F6" i="56"/>
  <c r="G6" i="56"/>
  <c r="H6" i="56"/>
  <c r="I6" i="56"/>
  <c r="J6" i="56"/>
  <c r="K6" i="56"/>
  <c r="L6" i="56"/>
  <c r="M6" i="56"/>
  <c r="D6" i="56"/>
  <c r="E4" i="56"/>
  <c r="F4" i="56"/>
  <c r="G4" i="56"/>
  <c r="H4" i="56"/>
  <c r="I4" i="56"/>
  <c r="J4" i="56"/>
  <c r="K4" i="56"/>
  <c r="L4" i="56"/>
  <c r="M4" i="56"/>
  <c r="E5" i="56"/>
  <c r="F5" i="56"/>
  <c r="G5" i="56"/>
  <c r="H5" i="56"/>
  <c r="I5" i="56"/>
  <c r="J5" i="56"/>
  <c r="K5" i="56"/>
  <c r="L5" i="56"/>
  <c r="M5" i="56"/>
  <c r="D4" i="56"/>
  <c r="Q39" i="56"/>
  <c r="J3" i="56" l="1"/>
  <c r="H3" i="56"/>
  <c r="O3" i="56"/>
  <c r="G3" i="56"/>
  <c r="K3" i="56"/>
  <c r="L3" i="56"/>
  <c r="F3" i="56"/>
  <c r="M3" i="56"/>
  <c r="N3" i="56"/>
  <c r="I3" i="56"/>
  <c r="Q12" i="56" l="1"/>
  <c r="Z76" i="50"/>
  <c r="Z75" i="50"/>
  <c r="Z74" i="50"/>
  <c r="Z73" i="50"/>
  <c r="Z72" i="50"/>
  <c r="Z67" i="50"/>
  <c r="Z65" i="50"/>
  <c r="Z54" i="50"/>
  <c r="Z52" i="50"/>
  <c r="Z41" i="50"/>
  <c r="Z77" i="50" l="1"/>
  <c r="M121" i="50" l="1"/>
  <c r="M164" i="50" s="1"/>
  <c r="M168" i="50" l="1"/>
  <c r="D42" i="56"/>
  <c r="P39" i="56"/>
  <c r="O39" i="56"/>
  <c r="N39" i="56"/>
  <c r="M39" i="56"/>
  <c r="L39" i="56"/>
  <c r="K39" i="56"/>
  <c r="J39" i="56"/>
  <c r="I39" i="56"/>
  <c r="H39" i="56"/>
  <c r="G39" i="56"/>
  <c r="F39" i="56"/>
  <c r="E39" i="56"/>
  <c r="D39" i="56"/>
  <c r="T29" i="56"/>
  <c r="U29" i="56" s="1"/>
  <c r="V29" i="56" s="1"/>
  <c r="W29" i="56" s="1"/>
  <c r="X29" i="56" s="1"/>
  <c r="Y29" i="56" s="1"/>
  <c r="Z29" i="56" s="1"/>
  <c r="AA29" i="56" s="1"/>
  <c r="AB29" i="56" s="1"/>
  <c r="AC29" i="56" s="1"/>
  <c r="AD29" i="56" s="1"/>
  <c r="AE29" i="56" s="1"/>
  <c r="T27" i="56"/>
  <c r="V27" i="56" s="1"/>
  <c r="W27" i="56" s="1"/>
  <c r="X27" i="56" s="1"/>
  <c r="Y27" i="56" s="1"/>
  <c r="Z27" i="56" s="1"/>
  <c r="L23" i="56"/>
  <c r="K23" i="56"/>
  <c r="J23" i="56"/>
  <c r="I23" i="56"/>
  <c r="H23" i="56"/>
  <c r="G23" i="56"/>
  <c r="F23" i="56"/>
  <c r="E23" i="56"/>
  <c r="D23" i="56"/>
  <c r="C23" i="56"/>
  <c r="C22" i="56"/>
  <c r="D20" i="56"/>
  <c r="M19" i="56"/>
  <c r="M18" i="56" s="1"/>
  <c r="L19" i="56"/>
  <c r="L18" i="56" s="1"/>
  <c r="K19" i="56"/>
  <c r="K18" i="56" s="1"/>
  <c r="J19" i="56"/>
  <c r="J18" i="56" s="1"/>
  <c r="I19" i="56"/>
  <c r="I18" i="56" s="1"/>
  <c r="H19" i="56"/>
  <c r="H18" i="56" s="1"/>
  <c r="G19" i="56"/>
  <c r="G18" i="56" s="1"/>
  <c r="F19" i="56"/>
  <c r="F18" i="56" s="1"/>
  <c r="E19" i="56"/>
  <c r="E18" i="56" s="1"/>
  <c r="D19" i="56"/>
  <c r="C19" i="56"/>
  <c r="C18" i="56" s="1"/>
  <c r="C17" i="56"/>
  <c r="C9" i="56"/>
  <c r="C7" i="56" s="1"/>
  <c r="E3" i="56"/>
  <c r="C3" i="56"/>
  <c r="T28" i="56" l="1"/>
  <c r="U28" i="56" s="1"/>
  <c r="V28" i="56" s="1"/>
  <c r="W28" i="56" s="1"/>
  <c r="X28" i="56" s="1"/>
  <c r="Y28" i="56" s="1"/>
  <c r="Z28" i="56" s="1"/>
  <c r="AA28" i="56" s="1"/>
  <c r="AB28" i="56" s="1"/>
  <c r="AC28" i="56" s="1"/>
  <c r="AD28" i="56" s="1"/>
  <c r="AE28" i="56" s="1"/>
  <c r="AA27" i="56"/>
  <c r="AB27" i="56" s="1"/>
  <c r="AC27" i="56" s="1"/>
  <c r="C16" i="56"/>
  <c r="C21" i="56"/>
  <c r="D18" i="56"/>
  <c r="N90" i="50" l="1"/>
  <c r="R166" i="50"/>
  <c r="N12" i="56"/>
  <c r="O12" i="56"/>
  <c r="P12" i="56"/>
  <c r="L2" i="50"/>
  <c r="H12" i="56" l="1"/>
  <c r="G12" i="56"/>
  <c r="K12" i="56"/>
  <c r="F12" i="56"/>
  <c r="M12" i="56"/>
  <c r="E12" i="56"/>
  <c r="E10" i="56"/>
  <c r="J12" i="56"/>
  <c r="I12" i="56"/>
  <c r="L12" i="56"/>
  <c r="D12" i="56"/>
  <c r="G10" i="56"/>
  <c r="F10" i="56"/>
  <c r="O169" i="50"/>
  <c r="N157" i="50"/>
  <c r="N158" i="50"/>
  <c r="N155" i="50"/>
  <c r="M155" i="50"/>
  <c r="M157" i="50"/>
  <c r="M158" i="50"/>
  <c r="M173" i="50" l="1"/>
  <c r="M181" i="50"/>
  <c r="N173" i="50"/>
  <c r="N181" i="50"/>
  <c r="N169" i="50"/>
  <c r="M167" i="50"/>
  <c r="N167" i="50"/>
  <c r="N178" i="50"/>
  <c r="N179" i="50" s="1"/>
  <c r="N163" i="50"/>
  <c r="O163" i="50"/>
  <c r="O178" i="50"/>
  <c r="O179" i="50" s="1"/>
  <c r="E11" i="56"/>
  <c r="E9" i="56" s="1"/>
  <c r="O90" i="50"/>
  <c r="E22" i="56" l="1"/>
  <c r="E21" i="56" s="1"/>
  <c r="E17" i="56"/>
  <c r="E16" i="56" s="1"/>
  <c r="F11" i="56"/>
  <c r="F22" i="56" s="1"/>
  <c r="F21" i="56" s="1"/>
  <c r="F9" i="56" l="1"/>
  <c r="F17" i="56"/>
  <c r="F16" i="56" s="1"/>
  <c r="T32" i="56" l="1"/>
  <c r="U32" i="56" s="1"/>
  <c r="V32" i="56" s="1"/>
  <c r="W32" i="56" s="1"/>
  <c r="X32" i="56" s="1"/>
  <c r="Y32" i="56" l="1"/>
  <c r="P53" i="50"/>
  <c r="Q53" i="50"/>
  <c r="M53" i="50"/>
  <c r="O53" i="50"/>
  <c r="Z32" i="56" l="1"/>
  <c r="N53" i="50"/>
  <c r="R162" i="50"/>
  <c r="H162" i="50"/>
  <c r="F162" i="50"/>
  <c r="E162" i="50"/>
  <c r="E161" i="50"/>
  <c r="M183" i="50"/>
  <c r="L158" i="50"/>
  <c r="K158" i="50"/>
  <c r="J158" i="50"/>
  <c r="I158" i="50"/>
  <c r="H158" i="50"/>
  <c r="G158" i="50"/>
  <c r="F158" i="50"/>
  <c r="F183" i="50" s="1"/>
  <c r="E158" i="50"/>
  <c r="E183" i="50" s="1"/>
  <c r="N182" i="50"/>
  <c r="L157" i="50"/>
  <c r="L182" i="50" s="1"/>
  <c r="K157" i="50"/>
  <c r="K182" i="50" s="1"/>
  <c r="J157" i="50"/>
  <c r="J182" i="50" s="1"/>
  <c r="I157" i="50"/>
  <c r="H157" i="50"/>
  <c r="G157" i="50"/>
  <c r="F157" i="50"/>
  <c r="E157" i="50"/>
  <c r="L153" i="50"/>
  <c r="L181" i="50" s="1"/>
  <c r="K153" i="50"/>
  <c r="K181" i="50" s="1"/>
  <c r="J153" i="50"/>
  <c r="J181" i="50" s="1"/>
  <c r="I153" i="50"/>
  <c r="I181" i="50" s="1"/>
  <c r="H153" i="50"/>
  <c r="H181" i="50" s="1"/>
  <c r="G153" i="50"/>
  <c r="G181" i="50" s="1"/>
  <c r="F153" i="50"/>
  <c r="F181" i="50" s="1"/>
  <c r="E153" i="50"/>
  <c r="E181" i="50" s="1"/>
  <c r="H108" i="50"/>
  <c r="H168" i="50" s="1"/>
  <c r="G107" i="50"/>
  <c r="G168" i="50" s="1"/>
  <c r="F107" i="50"/>
  <c r="F168" i="50" s="1"/>
  <c r="G103" i="50"/>
  <c r="G162" i="50" s="1"/>
  <c r="I101" i="50"/>
  <c r="H101" i="50"/>
  <c r="G101" i="50"/>
  <c r="G161" i="50" s="1"/>
  <c r="L95" i="50"/>
  <c r="L161" i="50" s="1"/>
  <c r="L160" i="50" s="1"/>
  <c r="K95" i="50"/>
  <c r="K161" i="50" s="1"/>
  <c r="K160" i="50" s="1"/>
  <c r="I95" i="50"/>
  <c r="H95" i="50"/>
  <c r="F95" i="50"/>
  <c r="F161" i="50" s="1"/>
  <c r="O96" i="50"/>
  <c r="N96" i="50"/>
  <c r="M96" i="50"/>
  <c r="L96" i="50"/>
  <c r="K96" i="50"/>
  <c r="J96" i="50"/>
  <c r="I96" i="50"/>
  <c r="H96" i="50"/>
  <c r="G96" i="50"/>
  <c r="F96" i="50"/>
  <c r="E96" i="50"/>
  <c r="O92" i="50"/>
  <c r="O84" i="50"/>
  <c r="N84" i="50"/>
  <c r="K84" i="50"/>
  <c r="Y76" i="50"/>
  <c r="X76" i="50"/>
  <c r="W76" i="50"/>
  <c r="V76" i="50"/>
  <c r="U76" i="50"/>
  <c r="T76" i="50"/>
  <c r="S76" i="50"/>
  <c r="R76" i="50"/>
  <c r="Q76" i="50"/>
  <c r="P76" i="50"/>
  <c r="O76" i="50"/>
  <c r="N76" i="50"/>
  <c r="M76" i="50"/>
  <c r="L76" i="50"/>
  <c r="K76" i="50"/>
  <c r="J76" i="50"/>
  <c r="I76" i="50"/>
  <c r="H76" i="50"/>
  <c r="G76" i="50"/>
  <c r="F76" i="50"/>
  <c r="E76" i="50"/>
  <c r="Y75" i="50"/>
  <c r="X75" i="50"/>
  <c r="W75" i="50"/>
  <c r="V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M74" i="50"/>
  <c r="L74" i="50"/>
  <c r="K74" i="50"/>
  <c r="J74" i="50"/>
  <c r="I74" i="50"/>
  <c r="H74" i="50"/>
  <c r="G74" i="50"/>
  <c r="F74" i="50"/>
  <c r="E74" i="50"/>
  <c r="Y73" i="50"/>
  <c r="X73" i="50"/>
  <c r="W73" i="50"/>
  <c r="V73" i="50"/>
  <c r="U73" i="50"/>
  <c r="T73" i="50"/>
  <c r="S73" i="50"/>
  <c r="R73" i="50"/>
  <c r="Q73" i="50"/>
  <c r="P73" i="50"/>
  <c r="O73" i="50"/>
  <c r="N73" i="50"/>
  <c r="L73" i="50"/>
  <c r="K73" i="50"/>
  <c r="J73" i="50"/>
  <c r="I73" i="50"/>
  <c r="H73" i="50"/>
  <c r="G73" i="50"/>
  <c r="F73" i="50"/>
  <c r="E73" i="50"/>
  <c r="Y72" i="50"/>
  <c r="X72" i="50"/>
  <c r="W72" i="50"/>
  <c r="V72" i="50"/>
  <c r="U72" i="50"/>
  <c r="T72" i="50"/>
  <c r="S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V65" i="50"/>
  <c r="U65" i="50"/>
  <c r="T65" i="50"/>
  <c r="S65" i="50"/>
  <c r="R65" i="50"/>
  <c r="Q65" i="50"/>
  <c r="P65" i="50"/>
  <c r="O65" i="50"/>
  <c r="N65" i="50"/>
  <c r="L65" i="50"/>
  <c r="K65" i="50"/>
  <c r="J65" i="50"/>
  <c r="I65" i="50"/>
  <c r="H65" i="50"/>
  <c r="G65" i="50"/>
  <c r="F65" i="50"/>
  <c r="E65" i="50"/>
  <c r="M61" i="50"/>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R183" i="50"/>
  <c r="P183" i="50"/>
  <c r="O183" i="50"/>
  <c r="O182" i="50"/>
  <c r="M182" i="50"/>
  <c r="L9" i="50"/>
  <c r="L8" i="50"/>
  <c r="L91" i="50" s="1"/>
  <c r="H8" i="50"/>
  <c r="L7" i="50"/>
  <c r="K7" i="50"/>
  <c r="J7" i="50"/>
  <c r="I7" i="50"/>
  <c r="H7" i="50"/>
  <c r="G7" i="50"/>
  <c r="F7" i="50"/>
  <c r="E7" i="50"/>
  <c r="AA32" i="56" l="1"/>
  <c r="AB32" i="56" s="1"/>
  <c r="AC32" i="56" s="1"/>
  <c r="AD32" i="56" s="1"/>
  <c r="AE32" i="56" s="1"/>
  <c r="AF32" i="56" s="1"/>
  <c r="AF34" i="56" s="1"/>
  <c r="AF40" i="56" s="1"/>
  <c r="AF41" i="56" s="1"/>
  <c r="M135" i="50"/>
  <c r="M169" i="50" s="1"/>
  <c r="K169" i="50"/>
  <c r="L169" i="50"/>
  <c r="J169" i="50"/>
  <c r="L167" i="50"/>
  <c r="I169" i="50"/>
  <c r="I178" i="50"/>
  <c r="J167" i="50"/>
  <c r="L163" i="50"/>
  <c r="L178" i="50"/>
  <c r="I161" i="50"/>
  <c r="I160" i="50" s="1"/>
  <c r="I163" i="50"/>
  <c r="I167" i="50"/>
  <c r="J178" i="50"/>
  <c r="J163" i="50"/>
  <c r="K178" i="50"/>
  <c r="K163" i="50"/>
  <c r="K167" i="50"/>
  <c r="G182" i="50"/>
  <c r="M65" i="50"/>
  <c r="D5" i="56"/>
  <c r="D3" i="56" s="1"/>
  <c r="H183" i="50"/>
  <c r="I183" i="50"/>
  <c r="G183" i="50"/>
  <c r="K183" i="50"/>
  <c r="J183" i="50"/>
  <c r="F182" i="50"/>
  <c r="E182" i="50"/>
  <c r="H182" i="50"/>
  <c r="G160" i="50"/>
  <c r="K90" i="50"/>
  <c r="F160" i="50"/>
  <c r="N8" i="56"/>
  <c r="O8" i="56"/>
  <c r="Q77" i="50"/>
  <c r="Y77" i="50"/>
  <c r="T77" i="50"/>
  <c r="H178" i="50"/>
  <c r="P77" i="50"/>
  <c r="X77" i="50"/>
  <c r="K77" i="50"/>
  <c r="L77" i="50"/>
  <c r="U77" i="50"/>
  <c r="Q183" i="50"/>
  <c r="I77" i="50"/>
  <c r="H77" i="50"/>
  <c r="H161" i="50"/>
  <c r="H160" i="50" s="1"/>
  <c r="E77" i="50"/>
  <c r="S77" i="50"/>
  <c r="N92" i="50"/>
  <c r="R160" i="50"/>
  <c r="R179" i="50" s="1"/>
  <c r="N183" i="50"/>
  <c r="M73" i="50"/>
  <c r="M77" i="50" s="1"/>
  <c r="L84" i="50"/>
  <c r="F77" i="50"/>
  <c r="N77" i="50"/>
  <c r="V77" i="50"/>
  <c r="M84" i="50"/>
  <c r="G77" i="50"/>
  <c r="O77" i="50"/>
  <c r="W77" i="50"/>
  <c r="J77" i="50"/>
  <c r="R77" i="50"/>
  <c r="E178" i="50"/>
  <c r="E160" i="50"/>
  <c r="F178" i="50"/>
  <c r="G178" i="50"/>
  <c r="I182" i="50"/>
  <c r="L183" i="50"/>
  <c r="L90" i="50"/>
  <c r="M91" i="50" l="1"/>
  <c r="M165" i="50"/>
  <c r="M180" i="50"/>
  <c r="M178" i="50"/>
  <c r="M179" i="50" s="1"/>
  <c r="M163" i="50"/>
  <c r="D10" i="56"/>
  <c r="E8" i="56"/>
  <c r="E7" i="56" s="1"/>
  <c r="D8" i="56"/>
  <c r="G8" i="56"/>
  <c r="L8" i="56"/>
  <c r="K8" i="56"/>
  <c r="J8" i="56"/>
  <c r="H8" i="56"/>
  <c r="F8" i="56"/>
  <c r="F7" i="56" s="1"/>
  <c r="I8" i="56"/>
  <c r="M8" i="56"/>
  <c r="M90" i="50"/>
  <c r="M92" i="50"/>
  <c r="M7" i="50"/>
  <c r="D11" i="56" l="1"/>
  <c r="D22" i="56" s="1"/>
  <c r="D21" i="56" s="1"/>
  <c r="M2" i="50"/>
  <c r="D17" i="56" l="1"/>
  <c r="D16" i="56" s="1"/>
  <c r="D9" i="56"/>
  <c r="D7" i="56" s="1"/>
  <c r="D14" i="56"/>
  <c r="D34" i="56" s="1"/>
  <c r="D40" i="56" s="1"/>
  <c r="D41" i="56" s="1"/>
  <c r="O7" i="50"/>
  <c r="N2" i="50"/>
  <c r="N7" i="50"/>
  <c r="E14" i="56" l="1"/>
  <c r="O2" i="50"/>
  <c r="E34" i="56" l="1"/>
  <c r="E40" i="56" s="1"/>
  <c r="E41" i="56" s="1"/>
  <c r="F14" i="56"/>
  <c r="F34" i="56" l="1"/>
  <c r="F40" i="56" s="1"/>
  <c r="F41" i="56" s="1"/>
  <c r="P182" i="50" l="1"/>
  <c r="R163" i="50"/>
  <c r="P90" i="50"/>
  <c r="P84" i="50"/>
  <c r="Q84" i="50"/>
  <c r="Q90" i="50"/>
  <c r="AA92" i="50"/>
  <c r="Y92" i="50"/>
  <c r="T92" i="50"/>
  <c r="X92" i="50"/>
  <c r="W92" i="50"/>
  <c r="S92" i="50"/>
  <c r="O10" i="56"/>
  <c r="Q10" i="56"/>
  <c r="Q182" i="50"/>
  <c r="R92" i="50"/>
  <c r="U92" i="50"/>
  <c r="Q92" i="50"/>
  <c r="O11" i="56"/>
  <c r="R11" i="56"/>
  <c r="V92" i="50"/>
  <c r="R10" i="56"/>
  <c r="Z92" i="50"/>
  <c r="Q11" i="56"/>
  <c r="N11" i="56"/>
  <c r="P11" i="56"/>
  <c r="P92" i="50"/>
  <c r="P2" i="50"/>
  <c r="N10" i="56"/>
  <c r="P10" i="56"/>
  <c r="O22" i="56" l="1"/>
  <c r="O21" i="56" s="1"/>
  <c r="O9" i="56"/>
  <c r="O7" i="56" s="1"/>
  <c r="O17" i="56"/>
  <c r="O16" i="56" s="1"/>
  <c r="R17" i="56"/>
  <c r="R16" i="56" s="1"/>
  <c r="R22" i="56"/>
  <c r="R21" i="56" s="1"/>
  <c r="R9" i="56"/>
  <c r="N17" i="56"/>
  <c r="N16" i="56" s="1"/>
  <c r="N22" i="56"/>
  <c r="N21" i="56" s="1"/>
  <c r="N9" i="56"/>
  <c r="N7" i="56" s="1"/>
  <c r="Q9" i="56"/>
  <c r="Q17" i="56"/>
  <c r="Q16" i="56" s="1"/>
  <c r="Q22" i="56"/>
  <c r="Q21" i="56" s="1"/>
  <c r="P22" i="56"/>
  <c r="P21" i="56" s="1"/>
  <c r="P17" i="56"/>
  <c r="P16" i="56" s="1"/>
  <c r="P9" i="56"/>
  <c r="L10" i="56"/>
  <c r="I10" i="56"/>
  <c r="K10" i="56"/>
  <c r="H10" i="56"/>
  <c r="M10" i="56"/>
  <c r="J10" i="56"/>
  <c r="K11" i="56"/>
  <c r="K17" i="56" s="1"/>
  <c r="K16" i="56" s="1"/>
  <c r="H11" i="56"/>
  <c r="H22" i="56" s="1"/>
  <c r="H21" i="56" s="1"/>
  <c r="G14" i="56"/>
  <c r="G34" i="56" s="1"/>
  <c r="G40" i="56" s="1"/>
  <c r="G41" i="56" s="1"/>
  <c r="I11" i="56"/>
  <c r="I22" i="56" s="1"/>
  <c r="I21" i="56" s="1"/>
  <c r="G11" i="56"/>
  <c r="G9" i="56" s="1"/>
  <c r="G7" i="56" s="1"/>
  <c r="J11" i="56"/>
  <c r="J22" i="56" s="1"/>
  <c r="J21" i="56" s="1"/>
  <c r="L11" i="56"/>
  <c r="L17" i="56" s="1"/>
  <c r="L16" i="56" s="1"/>
  <c r="M11" i="56"/>
  <c r="M22" i="56" s="1"/>
  <c r="M21" i="56" s="1"/>
  <c r="P7" i="50"/>
  <c r="I17" i="56" l="1"/>
  <c r="I16" i="56" s="1"/>
  <c r="J17" i="56"/>
  <c r="J16" i="56" s="1"/>
  <c r="K22" i="56"/>
  <c r="K21" i="56" s="1"/>
  <c r="M9" i="56"/>
  <c r="M7" i="56" s="1"/>
  <c r="K9" i="56"/>
  <c r="K7" i="56" s="1"/>
  <c r="G17" i="56"/>
  <c r="G16" i="56" s="1"/>
  <c r="H9" i="56"/>
  <c r="H7" i="56" s="1"/>
  <c r="H17" i="56"/>
  <c r="H16" i="56" s="1"/>
  <c r="M17" i="56"/>
  <c r="M16" i="56" s="1"/>
  <c r="I9" i="56"/>
  <c r="I7" i="56" s="1"/>
  <c r="G22" i="56"/>
  <c r="G21" i="56" s="1"/>
  <c r="L22" i="56"/>
  <c r="L21" i="56" s="1"/>
  <c r="L9" i="56"/>
  <c r="L7" i="56" s="1"/>
  <c r="J9" i="56"/>
  <c r="J7" i="56" s="1"/>
  <c r="Q7" i="50"/>
  <c r="Q2" i="50"/>
  <c r="H14" i="56" l="1"/>
  <c r="H34" i="56" s="1"/>
  <c r="H40" i="56" s="1"/>
  <c r="H41" i="56" s="1"/>
  <c r="R7" i="50"/>
  <c r="R2" i="50"/>
  <c r="R25" i="50" l="1"/>
  <c r="I14" i="56"/>
  <c r="I34" i="56" s="1"/>
  <c r="I40" i="56" s="1"/>
  <c r="I41" i="56" s="1"/>
  <c r="S7" i="50"/>
  <c r="S2" i="50"/>
  <c r="S25" i="50" l="1"/>
  <c r="J14" i="56"/>
  <c r="J34" i="56" s="1"/>
  <c r="J40" i="56" s="1"/>
  <c r="J41" i="56" s="1"/>
  <c r="T7" i="50"/>
  <c r="T2" i="50"/>
  <c r="T25" i="50" l="1"/>
  <c r="K14" i="56"/>
  <c r="K34" i="56" s="1"/>
  <c r="K40" i="56" s="1"/>
  <c r="K41" i="56" s="1"/>
  <c r="U7" i="50"/>
  <c r="U2" i="50"/>
  <c r="U25" i="50" l="1"/>
  <c r="L14" i="56"/>
  <c r="L34" i="56" s="1"/>
  <c r="L40" i="56" s="1"/>
  <c r="L41" i="56" s="1"/>
  <c r="V2" i="50"/>
  <c r="V25" i="50" l="1"/>
  <c r="M14" i="56"/>
  <c r="W2" i="50"/>
  <c r="N14" i="56" s="1"/>
  <c r="N34" i="56" s="1"/>
  <c r="M34" i="56" l="1"/>
  <c r="M40" i="56" s="1"/>
  <c r="M41" i="56" s="1"/>
  <c r="N40" i="56"/>
  <c r="N41" i="56" s="1"/>
  <c r="X2" i="50"/>
  <c r="O14" i="56" s="1"/>
  <c r="O34" i="56" s="1"/>
  <c r="O40" i="56" l="1"/>
  <c r="O41" i="56" s="1"/>
  <c r="V18" i="50" l="1"/>
  <c r="X18" i="50" l="1"/>
  <c r="W18" i="50"/>
  <c r="Y18" i="50" l="1"/>
  <c r="Y53" i="50" l="1"/>
  <c r="P8" i="56"/>
  <c r="P7" i="56" s="1"/>
  <c r="Y25" i="50" l="1"/>
  <c r="Y2" i="50"/>
  <c r="P14" i="56" s="1"/>
  <c r="P34" i="56" l="1"/>
  <c r="P40" i="56" s="1"/>
  <c r="P41" i="56" s="1"/>
  <c r="Z25" i="50"/>
  <c r="AB53" i="50" l="1"/>
  <c r="AF53" i="50"/>
  <c r="W8" i="56"/>
  <c r="W7" i="56" s="1"/>
  <c r="AC160" i="50"/>
  <c r="AC159" i="50" s="1"/>
  <c r="Z19" i="50"/>
  <c r="AB160" i="50"/>
  <c r="AA160" i="50"/>
  <c r="R8" i="56" s="1"/>
  <c r="R7" i="56" s="1"/>
  <c r="Z160" i="50"/>
  <c r="AA8" i="56"/>
  <c r="AA7" i="56" s="1"/>
  <c r="AF19" i="50"/>
  <c r="AA19" i="50"/>
  <c r="AD19" i="50"/>
  <c r="AA53" i="50"/>
  <c r="AC53" i="50"/>
  <c r="AD53" i="50"/>
  <c r="AJ53" i="50"/>
  <c r="AC19" i="50"/>
  <c r="AJ19" i="50"/>
  <c r="Z53" i="50"/>
  <c r="AB19" i="50"/>
  <c r="T8" i="56" l="1"/>
  <c r="T7" i="56" s="1"/>
  <c r="AC179" i="50"/>
  <c r="S8" i="56"/>
  <c r="S7" i="56" s="1"/>
  <c r="AB179" i="50"/>
  <c r="AJ179" i="50"/>
  <c r="AA179" i="50"/>
  <c r="AI7" i="50"/>
  <c r="Z18" i="50"/>
  <c r="Z7" i="50"/>
  <c r="Z2" i="50"/>
  <c r="Q14" i="56" s="1"/>
  <c r="Q34" i="56" s="1"/>
  <c r="Q40" i="56" s="1"/>
  <c r="Q41" i="56" s="1"/>
  <c r="AA2" i="50"/>
  <c r="R14" i="56" s="1"/>
  <c r="R34" i="56" s="1"/>
  <c r="Z179" i="50"/>
  <c r="Q8" i="56"/>
  <c r="Q7" i="56" s="1"/>
  <c r="R40" i="56" l="1"/>
  <c r="R41" i="56" s="1"/>
  <c r="AJ7" i="50"/>
  <c r="AA18" i="50"/>
  <c r="AA7" i="50"/>
  <c r="AB18" i="50"/>
  <c r="AB2" i="50" l="1"/>
  <c r="S14" i="56" s="1"/>
  <c r="S34" i="56" s="1"/>
  <c r="S40" i="56" s="1"/>
  <c r="S41" i="56" s="1"/>
  <c r="AB7" i="50"/>
  <c r="AC2" i="50"/>
  <c r="T14" i="56" s="1"/>
  <c r="T34" i="56" s="1"/>
  <c r="T40" i="56" s="1"/>
  <c r="T41" i="56" s="1"/>
  <c r="AC7" i="50"/>
  <c r="AC18" i="50"/>
  <c r="AD7" i="50" l="1"/>
  <c r="AD2" i="50"/>
  <c r="U14" i="56" s="1"/>
  <c r="U34" i="56" s="1"/>
  <c r="U40" i="56" s="1"/>
  <c r="U41" i="56" s="1"/>
  <c r="AD18" i="50"/>
  <c r="AE18" i="50" l="1"/>
  <c r="AE7" i="50"/>
  <c r="AE2" i="50"/>
  <c r="V14" i="56" s="1"/>
  <c r="V34" i="56" s="1"/>
  <c r="V40" i="56" s="1"/>
  <c r="V41" i="56" s="1"/>
  <c r="AF2" i="50" l="1"/>
  <c r="W14" i="56" s="1"/>
  <c r="W34" i="56" s="1"/>
  <c r="W40" i="56" s="1"/>
  <c r="W41" i="56" s="1"/>
  <c r="AF7" i="50"/>
  <c r="AF18" i="50"/>
  <c r="AG18" i="50" l="1"/>
  <c r="AG2" i="50"/>
  <c r="X14" i="56" s="1"/>
  <c r="X34" i="56" s="1"/>
  <c r="X40" i="56" s="1"/>
  <c r="X41" i="56" s="1"/>
  <c r="AG7" i="50"/>
  <c r="AH7" i="50" l="1"/>
  <c r="AH2" i="50"/>
  <c r="Y14" i="56" s="1"/>
  <c r="Y34" i="56" s="1"/>
  <c r="Y40" i="56" s="1"/>
  <c r="Y41" i="56" s="1"/>
  <c r="AH18" i="50"/>
  <c r="AJ18" i="50" l="1"/>
  <c r="AI18" i="50"/>
  <c r="AI2" i="50"/>
  <c r="Z14" i="56" l="1"/>
  <c r="Z34" i="56" s="1"/>
  <c r="Z40" i="56" s="1"/>
  <c r="Z41" i="56" s="1"/>
  <c r="AJ2" i="50"/>
  <c r="AA14" i="56" l="1"/>
  <c r="AA34" i="56" s="1"/>
  <c r="AA40" i="56" s="1"/>
  <c r="AA41" i="56" s="1"/>
  <c r="AK30" i="50"/>
  <c r="AK32" i="50" s="1"/>
  <c r="AB8" i="56"/>
  <c r="AB7" i="56" s="1"/>
  <c r="AK24" i="50"/>
  <c r="AL24" i="50" s="1"/>
  <c r="AK95" i="50"/>
  <c r="AK53" i="50" s="1"/>
  <c r="AK6" i="50" l="1"/>
  <c r="AK7" i="50" s="1"/>
  <c r="AK179" i="50"/>
  <c r="AL25" i="50"/>
  <c r="AM24" i="50"/>
  <c r="AL30" i="50"/>
  <c r="AK25" i="50"/>
  <c r="AM25" i="50" l="1"/>
  <c r="AN24" i="50"/>
  <c r="AK2" i="50"/>
  <c r="AB14" i="56" s="1"/>
  <c r="AB34" i="56" s="1"/>
  <c r="AB40" i="56" s="1"/>
  <c r="AB41" i="56" s="1"/>
  <c r="AL6" i="50"/>
  <c r="AM6" i="50" s="1"/>
  <c r="AN6" i="50" s="1"/>
  <c r="AL32" i="50"/>
  <c r="AM30" i="50"/>
  <c r="AN25" i="50" l="1"/>
  <c r="AM32" i="50"/>
  <c r="AN30" i="50"/>
  <c r="AN7" i="50"/>
  <c r="AN2" i="50"/>
  <c r="AE14" i="56" s="1"/>
  <c r="AE34" i="56" s="1"/>
  <c r="AE40" i="56" s="1"/>
  <c r="AE41" i="56" s="1"/>
  <c r="AL2" i="50"/>
  <c r="AC14" i="56" s="1"/>
  <c r="AC34" i="56" s="1"/>
  <c r="AC40" i="56" s="1"/>
  <c r="AC41" i="56" s="1"/>
  <c r="AL7" i="50"/>
  <c r="AM2" i="50"/>
  <c r="AD14" i="56" s="1"/>
  <c r="AD34" i="56" s="1"/>
  <c r="AD40" i="56" s="1"/>
  <c r="AD41" i="56" s="1"/>
  <c r="AM7" i="50"/>
  <c r="AN32" i="5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Chalida</author>
  </authors>
  <commentList>
    <comment ref="H24" authorId="0" shapeId="0" xr:uid="{00000000-0006-0000-0000-000001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000-000002000000}">
      <text>
        <r>
          <rPr>
            <b/>
            <sz val="9"/>
            <color indexed="81"/>
            <rFont val="Tahoma"/>
            <family val="2"/>
          </rPr>
          <t xml:space="preserve">Windows User:
</t>
        </r>
        <r>
          <rPr>
            <sz val="9"/>
            <color indexed="81"/>
            <rFont val="Tahoma"/>
            <family val="2"/>
          </rPr>
          <t>rev0 = 13.55 KT (10,080 Ton)
rev1 = 15 KT</t>
        </r>
      </text>
    </comment>
    <comment ref="A29" authorId="1" shapeId="0" xr:uid="{B796788A-9CD0-4291-8410-67C06FD5A2ED}">
      <text>
        <r>
          <rPr>
            <b/>
            <sz val="9"/>
            <color indexed="81"/>
            <rFont val="Tahoma"/>
            <family val="2"/>
          </rPr>
          <t xml:space="preserve">Chalida:inp
input abilty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A34" authorId="0" shapeId="0" xr:uid="{00000000-0006-0000-0100-000001000000}">
      <text>
        <r>
          <rPr>
            <b/>
            <sz val="9"/>
            <color rgb="FF000000"/>
            <rFont val="Tahoma"/>
            <family val="2"/>
          </rPr>
          <t>Quantumuser:</t>
        </r>
        <r>
          <rPr>
            <sz val="9"/>
            <color rgb="FF000000"/>
            <rFont val="Tahoma"/>
            <family val="2"/>
          </rPr>
          <t xml:space="preserve">
</t>
        </r>
        <r>
          <rPr>
            <sz val="9"/>
            <color rgb="FF000000"/>
            <rFont val="Tahoma"/>
            <family val="2"/>
          </rPr>
          <t>แต่ละจุดห้ามต่ำกว่า</t>
        </r>
        <r>
          <rPr>
            <sz val="9"/>
            <color rgb="FF000000"/>
            <rFont val="Tahoma"/>
            <family val="2"/>
          </rPr>
          <t xml:space="preserve"> GSP 6 KT, MT 7 KT, BRP 1 KT = 14 KT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s>
  <commentList>
    <comment ref="J8" authorId="0" shapeId="0" xr:uid="{00000000-0006-0000-0200-000001000000}">
      <text>
        <r>
          <rPr>
            <b/>
            <sz val="9"/>
            <color indexed="81"/>
            <rFont val="Tahoma"/>
            <family val="2"/>
          </rPr>
          <t>Quantumuser:</t>
        </r>
        <r>
          <rPr>
            <sz val="9"/>
            <color indexed="81"/>
            <rFont val="Tahoma"/>
            <family val="2"/>
          </rPr>
          <t xml:space="preserve">
rev0 = 26 KT
rev1 = 33 KT
</t>
        </r>
      </text>
    </comment>
    <comment ref="K8" authorId="0" shapeId="0" xr:uid="{00000000-0006-0000-0200-000002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00000000-0006-0000-0200-000003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00000000-0006-0000-0200-000004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xr:uid="{00000000-0006-0000-0200-000005000000}">
      <text>
        <r>
          <rPr>
            <b/>
            <sz val="9"/>
            <color indexed="81"/>
            <rFont val="Tahoma"/>
            <family val="2"/>
          </rPr>
          <t>Windows User:</t>
        </r>
        <r>
          <rPr>
            <sz val="9"/>
            <color indexed="81"/>
            <rFont val="Tahoma"/>
            <family val="2"/>
          </rPr>
          <t xml:space="preserve">
ดึง import ได้ max 3 KT</t>
        </r>
      </text>
    </comment>
    <comment ref="S8" authorId="1" shapeId="0" xr:uid="{00000000-0006-0000-0200-000006000000}">
      <text>
        <r>
          <rPr>
            <b/>
            <sz val="9"/>
            <color indexed="81"/>
            <rFont val="Tahoma"/>
            <family val="2"/>
          </rPr>
          <t>Windows User:</t>
        </r>
        <r>
          <rPr>
            <sz val="9"/>
            <color indexed="81"/>
            <rFont val="Tahoma"/>
            <family val="2"/>
          </rPr>
          <t xml:space="preserve">
import ที่สามารถดึงได้ 13 KT
</t>
        </r>
      </text>
    </comment>
    <comment ref="U8" authorId="1" shapeId="0" xr:uid="{00000000-0006-0000-0200-000007000000}">
      <text>
        <r>
          <rPr>
            <b/>
            <sz val="9"/>
            <color indexed="81"/>
            <rFont val="Tahoma"/>
            <family val="2"/>
          </rPr>
          <t>Windows User:</t>
        </r>
        <r>
          <rPr>
            <sz val="9"/>
            <color indexed="81"/>
            <rFont val="Tahoma"/>
            <family val="2"/>
          </rPr>
          <t xml:space="preserve">
GC 6 
PTTOR 4</t>
        </r>
      </text>
    </comment>
    <comment ref="Z8" authorId="1" shapeId="0" xr:uid="{00000000-0006-0000-0200-00000800000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1" shapeId="0" xr:uid="{00000000-0006-0000-0200-000009000000}">
      <text>
        <r>
          <rPr>
            <b/>
            <sz val="9"/>
            <color indexed="81"/>
            <rFont val="Tahoma"/>
            <family val="2"/>
          </rPr>
          <t>Windows User:</t>
        </r>
        <r>
          <rPr>
            <sz val="9"/>
            <color indexed="81"/>
            <rFont val="Tahoma"/>
            <family val="2"/>
          </rPr>
          <t xml:space="preserve">
import เมย์จะดึง 34.5 KT</t>
        </r>
      </text>
    </comment>
    <comment ref="AC8" authorId="1" shapeId="0" xr:uid="{00000000-0006-0000-0200-00000A000000}">
      <text>
        <r>
          <rPr>
            <b/>
            <sz val="9"/>
            <color indexed="81"/>
            <rFont val="Tahoma"/>
            <family val="2"/>
          </rPr>
          <t>Windows User:</t>
        </r>
        <r>
          <rPr>
            <sz val="9"/>
            <color indexed="81"/>
            <rFont val="Tahoma"/>
            <family val="2"/>
          </rPr>
          <t xml:space="preserve">
rev0 = 36
rev1 = 30 เนื่องจาก OR demand drop 2-7.5 KT</t>
        </r>
      </text>
    </comment>
    <comment ref="U9" authorId="1" shapeId="0" xr:uid="{00000000-0006-0000-0200-00000B000000}">
      <text>
        <r>
          <rPr>
            <b/>
            <sz val="9"/>
            <color rgb="FF000000"/>
            <rFont val="Tahoma"/>
            <family val="2"/>
          </rPr>
          <t>Windows User:</t>
        </r>
        <r>
          <rPr>
            <sz val="9"/>
            <color rgb="FF000000"/>
            <rFont val="Tahoma"/>
            <family val="2"/>
          </rPr>
          <t xml:space="preserve">
</t>
        </r>
        <r>
          <rPr>
            <sz val="9"/>
            <color rgb="FF000000"/>
            <rFont val="Tahoma"/>
            <family val="2"/>
          </rPr>
          <t>บป</t>
        </r>
        <r>
          <rPr>
            <sz val="9"/>
            <color rgb="FF000000"/>
            <rFont val="Tahoma"/>
            <family val="2"/>
          </rPr>
          <t xml:space="preserve">. </t>
        </r>
        <r>
          <rPr>
            <sz val="9"/>
            <color rgb="FF000000"/>
            <rFont val="Tahoma"/>
            <family val="2"/>
          </rPr>
          <t>ลดรับ</t>
        </r>
        <r>
          <rPr>
            <sz val="9"/>
            <color rgb="FF000000"/>
            <rFont val="Tahoma"/>
            <family val="2"/>
          </rPr>
          <t xml:space="preserve"> LPG </t>
        </r>
        <r>
          <rPr>
            <sz val="9"/>
            <color rgb="FF000000"/>
            <rFont val="Tahoma"/>
            <family val="2"/>
          </rPr>
          <t>จาก</t>
        </r>
        <r>
          <rPr>
            <sz val="9"/>
            <color rgb="FF000000"/>
            <rFont val="Tahoma"/>
            <family val="2"/>
          </rPr>
          <t xml:space="preserve"> GSP </t>
        </r>
        <r>
          <rPr>
            <sz val="9"/>
            <color rgb="FF000000"/>
            <rFont val="Tahoma"/>
            <family val="2"/>
          </rPr>
          <t>เนื่องจาก</t>
        </r>
        <r>
          <rPr>
            <sz val="9"/>
            <color rgb="FF000000"/>
            <rFont val="Tahoma"/>
            <family val="2"/>
          </rPr>
          <t xml:space="preserve"> Oriental king </t>
        </r>
        <r>
          <rPr>
            <sz val="9"/>
            <color rgb="FF000000"/>
            <rFont val="Tahoma"/>
            <family val="2"/>
          </rPr>
          <t>เพิ่ง</t>
        </r>
        <r>
          <rPr>
            <sz val="9"/>
            <color rgb="FF000000"/>
            <rFont val="Tahoma"/>
            <family val="2"/>
          </rPr>
          <t xml:space="preserve"> load </t>
        </r>
        <r>
          <rPr>
            <sz val="9"/>
            <color rgb="FF000000"/>
            <rFont val="Tahoma"/>
            <family val="2"/>
          </rPr>
          <t>เสร็จ</t>
        </r>
        <r>
          <rPr>
            <sz val="9"/>
            <color rgb="FF000000"/>
            <rFont val="Tahoma"/>
            <family val="2"/>
          </rPr>
          <t xml:space="preserve"> sphere </t>
        </r>
        <r>
          <rPr>
            <sz val="9"/>
            <color rgb="FF000000"/>
            <rFont val="Tahoma"/>
            <family val="2"/>
          </rPr>
          <t>แน่น</t>
        </r>
        <r>
          <rPr>
            <sz val="9"/>
            <color rgb="FF000000"/>
            <rFont val="Tahoma"/>
            <family val="2"/>
          </rPr>
          <t xml:space="preserve">
</t>
        </r>
      </text>
    </comment>
    <comment ref="AB9" authorId="1" shapeId="0" xr:uid="{00000000-0006-0000-0200-00000C000000}">
      <text>
        <r>
          <rPr>
            <b/>
            <sz val="9"/>
            <color indexed="81"/>
            <rFont val="Tahoma"/>
            <family val="2"/>
          </rPr>
          <t>Windows User:</t>
        </r>
        <r>
          <rPr>
            <sz val="9"/>
            <color indexed="81"/>
            <rFont val="Tahoma"/>
            <family val="2"/>
          </rPr>
          <t xml:space="preserve">
GSP ลดกำลังการผลิต -4 KT
SGP - 3.2 KT
PTT TANK -2 KT
</t>
        </r>
      </text>
    </comment>
    <comment ref="M46" authorId="0" shapeId="0" xr:uid="{00000000-0006-0000-0200-00000D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00000000-0006-0000-0200-00000E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1" shapeId="0" xr:uid="{00000000-0006-0000-0200-00000F000000}">
      <text>
        <r>
          <rPr>
            <b/>
            <sz val="9"/>
            <color rgb="FF000000"/>
            <rFont val="Tahoma"/>
            <family val="2"/>
          </rPr>
          <t xml:space="preserve">Windows User:
</t>
        </r>
        <r>
          <rPr>
            <b/>
            <sz val="9"/>
            <color rgb="FF000000"/>
            <rFont val="Tahoma"/>
            <family val="2"/>
          </rPr>
          <t xml:space="preserve">ability row 50
</t>
        </r>
      </text>
    </comment>
    <comment ref="A57" authorId="1" shapeId="0" xr:uid="{00000000-0006-0000-0200-000010000000}">
      <text>
        <r>
          <rPr>
            <b/>
            <sz val="9"/>
            <color rgb="FF000000"/>
            <rFont val="Tahoma"/>
            <family val="2"/>
          </rPr>
          <t>Windows User:</t>
        </r>
        <r>
          <rPr>
            <sz val="9"/>
            <color rgb="FF000000"/>
            <rFont val="Tahoma"/>
            <family val="2"/>
          </rPr>
          <t xml:space="preserve">
</t>
        </r>
        <r>
          <rPr>
            <sz val="9"/>
            <color rgb="FF000000"/>
            <rFont val="Tahoma"/>
            <family val="2"/>
          </rPr>
          <t>ability row 58</t>
        </r>
      </text>
    </comment>
    <comment ref="A58" authorId="1" shapeId="0" xr:uid="{00000000-0006-0000-0200-000011000000}">
      <text>
        <r>
          <rPr>
            <b/>
            <sz val="9"/>
            <color rgb="FF000000"/>
            <rFont val="Tahoma"/>
            <family val="2"/>
          </rPr>
          <t>Windows User:</t>
        </r>
        <r>
          <rPr>
            <sz val="9"/>
            <color rgb="FF000000"/>
            <rFont val="Tahoma"/>
            <family val="2"/>
          </rPr>
          <t xml:space="preserve">
</t>
        </r>
        <r>
          <rPr>
            <sz val="9"/>
            <color rgb="FF000000"/>
            <rFont val="Tahoma"/>
            <family val="2"/>
          </rPr>
          <t xml:space="preserve">ability row 59
</t>
        </r>
      </text>
    </comment>
    <comment ref="A59" authorId="1" shapeId="0" xr:uid="{00000000-0006-0000-0200-000012000000}">
      <text>
        <r>
          <rPr>
            <b/>
            <sz val="9"/>
            <color rgb="FF000000"/>
            <rFont val="Tahoma"/>
            <family val="2"/>
          </rPr>
          <t>Windows User:</t>
        </r>
        <r>
          <rPr>
            <sz val="9"/>
            <color rgb="FF000000"/>
            <rFont val="Tahoma"/>
            <family val="2"/>
          </rPr>
          <t xml:space="preserve">
</t>
        </r>
        <r>
          <rPr>
            <sz val="9"/>
            <color rgb="FF000000"/>
            <rFont val="Tahoma"/>
            <family val="2"/>
          </rPr>
          <t>ability row 66</t>
        </r>
      </text>
    </comment>
    <comment ref="G59" authorId="0" shapeId="0" xr:uid="{00000000-0006-0000-0200-000013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00000000-0006-0000-0200-000014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1" shapeId="0" xr:uid="{00000000-0006-0000-0200-000015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1" shapeId="0" xr:uid="{00000000-0006-0000-0200-000016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00000000-0006-0000-0200-000017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00000000-0006-0000-0200-000018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00000000-0006-0000-0200-000019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00000000-0006-0000-0200-00001A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1" shapeId="0" xr:uid="{00000000-0006-0000-0200-00001B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00000000-0006-0000-0200-00001C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00000000-0006-0000-0200-00001D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00000000-0006-0000-0200-00001E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00000000-0006-0000-0200-00001F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00000000-0006-0000-0200-000020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R60" authorId="1" shapeId="0" xr:uid="{00000000-0006-0000-0200-000021000000}">
      <text>
        <r>
          <rPr>
            <b/>
            <sz val="9"/>
            <color indexed="81"/>
            <rFont val="Tahoma"/>
            <family val="2"/>
          </rPr>
          <t>Windows User:</t>
        </r>
        <r>
          <rPr>
            <sz val="9"/>
            <color indexed="81"/>
            <rFont val="Tahoma"/>
            <family val="2"/>
          </rPr>
          <t xml:space="preserve">
rev0= 0.6 KT
rev1 = 0 KT IRPC ESD
</t>
        </r>
      </text>
    </comment>
    <comment ref="V60" authorId="1" shapeId="0" xr:uid="{00000000-0006-0000-0200-000022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1" shapeId="0" xr:uid="{00000000-0006-0000-0200-000023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0" shapeId="0" xr:uid="{00000000-0006-0000-0200-000024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00000000-0006-0000-0200-000025000000}">
      <text>
        <r>
          <rPr>
            <b/>
            <sz val="9"/>
            <color indexed="81"/>
            <rFont val="Tahoma"/>
            <family val="2"/>
          </rPr>
          <t>Quantumuser:</t>
        </r>
        <r>
          <rPr>
            <sz val="9"/>
            <color indexed="81"/>
            <rFont val="Tahoma"/>
            <family val="2"/>
          </rPr>
          <t xml:space="preserve">
rev0 = 21
rev1= 23
</t>
        </r>
      </text>
    </comment>
    <comment ref="N61" authorId="0" shapeId="0" xr:uid="{00000000-0006-0000-0200-000026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00000000-0006-0000-0200-000027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1" shapeId="0" xr:uid="{00000000-0006-0000-0200-000028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1" shapeId="0" xr:uid="{00000000-0006-0000-0200-000029000000}">
      <text>
        <r>
          <rPr>
            <b/>
            <sz val="9"/>
            <color indexed="81"/>
            <rFont val="Tahoma"/>
            <family val="2"/>
          </rPr>
          <t>Windows User:</t>
        </r>
        <r>
          <rPr>
            <sz val="9"/>
            <color indexed="81"/>
            <rFont val="Tahoma"/>
            <family val="2"/>
          </rPr>
          <t xml:space="preserve">
rev0 = 0
rev1 = 1.8
rev2 = 1.2</t>
        </r>
      </text>
    </comment>
    <comment ref="W61" authorId="0" shapeId="0" xr:uid="{00000000-0006-0000-0200-00002A000000}">
      <text>
        <r>
          <rPr>
            <b/>
            <sz val="9"/>
            <color indexed="81"/>
            <rFont val="Tahoma"/>
            <family val="2"/>
          </rPr>
          <t>Quantumuser:</t>
        </r>
        <r>
          <rPr>
            <sz val="9"/>
            <color indexed="81"/>
            <rFont val="Tahoma"/>
            <family val="2"/>
          </rPr>
          <t xml:space="preserve">
rev0 = 11
rev1 = 13 GC ขอปรับเพิ่ม</t>
        </r>
      </text>
    </comment>
    <comment ref="X61" authorId="1" shapeId="0" xr:uid="{00000000-0006-0000-0200-00002B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1" shapeId="0" xr:uid="{00000000-0006-0000-0200-00002C000000}">
      <text>
        <r>
          <rPr>
            <b/>
            <sz val="9"/>
            <color indexed="81"/>
            <rFont val="Tahoma"/>
            <family val="2"/>
          </rPr>
          <t>Windows User:</t>
        </r>
        <r>
          <rPr>
            <sz val="9"/>
            <color indexed="81"/>
            <rFont val="Tahoma"/>
            <family val="2"/>
          </rPr>
          <t xml:space="preserve">
rev0 = 10
rev1 = 2.5 KT เหตุ GSP5 เลื่อน TD50% ถึง 21 Jan'21
</t>
        </r>
      </text>
    </comment>
    <comment ref="P62" authorId="1" shapeId="0" xr:uid="{00000000-0006-0000-0200-00002D000000}">
      <text>
        <r>
          <rPr>
            <b/>
            <sz val="9"/>
            <color indexed="81"/>
            <rFont val="Tahoma"/>
            <family val="2"/>
          </rPr>
          <t>Windows User:</t>
        </r>
        <r>
          <rPr>
            <sz val="9"/>
            <color indexed="81"/>
            <rFont val="Tahoma"/>
            <family val="2"/>
          </rPr>
          <t xml:space="preserve">
rev0 = 6.3
rev1 = 5.1
rev2 = 4.3
</t>
        </r>
      </text>
    </comment>
    <comment ref="Q62" authorId="1" shapeId="0" xr:uid="{00000000-0006-0000-0200-00002E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1" shapeId="0" xr:uid="{00000000-0006-0000-0200-00002F000000}">
      <text>
        <r>
          <rPr>
            <b/>
            <sz val="9"/>
            <color indexed="81"/>
            <rFont val="Tahoma"/>
            <family val="2"/>
          </rPr>
          <t>Windows User:</t>
        </r>
        <r>
          <rPr>
            <sz val="9"/>
            <color indexed="81"/>
            <rFont val="Tahoma"/>
            <family val="2"/>
          </rPr>
          <t xml:space="preserve">
rev0 = 3.6
rev1 = 3.0 เนื่องจาก WP under </t>
        </r>
      </text>
    </comment>
    <comment ref="V62" authorId="1" shapeId="0" xr:uid="{00000000-0006-0000-0200-000030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00000000-0006-0000-0200-000031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F63" authorId="0" shapeId="0" xr:uid="{00000000-0006-0000-0200-000032000000}">
      <text>
        <r>
          <rPr>
            <b/>
            <sz val="9"/>
            <color rgb="FF000000"/>
            <rFont val="Tahoma"/>
            <family val="2"/>
          </rPr>
          <t>Quantumuser:</t>
        </r>
        <r>
          <rPr>
            <sz val="9"/>
            <color rgb="FF000000"/>
            <rFont val="Tahoma"/>
            <family val="2"/>
          </rPr>
          <t xml:space="preserve">
</t>
        </r>
        <r>
          <rPr>
            <sz val="9"/>
            <color rgb="FF000000"/>
            <rFont val="Tahoma"/>
            <family val="2"/>
          </rPr>
          <t xml:space="preserve">rrev0 = 5.7
</t>
        </r>
        <r>
          <rPr>
            <sz val="9"/>
            <color rgb="FF000000"/>
            <rFont val="Tahoma"/>
            <family val="2"/>
          </rPr>
          <t>rrev1 = 6.22</t>
        </r>
      </text>
    </comment>
    <comment ref="K63" authorId="0" shapeId="0" xr:uid="{00000000-0006-0000-0200-000033000000}">
      <text>
        <r>
          <rPr>
            <b/>
            <sz val="9"/>
            <color indexed="81"/>
            <rFont val="Tahoma"/>
            <family val="2"/>
          </rPr>
          <t>Quantumuser:</t>
        </r>
        <r>
          <rPr>
            <sz val="9"/>
            <color indexed="81"/>
            <rFont val="Tahoma"/>
            <family val="2"/>
          </rPr>
          <t xml:space="preserve">
rev0 = 5.85
rev1 = 6.63
</t>
        </r>
      </text>
    </comment>
    <comment ref="R63" authorId="1" shapeId="0" xr:uid="{00000000-0006-0000-0200-000034000000}">
      <text>
        <r>
          <rPr>
            <b/>
            <sz val="9"/>
            <color indexed="81"/>
            <rFont val="Tahoma"/>
            <family val="2"/>
          </rPr>
          <t>Windows User:</t>
        </r>
        <r>
          <rPr>
            <sz val="9"/>
            <color indexed="81"/>
            <rFont val="Tahoma"/>
            <family val="2"/>
          </rPr>
          <t xml:space="preserve">
rev0 = 5.4
rev 1= 5.7 PTTOR ขอรับเพิ่ม 0.3 KT
</t>
        </r>
      </text>
    </comment>
    <comment ref="V63" authorId="0" shapeId="0" xr:uid="{00000000-0006-0000-0200-000035000000}">
      <text>
        <r>
          <rPr>
            <b/>
            <sz val="9"/>
            <color indexed="81"/>
            <rFont val="Tahoma"/>
            <family val="2"/>
          </rPr>
          <t>Quantumuser:</t>
        </r>
        <r>
          <rPr>
            <sz val="9"/>
            <color indexed="81"/>
            <rFont val="Tahoma"/>
            <family val="2"/>
          </rPr>
          <t xml:space="preserve">
rev0 = 5.58 
rev1 = 5.8 PTTEP : เพิ่มประมาณการจัดส่ง </t>
        </r>
      </text>
    </comment>
    <comment ref="K64" authorId="0" shapeId="0" xr:uid="{00000000-0006-0000-0200-000036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1" shapeId="0" xr:uid="{00000000-0006-0000-0200-000037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1" shapeId="0" xr:uid="{00000000-0006-0000-0200-000038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1" shapeId="0" xr:uid="{00000000-0006-0000-0200-000039000000}">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00000000-0006-0000-0200-00003A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1" shapeId="0" xr:uid="{00000000-0006-0000-0200-00003B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D93" authorId="1" shapeId="0" xr:uid="{00000000-0006-0000-0200-00003C000000}">
      <text>
        <r>
          <rPr>
            <b/>
            <sz val="9"/>
            <color rgb="FF000000"/>
            <rFont val="Tahoma"/>
            <family val="2"/>
          </rPr>
          <t>Windows User:</t>
        </r>
        <r>
          <rPr>
            <sz val="9"/>
            <color rgb="FF000000"/>
            <rFont val="Tahoma"/>
            <family val="2"/>
          </rPr>
          <t xml:space="preserve">
</t>
        </r>
        <r>
          <rPr>
            <sz val="9"/>
            <color rgb="FF000000"/>
            <rFont val="Tahoma"/>
            <family val="2"/>
          </rPr>
          <t xml:space="preserve">Port chart 4-6 $/Ton (split 22 KT)
</t>
        </r>
      </text>
    </comment>
    <comment ref="AB93" authorId="1" shapeId="0" xr:uid="{00000000-0006-0000-0200-00003D000000}">
      <text>
        <r>
          <rPr>
            <b/>
            <sz val="9"/>
            <color rgb="FF000000"/>
            <rFont val="Tahoma"/>
            <family val="2"/>
          </rPr>
          <t>Windows User:</t>
        </r>
        <r>
          <rPr>
            <sz val="9"/>
            <color rgb="FF000000"/>
            <rFont val="Tahoma"/>
            <family val="2"/>
          </rPr>
          <t xml:space="preserve">
</t>
        </r>
        <r>
          <rPr>
            <sz val="9"/>
            <color rgb="FF000000"/>
            <rFont val="Tahoma"/>
            <family val="2"/>
          </rPr>
          <t xml:space="preserve">MOC </t>
        </r>
        <r>
          <rPr>
            <sz val="9"/>
            <color rgb="FF000000"/>
            <rFont val="Tahoma"/>
            <family val="2"/>
          </rPr>
          <t>ทางเรือ</t>
        </r>
      </text>
    </comment>
    <comment ref="AD93" authorId="1" shapeId="0" xr:uid="{00000000-0006-0000-0200-00003E000000}">
      <text>
        <r>
          <rPr>
            <b/>
            <sz val="9"/>
            <color rgb="FF000000"/>
            <rFont val="Tahoma"/>
            <family val="2"/>
          </rPr>
          <t>Windows User:</t>
        </r>
        <r>
          <rPr>
            <sz val="9"/>
            <color rgb="FF000000"/>
            <rFont val="Tahoma"/>
            <family val="2"/>
          </rPr>
          <t xml:space="preserve">
</t>
        </r>
        <r>
          <rPr>
            <sz val="9"/>
            <color rgb="FF000000"/>
            <rFont val="Tahoma"/>
            <family val="2"/>
          </rPr>
          <t>SCG request 23 Jun - 2Jul</t>
        </r>
      </text>
    </comment>
    <comment ref="E95" authorId="0" shapeId="0" xr:uid="{00000000-0006-0000-0200-00003F000000}">
      <text>
        <r>
          <rPr>
            <b/>
            <sz val="9"/>
            <color indexed="81"/>
            <rFont val="Tahoma"/>
            <family val="2"/>
          </rPr>
          <t>Quantumuser:</t>
        </r>
        <r>
          <rPr>
            <sz val="9"/>
            <color indexed="81"/>
            <rFont val="Tahoma"/>
            <family val="2"/>
          </rPr>
          <t xml:space="preserve">
rev0 = 90.5 (import 14.5 KT)
rev1 = 95 KT</t>
        </r>
      </text>
    </comment>
    <comment ref="G95" authorId="1" shapeId="0" xr:uid="{00000000-0006-0000-0200-000040000000}">
      <text>
        <r>
          <rPr>
            <b/>
            <sz val="9"/>
            <color indexed="81"/>
            <rFont val="Tahoma"/>
            <family val="2"/>
          </rPr>
          <t>Windows User:</t>
        </r>
        <r>
          <rPr>
            <sz val="9"/>
            <color indexed="81"/>
            <rFont val="Tahoma"/>
            <family val="2"/>
          </rPr>
          <t xml:space="preserve">
rev0 =74 
rev1= 72 KT cause GSP3 trip</t>
        </r>
      </text>
    </comment>
    <comment ref="H95" authorId="1" shapeId="0" xr:uid="{00000000-0006-0000-0200-000041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95" authorId="0" shapeId="0" xr:uid="{00000000-0006-0000-0200-000042000000}">
      <text>
        <r>
          <rPr>
            <b/>
            <sz val="9"/>
            <color indexed="81"/>
            <rFont val="Tahoma"/>
            <family val="2"/>
          </rPr>
          <t>Quantumuser:</t>
        </r>
        <r>
          <rPr>
            <sz val="9"/>
            <color indexed="81"/>
            <rFont val="Tahoma"/>
            <family val="2"/>
          </rPr>
          <t xml:space="preserve">
rev0 = 61.5
rev1 = 62 KT เนื่องจาก carry over C3 from Aug 0.5 KT</t>
        </r>
      </text>
    </comment>
    <comment ref="J95" authorId="1" shapeId="0" xr:uid="{00000000-0006-0000-0200-000043000000}">
      <text>
        <r>
          <rPr>
            <b/>
            <sz val="9"/>
            <color indexed="81"/>
            <rFont val="Tahoma"/>
            <family val="2"/>
          </rPr>
          <t>Windows User:
rev0 = 62
rev1 = 65.6
rev2 = 66 KT
rev3 = 67 KT
rev4 = 63 KT (โยกไปพย 4 KT)</t>
        </r>
      </text>
    </comment>
    <comment ref="K95" authorId="0" shapeId="0" xr:uid="{00000000-0006-0000-0200-000044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95" authorId="0" shapeId="0" xr:uid="{00000000-0006-0000-0200-000045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95" authorId="0" shapeId="0" xr:uid="{00000000-0006-0000-0200-000046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95" authorId="0" shapeId="0" xr:uid="{00000000-0006-0000-0200-000047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95" authorId="0" shapeId="0" xr:uid="{00000000-0006-0000-0200-000048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95" authorId="0" shapeId="0" xr:uid="{00000000-0006-0000-0200-000049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95" authorId="1" shapeId="0" xr:uid="{00000000-0006-0000-0200-00004A000000}">
      <text>
        <r>
          <rPr>
            <b/>
            <sz val="9"/>
            <color indexed="81"/>
            <rFont val="Tahoma"/>
            <family val="2"/>
          </rPr>
          <t xml:space="preserve">Windows User:
Feb </t>
        </r>
        <r>
          <rPr>
            <sz val="9"/>
            <color indexed="81"/>
            <rFont val="Tahoma"/>
            <family val="2"/>
          </rPr>
          <t>57.488
Mar 36.591</t>
        </r>
      </text>
    </comment>
    <comment ref="R95" authorId="0" shapeId="0" xr:uid="{00000000-0006-0000-0200-00004B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95" authorId="1" shapeId="0" xr:uid="{00000000-0006-0000-0200-00004C000000}">
      <text>
        <r>
          <rPr>
            <b/>
            <sz val="9"/>
            <color indexed="81"/>
            <rFont val="Tahoma"/>
            <family val="2"/>
          </rPr>
          <t>Windows User:</t>
        </r>
        <r>
          <rPr>
            <sz val="9"/>
            <color indexed="81"/>
            <rFont val="Tahoma"/>
            <family val="2"/>
          </rPr>
          <t xml:space="preserve">
Feb 61.541
Mar 25.252</t>
        </r>
      </text>
    </comment>
    <comment ref="Q97" authorId="1" shapeId="0" xr:uid="{00000000-0006-0000-0200-00004D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97" authorId="1" shapeId="0" xr:uid="{00000000-0006-0000-0200-00004E000000}">
      <text>
        <r>
          <rPr>
            <b/>
            <sz val="9"/>
            <color indexed="81"/>
            <rFont val="Tahoma"/>
            <family val="2"/>
          </rPr>
          <t>Windows User:</t>
        </r>
        <r>
          <rPr>
            <sz val="9"/>
            <color indexed="81"/>
            <rFont val="Tahoma"/>
            <family val="2"/>
          </rPr>
          <t xml:space="preserve">
ก่อนเกิดเหต GSP5 = 23 KT
</t>
        </r>
      </text>
    </comment>
    <comment ref="X97" authorId="1" shapeId="0" xr:uid="{00000000-0006-0000-0200-00004F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97" authorId="1" shapeId="0" xr:uid="{00000000-0006-0000-0200-00005000000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97" authorId="1" shapeId="0" xr:uid="{00000000-0006-0000-0200-000051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97" authorId="1" shapeId="0" xr:uid="{00000000-0006-0000-0200-000052000000}">
      <text>
        <r>
          <rPr>
            <b/>
            <sz val="9"/>
            <color rgb="FF000000"/>
            <rFont val="Tahoma"/>
            <family val="2"/>
          </rPr>
          <t>Windows User:</t>
        </r>
        <r>
          <rPr>
            <sz val="9"/>
            <color rgb="FF000000"/>
            <rFont val="Tahoma"/>
            <family val="2"/>
          </rPr>
          <t xml:space="preserve">
</t>
        </r>
        <r>
          <rPr>
            <sz val="9"/>
            <color rgb="FF000000"/>
            <rFont val="Tahoma"/>
            <family val="2"/>
          </rPr>
          <t>rev0 = 18.556 KT</t>
        </r>
      </text>
    </comment>
    <comment ref="AE97" authorId="1" shapeId="0" xr:uid="{00000000-0006-0000-0200-000053000000}">
      <text>
        <r>
          <rPr>
            <b/>
            <sz val="9"/>
            <color indexed="81"/>
            <rFont val="Tahoma"/>
            <family val="2"/>
          </rPr>
          <t>Windows User:</t>
        </r>
        <r>
          <rPr>
            <sz val="9"/>
            <color indexed="81"/>
            <rFont val="Tahoma"/>
            <family val="2"/>
          </rPr>
          <t xml:space="preserve">
rev0 = 22.32 KT
rev1 = 16.72 KT GC ปรับลดเนื่องจากโยกไปให้ HMC</t>
        </r>
      </text>
    </comment>
    <comment ref="AF97" authorId="0" shapeId="0" xr:uid="{00000000-0006-0000-0200-000054000000}">
      <text>
        <r>
          <rPr>
            <b/>
            <sz val="9"/>
            <color indexed="81"/>
            <rFont val="Tahoma"/>
            <family val="2"/>
          </rPr>
          <t>Quantumuser:</t>
        </r>
        <r>
          <rPr>
            <sz val="9"/>
            <color indexed="81"/>
            <rFont val="Tahoma"/>
            <family val="2"/>
          </rPr>
          <t xml:space="preserve">
Oleflex SD Aug'20 -Sep'20</t>
        </r>
      </text>
    </comment>
    <comment ref="AG97" authorId="0" shapeId="0" xr:uid="{00000000-0006-0000-0200-000055000000}">
      <text>
        <r>
          <rPr>
            <b/>
            <sz val="9"/>
            <color indexed="81"/>
            <rFont val="Tahoma"/>
            <family val="2"/>
          </rPr>
          <t>Quantumuser:</t>
        </r>
        <r>
          <rPr>
            <sz val="9"/>
            <color indexed="81"/>
            <rFont val="Tahoma"/>
            <family val="2"/>
          </rPr>
          <t xml:space="preserve">
Oleflex SD Aug'20 -Sep'20
BZ 20.7259301179628 KT
</t>
        </r>
      </text>
    </comment>
    <comment ref="R98" authorId="1" shapeId="0" xr:uid="{00000000-0006-0000-0200-000056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98" authorId="1" shapeId="0" xr:uid="{00000000-0006-0000-0200-000057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98" authorId="0" shapeId="0" xr:uid="{00000000-0006-0000-0200-000058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98" authorId="1" shapeId="0" xr:uid="{00000000-0006-0000-0200-000059000000}">
      <text>
        <r>
          <rPr>
            <b/>
            <sz val="9"/>
            <color indexed="81"/>
            <rFont val="Tahoma"/>
            <family val="2"/>
          </rPr>
          <t>Windows User:</t>
        </r>
        <r>
          <rPr>
            <sz val="9"/>
            <color indexed="81"/>
            <rFont val="Tahoma"/>
            <family val="2"/>
          </rPr>
          <t xml:space="preserve">
25
</t>
        </r>
      </text>
    </comment>
    <comment ref="W98" authorId="1" shapeId="0" xr:uid="{00000000-0006-0000-0200-00005A000000}">
      <text>
        <r>
          <rPr>
            <b/>
            <sz val="9"/>
            <color indexed="81"/>
            <rFont val="Tahoma"/>
            <family val="2"/>
          </rPr>
          <t>Windows User:</t>
        </r>
        <r>
          <rPr>
            <sz val="9"/>
            <color indexed="81"/>
            <rFont val="Tahoma"/>
            <family val="2"/>
          </rPr>
          <t xml:space="preserve">
ก่อนเกิดเหต GSP5 = 18.5 KT
 </t>
        </r>
      </text>
    </comment>
    <comment ref="X98" authorId="1" shapeId="0" xr:uid="{00000000-0006-0000-0200-00005B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98" authorId="1" shapeId="0" xr:uid="{00000000-0006-0000-0200-00005C000000}">
      <text>
        <r>
          <rPr>
            <b/>
            <sz val="9"/>
            <color indexed="81"/>
            <rFont val="Tahoma"/>
            <family val="2"/>
          </rPr>
          <t>Windows User:</t>
        </r>
        <r>
          <rPr>
            <sz val="9"/>
            <color indexed="81"/>
            <rFont val="Tahoma"/>
            <family val="2"/>
          </rPr>
          <t xml:space="preserve">
rev0 = 34.1
rev1 = 33.1 GC แจ้ง drop -1 KT โดยยังอยู่ใน 3%</t>
        </r>
      </text>
    </comment>
    <comment ref="Z98" authorId="1" shapeId="0" xr:uid="{00000000-0006-0000-0200-00005D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98" authorId="1" shapeId="0" xr:uid="{00000000-0006-0000-0200-00005E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98" authorId="1" shapeId="0" xr:uid="{00000000-0006-0000-0200-00005F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98" authorId="1" shapeId="0" xr:uid="{00000000-0006-0000-0200-000060000000}">
      <text>
        <r>
          <rPr>
            <b/>
            <sz val="9"/>
            <color rgb="FF000000"/>
            <rFont val="Tahoma"/>
            <family val="2"/>
          </rPr>
          <t>Windows User:</t>
        </r>
        <r>
          <rPr>
            <sz val="9"/>
            <color rgb="FF000000"/>
            <rFont val="Tahoma"/>
            <family val="2"/>
          </rPr>
          <t xml:space="preserve">
</t>
        </r>
        <r>
          <rPr>
            <sz val="9"/>
            <color rgb="FF000000"/>
            <rFont val="Tahoma"/>
            <family val="2"/>
          </rPr>
          <t xml:space="preserve">rev0 = 37.442 KT
</t>
        </r>
        <r>
          <rPr>
            <sz val="9"/>
            <color rgb="FF000000"/>
            <rFont val="Tahoma"/>
            <family val="2"/>
          </rPr>
          <t xml:space="preserve">rev1 = 42.4 KT </t>
        </r>
        <r>
          <rPr>
            <sz val="9"/>
            <color rgb="FF000000"/>
            <rFont val="Tahoma"/>
            <family val="2"/>
          </rPr>
          <t>เนื่องจาก</t>
        </r>
        <r>
          <rPr>
            <sz val="9"/>
            <color rgb="FF000000"/>
            <rFont val="Tahoma"/>
            <family val="2"/>
          </rPr>
          <t xml:space="preserve"> GC need LPG 50 KT</t>
        </r>
      </text>
    </comment>
    <comment ref="Z99" authorId="1" shapeId="0" xr:uid="{00000000-0006-0000-0200-000061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99" authorId="1" shapeId="0" xr:uid="{00000000-0006-0000-0200-000062000000}">
      <text>
        <r>
          <rPr>
            <b/>
            <sz val="9"/>
            <color indexed="81"/>
            <rFont val="Tahoma"/>
            <family val="2"/>
          </rPr>
          <t>Windows User:</t>
        </r>
        <r>
          <rPr>
            <sz val="9"/>
            <color indexed="81"/>
            <rFont val="Tahoma"/>
            <family val="2"/>
          </rPr>
          <t xml:space="preserve">
MOC ทางท่อ</t>
        </r>
      </text>
    </comment>
    <comment ref="AC99" authorId="1" shapeId="0" xr:uid="{00000000-0006-0000-0200-000063000000}">
      <text>
        <r>
          <rPr>
            <b/>
            <sz val="9"/>
            <color rgb="FF000000"/>
            <rFont val="Tahoma"/>
            <family val="2"/>
          </rPr>
          <t>Windows User:</t>
        </r>
        <r>
          <rPr>
            <sz val="9"/>
            <color rgb="FF000000"/>
            <rFont val="Tahoma"/>
            <family val="2"/>
          </rPr>
          <t xml:space="preserve">
</t>
        </r>
        <r>
          <rPr>
            <sz val="9"/>
            <color rgb="FF000000"/>
            <rFont val="Tahoma"/>
            <family val="2"/>
          </rPr>
          <t xml:space="preserve">rev0 = 12.312
</t>
        </r>
        <r>
          <rPr>
            <sz val="9"/>
            <color rgb="FF000000"/>
            <rFont val="Tahoma"/>
            <family val="2"/>
          </rPr>
          <t xml:space="preserve">rev1 = 10.5 SCG </t>
        </r>
        <r>
          <rPr>
            <sz val="9"/>
            <color rgb="FF000000"/>
            <rFont val="Tahoma"/>
            <family val="2"/>
          </rPr>
          <t>ลดรับ</t>
        </r>
        <r>
          <rPr>
            <sz val="9"/>
            <color rgb="FF000000"/>
            <rFont val="Tahoma"/>
            <family val="2"/>
          </rPr>
          <t xml:space="preserve"> </t>
        </r>
        <r>
          <rPr>
            <sz val="9"/>
            <color rgb="FF000000"/>
            <rFont val="Tahoma"/>
            <family val="2"/>
          </rPr>
          <t>เนื่องจาก</t>
        </r>
        <r>
          <rPr>
            <sz val="9"/>
            <color rgb="FF000000"/>
            <rFont val="Tahoma"/>
            <family val="2"/>
          </rPr>
          <t xml:space="preserve"> GSP </t>
        </r>
        <r>
          <rPr>
            <sz val="9"/>
            <color rgb="FF000000"/>
            <rFont val="Tahoma"/>
            <family val="2"/>
          </rPr>
          <t>จัดส่ง</t>
        </r>
        <r>
          <rPr>
            <sz val="9"/>
            <color rgb="FF000000"/>
            <rFont val="Tahoma"/>
            <family val="2"/>
          </rPr>
          <t xml:space="preserve"> C2 </t>
        </r>
        <r>
          <rPr>
            <sz val="9"/>
            <color rgb="FF000000"/>
            <rFont val="Tahoma"/>
            <family val="2"/>
          </rPr>
          <t>ให้ในเดือน</t>
        </r>
        <r>
          <rPr>
            <sz val="9"/>
            <color rgb="FF000000"/>
            <rFont val="Tahoma"/>
            <family val="2"/>
          </rPr>
          <t xml:space="preserve"> Apr </t>
        </r>
        <r>
          <rPr>
            <sz val="9"/>
            <color rgb="FF000000"/>
            <rFont val="Tahoma"/>
            <family val="2"/>
          </rPr>
          <t>มากขึ้น</t>
        </r>
        <r>
          <rPr>
            <sz val="9"/>
            <color rgb="FF000000"/>
            <rFont val="Tahoma"/>
            <family val="2"/>
          </rPr>
          <t xml:space="preserve"> GSP </t>
        </r>
        <r>
          <rPr>
            <sz val="9"/>
            <color rgb="FF000000"/>
            <rFont val="Tahoma"/>
            <family val="2"/>
          </rPr>
          <t>จึงขอให้ลดการรับ</t>
        </r>
        <r>
          <rPr>
            <sz val="9"/>
            <color rgb="FF000000"/>
            <rFont val="Tahoma"/>
            <family val="2"/>
          </rPr>
          <t xml:space="preserve"> C3 in May GSP </t>
        </r>
        <r>
          <rPr>
            <sz val="9"/>
            <color rgb="FF000000"/>
            <rFont val="Tahoma"/>
            <family val="2"/>
          </rPr>
          <t>จะได้ไม่ต้อง</t>
        </r>
        <r>
          <rPr>
            <sz val="9"/>
            <color rgb="FF000000"/>
            <rFont val="Tahoma"/>
            <family val="2"/>
          </rPr>
          <t xml:space="preserve"> Split cargo</t>
        </r>
      </text>
    </comment>
    <comment ref="AE99" authorId="0" shapeId="0" xr:uid="{00000000-0006-0000-0200-000064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E101" authorId="0" shapeId="0" xr:uid="{00000000-0006-0000-0200-000065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01" authorId="0" shapeId="0" xr:uid="{00000000-0006-0000-0200-000066000000}">
      <text>
        <r>
          <rPr>
            <b/>
            <sz val="9"/>
            <color indexed="81"/>
            <rFont val="Tahoma"/>
            <family val="2"/>
          </rPr>
          <t>Quantumuser:</t>
        </r>
        <r>
          <rPr>
            <sz val="9"/>
            <color indexed="81"/>
            <rFont val="Tahoma"/>
            <family val="2"/>
          </rPr>
          <t xml:space="preserve">
rev0 = 35
rev1 = 32 โยกไปรับเดือน พค. ก่อน 3 KT
</t>
        </r>
      </text>
    </comment>
    <comment ref="G101" authorId="1" shapeId="0" xr:uid="{00000000-0006-0000-0200-000067000000}">
      <text>
        <r>
          <rPr>
            <b/>
            <sz val="9"/>
            <color indexed="81"/>
            <rFont val="Tahoma"/>
            <family val="2"/>
          </rPr>
          <t>Windows User:</t>
        </r>
        <r>
          <rPr>
            <sz val="9"/>
            <color indexed="81"/>
            <rFont val="Tahoma"/>
            <family val="2"/>
          </rPr>
          <t xml:space="preserve">
rev0 = 19 
rev1= 15 KT cause GSP3 trip</t>
        </r>
      </text>
    </comment>
    <comment ref="L101" authorId="0" shapeId="0" xr:uid="{00000000-0006-0000-0200-000068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01" authorId="0" shapeId="0" xr:uid="{00000000-0006-0000-0200-000069000000}">
      <text>
        <r>
          <rPr>
            <b/>
            <sz val="9"/>
            <color indexed="81"/>
            <rFont val="Tahoma"/>
            <family val="2"/>
          </rPr>
          <t>Quantumuser:</t>
        </r>
        <r>
          <rPr>
            <sz val="9"/>
            <color indexed="81"/>
            <rFont val="Tahoma"/>
            <family val="2"/>
          </rPr>
          <t xml:space="preserve">
roc base 12 kt
roc spot 9 kt (MOP’J -80)</t>
        </r>
      </text>
    </comment>
    <comment ref="Q101" authorId="0" shapeId="0" xr:uid="{00000000-0006-0000-0200-00006A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01" authorId="0" shapeId="0" xr:uid="{00000000-0006-0000-0200-00006B000000}">
      <text>
        <r>
          <rPr>
            <b/>
            <sz val="9"/>
            <color indexed="81"/>
            <rFont val="Tahoma"/>
            <family val="2"/>
          </rPr>
          <t>Quantumuser:</t>
        </r>
        <r>
          <rPr>
            <sz val="9"/>
            <color indexed="81"/>
            <rFont val="Tahoma"/>
            <family val="2"/>
          </rPr>
          <t xml:space="preserve">
MOC TA May- Jun'20
</t>
        </r>
      </text>
    </comment>
    <comment ref="V101" authorId="1" shapeId="0" xr:uid="{00000000-0006-0000-0200-00006C000000}">
      <text>
        <r>
          <rPr>
            <b/>
            <sz val="9"/>
            <color indexed="81"/>
            <rFont val="Tahoma"/>
            <family val="2"/>
          </rPr>
          <t>Windows User:</t>
        </r>
        <r>
          <rPr>
            <sz val="9"/>
            <color indexed="81"/>
            <rFont val="Tahoma"/>
            <family val="2"/>
          </rPr>
          <t xml:space="preserve">
rev0 = 33.4 
rev1 = 39.4 KT โยกมาจากเดือน May +6 KT
MOC TA</t>
        </r>
      </text>
    </comment>
    <comment ref="W101" authorId="1" shapeId="0" xr:uid="{00000000-0006-0000-0200-00006D000000}">
      <text>
        <r>
          <rPr>
            <b/>
            <sz val="9"/>
            <color indexed="81"/>
            <rFont val="Tahoma"/>
            <family val="2"/>
          </rPr>
          <t>Windows User:</t>
        </r>
        <r>
          <rPr>
            <sz val="9"/>
            <color indexed="81"/>
            <rFont val="Tahoma"/>
            <family val="2"/>
          </rPr>
          <t xml:space="preserve">
MOC TA</t>
        </r>
      </text>
    </comment>
    <comment ref="Z101" authorId="1" shapeId="0" xr:uid="{00000000-0006-0000-0200-00006E000000}">
      <text>
        <r>
          <rPr>
            <b/>
            <sz val="9"/>
            <color indexed="81"/>
            <rFont val="Tahoma"/>
            <family val="2"/>
          </rPr>
          <t>Windows User:</t>
        </r>
        <r>
          <rPr>
            <sz val="9"/>
            <color indexed="81"/>
            <rFont val="Tahoma"/>
            <family val="2"/>
          </rPr>
          <t xml:space="preserve">
17.6 KT เป็น Spot price : MOP'J-70</t>
        </r>
      </text>
    </comment>
    <comment ref="AB101" authorId="1" shapeId="0" xr:uid="{00000000-0006-0000-0200-00006F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01" authorId="1" shapeId="0" xr:uid="{00000000-0006-0000-0200-000070000000}">
      <text>
        <r>
          <rPr>
            <b/>
            <sz val="9"/>
            <color rgb="FF000000"/>
            <rFont val="Tahoma"/>
            <family val="2"/>
          </rPr>
          <t>Windows User:</t>
        </r>
        <r>
          <rPr>
            <sz val="9"/>
            <color rgb="FF000000"/>
            <rFont val="Tahoma"/>
            <family val="2"/>
          </rPr>
          <t xml:space="preserve">
</t>
        </r>
        <r>
          <rPr>
            <sz val="9"/>
            <color rgb="FF000000"/>
            <rFont val="Tahoma"/>
            <family val="2"/>
          </rPr>
          <t xml:space="preserve">rev0 = 12 KT
</t>
        </r>
        <r>
          <rPr>
            <sz val="9"/>
            <color rgb="FF000000"/>
            <rFont val="Tahoma"/>
            <family val="2"/>
          </rPr>
          <t xml:space="preserve">rev1 = 28 KT GSP </t>
        </r>
        <r>
          <rPr>
            <sz val="9"/>
            <color rgb="FF000000"/>
            <rFont val="Tahoma"/>
            <family val="2"/>
          </rPr>
          <t>เสนอขายเพิ่มเพือ</t>
        </r>
        <r>
          <rPr>
            <sz val="9"/>
            <color rgb="FF000000"/>
            <rFont val="Tahoma"/>
            <family val="2"/>
          </rPr>
          <t xml:space="preserve"> balance inv
</t>
        </r>
        <r>
          <rPr>
            <sz val="9"/>
            <color rgb="FF000000"/>
            <rFont val="Tahoma"/>
            <family val="2"/>
          </rPr>
          <t xml:space="preserve">rev2 = 29.5 KT SCG </t>
        </r>
        <r>
          <rPr>
            <sz val="9"/>
            <color rgb="FF000000"/>
            <rFont val="Tahoma"/>
            <family val="2"/>
          </rPr>
          <t>ขอซื้อเพิ่ม</t>
        </r>
        <r>
          <rPr>
            <sz val="9"/>
            <color rgb="FF000000"/>
            <rFont val="Tahoma"/>
            <family val="2"/>
          </rPr>
          <t xml:space="preserve"> +1.5 KT (MOP'J-80)
</t>
        </r>
        <r>
          <rPr>
            <sz val="9"/>
            <color rgb="FF000000"/>
            <rFont val="Tahoma"/>
            <family val="2"/>
          </rPr>
          <t xml:space="preserve">rev3 = 30.8 KT SCG </t>
        </r>
        <r>
          <rPr>
            <sz val="9"/>
            <color rgb="FF000000"/>
            <rFont val="Tahoma"/>
            <family val="2"/>
          </rPr>
          <t>ขอซื้อเพิ่ม</t>
        </r>
        <r>
          <rPr>
            <sz val="9"/>
            <color rgb="FF000000"/>
            <rFont val="Tahoma"/>
            <family val="2"/>
          </rPr>
          <t xml:space="preserve"> +1.3 KT (MOP'J-80)</t>
        </r>
      </text>
    </comment>
    <comment ref="AE101" authorId="1" shapeId="0" xr:uid="{00000000-0006-0000-0200-000071000000}">
      <text>
        <r>
          <rPr>
            <b/>
            <sz val="9"/>
            <color indexed="81"/>
            <rFont val="Tahoma"/>
            <family val="2"/>
          </rPr>
          <t>Windows User:</t>
        </r>
        <r>
          <rPr>
            <sz val="9"/>
            <color indexed="81"/>
            <rFont val="Tahoma"/>
            <family val="2"/>
          </rPr>
          <t xml:space="preserve">
rev0 = 3 KT
rev1 = 0 KT เนื่องจาก SCG เตาเสีย ซ่อมเสร็จไม่ทัน</t>
        </r>
      </text>
    </comment>
    <comment ref="G102" authorId="0" shapeId="0" xr:uid="{00000000-0006-0000-0200-000072000000}">
      <text>
        <r>
          <rPr>
            <b/>
            <sz val="9"/>
            <color indexed="81"/>
            <rFont val="Tahoma"/>
            <family val="2"/>
          </rPr>
          <t xml:space="preserve">Quantumuser:
rev0  =27.8
rev1 = 24.5   HMC delay start up
</t>
        </r>
      </text>
    </comment>
    <comment ref="H102" authorId="0" shapeId="0" xr:uid="{00000000-0006-0000-0200-000073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02" authorId="0" shapeId="0" xr:uid="{00000000-0006-0000-0200-000074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02" authorId="0" shapeId="0" xr:uid="{00000000-0006-0000-0200-000075000000}">
      <text>
        <r>
          <rPr>
            <b/>
            <sz val="9"/>
            <color indexed="81"/>
            <rFont val="Tahoma"/>
            <family val="2"/>
          </rPr>
          <t>Quantumuser:</t>
        </r>
        <r>
          <rPr>
            <sz val="9"/>
            <color indexed="81"/>
            <rFont val="Tahoma"/>
            <family val="2"/>
          </rPr>
          <t xml:space="preserve">
rev0 = 32.55 KT
rev1 = 33.48 KT HMC run 100% @1,080 Ton/day</t>
        </r>
      </text>
    </comment>
    <comment ref="K102" authorId="0" shapeId="0" xr:uid="{00000000-0006-0000-0200-000076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02" authorId="0" shapeId="0" xr:uid="{00000000-0006-0000-0200-000077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02" authorId="0" shapeId="0" xr:uid="{00000000-0006-0000-0200-000078000000}">
      <text>
        <r>
          <rPr>
            <b/>
            <sz val="9"/>
            <color indexed="81"/>
            <rFont val="Tahoma"/>
            <family val="2"/>
          </rPr>
          <t>Quantumuser
HMC has planned to receive Propane at 1,060 Ton/day (98%) เพื่อรักษา catalyst ใน reactor</t>
        </r>
      </text>
    </comment>
    <comment ref="N102" authorId="0" shapeId="0" xr:uid="{00000000-0006-0000-0200-000079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02" authorId="0" shapeId="0" xr:uid="{00000000-0006-0000-0200-00007A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02" authorId="0" shapeId="0" xr:uid="{00000000-0006-0000-0200-00007B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02" authorId="0" shapeId="0" xr:uid="{00000000-0006-0000-0200-00007C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02" authorId="0" shapeId="0" xr:uid="{00000000-0006-0000-0200-00007D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02" authorId="0" shapeId="0" xr:uid="{00000000-0006-0000-0200-00007E000000}">
      <text>
        <r>
          <rPr>
            <b/>
            <sz val="9"/>
            <color indexed="81"/>
            <rFont val="Tahoma"/>
            <family val="2"/>
          </rPr>
          <t xml:space="preserve">Quantumuser
rev0 =27
rev1 = 25.8
</t>
        </r>
      </text>
    </comment>
    <comment ref="U102" authorId="0" shapeId="0" xr:uid="{00000000-0006-0000-0200-00007F000000}">
      <text>
        <r>
          <rPr>
            <b/>
            <sz val="9"/>
            <color indexed="81"/>
            <rFont val="Tahoma"/>
            <family val="2"/>
          </rPr>
          <t xml:space="preserve">rev0 = 31.8
rev1 = 30.3 </t>
        </r>
      </text>
    </comment>
    <comment ref="V102" authorId="0" shapeId="0" xr:uid="{00000000-0006-0000-0200-000080000000}">
      <text>
        <r>
          <rPr>
            <b/>
            <sz val="9"/>
            <color indexed="81"/>
            <rFont val="Tahoma"/>
            <family val="2"/>
          </rPr>
          <t>HMC รับลดลงเหลือ 1000 - 1040 จากแผน 1060 เนื่องจากReactor no3 has high different pressure.</t>
        </r>
      </text>
    </comment>
    <comment ref="W102" authorId="0" shapeId="0" xr:uid="{00000000-0006-0000-0200-000081000000}">
      <text>
        <r>
          <rPr>
            <b/>
            <sz val="9"/>
            <color indexed="81"/>
            <rFont val="Tahoma"/>
            <family val="2"/>
          </rPr>
          <t xml:space="preserve">Quantumuser
HMC has planned to receive Propane at 1,080 Ton/day (100%) เนื่องจากเปลี่ยน catalyst ใน reactor ใหม่แล้ว
</t>
        </r>
      </text>
    </comment>
    <comment ref="X102" authorId="0" shapeId="0" xr:uid="{00000000-0006-0000-0200-000082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02" authorId="1" shapeId="0" xr:uid="{00000000-0006-0000-0200-000083000000}">
      <text>
        <r>
          <rPr>
            <b/>
            <sz val="9"/>
            <color rgb="FF000000"/>
            <rFont val="Tahoma"/>
            <family val="2"/>
          </rPr>
          <t>Windows User:</t>
        </r>
        <r>
          <rPr>
            <sz val="9"/>
            <color rgb="FF000000"/>
            <rFont val="Tahoma"/>
            <family val="2"/>
          </rPr>
          <t xml:space="preserve">
</t>
        </r>
        <r>
          <rPr>
            <sz val="9"/>
            <color rgb="FF000000"/>
            <rFont val="Tahoma"/>
            <family val="2"/>
          </rPr>
          <t xml:space="preserve">HMC </t>
        </r>
        <r>
          <rPr>
            <sz val="9"/>
            <color rgb="FF000000"/>
            <rFont val="Tahoma"/>
            <family val="2"/>
          </rPr>
          <t>รับ</t>
        </r>
        <r>
          <rPr>
            <sz val="9"/>
            <color rgb="FF000000"/>
            <rFont val="Tahoma"/>
            <family val="2"/>
          </rPr>
          <t xml:space="preserve"> 1,040 Ton/hr.</t>
        </r>
      </text>
    </comment>
    <comment ref="Z102" authorId="1" shapeId="0" xr:uid="{00000000-0006-0000-0200-000084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02" authorId="1" shapeId="0" xr:uid="{00000000-0006-0000-0200-000085000000}">
      <text>
        <r>
          <rPr>
            <b/>
            <sz val="9"/>
            <color indexed="81"/>
            <rFont val="Tahoma"/>
            <family val="2"/>
          </rPr>
          <t>Windows User:</t>
        </r>
        <r>
          <rPr>
            <sz val="9"/>
            <color indexed="81"/>
            <rFont val="Tahoma"/>
            <family val="2"/>
          </rPr>
          <t xml:space="preserve">
HMC รับ 1,040 Ton/day</t>
        </r>
      </text>
    </comment>
    <comment ref="AB102" authorId="1" shapeId="0" xr:uid="{00000000-0006-0000-0200-000086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02" authorId="1" shapeId="0" xr:uid="{00000000-0006-0000-0200-000087000000}">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E102" authorId="0" shapeId="0" xr:uid="{00000000-0006-0000-0200-000088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t>
        </r>
      </text>
    </comment>
    <comment ref="AG102" authorId="1" shapeId="0" xr:uid="{00000000-0006-0000-0200-000089000000}">
      <text>
        <r>
          <rPr>
            <b/>
            <sz val="9"/>
            <color indexed="81"/>
            <rFont val="Tahoma"/>
            <family val="2"/>
          </rPr>
          <t>Windows User:</t>
        </r>
        <r>
          <rPr>
            <sz val="9"/>
            <color indexed="81"/>
            <rFont val="Tahoma"/>
            <family val="2"/>
          </rPr>
          <t xml:space="preserve">
HMC SD 10 days</t>
        </r>
      </text>
    </comment>
    <comment ref="AH102" authorId="0" shapeId="0" xr:uid="{00000000-0006-0000-0200-00008A000000}">
      <text>
        <r>
          <rPr>
            <b/>
            <sz val="9"/>
            <color indexed="81"/>
            <rFont val="Tahoma"/>
            <family val="2"/>
          </rPr>
          <t>Quantumuser:</t>
        </r>
        <r>
          <rPr>
            <sz val="9"/>
            <color indexed="81"/>
            <rFont val="Tahoma"/>
            <family val="2"/>
          </rPr>
          <t xml:space="preserve">
HMC SD 30 days</t>
        </r>
      </text>
    </comment>
    <comment ref="F103" authorId="0" shapeId="0" xr:uid="{00000000-0006-0000-0200-00008B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03" authorId="1" shapeId="0" xr:uid="{00000000-0006-0000-0200-00008C000000}">
      <text>
        <r>
          <rPr>
            <b/>
            <sz val="9"/>
            <color indexed="81"/>
            <rFont val="Tahoma"/>
            <family val="2"/>
          </rPr>
          <t>Windows User:</t>
        </r>
        <r>
          <rPr>
            <sz val="9"/>
            <color indexed="81"/>
            <rFont val="Tahoma"/>
            <family val="2"/>
          </rPr>
          <t xml:space="preserve">
rev0 = 31.837
rev1= 30.837 KT cause GSP3 trip</t>
        </r>
      </text>
    </comment>
    <comment ref="L103" authorId="0" shapeId="0" xr:uid="{00000000-0006-0000-0200-00008D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03" authorId="0" shapeId="0" xr:uid="{00000000-0006-0000-0200-00008E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03" authorId="1" shapeId="0" xr:uid="{00000000-0006-0000-0200-00008F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03" authorId="1" shapeId="0" xr:uid="{00000000-0006-0000-0200-000090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03" authorId="1" shapeId="0" xr:uid="{00000000-0006-0000-0200-000091000000}">
      <text>
        <r>
          <rPr>
            <b/>
            <sz val="9"/>
            <color indexed="81"/>
            <rFont val="Tahoma"/>
            <family val="2"/>
          </rPr>
          <t>Windows User:</t>
        </r>
        <r>
          <rPr>
            <sz val="9"/>
            <color indexed="81"/>
            <rFont val="Tahoma"/>
            <family val="2"/>
          </rPr>
          <t xml:space="preserve">
rev0 = 27.118
rev1 = 20.55 PTTAC plan to S/D 1 Reactor on 1 Apr’202
</t>
        </r>
      </text>
    </comment>
    <comment ref="Q103" authorId="1" shapeId="0" xr:uid="{00000000-0006-0000-0200-000092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03" authorId="1" shapeId="0" xr:uid="{00000000-0006-0000-0200-000093000000}">
      <text>
        <r>
          <rPr>
            <b/>
            <sz val="9"/>
            <color indexed="81"/>
            <rFont val="Tahoma"/>
            <family val="2"/>
          </rPr>
          <t>Windows User:</t>
        </r>
        <r>
          <rPr>
            <sz val="9"/>
            <color indexed="81"/>
            <rFont val="Tahoma"/>
            <family val="2"/>
          </rPr>
          <t xml:space="preserve">
rev0 28.032 
rev1 27.120
May
18.486 
rev0= 20 KT</t>
        </r>
      </text>
    </comment>
    <comment ref="T103" authorId="1" shapeId="0" xr:uid="{00000000-0006-0000-0200-000094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03" authorId="1" shapeId="0" xr:uid="{00000000-0006-0000-0200-000095000000}">
      <text>
        <r>
          <rPr>
            <b/>
            <sz val="9"/>
            <color indexed="81"/>
            <rFont val="Tahoma"/>
            <family val="2"/>
          </rPr>
          <t>Windows User:</t>
        </r>
        <r>
          <rPr>
            <sz val="9"/>
            <color indexed="81"/>
            <rFont val="Tahoma"/>
            <family val="2"/>
          </rPr>
          <t xml:space="preserve">
ปรับลดจากผลกระทบ GSP5 แล้ว -8%</t>
        </r>
      </text>
    </comment>
    <comment ref="Z103" authorId="1" shapeId="0" xr:uid="{00000000-0006-0000-0200-000096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03" authorId="1" shapeId="0" xr:uid="{00000000-0006-0000-0200-000097000000}">
      <text>
        <r>
          <rPr>
            <b/>
            <sz val="9"/>
            <color indexed="81"/>
            <rFont val="Tahoma"/>
            <family val="2"/>
          </rPr>
          <t>Windows User:
rev0 =22.796 KT
rev1 = 19.7 KT เนื่องจาก วันที่ 20 เม.ย. ไฟฟ้าดับ</t>
        </r>
      </text>
    </comment>
    <comment ref="AC103" authorId="1" shapeId="0" xr:uid="{00000000-0006-0000-0200-000098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03" authorId="0" shapeId="0" xr:uid="{00000000-0006-0000-0200-000099000000}">
      <text>
        <r>
          <rPr>
            <b/>
            <sz val="9"/>
            <color indexed="81"/>
            <rFont val="Tahoma"/>
            <family val="2"/>
          </rPr>
          <t>Quantumuser:</t>
        </r>
        <r>
          <rPr>
            <sz val="9"/>
            <color indexed="81"/>
            <rFont val="Tahoma"/>
            <family val="2"/>
          </rPr>
          <t xml:space="preserve">
PTTAC TA</t>
        </r>
      </text>
    </comment>
    <comment ref="AF103" authorId="0" shapeId="0" xr:uid="{00000000-0006-0000-0200-00009A000000}">
      <text>
        <r>
          <rPr>
            <b/>
            <sz val="9"/>
            <color indexed="81"/>
            <rFont val="Tahoma"/>
            <family val="2"/>
          </rPr>
          <t>Quantumuser:</t>
        </r>
        <r>
          <rPr>
            <sz val="9"/>
            <color indexed="81"/>
            <rFont val="Tahoma"/>
            <family val="2"/>
          </rPr>
          <t xml:space="preserve">
PTTAC TA 29 Jun - 3 Aug
</t>
        </r>
      </text>
    </comment>
    <comment ref="AA104" authorId="1" shapeId="0" xr:uid="{00000000-0006-0000-0200-00009B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04" authorId="1" shapeId="0" xr:uid="{00000000-0006-0000-0200-00009C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04" authorId="1" shapeId="0" xr:uid="{00000000-0006-0000-0200-00009D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U105" authorId="1" shapeId="0" xr:uid="{00000000-0006-0000-0200-00009E000000}">
      <text>
        <r>
          <rPr>
            <b/>
            <sz val="9"/>
            <color indexed="81"/>
            <rFont val="Tahoma"/>
            <family val="2"/>
          </rPr>
          <t>Windows User:</t>
        </r>
        <r>
          <rPr>
            <sz val="9"/>
            <color indexed="81"/>
            <rFont val="Tahoma"/>
            <family val="2"/>
          </rPr>
          <t xml:space="preserve">
rev0 = 0.27
rev1 = 0.7 KT Ordemand เพิ่ม</t>
        </r>
      </text>
    </comment>
    <comment ref="I111" authorId="1" shapeId="0" xr:uid="{00000000-0006-0000-0200-00009F000000}">
      <text>
        <r>
          <rPr>
            <b/>
            <sz val="9"/>
            <color indexed="81"/>
            <rFont val="Tahoma"/>
            <family val="2"/>
          </rPr>
          <t>Windows User:</t>
        </r>
        <r>
          <rPr>
            <sz val="9"/>
            <color indexed="81"/>
            <rFont val="Tahoma"/>
            <family val="2"/>
          </rPr>
          <t xml:space="preserve">
rev0 = 32
rev1 = 33.28 SGP ขอรับเพิ่ม 4%</t>
        </r>
      </text>
    </comment>
    <comment ref="J111" authorId="1" shapeId="0" xr:uid="{00000000-0006-0000-0200-0000A0000000}">
      <text>
        <r>
          <rPr>
            <b/>
            <sz val="9"/>
            <color indexed="81"/>
            <rFont val="Tahoma"/>
            <family val="2"/>
          </rPr>
          <t>Windows User:</t>
        </r>
        <r>
          <rPr>
            <sz val="9"/>
            <color indexed="81"/>
            <rFont val="Tahoma"/>
            <family val="2"/>
          </rPr>
          <t xml:space="preserve">
rev0 = 32
rev1 = 33.6 SGP ขอรับเพิ่ม 5%</t>
        </r>
      </text>
    </comment>
    <comment ref="K111" authorId="1" shapeId="0" xr:uid="{00000000-0006-0000-0200-0000A1000000}">
      <text>
        <r>
          <rPr>
            <b/>
            <sz val="9"/>
            <color indexed="81"/>
            <rFont val="Tahoma"/>
            <family val="2"/>
          </rPr>
          <t>Windows User:</t>
        </r>
        <r>
          <rPr>
            <sz val="9"/>
            <color indexed="81"/>
            <rFont val="Tahoma"/>
            <family val="2"/>
          </rPr>
          <t xml:space="preserve">
rev0 = 32
rev1 = 33.6 SGP ขอรับเพิ่ม 5%</t>
        </r>
      </text>
    </comment>
    <comment ref="L111" authorId="1" shapeId="0" xr:uid="{00000000-0006-0000-0200-0000A2000000}">
      <text>
        <r>
          <rPr>
            <b/>
            <sz val="9"/>
            <color indexed="81"/>
            <rFont val="Tahoma"/>
            <family val="2"/>
          </rPr>
          <t>Windows User:</t>
        </r>
        <r>
          <rPr>
            <sz val="9"/>
            <color indexed="81"/>
            <rFont val="Tahoma"/>
            <family val="2"/>
          </rPr>
          <t xml:space="preserve">
rev0 = 32
rev1 = 33.6 SGP ขอรับเพิ่ม 5%</t>
        </r>
      </text>
    </comment>
    <comment ref="I112" authorId="1" shapeId="0" xr:uid="{00000000-0006-0000-0200-0000A3000000}">
      <text>
        <r>
          <rPr>
            <b/>
            <sz val="9"/>
            <color indexed="81"/>
            <rFont val="Tahoma"/>
            <family val="2"/>
          </rPr>
          <t>Windows User:</t>
        </r>
        <r>
          <rPr>
            <sz val="9"/>
            <color indexed="81"/>
            <rFont val="Tahoma"/>
            <family val="2"/>
          </rPr>
          <t xml:space="preserve">
rev0 = 12 KT
rev1 = 12.48 KT SGP ขอรับเพิ่ม 4%</t>
        </r>
      </text>
    </comment>
    <comment ref="J112" authorId="1" shapeId="0" xr:uid="{00000000-0006-0000-0200-0000A4000000}">
      <text>
        <r>
          <rPr>
            <b/>
            <sz val="9"/>
            <color indexed="81"/>
            <rFont val="Tahoma"/>
            <family val="2"/>
          </rPr>
          <t>Windows User:</t>
        </r>
        <r>
          <rPr>
            <sz val="9"/>
            <color indexed="81"/>
            <rFont val="Tahoma"/>
            <family val="2"/>
          </rPr>
          <t xml:space="preserve">
rev0 = 12 KT
rev1 = 12.6 KT SGP ขอรับเพิ่ม 5%</t>
        </r>
      </text>
    </comment>
    <comment ref="K112" authorId="1" shapeId="0" xr:uid="{00000000-0006-0000-0200-0000A5000000}">
      <text>
        <r>
          <rPr>
            <b/>
            <sz val="9"/>
            <color indexed="81"/>
            <rFont val="Tahoma"/>
            <family val="2"/>
          </rPr>
          <t>Windows User:</t>
        </r>
        <r>
          <rPr>
            <sz val="9"/>
            <color indexed="81"/>
            <rFont val="Tahoma"/>
            <family val="2"/>
          </rPr>
          <t xml:space="preserve">
rev0 = 12 KT
rev1 = 12.6 KT SGP ขอรับเพิ่ม 5%</t>
        </r>
      </text>
    </comment>
    <comment ref="L112" authorId="1" shapeId="0" xr:uid="{00000000-0006-0000-0200-0000A6000000}">
      <text>
        <r>
          <rPr>
            <b/>
            <sz val="9"/>
            <color indexed="81"/>
            <rFont val="Tahoma"/>
            <family val="2"/>
          </rPr>
          <t>Windows User:</t>
        </r>
        <r>
          <rPr>
            <sz val="9"/>
            <color indexed="81"/>
            <rFont val="Tahoma"/>
            <family val="2"/>
          </rPr>
          <t xml:space="preserve">
rev0 = 12 KT
rev1 = 12.6 KT SGP ขอรับเพิ่ม 5%</t>
        </r>
      </text>
    </comment>
    <comment ref="J124" authorId="0" shapeId="0" xr:uid="{00000000-0006-0000-0200-0000A7000000}">
      <text>
        <r>
          <rPr>
            <b/>
            <sz val="9"/>
            <color indexed="81"/>
            <rFont val="Tahoma"/>
            <family val="2"/>
          </rPr>
          <t>Quantumuser:</t>
        </r>
        <r>
          <rPr>
            <sz val="9"/>
            <color indexed="81"/>
            <rFont val="Tahoma"/>
            <family val="2"/>
          </rPr>
          <t xml:space="preserve">
rev0 = 2
rev 1 = 1.2 KT</t>
        </r>
      </text>
    </comment>
    <comment ref="K124" authorId="0" shapeId="0" xr:uid="{00000000-0006-0000-0200-0000A8000000}">
      <text>
        <r>
          <rPr>
            <b/>
            <sz val="9"/>
            <color indexed="81"/>
            <rFont val="Tahoma"/>
            <family val="2"/>
          </rPr>
          <t>Quantumuser:</t>
        </r>
        <r>
          <rPr>
            <sz val="9"/>
            <color indexed="81"/>
            <rFont val="Tahoma"/>
            <family val="2"/>
          </rPr>
          <t xml:space="preserve">
rev0 3 KT
rev1 = 3.4 KT โยกมาจากเดือน ธค. 62 = 0.4 KT</t>
        </r>
      </text>
    </comment>
    <comment ref="L124" authorId="0" shapeId="0" xr:uid="{00000000-0006-0000-0200-0000A900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J129" authorId="1" shapeId="0" xr:uid="{00000000-0006-0000-0200-0000AA000000}">
      <text>
        <r>
          <rPr>
            <b/>
            <sz val="9"/>
            <color indexed="81"/>
            <rFont val="Tahoma"/>
            <family val="2"/>
          </rPr>
          <t>Windows User:</t>
        </r>
        <r>
          <rPr>
            <sz val="9"/>
            <color indexed="81"/>
            <rFont val="Tahoma"/>
            <family val="2"/>
          </rPr>
          <t xml:space="preserve">
rev0 = 4
rev1 = 4.2</t>
        </r>
      </text>
    </comment>
    <comment ref="G135" authorId="0" shapeId="0" xr:uid="{00000000-0006-0000-0200-0000AB000000}">
      <text>
        <r>
          <rPr>
            <b/>
            <sz val="9"/>
            <color indexed="81"/>
            <rFont val="Tahoma"/>
            <family val="2"/>
          </rPr>
          <t>Quantumuser:
rev0=0
rev1=2  GC ปรับเพิ่มจาก 19 เป็น 21 KT</t>
        </r>
      </text>
    </comment>
    <comment ref="L141" authorId="1" shapeId="0" xr:uid="{00000000-0006-0000-0200-0000AC000000}">
      <text>
        <r>
          <rPr>
            <b/>
            <sz val="9"/>
            <color indexed="81"/>
            <rFont val="Tahoma"/>
            <family val="2"/>
          </rPr>
          <t xml:space="preserve">Windows User:
</t>
        </r>
        <r>
          <rPr>
            <sz val="9"/>
            <color indexed="81"/>
            <rFont val="Tahoma"/>
            <family val="2"/>
          </rPr>
          <t>rev0 = 1.8
rev1 = 2.4  ตช ขายเพิ่ม</t>
        </r>
      </text>
    </comment>
    <comment ref="J144" authorId="1" shapeId="0" xr:uid="{00000000-0006-0000-0200-0000AD000000}">
      <text>
        <r>
          <rPr>
            <b/>
            <sz val="9"/>
            <color indexed="81"/>
            <rFont val="Tahoma"/>
            <family val="2"/>
          </rPr>
          <t>Windows User:</t>
        </r>
        <r>
          <rPr>
            <sz val="9"/>
            <color indexed="81"/>
            <rFont val="Tahoma"/>
            <family val="2"/>
          </rPr>
          <t xml:space="preserve">
rev0 = 5
rev1 = 6.4</t>
        </r>
      </text>
    </comment>
    <comment ref="K144" authorId="1" shapeId="0" xr:uid="{00000000-0006-0000-0200-0000AE000000}">
      <text>
        <r>
          <rPr>
            <b/>
            <sz val="9"/>
            <color indexed="81"/>
            <rFont val="Tahoma"/>
            <family val="2"/>
          </rPr>
          <t>Windows User:</t>
        </r>
        <r>
          <rPr>
            <sz val="9"/>
            <color indexed="81"/>
            <rFont val="Tahoma"/>
            <family val="2"/>
          </rPr>
          <t xml:space="preserve">
rev0 = 5
rev1 = 6.4
rev2 = 5.6
</t>
        </r>
      </text>
    </comment>
    <comment ref="L144" authorId="1" shapeId="0" xr:uid="{00000000-0006-0000-0200-0000AF000000}">
      <text>
        <r>
          <rPr>
            <b/>
            <sz val="9"/>
            <color indexed="81"/>
            <rFont val="Tahoma"/>
            <family val="2"/>
          </rPr>
          <t>Windows User:</t>
        </r>
        <r>
          <rPr>
            <sz val="9"/>
            <color indexed="81"/>
            <rFont val="Tahoma"/>
            <family val="2"/>
          </rPr>
          <t xml:space="preserve">
rev0 = 5
rev1 = 5.7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SAOWANI DETJAREANSRI</author>
    <author>Quantumuser</author>
    <author>Windows User</author>
  </authors>
  <commentList>
    <comment ref="Y6" authorId="0" shapeId="0" xr:uid="{00000000-0006-0000-03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xr:uid="{00000000-0006-0000-0300-000002000000}">
      <text>
        <r>
          <rPr>
            <b/>
            <sz val="9"/>
            <color indexed="81"/>
            <rFont val="Tahoma"/>
            <family val="2"/>
          </rPr>
          <t>SAOWANI DETJAREANSRI:</t>
        </r>
        <r>
          <rPr>
            <sz val="9"/>
            <color indexed="81"/>
            <rFont val="Tahoma"/>
            <family val="2"/>
          </rPr>
          <t xml:space="preserve">
rev0 = 90.5
</t>
        </r>
      </text>
    </comment>
    <comment ref="AB6" authorId="0" shapeId="0" xr:uid="{00000000-0006-0000-03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xr:uid="{00000000-0006-0000-0300-000004000000}">
      <text>
        <r>
          <rPr>
            <b/>
            <sz val="9"/>
            <color indexed="81"/>
            <rFont val="Tahoma"/>
            <family val="2"/>
          </rPr>
          <t>SAOWANI DETJAREANSRI:</t>
        </r>
        <r>
          <rPr>
            <sz val="9"/>
            <color indexed="81"/>
            <rFont val="Tahoma"/>
            <family val="2"/>
          </rPr>
          <t xml:space="preserve">
rev0 = 83.37 Km3
</t>
        </r>
      </text>
    </comment>
    <comment ref="AG6" authorId="0" shapeId="0" xr:uid="{00000000-0006-0000-03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xr:uid="{00000000-0006-0000-0300-000006000000}">
      <text>
        <r>
          <rPr>
            <b/>
            <sz val="9"/>
            <color indexed="81"/>
            <rFont val="Tahoma"/>
            <family val="2"/>
          </rPr>
          <t>SAOWANI DETJAREANSRI:</t>
        </r>
        <r>
          <rPr>
            <sz val="9"/>
            <color indexed="81"/>
            <rFont val="Tahoma"/>
            <family val="2"/>
          </rPr>
          <t xml:space="preserve">
Apr - May 2019 : GSP6 Shutdown 17 Days (Tentatve)</t>
        </r>
      </text>
    </comment>
    <comment ref="BF6" authorId="1" shapeId="0" xr:uid="{00000000-0006-0000-0300-000007000000}">
      <text>
        <r>
          <rPr>
            <b/>
            <sz val="9"/>
            <color indexed="81"/>
            <rFont val="Tahoma"/>
            <family val="2"/>
          </rPr>
          <t>Quantumuser:
rev0 = 71.59</t>
        </r>
      </text>
    </comment>
    <comment ref="BG6" authorId="2" shapeId="0" xr:uid="{00000000-0006-0000-0300-000008000000}">
      <text>
        <r>
          <rPr>
            <b/>
            <sz val="9"/>
            <color indexed="81"/>
            <rFont val="Tahoma"/>
            <family val="2"/>
          </rPr>
          <t>Windows User:</t>
        </r>
        <r>
          <rPr>
            <sz val="9"/>
            <color indexed="81"/>
            <rFont val="Tahoma"/>
            <family val="2"/>
          </rPr>
          <t xml:space="preserve">
ผลิตสูงขึ้นจาก stab
</t>
        </r>
      </text>
    </comment>
    <comment ref="L7" authorId="0" shapeId="0" xr:uid="{00000000-0006-0000-0300-000009000000}">
      <text>
        <r>
          <rPr>
            <b/>
            <sz val="9"/>
            <color indexed="81"/>
            <rFont val="Tahoma"/>
            <family val="2"/>
          </rPr>
          <t>SAOWANI DETJAREANSRI:</t>
        </r>
        <r>
          <rPr>
            <sz val="9"/>
            <color indexed="81"/>
            <rFont val="Tahoma"/>
            <family val="2"/>
          </rPr>
          <t xml:space="preserve">
rev0 = 46.5 
rev1 = 52.5</t>
        </r>
      </text>
    </comment>
    <comment ref="M7" authorId="0" shapeId="0" xr:uid="{00000000-0006-0000-0300-00000A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xr:uid="{00000000-0006-0000-0300-00000B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xr:uid="{00000000-0006-0000-0300-00000C000000}">
      <text>
        <r>
          <rPr>
            <b/>
            <sz val="9"/>
            <color indexed="81"/>
            <rFont val="Tahoma"/>
            <family val="2"/>
          </rPr>
          <t>SAOWANI DETJAREANSRI:</t>
        </r>
        <r>
          <rPr>
            <sz val="9"/>
            <color indexed="81"/>
            <rFont val="Tahoma"/>
            <family val="2"/>
          </rPr>
          <t xml:space="preserve">
rev0 = 30.5</t>
        </r>
      </text>
    </comment>
    <comment ref="P7" authorId="0" shapeId="0" xr:uid="{00000000-0006-0000-0300-00000D000000}">
      <text>
        <r>
          <rPr>
            <b/>
            <sz val="9"/>
            <color indexed="81"/>
            <rFont val="Tahoma"/>
            <family val="2"/>
          </rPr>
          <t>SAOWANI DETJAREANSRI:</t>
        </r>
        <r>
          <rPr>
            <sz val="9"/>
            <color indexed="81"/>
            <rFont val="Tahoma"/>
            <family val="2"/>
          </rPr>
          <t xml:space="preserve">
rev0 = 30.5
rev1 = 28.5</t>
        </r>
      </text>
    </comment>
    <comment ref="Q7" authorId="0" shapeId="0" xr:uid="{00000000-0006-0000-0300-00000E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xr:uid="{00000000-0006-0000-0300-00000F00000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xr:uid="{00000000-0006-0000-0300-00001000000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xr:uid="{00000000-0006-0000-0300-000011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xr:uid="{00000000-0006-0000-0300-000012000000}">
      <text>
        <r>
          <rPr>
            <b/>
            <sz val="9"/>
            <color indexed="81"/>
            <rFont val="Tahoma"/>
            <family val="2"/>
          </rPr>
          <t>SAOWANI DETJAREANSRI:
rev0 = 33.174 km3 (21.5 KT)
rev1 = 35.179 km3 (22.8 KT)</t>
        </r>
      </text>
    </comment>
    <comment ref="AG7" authorId="0" shapeId="0" xr:uid="{00000000-0006-0000-0300-000013000000}">
      <text>
        <r>
          <rPr>
            <b/>
            <sz val="9"/>
            <color indexed="81"/>
            <rFont val="Tahoma"/>
            <family val="2"/>
          </rPr>
          <t>SAOWANI DETJAREANSRI:
rev0 = 29.32 
rev1 = 27.32 KT ปรับลด 2 km3 เนื่องจาก stab น้อย</t>
        </r>
      </text>
    </comment>
    <comment ref="AK7" authorId="0" shapeId="0" xr:uid="{00000000-0006-0000-0300-000014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xr:uid="{00000000-0006-0000-0300-000015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xr:uid="{00000000-0006-0000-0300-000016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xr:uid="{00000000-0006-0000-0300-000017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xr:uid="{00000000-0006-0000-0300-000018000000}">
      <text>
        <r>
          <rPr>
            <b/>
            <sz val="9"/>
            <color indexed="81"/>
            <rFont val="Tahoma"/>
            <family val="2"/>
          </rPr>
          <t>SAOWANI DETJAREANSRI:</t>
        </r>
        <r>
          <rPr>
            <sz val="9"/>
            <color indexed="81"/>
            <rFont val="Tahoma"/>
            <family val="2"/>
          </rPr>
          <t xml:space="preserve">
rev0 = 19
rev1 = 21</t>
        </r>
      </text>
    </comment>
    <comment ref="AP7" authorId="1" shapeId="0" xr:uid="{00000000-0006-0000-0300-000019000000}">
      <text>
        <r>
          <rPr>
            <b/>
            <sz val="9"/>
            <color indexed="81"/>
            <rFont val="Tahoma"/>
            <family val="2"/>
          </rPr>
          <t>Quantumuser:</t>
        </r>
        <r>
          <rPr>
            <sz val="9"/>
            <color indexed="81"/>
            <rFont val="Tahoma"/>
            <family val="2"/>
          </rPr>
          <t xml:space="preserve">
rev0 = 19 KT
rev1 = 20 KT</t>
        </r>
      </text>
    </comment>
    <comment ref="AQ7" authorId="1" shapeId="0" xr:uid="{00000000-0006-0000-0300-00001A000000}">
      <text>
        <r>
          <rPr>
            <b/>
            <sz val="9"/>
            <color indexed="81"/>
            <rFont val="Tahoma"/>
            <family val="2"/>
          </rPr>
          <t>Quantumuser:</t>
        </r>
        <r>
          <rPr>
            <sz val="9"/>
            <color indexed="81"/>
            <rFont val="Tahoma"/>
            <family val="2"/>
          </rPr>
          <t xml:space="preserve">
rev0 = 16 KT
rev1 = 17 KT</t>
        </r>
      </text>
    </comment>
    <comment ref="AS7" authorId="1" shapeId="0" xr:uid="{00000000-0006-0000-0300-00001B000000}">
      <text>
        <r>
          <rPr>
            <b/>
            <sz val="9"/>
            <color indexed="81"/>
            <rFont val="Tahoma"/>
            <family val="2"/>
          </rPr>
          <t>Quantumuser:</t>
        </r>
        <r>
          <rPr>
            <sz val="9"/>
            <color indexed="81"/>
            <rFont val="Tahoma"/>
            <family val="2"/>
          </rPr>
          <t xml:space="preserve">
rev0 = 17 KT
</t>
        </r>
      </text>
    </comment>
    <comment ref="AT7" authorId="1" shapeId="0" xr:uid="{00000000-0006-0000-0300-00001C000000}">
      <text>
        <r>
          <rPr>
            <b/>
            <sz val="9"/>
            <color indexed="81"/>
            <rFont val="Tahoma"/>
            <family val="2"/>
          </rPr>
          <t>Quantumuser:</t>
        </r>
        <r>
          <rPr>
            <sz val="9"/>
            <color indexed="81"/>
            <rFont val="Tahoma"/>
            <family val="2"/>
          </rPr>
          <t xml:space="preserve">
Nom @Jun = 18 KT
</t>
        </r>
      </text>
    </comment>
    <comment ref="AV7" authorId="2" shapeId="0" xr:uid="{00000000-0006-0000-0300-00001D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xr:uid="{00000000-0006-0000-0300-00001E000000}">
      <text>
        <r>
          <rPr>
            <b/>
            <sz val="9"/>
            <color indexed="81"/>
            <rFont val="Tahoma"/>
            <family val="2"/>
          </rPr>
          <t>Quantumuser:</t>
        </r>
        <r>
          <rPr>
            <sz val="9"/>
            <color indexed="81"/>
            <rFont val="Tahoma"/>
            <family val="2"/>
          </rPr>
          <t xml:space="preserve">
rev0 = 17 
rev1 = 19 GSP balance inv
rev2 = 21 GSP balance inv</t>
        </r>
      </text>
    </comment>
    <comment ref="AY7" authorId="1" shapeId="0" xr:uid="{00000000-0006-0000-0300-00001F000000}">
      <text>
        <r>
          <rPr>
            <b/>
            <sz val="9"/>
            <color indexed="81"/>
            <rFont val="Tahoma"/>
            <family val="2"/>
          </rPr>
          <t>Quantumuser:
rev0 = 15
rev1 = 18
rev2 = 19 KT</t>
        </r>
      </text>
    </comment>
    <comment ref="AZ7" authorId="2" shapeId="0" xr:uid="{00000000-0006-0000-0300-000020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xr:uid="{00000000-0006-0000-0300-000021000000}">
      <text>
        <r>
          <rPr>
            <b/>
            <sz val="9"/>
            <color indexed="81"/>
            <rFont val="Tahoma"/>
            <family val="2"/>
          </rPr>
          <t>Quantumuser:
rev0 = 22.5 KT
rev1 = 25.2 KT เนื่องจากโยก 2.7 KT มาจากเดือน ก.พ. 63</t>
        </r>
      </text>
    </comment>
    <comment ref="BB7" authorId="2" shapeId="0" xr:uid="{00000000-0006-0000-0300-000022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xr:uid="{00000000-0006-0000-0300-00002300000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xr:uid="{00000000-0006-0000-0300-000024000000}">
      <text>
        <r>
          <rPr>
            <b/>
            <sz val="9"/>
            <color indexed="81"/>
            <rFont val="Tahoma"/>
            <family val="2"/>
          </rPr>
          <t>Windows User:</t>
        </r>
        <r>
          <rPr>
            <sz val="9"/>
            <color indexed="81"/>
            <rFont val="Tahoma"/>
            <family val="2"/>
          </rPr>
          <t xml:space="preserve">
rev0 = 24.5 KT
rev1 = 25.5 KT</t>
        </r>
      </text>
    </comment>
    <comment ref="BI7" authorId="2" shapeId="0" xr:uid="{00000000-0006-0000-0300-000025000000}">
      <text>
        <r>
          <rPr>
            <b/>
            <sz val="9"/>
            <color indexed="81"/>
            <rFont val="Tahoma"/>
            <family val="2"/>
          </rPr>
          <t>Windows User:
rev0 = 21.5 KT
rev1 = 20 KT เหตุจาก GSP5</t>
        </r>
      </text>
    </comment>
    <comment ref="BJ7" authorId="2" shapeId="0" xr:uid="{00000000-0006-0000-0300-000026000000}">
      <text>
        <r>
          <rPr>
            <b/>
            <sz val="9"/>
            <color indexed="81"/>
            <rFont val="Tahoma"/>
            <family val="2"/>
          </rPr>
          <t>Windows User:</t>
        </r>
        <r>
          <rPr>
            <sz val="9"/>
            <color indexed="81"/>
            <rFont val="Tahoma"/>
            <family val="2"/>
          </rPr>
          <t xml:space="preserve">
20</t>
        </r>
      </text>
    </comment>
    <comment ref="BK7" authorId="2" shapeId="0" xr:uid="{00000000-0006-0000-0300-000027000000}">
      <text>
        <r>
          <rPr>
            <b/>
            <sz val="9"/>
            <color indexed="81"/>
            <rFont val="Tahoma"/>
            <family val="2"/>
          </rPr>
          <t>Windows User:</t>
        </r>
        <r>
          <rPr>
            <sz val="9"/>
            <color indexed="81"/>
            <rFont val="Tahoma"/>
            <family val="2"/>
          </rPr>
          <t xml:space="preserve">
rev1 = 24.5 KT
</t>
        </r>
      </text>
    </comment>
    <comment ref="BL7" authorId="2" shapeId="0" xr:uid="{00000000-0006-0000-0300-000028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7" authorId="2" shapeId="0" xr:uid="{00000000-0006-0000-0300-000029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7" authorId="2" shapeId="0" xr:uid="{00000000-0006-0000-0300-00002A000000}">
      <text>
        <r>
          <rPr>
            <b/>
            <sz val="9"/>
            <color indexed="81"/>
            <rFont val="Tahoma"/>
            <family val="2"/>
          </rPr>
          <t>Windows User:</t>
        </r>
        <r>
          <rPr>
            <sz val="9"/>
            <color indexed="81"/>
            <rFont val="Tahoma"/>
            <family val="2"/>
          </rPr>
          <t xml:space="preserve">
rev0 = 27.5 KT
rev1 = 26.5 KT
rev2 = 26 KT</t>
        </r>
      </text>
    </comment>
    <comment ref="CP7" authorId="2" shapeId="0" xr:uid="{00000000-0006-0000-0300-00002B000000}">
      <text>
        <r>
          <rPr>
            <b/>
            <sz val="9"/>
            <color indexed="81"/>
            <rFont val="Tahoma"/>
            <family val="2"/>
          </rPr>
          <t>Windows User:</t>
        </r>
        <r>
          <rPr>
            <sz val="9"/>
            <color indexed="81"/>
            <rFont val="Tahoma"/>
            <family val="2"/>
          </rPr>
          <t xml:space="preserve">
สัญญา &gt; 250 KT</t>
        </r>
      </text>
    </comment>
    <comment ref="I8" authorId="0" shapeId="0" xr:uid="{00000000-0006-0000-0300-00002C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xr:uid="{00000000-0006-0000-0300-00002D000000}">
      <text>
        <r>
          <rPr>
            <sz val="9"/>
            <color indexed="81"/>
            <rFont val="Tahoma"/>
            <family val="2"/>
          </rPr>
          <t xml:space="preserve">ทำ nom ให้ลูกค้า 30 Km3
</t>
        </r>
      </text>
    </comment>
    <comment ref="M8" authorId="0" shapeId="0" xr:uid="{00000000-0006-0000-0300-00002E000000}">
      <text>
        <r>
          <rPr>
            <sz val="9"/>
            <color indexed="81"/>
            <rFont val="Tahoma"/>
            <family val="2"/>
          </rPr>
          <t>ROC T/A : 4 พ.ย. 59 – 13 ธ.ค. 59</t>
        </r>
      </text>
    </comment>
    <comment ref="N8" authorId="0" shapeId="0" xr:uid="{00000000-0006-0000-0300-00002F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xr:uid="{00000000-0006-0000-0300-000030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xr:uid="{00000000-0006-0000-0300-000031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xr:uid="{00000000-0006-0000-0300-000032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xr:uid="{00000000-0006-0000-0300-000033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xr:uid="{00000000-0006-0000-0300-000034000000}">
      <text>
        <r>
          <rPr>
            <b/>
            <sz val="9"/>
            <color indexed="81"/>
            <rFont val="Tahoma"/>
            <family val="2"/>
          </rPr>
          <t>SAOWANI DETJAREANSRI:</t>
        </r>
        <r>
          <rPr>
            <sz val="9"/>
            <color indexed="81"/>
            <rFont val="Tahoma"/>
            <family val="2"/>
          </rPr>
          <t xml:space="preserve">
rev0 = 55 km3
</t>
        </r>
      </text>
    </comment>
    <comment ref="AO8" authorId="0" shapeId="0" xr:uid="{00000000-0006-0000-0300-000035000000}">
      <text>
        <r>
          <rPr>
            <b/>
            <sz val="9"/>
            <color indexed="81"/>
            <rFont val="Tahoma"/>
            <family val="2"/>
          </rPr>
          <t>SAOWANI DETJAREANSRI:</t>
        </r>
        <r>
          <rPr>
            <sz val="9"/>
            <color indexed="81"/>
            <rFont val="Tahoma"/>
            <family val="2"/>
          </rPr>
          <t xml:space="preserve">
rev0 = 54 Km3
rev1 = 55 Km3 เพื่อ balance inv GSP</t>
        </r>
      </text>
    </comment>
    <comment ref="AU8" authorId="1" shapeId="0" xr:uid="{00000000-0006-0000-0300-000036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xr:uid="{00000000-0006-0000-0300-000037000000}">
      <text>
        <r>
          <rPr>
            <b/>
            <sz val="9"/>
            <color indexed="81"/>
            <rFont val="Tahoma"/>
            <family val="2"/>
          </rPr>
          <t>Quantumuser:</t>
        </r>
        <r>
          <rPr>
            <sz val="9"/>
            <color indexed="81"/>
            <rFont val="Tahoma"/>
            <family val="2"/>
          </rPr>
          <t xml:space="preserve">
rev0 = 53 km3
rev1 = 55 km3</t>
        </r>
      </text>
    </comment>
    <comment ref="BC8" authorId="2" shapeId="0" xr:uid="{00000000-0006-0000-0300-000038000000}">
      <text>
        <r>
          <rPr>
            <b/>
            <sz val="9"/>
            <color indexed="81"/>
            <rFont val="Tahoma"/>
            <family val="2"/>
          </rPr>
          <t>Windows User:</t>
        </r>
        <r>
          <rPr>
            <sz val="9"/>
            <color indexed="81"/>
            <rFont val="Tahoma"/>
            <family val="2"/>
          </rPr>
          <t xml:space="preserve">
rev0 = 43.6 Km3
</t>
        </r>
      </text>
    </comment>
    <comment ref="BD8" authorId="2" shapeId="0" xr:uid="{00000000-0006-0000-0300-000039000000}">
      <text>
        <r>
          <rPr>
            <b/>
            <sz val="9"/>
            <color indexed="81"/>
            <rFont val="Tahoma"/>
            <family val="2"/>
          </rPr>
          <t>Windows User:</t>
        </r>
        <r>
          <rPr>
            <sz val="9"/>
            <color indexed="81"/>
            <rFont val="Tahoma"/>
            <family val="2"/>
          </rPr>
          <t xml:space="preserve">
53.3 Km3 (Spot MOP'J - 34.5)</t>
        </r>
      </text>
    </comment>
    <comment ref="BE8" authorId="2" shapeId="0" xr:uid="{00000000-0006-0000-0300-00003A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xr:uid="{00000000-0006-0000-0300-00003B000000}">
      <text>
        <r>
          <rPr>
            <b/>
            <sz val="9"/>
            <color indexed="81"/>
            <rFont val="Tahoma"/>
            <family val="2"/>
          </rPr>
          <t>Windows User:</t>
        </r>
        <r>
          <rPr>
            <sz val="9"/>
            <color indexed="81"/>
            <rFont val="Tahoma"/>
            <family val="2"/>
          </rPr>
          <t xml:space="preserve">
rev0 = 42.22 Km3
rev1 = 40 Km3
</t>
        </r>
      </text>
    </comment>
    <comment ref="BJ8" authorId="2" shapeId="0" xr:uid="{00000000-0006-0000-0300-00003C000000}">
      <text>
        <r>
          <rPr>
            <b/>
            <sz val="9"/>
            <color indexed="81"/>
            <rFont val="Tahoma"/>
            <family val="2"/>
          </rPr>
          <t>Windows User:</t>
        </r>
        <r>
          <rPr>
            <sz val="9"/>
            <color indexed="81"/>
            <rFont val="Tahoma"/>
            <family val="2"/>
          </rPr>
          <t xml:space="preserve">
rev0 = 40.6 Km3
rev1 = 42.6 Km3 SCG ขอเพิ่ม</t>
        </r>
      </text>
    </comment>
    <comment ref="BK8" authorId="2" shapeId="0" xr:uid="{00000000-0006-0000-0300-00003D000000}">
      <text>
        <r>
          <rPr>
            <b/>
            <sz val="9"/>
            <color indexed="81"/>
            <rFont val="Tahoma"/>
            <family val="2"/>
          </rPr>
          <t xml:space="preserve">Windows User:rev1
rev 1 = 45 Km3
</t>
        </r>
      </text>
    </comment>
    <comment ref="K10" authorId="0" shapeId="0" xr:uid="{00000000-0006-0000-0300-00003E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xr:uid="{00000000-0006-0000-0300-00003F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xr:uid="{00000000-0006-0000-0300-00004000000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xr:uid="{00000000-0006-0000-0300-000041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xr:uid="{00000000-0006-0000-0300-000042000000}">
      <text>
        <r>
          <rPr>
            <b/>
            <sz val="9"/>
            <color indexed="81"/>
            <rFont val="Tahoma"/>
            <family val="2"/>
          </rPr>
          <t>SAOWANI DETJAREANSRI:</t>
        </r>
        <r>
          <rPr>
            <sz val="9"/>
            <color indexed="81"/>
            <rFont val="Tahoma"/>
            <family val="2"/>
          </rPr>
          <t xml:space="preserve">
20-22 July 18
PTT TANK</t>
        </r>
      </text>
    </comment>
    <comment ref="AI10" authorId="0" shapeId="0" xr:uid="{00000000-0006-0000-0300-000043000000}">
      <text>
        <r>
          <rPr>
            <b/>
            <sz val="9"/>
            <color indexed="81"/>
            <rFont val="Tahoma"/>
            <family val="2"/>
          </rPr>
          <t>SAOWANI DETJAREANSRI:</t>
        </r>
        <r>
          <rPr>
            <sz val="9"/>
            <color indexed="81"/>
            <rFont val="Tahoma"/>
            <family val="2"/>
          </rPr>
          <t xml:space="preserve">
PTT TANK</t>
        </r>
      </text>
    </comment>
    <comment ref="AJ10" authorId="0" shapeId="0" xr:uid="{00000000-0006-0000-0300-000044000000}">
      <text>
        <r>
          <rPr>
            <b/>
            <sz val="9"/>
            <color indexed="81"/>
            <rFont val="Tahoma"/>
            <family val="2"/>
          </rPr>
          <t>SAOWANI DETJAREANSRI:</t>
        </r>
        <r>
          <rPr>
            <sz val="9"/>
            <color indexed="81"/>
            <rFont val="Tahoma"/>
            <family val="2"/>
          </rPr>
          <t xml:space="preserve">
PTT TANK</t>
        </r>
      </text>
    </comment>
    <comment ref="AZ10" authorId="1" shapeId="0" xr:uid="{00000000-0006-0000-0300-000045000000}">
      <text>
        <r>
          <rPr>
            <b/>
            <sz val="9"/>
            <color indexed="81"/>
            <rFont val="Tahoma"/>
            <family val="2"/>
          </rPr>
          <t xml:space="preserve">Quantumuser:
rev 0 = 1.9 Km3
rev1 = 0.5 Km3 cancel
</t>
        </r>
      </text>
    </comment>
    <comment ref="BJ10" authorId="2" shapeId="0" xr:uid="{00000000-0006-0000-0300-000046000000}">
      <text>
        <r>
          <rPr>
            <b/>
            <sz val="9"/>
            <color indexed="81"/>
            <rFont val="Tahoma"/>
            <family val="2"/>
          </rPr>
          <t>Windows User:</t>
        </r>
        <r>
          <rPr>
            <sz val="9"/>
            <color indexed="81"/>
            <rFont val="Tahoma"/>
            <family val="2"/>
          </rPr>
          <t xml:space="preserve">
NGL Export @MT = 1.8 Km3 clear ของ MT</t>
        </r>
      </text>
    </comment>
    <comment ref="BK10" authorId="2" shapeId="0" xr:uid="{00000000-0006-0000-0300-000047000000}">
      <text>
        <r>
          <rPr>
            <b/>
            <sz val="9"/>
            <color indexed="81"/>
            <rFont val="Tahoma"/>
            <family val="2"/>
          </rPr>
          <t>Windows User:</t>
        </r>
        <r>
          <rPr>
            <sz val="9"/>
            <color indexed="81"/>
            <rFont val="Tahoma"/>
            <family val="2"/>
          </rPr>
          <t xml:space="preserve">
ส่งออก NGL to TBU 3-5 Feb
</t>
        </r>
      </text>
    </comment>
    <comment ref="AX12" authorId="2" shapeId="0" xr:uid="{00000000-0006-0000-0300-000048000000}">
      <text>
        <r>
          <rPr>
            <b/>
            <sz val="9"/>
            <color indexed="81"/>
            <rFont val="Tahoma"/>
            <family val="2"/>
          </rPr>
          <t>Windows User:</t>
        </r>
        <r>
          <rPr>
            <sz val="9"/>
            <color indexed="81"/>
            <rFont val="Tahoma"/>
            <family val="2"/>
          </rPr>
          <t xml:space="preserve">
ห้ามเกิน 47%</t>
        </r>
      </text>
    </comment>
    <comment ref="AY12" authorId="1" shapeId="0" xr:uid="{00000000-0006-0000-0300-000049000000}">
      <text>
        <r>
          <rPr>
            <b/>
            <sz val="9"/>
            <color indexed="81"/>
            <rFont val="Tahoma"/>
            <family val="2"/>
          </rPr>
          <t>Quantumuser:</t>
        </r>
        <r>
          <rPr>
            <sz val="9"/>
            <color indexed="81"/>
            <rFont val="Tahoma"/>
            <family val="2"/>
          </rPr>
          <t xml:space="preserve">
ไม่ควรปิดสูงกว่า 35%</t>
        </r>
      </text>
    </comment>
  </commentList>
</comments>
</file>

<file path=xl/sharedStrings.xml><?xml version="1.0" encoding="utf-8"?>
<sst xmlns="http://schemas.openxmlformats.org/spreadsheetml/2006/main" count="766" uniqueCount="365">
  <si>
    <t>GC</t>
  </si>
  <si>
    <t>SPRC</t>
  </si>
  <si>
    <t>PTTEP (LKB)</t>
  </si>
  <si>
    <t>GSP RY</t>
  </si>
  <si>
    <t>Supply</t>
  </si>
  <si>
    <t>GSP KHM</t>
  </si>
  <si>
    <t>Demand</t>
  </si>
  <si>
    <t>Source</t>
  </si>
  <si>
    <t>Petro</t>
  </si>
  <si>
    <t>M.7</t>
  </si>
  <si>
    <t>Delivery Point</t>
  </si>
  <si>
    <t>GC (C3/LPG)</t>
  </si>
  <si>
    <t>HMC (C3)</t>
  </si>
  <si>
    <t>PTTAC (C3)</t>
  </si>
  <si>
    <t>MT</t>
  </si>
  <si>
    <t>SGP</t>
  </si>
  <si>
    <t>UGP</t>
  </si>
  <si>
    <t>BCP</t>
  </si>
  <si>
    <t>Big gas</t>
  </si>
  <si>
    <t>PTT TANK</t>
  </si>
  <si>
    <t>PTTOR</t>
  </si>
  <si>
    <t xml:space="preserve">BRP </t>
  </si>
  <si>
    <t>PTT TANK (Truck)</t>
  </si>
  <si>
    <t>PAP</t>
  </si>
  <si>
    <t>WP</t>
  </si>
  <si>
    <t xml:space="preserve">SPRC </t>
  </si>
  <si>
    <t>PTTEP/LKB (Truck)</t>
  </si>
  <si>
    <t xml:space="preserve">PTTEP/LKB </t>
  </si>
  <si>
    <t>IRPC</t>
  </si>
  <si>
    <t>ESSO</t>
  </si>
  <si>
    <t>Customer</t>
  </si>
  <si>
    <t>Total Supply</t>
  </si>
  <si>
    <t>Supply Source</t>
  </si>
  <si>
    <t>Updated</t>
  </si>
  <si>
    <t>Old</t>
  </si>
  <si>
    <t>Lastest</t>
  </si>
  <si>
    <t>Demand Petro</t>
  </si>
  <si>
    <t>Petro M.7</t>
  </si>
  <si>
    <t>Petro Non M.7</t>
  </si>
  <si>
    <t>GC+ROC</t>
  </si>
  <si>
    <t>HMC+PTTAC</t>
  </si>
  <si>
    <t>% Inventory</t>
  </si>
  <si>
    <t>Diff</t>
  </si>
  <si>
    <t>KT</t>
  </si>
  <si>
    <t>TON</t>
  </si>
  <si>
    <t>%</t>
  </si>
  <si>
    <t>Import</t>
  </si>
  <si>
    <t>รอจำหน่าย</t>
  </si>
  <si>
    <t>Total Demand</t>
  </si>
  <si>
    <t>PTTOR (C3)</t>
  </si>
  <si>
    <t>ดึง Unknow untax</t>
  </si>
  <si>
    <t>UNO</t>
  </si>
  <si>
    <t>NGL (km3)</t>
  </si>
  <si>
    <t>Km3</t>
  </si>
  <si>
    <t>Supply (IN)</t>
  </si>
  <si>
    <t>Demand (OUT)</t>
  </si>
  <si>
    <t xml:space="preserve">PTTGC (km3) </t>
  </si>
  <si>
    <t>Export RY</t>
  </si>
  <si>
    <t>-</t>
  </si>
  <si>
    <t>Inventory</t>
  </si>
  <si>
    <t>End Inventory (m3)</t>
  </si>
  <si>
    <t>End Inventory (%)</t>
  </si>
  <si>
    <t>ROC 2019 ต้องมากกว่า 600 Km3 เพื่อความพึงพอใจของลูกค้า</t>
  </si>
  <si>
    <t>Surplus/Deficit</t>
  </si>
  <si>
    <t>Total Petro</t>
  </si>
  <si>
    <t>Non M.7</t>
  </si>
  <si>
    <t>PTTGC (kTON)</t>
  </si>
  <si>
    <t>ROC</t>
  </si>
  <si>
    <t>NGL 2019</t>
  </si>
  <si>
    <t>MOP'J-15.5</t>
  </si>
  <si>
    <t>MOP'J-12</t>
  </si>
  <si>
    <t>นับ GC 200 KT</t>
  </si>
  <si>
    <t>Unit</t>
  </si>
  <si>
    <t>10-15 KT</t>
  </si>
  <si>
    <t>ดึง Import จ่ายเพิ่ม</t>
  </si>
  <si>
    <t>Import จ่ายแทน GSP</t>
  </si>
  <si>
    <t>8-12 KT</t>
  </si>
  <si>
    <t>Ability 11 rev0</t>
  </si>
  <si>
    <t>Ability 11 rev0 (stab 600)</t>
  </si>
  <si>
    <t>Orchid</t>
  </si>
  <si>
    <t>(LPG GSP to MT,BRP)-GC-import</t>
  </si>
  <si>
    <t>LPG limit @MT/BRP 184 KT</t>
  </si>
  <si>
    <t>เพื่อดูไฟล์ Daily LPG GSP to MT/BRP/PTT TANK</t>
  </si>
  <si>
    <t>เพื่อดู Limit max cap ท่อ</t>
  </si>
  <si>
    <t>PTTOR (LPG ไม่มีกลิ่น)</t>
  </si>
  <si>
    <t>เพื่อใส่ใน New balance</t>
  </si>
  <si>
    <t>เพื่อดู การเสนอราคา import to PTTOR</t>
  </si>
  <si>
    <t>Import Cargo</t>
  </si>
  <si>
    <t>MT+BRP</t>
  </si>
  <si>
    <t xml:space="preserve">Supply </t>
  </si>
  <si>
    <t>GSP RY Production</t>
  </si>
  <si>
    <t>GC Production</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</si>
  <si>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</si>
  <si>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</si>
  <si>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</si>
  <si>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</si>
  <si>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</si>
  <si>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</si>
  <si>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</si>
  <si>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</si>
  <si>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</si>
  <si>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</si>
  <si>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</si>
  <si>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</si>
  <si>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</si>
  <si>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 TBU ดึง Import ขาย Re-Export</t>
  </si>
  <si>
    <t>- GSP ดึง Import ขาย Re-Export (Vessel)</t>
  </si>
  <si>
    <t>- GSP ดึง Import ขาย Re-Export (Truck)</t>
  </si>
  <si>
    <t>BRP Ending Inventory</t>
  </si>
  <si>
    <t>Total LR (GSP RY+MT+BRP)</t>
  </si>
  <si>
    <t>Stock (GSP RY+MT+BRP)</t>
  </si>
  <si>
    <t xml:space="preserve">LR by Legal </t>
  </si>
  <si>
    <t>LR by Internal Control</t>
  </si>
  <si>
    <t>MT-Sphere Ending Inventory</t>
  </si>
  <si>
    <t>MT-C3 Refig Ending Inventory</t>
  </si>
  <si>
    <t>MT-C4 Refig Ending Inventory</t>
  </si>
  <si>
    <t>MT-C3 Refig Ending Inventory (LIFE)</t>
  </si>
  <si>
    <t>MT-C4 Refig Ending Inventory (LIFE)</t>
  </si>
  <si>
    <t>SCG</t>
  </si>
  <si>
    <t>MOP'J-12.5</t>
  </si>
  <si>
    <t>NGL 2020</t>
  </si>
  <si>
    <t>LPG GSP RY + KHM (156 + 5%) 161 KT</t>
  </si>
  <si>
    <t>GC (C3)</t>
  </si>
  <si>
    <t>SCG (C3)</t>
  </si>
  <si>
    <t>SCG/ROC (LPG)</t>
  </si>
  <si>
    <t>SUM</t>
  </si>
  <si>
    <t>Balance C3</t>
  </si>
  <si>
    <t>Balance LPG</t>
  </si>
  <si>
    <t>Balance C3/LPG</t>
  </si>
  <si>
    <t>C3 End Inventory</t>
  </si>
  <si>
    <t>LPG End Inventory</t>
  </si>
  <si>
    <t>C3/LPG End Inventory</t>
  </si>
  <si>
    <t>C3/LPG GSP RY</t>
  </si>
  <si>
    <t>C3 GSP RY</t>
  </si>
  <si>
    <t>LPG GSP RY</t>
  </si>
  <si>
    <t>% C3/LPG Inventory</t>
  </si>
  <si>
    <t xml:space="preserve">Balance C3 (Directly) --&gt; (-) ผลิตน้อยกว่าขาย </t>
  </si>
  <si>
    <t>Check</t>
  </si>
  <si>
    <t>GC (LPG)</t>
  </si>
  <si>
    <t>จำนวนวัน</t>
  </si>
  <si>
    <t>All Source</t>
  </si>
  <si>
    <t xml:space="preserve">Total Demand Petro + M.7 </t>
  </si>
  <si>
    <t>All Delivery Point</t>
  </si>
  <si>
    <t>All</t>
  </si>
  <si>
    <t>Demand M.7</t>
  </si>
  <si>
    <t>Demand Petro + M.7</t>
  </si>
  <si>
    <t>All Refinery</t>
  </si>
  <si>
    <t>M.7 C3+LPG Total Demand</t>
  </si>
  <si>
    <t>M.7 LPG Total Demand</t>
  </si>
  <si>
    <t>หน้า GSP RY</t>
  </si>
  <si>
    <r>
      <rPr>
        <b/>
        <sz val="11"/>
        <color theme="1"/>
        <rFont val="Calibri"/>
        <family val="2"/>
        <scheme val="minor"/>
      </rPr>
      <t>PTTOR</t>
    </r>
    <r>
      <rPr>
        <sz val="11"/>
        <color theme="1"/>
        <rFont val="Calibri"/>
        <family val="2"/>
        <scheme val="minor"/>
      </rPr>
      <t xml:space="preserve"> C3+LPG Total Demand</t>
    </r>
  </si>
  <si>
    <r>
      <t xml:space="preserve">M.7 </t>
    </r>
    <r>
      <rPr>
        <b/>
        <sz val="11"/>
        <color theme="1"/>
        <rFont val="Calibri"/>
        <family val="2"/>
        <scheme val="minor"/>
      </rPr>
      <t xml:space="preserve">LPG Total Demand </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</si>
  <si>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</si>
  <si>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</si>
  <si>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SGP+UGP </t>
    </r>
    <r>
      <rPr>
        <sz val="11"/>
        <color theme="1"/>
        <rFont val="Calibri"/>
        <family val="2"/>
        <scheme val="minor"/>
      </rPr>
      <t>LPG Total Demand</t>
    </r>
  </si>
  <si>
    <t>% Inventory (&lt;30% จจ. พิจารณาดึง import แทน C3 Cross to LPG)</t>
  </si>
  <si>
    <t>MT ก่อนหัก import</t>
  </si>
  <si>
    <t>SPRC+EP+KHM</t>
  </si>
  <si>
    <r>
      <rPr>
        <b/>
        <sz val="8"/>
        <color theme="0" tint="-0.499984740745262"/>
        <rFont val="Calibri"/>
        <family val="2"/>
        <scheme val="minor"/>
      </rPr>
      <t>PTTOR</t>
    </r>
    <r>
      <rPr>
        <sz val="8"/>
        <color theme="0" tint="-0.499984740745262"/>
        <rFont val="Calibri"/>
        <family val="2"/>
        <scheme val="minor"/>
      </rPr>
      <t xml:space="preserve"> C3+LPG หัก C3 Truck/Ordourant</t>
    </r>
  </si>
  <si>
    <t>Chevron</t>
  </si>
  <si>
    <r>
      <rPr>
        <b/>
        <sz val="11"/>
        <color theme="1"/>
        <rFont val="Calibri"/>
        <family val="2"/>
        <scheme val="minor"/>
      </rPr>
      <t xml:space="preserve">Chevron </t>
    </r>
    <r>
      <rPr>
        <sz val="11"/>
        <color theme="1"/>
        <rFont val="Calibri"/>
        <family val="2"/>
        <scheme val="minor"/>
      </rPr>
      <t>LPG Total Demand</t>
    </r>
  </si>
  <si>
    <t>เสนอ import OR (+)</t>
  </si>
  <si>
    <t>Atlas</t>
  </si>
  <si>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</si>
  <si>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</si>
  <si>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</si>
  <si>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Term import</t>
  </si>
  <si>
    <t>GSP need</t>
  </si>
  <si>
    <t>GSP C2 Production</t>
  </si>
  <si>
    <t>Ton/hr.</t>
  </si>
  <si>
    <t>Low CO2 (ETU 65 Ton/hr.)</t>
  </si>
  <si>
    <t>Standard Rate</t>
  </si>
  <si>
    <t>Allocate ลดลงตามสัดส่วน</t>
  </si>
  <si>
    <t>C2 GC</t>
  </si>
  <si>
    <t>C2 SCG</t>
  </si>
  <si>
    <t xml:space="preserve">Diff New - Old </t>
  </si>
  <si>
    <t>Allo C2 Low CO2 to SCG</t>
  </si>
  <si>
    <t>Allo C2 Low CO2 to GC</t>
  </si>
  <si>
    <t>Allo C2 High CO2 to GC</t>
  </si>
  <si>
    <t>SCG (Sum C3)</t>
  </si>
  <si>
    <t>MOC (Sub C3)</t>
  </si>
  <si>
    <t>C3 import</t>
  </si>
  <si>
    <t>Export to IRPC@MT</t>
  </si>
  <si>
    <r>
      <t>ROC</t>
    </r>
    <r>
      <rPr>
        <sz val="8"/>
        <color theme="1"/>
        <rFont val="Calibri"/>
        <family val="2"/>
        <scheme val="minor"/>
      </rPr>
      <t xml:space="preserve"> (max meter 48 T/hr.)72 m3/hr)--&gt; 38 T/hr.</t>
    </r>
  </si>
  <si>
    <t>Ton/day</t>
  </si>
  <si>
    <t>MT (หัก import แล้ว)</t>
  </si>
  <si>
    <t>PTTAC (C3 Spot)</t>
  </si>
  <si>
    <t>LPG Petro Tank capacity (11,502 TON)</t>
  </si>
  <si>
    <t>LPG Petro End Inventory</t>
  </si>
  <si>
    <t>% LPG Petro Inventory (&gt;30%)</t>
  </si>
  <si>
    <t>Balance LPG Dom</t>
  </si>
  <si>
    <t>LPG Dom End Inventory</t>
  </si>
  <si>
    <t>% LPG Dom Inventory (&gt;30%)</t>
  </si>
  <si>
    <t>LPG Tank capacity (36,655.2 TON)</t>
  </si>
  <si>
    <t>C3 Tank capacity (10,820.4 TON)</t>
  </si>
  <si>
    <t>LPG Dom Tank capacity (25,153.2 TON)</t>
  </si>
  <si>
    <t>C3/LPG Tank capacity (47,475.6 TON)</t>
  </si>
  <si>
    <t>LPG GSP RY - Petro</t>
  </si>
  <si>
    <t>LPG GSP RY - Dom</t>
  </si>
  <si>
    <t>LPG Petro Cross to LPG Dom</t>
  </si>
  <si>
    <t>GSP C2 Low CO2 Production &lt; 65 Ton/hr.</t>
  </si>
  <si>
    <t>Total C2 to GC</t>
  </si>
  <si>
    <t xml:space="preserve">Balance Total C2 </t>
  </si>
  <si>
    <t>Balance C2 Low CO2</t>
  </si>
  <si>
    <t>Total Allo to GC</t>
  </si>
  <si>
    <r>
      <t xml:space="preserve">Closing stock @GSP+MT+BRP (LR) </t>
    </r>
    <r>
      <rPr>
        <b/>
        <sz val="10"/>
        <rFont val="Calibri"/>
        <family val="2"/>
        <scheme val="minor"/>
      </rPr>
      <t>(min กม. 19 KT/ internal LR 36 KT)</t>
    </r>
  </si>
  <si>
    <t>SCG Demand (Updated on 31/3/64)</t>
  </si>
  <si>
    <t>C2 Low CO2 to SCG</t>
  </si>
  <si>
    <t>น้ำเงิน</t>
  </si>
  <si>
    <t>แดง</t>
  </si>
  <si>
    <t>Tentative</t>
  </si>
  <si>
    <t>ลูกค้า OK</t>
  </si>
  <si>
    <t>Ability 5rev2_16Apr'21</t>
  </si>
  <si>
    <t>Total C2 (Ability 5rev2_16Apr'21)</t>
  </si>
  <si>
    <t>Balance LPG Petro (ประมาณ 54 KT check เดือนต่อเดือน)</t>
  </si>
  <si>
    <t>Since Jul'21 วาง max 15 Ton/hr. แล้วตัดตามอัตราส่วน</t>
  </si>
  <si>
    <t>Ability6rev0_7May'21 (ฉบับแก้ไข)</t>
  </si>
  <si>
    <t>Ability 6rev0_7May'21 (ฉบับแก้ไข)</t>
  </si>
  <si>
    <t>Total C2 (Ability 6rev0_7May'21) (ฉบับแก้ไข)</t>
  </si>
  <si>
    <t>Cross to LPG (normal cross C3 to aerosol 1,000 Ton/เดือน)</t>
  </si>
  <si>
    <t>มาจาก 2021_06_Ability Plan_rev0 แก้ไขเอกสารแนบ.xlsx  (Sheet ::Ability, B43)</t>
  </si>
  <si>
    <t>มาจาก 2021_06_Ability Plan_rev0 แก้ไขเอกสารแนบ.xlsx  (Sheet ::Ability, B44)</t>
  </si>
  <si>
    <r>
      <t xml:space="preserve">คำถาม กรณีที่มี rev. ใหม่กว่าจากตัวอย่าง Total C2 (Ability 6rev0_7May'21) (ฉบับแก้ไข) </t>
    </r>
    <r>
      <rPr>
        <b/>
        <sz val="11"/>
        <color rgb="FFFF0000"/>
        <rFont val="Calibri (Body)"/>
      </rPr>
      <t>เป็น Total C2 (Ability 7rev0_7May'21) (ฉบับแก้ไข) ระบบจะต้องลบด้วย v.ล่าสุดใช่หรือไม่</t>
    </r>
  </si>
  <si>
    <t>จำนวนวันของแต่ละเดือน</t>
  </si>
  <si>
    <t>Diff New - Old  =Total C2 (Ability 6rev0_7May'21) (ฉบับแก้ไข) KT - Total C2 (Ability 5rev2_16Apr'21)</t>
  </si>
  <si>
    <t>Diff New - Old  =Low CO2 (ETU 65 Ton/hr.) Ton/hr. - Low CO2 (ETU 65 Ton/hr.)</t>
  </si>
  <si>
    <t>ข้อมูลต้นทางมาจากไหน?</t>
  </si>
  <si>
    <t>แค่เว้นบรรทัดเฉยๆใช่หรือไม่ สามารถลบออกได้ไหม?</t>
  </si>
  <si>
    <t>SCG Demand (Updated on 31/3/64) KT =SCG Demand (Updated on 31/3/64)	TON /1000</t>
  </si>
  <si>
    <t>Total C2 (Ability 6rev0_7May'21) (ฉบับแก้ไข) Ton/hr. = Total C2 (Ability 6rev0_7May'21) (ฉบับแก้ไข) KT/ 24 ชม /จำนวนวันของแต่ละเดือน *1000</t>
  </si>
  <si>
    <t>Low CO2 (ETU 65 Ton/hr.) Ton/hr. = Low CO2 (ETU 65 Ton/hr.) KT/ 24 ชม /จำนวนวันของแต่ละเดือน *1000</t>
  </si>
  <si>
    <t>SCG Demand (Updated on 31/3/64)	Ton/hr. =SCG Demand (Updated on 31/3/64)	KT/ 24 ชม /จำนวนวันของแต่ละเดือน *1000</t>
  </si>
  <si>
    <t>คำถาม  /10 ^3 ข้อมูลมาจากไหน</t>
  </si>
  <si>
    <t>Allo C2 Low CO2 to SCG	Ton/hr. =SCG Demand (Updated on 31/3/64)	Ton/hr. + SCG	 Ton/hr.</t>
  </si>
  <si>
    <t>Allo C2 Low CO2 to SCG	KT = Allo C2 Low CO2 to SCG	 TON /10 ^3</t>
  </si>
  <si>
    <t>Allo C2 Low CO2 to SCG	TON =Allo C2 Low CO2 to SCG 	Ton/hr. * 24 ชม.* จำนวนวันของแต่ละเดือน</t>
  </si>
  <si>
    <t>SCG Demand (Updated on 31/3/64)	Ton/day =SCG Demand (Updated on 31/3/64)	 Ton/hr. * 24 ชม.</t>
  </si>
  <si>
    <t>Allo C2 Low CO2 to SCG	Ton/day = Allo C2 Low CO2 to SCG	Ton/hr. * 24 ชม</t>
  </si>
  <si>
    <t>Allo C2 Low CO2 to GC 	TON= Allo C2 Low CO2 to GC	Ton/hr.* 24 ชม * จำนวนวันของแต่ละเดือน</t>
  </si>
  <si>
    <t>Allo C2 High CO2 to GC	 TON =Allo C2 High CO2 to GC	Ton/hr. * 24 ชม. *จำนวนวันของแต่ละเดือน</t>
  </si>
  <si>
    <t>Total Allo to GC	TON =  Allo C2 Low CO2 to GC	TON +Allo C2 High CO2 to GC	TON</t>
  </si>
  <si>
    <t>Allo C2 Low CO2 to GC	KT = Allo C2 Low CO2 to GC	TON/1000</t>
  </si>
  <si>
    <t>Allo C2 High CO2 to GC	KT = Allo C2 High CO2 to GC	TON /1000</t>
  </si>
  <si>
    <t>Allo C2 Low CO2 to GC	Ton/hr. = Low CO2 (ETU 65 Ton/hr.)	Ton/hr. -Allo C2 Low CO2 to SCG	Ton/hr.</t>
  </si>
  <si>
    <t>Allo C2 High CO2 to GC	Ton/hr. = Total C2 (Ability 6rev0_7May'21) (ฉบับแก้ไข)	Ton/hr. - Low CO2 (ETU 65 Ton/hr.)	Ton/hr.</t>
  </si>
  <si>
    <t>Total C2 to GC	Ton/hr. =Allo C2 Low CO2 to GC	Ton/hr. - Allo C2 High CO2 to GC	Ton/hr.</t>
  </si>
  <si>
    <t>Balance Total C2  	KT =Total C2 (Ability 6rev0_7May'21) (ฉบับแก้ไข) 	KT -Allo C2 Low CO2 to GC	 KT-Allo C2 High CO2 to GC	 KT-Allo C2 Low CO2 to SCG	 KT</t>
  </si>
  <si>
    <t>Balance C2 Low CO2	 KT =Low CO2 (ETU 65 Ton/hr.)	KT -Allo C2 Low CO2 to SCG	 KT-Allo C2 Low CO2 to GC	 KT</t>
  </si>
  <si>
    <t>Supply GSP RY =GSP RY Production + GC Production +Import</t>
  </si>
  <si>
    <t>อ้างอิงจาก Sheet :: C3LPG ,A8 (Import จ่ายแทน GSP)</t>
  </si>
  <si>
    <t>อ้างอิงจาก Sheet :: C3LPG ,A61 (GC)</t>
  </si>
  <si>
    <t>อ้างอิงจาก Sheet :: C3LPG ,A59 (C3/LPG GSP RY)</t>
  </si>
  <si>
    <t>Demand GSP RY = แผนขาย Petro + จ่าย Domestic + รอขายเพิ่ม</t>
  </si>
  <si>
    <t>อ้างอิงจาก Sheet :: C3LPG ,A160 (Demand Petro)</t>
  </si>
  <si>
    <t>จ่าย Domestic = PTT Tank + MT&amp;BRP (Vary) +GSP RY</t>
  </si>
  <si>
    <t>อ้างอิงจาก Sheet :: C3LPG ,A164 (All Source, M.7 LPG Total Demand, PTT TANK)</t>
  </si>
  <si>
    <t>อ้างอิงจาก Sheet :: C3LPG ,A165 (All Source, M.7 LPG Total Demand, MT+BRP)</t>
  </si>
  <si>
    <t>อ้างอิงจาก Sheet :: C3LPG ,A166 (GSP RY, M.7 C3+LPG Total Demand, หน้า GSP RY)</t>
  </si>
  <si>
    <t>อ้างอิงจาก Sheet :: C3LPG ,A9 (รอจำหน่าย)</t>
  </si>
  <si>
    <t>Supply  MT&amp;BRP = GSP + Import</t>
  </si>
  <si>
    <t>GSP = MT&amp;BRP (Vary).  (A11)</t>
  </si>
  <si>
    <t>Import =  GSP ดึงจ่าย import  + Re-Export</t>
  </si>
  <si>
    <t>GSP ดึงจ่าย import = Import (A6)</t>
  </si>
  <si>
    <t>Re-Export = TBU ดึง Import ขาย Re-Export + GSP ดึง Import ขาย Re-Export (Vessel) + GSP ดึง Import ขาย Re-Export (Truck)</t>
  </si>
  <si>
    <t>Demand MT&amp;BRP = Domestic + \Re-Export</t>
  </si>
  <si>
    <t>Domestic =MT&amp;BRP (Vary) (A11)</t>
  </si>
  <si>
    <t>ข้อมูลตั้งแต่มาจากไหน ? จากการตรวจสอบพบว่าเป็นข้อมูลของเดือนก่อนหน้า หรือ เป็นข้อมูลที่คีย์เข้ามาเอง</t>
  </si>
  <si>
    <t xml:space="preserve">ข้อมูลตั้งแต่มาจากไหน ? </t>
  </si>
  <si>
    <t>MT-C4 Refig Ending Inventory (LIFE) =MT-C3 Refig Ending Inventory (LIFE) ของเดือนก่อนหน้า + MT-C4 Refig Ending Inventory (LIFE)ของเดือนก่อนหน้า + Import Cargo ของเดือนปัจจุบัน - Re-Export  ของเดือนปัจจุบัน -GSP ดึงจ่าย import ของเดือนปัจจุบัน</t>
  </si>
  <si>
    <t>Closing stock @GSP+MT+BRP (LR) (min กม. 19 KT/ internal LR 36 KT) = (BRP Ending Inventory +MT-Sphere Ending Inventory + MT-C3 Refig Ending Inventory + MT-C4 Refig Ending Inventory + MT-C3 Refig Ending Inventory (LIFE) +MT-C4 Refig Ending Inventory (LIFE)) + GSP RY Ending Inventory</t>
  </si>
  <si>
    <t>GSP need =  Import Cargo -  TBU ดึง Import ขาย Re-Export</t>
  </si>
  <si>
    <t>Total LR (GSP RY+MT+BRP) =  Closing stock @GSP+MT+BRP (LR) (min กม. 19 KT/ internal LR 36 KT)</t>
  </si>
  <si>
    <t>Stock (GSP RY+MT+BRP) = Total LR (GSP RY+MT+BRP) - Import Cargo</t>
  </si>
  <si>
    <t>Import Cargo =  Import Cargo (A33)</t>
  </si>
  <si>
    <t>LR by Legal =5+14 มาจากไหน ?</t>
  </si>
  <si>
    <t>LR by Internal Control =19+17 มาจากไหน ?</t>
  </si>
  <si>
    <t>อ้างอิงจาก Sheet :: C3LPG ,AO2 (C3/LPG End Inventory / 1000)</t>
  </si>
  <si>
    <t>C3/LPG End Inventory / 1000</t>
  </si>
  <si>
    <t>คำถาม อันนี้คือค่าอะไร</t>
  </si>
  <si>
    <t>% C3/LPG Inventory = C3/LPG End Inventory / C3/LPG Tank capacity (47,475.6 TON)</t>
  </si>
  <si>
    <t>% Inventory = C3 End Inventory / C3 Tank capacity (10,820.4 TON)</t>
  </si>
  <si>
    <t>Balance C3 (Directly) --&gt; (-) ผลิตน้อยกว่าขาย  = C3 GSP RY (A55) - GSP RY GC (C3) GSP RY (A97) - GSP RY	SCG (C3)	GSP RY (A99) - GSP RY	HMC (C3)	GSP RY (A102) -  GSP RY	PTTAC (C3)	GSP RY (A103) - GSP RY	PTTOR (C3)	GSP RY (A105)</t>
  </si>
  <si>
    <t>C3 End Inventory = C3 End Inventory ของเดือนก่อนหน้า - Cross to LPG (normal cross C3 to aerosol 1,000 Ton/เดือน) ของเดือนปัจจุบัน + ((C3 GSP RY (A55) - GSP RY GC (C3) GSP RY (A97) - GSP RY	MOC (Sub C3)	GSP RY (A100)-GSP RY	SCG (C3)	GSP RY (A99)-GSP RY	MOC (Sub C3)	GSP RY(A100) - GSP RY	HMC (C3)	GSP RY (A102) -  GSP RY	PTTAC (C3)	GSP RY (A103)-GSP RY	PTTAC (C3 Spot)	GSP RY (A104) - GSP RY	PTTOR (C3)	GSP RY (A105))*1000)</t>
  </si>
  <si>
    <t>LPG End Inventory = LPG End Inventory ของเดือนก่อนหน้า + Cross to LPG (normal cross C3 to aerosol 1,000 Ton/เดือน) ของเดือนปัจจุบัน +((AO56+AO61+AO8-AO9+AO10-AO98-AO101-AO106-AO107-AO108-AO109-AO110-AO111-AO112-AO113-AO114-AO115-AO116-AO117-AO118-AO119-AO120-AO121-AO122-AO123-AO124-AO125-AO126-AO127-AO128-AO129-AO130-AO131-AO135-AO136-AO137-AO138-AO139-AO140-AO141-AO142-AO143-AO144-AO145-AO146-AO147-AO148-AO149-AO150-AO151)*1000)</t>
  </si>
  <si>
    <t>% Inventory (&lt;30% จจ. พิจารณาดึง import แทน C3 Cross to LPG) =LPG End Inventory /LPG Tank capacity (36,655.2 TON)</t>
  </si>
  <si>
    <t>LPG Petro End Inventory = LPG Petro End Inventory ของเดือนก่อนหน้า - LPG Petro Cross to LPG Dom ของเดือนปัจจุบัน +(LPG GSP RY - Petro (A57) - GSP RY	GC (LPG)	GSP RY (A98) -  GSP RY	SCG/ROC (LPG)	GSP RY (A101))*1000</t>
  </si>
  <si>
    <t>% LPG Petro Inventory (&gt;30%) =LPG Petro End Inventory / LPG Petro Tank capacity (11,502 TON)</t>
  </si>
  <si>
    <t>LPG Dom End Inventory =  LPG Dom End Inventory ของเดือนก่อนหน้า +  Cross to LPG (normal cross C3 to aerosol 1,000 Ton/เดือน) + LPG Petro Cross to LPG Dom + ((AO58+AO61+AO8-AO9+AO10-AO106-AO107-AO108-AO109-AO110-AO111-AO112-AO113-AO114-AO115-AO116-AO117-AO118-AO119-AO120-AO121-AO122-AO123-AO124-AO125-AO126-AO127-AO128-AO129-AO130-AO131-AO135-AO136-AO137-AO138-AO139-AO140-AO141-AO142-AO143-AO144-AO145-AO146-AO147-AO148-AO149-AO150-AO151)*1000)</t>
  </si>
  <si>
    <t>% LPG Dom Inventory (&gt;30%) = LPG Dom End Inventory / LPG Dom Tank capacity (25,153.2 TON)</t>
  </si>
  <si>
    <t>LPG GSP RY =C3/LPG GSP RY - C3 GSP RY</t>
  </si>
  <si>
    <t>C3 GSP RY= LPG GSP RY (A56) - C3 GSP RY (A42)</t>
  </si>
  <si>
    <t>Total Supply = C3/LPG GSP RY (A46) + IRPC (A47)+ GC (A48) +SPRC (A49) + PTTEP/LKB (A50)  + GSP KHM (A51)</t>
  </si>
  <si>
    <t>Total Supply = C3/LPG GSP RY (A59) + IRPC (A60) + GC  (A61) +SPRC (A62) + PTTEP/LKB (A63) + GSP KHM (A64)</t>
  </si>
  <si>
    <t>LPG GSP RY = LPG GSP RY (A56) - LPG GSP RY (A43)</t>
  </si>
  <si>
    <t>C3/LPG GSP RY = C3/LPG GSP RY (A59) - C3/LPG GSP RY (A46)</t>
  </si>
  <si>
    <t>GC = GC (A61) -  GC (A48)</t>
  </si>
  <si>
    <t>SPRC = SPRC (A62) - SPRC (A49)</t>
  </si>
  <si>
    <t>PTTEP/LKB  = PTTEP/LKB  (A63)- PTTEP/LKB  (A50)</t>
  </si>
  <si>
    <t>GSP KHM = GSP KHM (A63) - GSP KHM (A51)</t>
  </si>
  <si>
    <t>Total Supply = C3/LPG GSP RY (A72) + GC (A73) + SPRC (A74)  + PTTEP/LKB (A75) + GSP KHM (A76)</t>
  </si>
  <si>
    <t xml:space="preserve">IF = GSP RY	PTTOR	MT ก่อนหัก import (A107) &gt; Import จ่ายแทน GSP (A8) ให้แสดงค่า Import จ่ายแทน GSP (A8) แต่ถ้าไม่ใช่ GSP RY	PTTOR	MT ก่อนหัก import (A107) </t>
  </si>
  <si>
    <t>IF= Import จ่ายแทน GSP (A8) = (A78) ให้แสดงค่า 0 แต่ถ้าไม่ใช่ให้ Import จ่ายแทน GSP (A8) - (A78)</t>
  </si>
  <si>
    <t>IF = Import	 PTTOR	 MT (A81) +  Import	 SGP	 MT (A82) &gt; Import จ่ายแทน GSP (A8) ให้แสดงค่า 0 แต่ถ้าไม่ใช้ Import จ่ายแทน GSP (A8) - ( Import	 PTTOR	 MT (A81) +  Import	 SGP	 MT (A82) )</t>
  </si>
  <si>
    <t>=A78</t>
  </si>
  <si>
    <t xml:space="preserve">IF= (A79) &lt; GSP RY	 SGP	 MT (A111) ให้แสดงค่า (A79) แต่ถ้าไม่ใช้ให้แสดง GSP RY	 SGP	 MT (A111) </t>
  </si>
  <si>
    <t>=A80</t>
  </si>
  <si>
    <t xml:space="preserve">ข้อมูล ROW A84- A87 จะต้องแสดงใน รายงานด้วยหรือไม่ </t>
  </si>
  <si>
    <t>ข้อมูล ROW A78- A80 จะต้องแสดงใน รายงานด้วยหรือไม่</t>
  </si>
  <si>
    <t>= GSP RY	 PTTOR	 MT ก่อนหัก import (A107) - Import จ่ายแทน GSP (A8) -  ดึง Unknow untax (A10)</t>
  </si>
  <si>
    <t xml:space="preserve">IF =  (A84) &gt; 0 ให้แสดงค่า GSP RY	 SGP	 MT (A111) แต่ถ้าไม่ใช่ให้แสดงค่าGSP RY	 SGP	 MT (A111) + (A84) </t>
  </si>
  <si>
    <t>IF = (A85) &gt; 0  ให้แสดงข้อมูล GSP RY	 UGP	 MT (A112) แต่ถ้าไม่ใช่ให้แสดงค่า GSP RY	 UGP	 MT (A112)  + (A85)</t>
  </si>
  <si>
    <t>IF = (A84) &lt; 0 ให้แดงค่า 0 แต่ถ้าไม่ใช่ให้แสดงค่า (A84)</t>
  </si>
  <si>
    <t>IF = (A85) &lt; 0 ให้แดงค่า 0 แต่ถ้าไม่ใช่ให้แสดงค่า (A85)</t>
  </si>
  <si>
    <t>IF = (A86) &lt; 0 ให้แดงค่า 0 แต่ถ้าไม่ใช่ให้แสดงค่า (A86)</t>
  </si>
  <si>
    <t>(LPG GSP to MT,BRP)-GC-import = ผลรวมของ (AO107:AO151) - Import จ่ายแทน GSP (A8) - GC (A61) - ดึง Unknow untax (A10)</t>
  </si>
  <si>
    <t>LPG limit @MT/BRP 184 KT = AO107+AO108+AO111+AO112+AO113+AO115+AO117+AO120+AO123+AO125+AO127+AO128+AO135+AO138+AO140+AO143+AO145+AO147+AO149-AO8-AO10</t>
  </si>
  <si>
    <t>LPG GSP RY + KHM (156 + 5%) 161 KT = AO107+AO108+AO109+AO158+AO136+AO135</t>
  </si>
  <si>
    <t>?</t>
  </si>
  <si>
    <t>GSP RY	 SCG (Sum C3)	 GSP RY =  GSP RY	 SCG (C3)	 GSP RY (A99) + GSP RY	 MOC (Sub C3)	 GSP RY (A100) + C3 import	 SCG	 SCG (A93)</t>
  </si>
  <si>
    <t>GSP RY	 GC (C3/LPG)	 GSP RY =  GSP RY	 GC (C3)	 GSP RY (A97) + GSP RY	 GC (LPG)	 GSP RY (A98)</t>
  </si>
  <si>
    <r>
      <t>Lastest =</t>
    </r>
    <r>
      <rPr>
        <b/>
        <sz val="11"/>
        <color rgb="FF0000FF"/>
        <rFont val="Calibri"/>
        <family val="2"/>
        <scheme val="minor"/>
      </rPr>
      <t>AO59-AO95-AO99-AO101-AO102-AO103-AO111-AO112-AO113-AO114-AO115-AO116-AO117-AO118-AO120-AO121-AO123-AO124-AO125-AO126-AO127-AO128-AO129-AO130-AO131</t>
    </r>
  </si>
  <si>
    <r>
      <t xml:space="preserve">GSP RY	 GC (C3)	 GSP RY = </t>
    </r>
    <r>
      <rPr>
        <sz val="11"/>
        <color rgb="FFFF0000"/>
        <rFont val="Calibri"/>
        <family val="2"/>
        <charset val="222"/>
        <scheme val="minor"/>
      </rPr>
      <t xml:space="preserve"> </t>
    </r>
    <r>
      <rPr>
        <sz val="11"/>
        <color rgb="FFFF0000"/>
        <rFont val="Calibri (Body)"/>
      </rPr>
      <t xml:space="preserve">720 </t>
    </r>
    <r>
      <rPr>
        <sz val="11"/>
        <color rgb="FF0000FF"/>
        <rFont val="Calibri"/>
        <family val="2"/>
        <charset val="222"/>
        <scheme val="minor"/>
      </rPr>
      <t>* จำนวนวันของแต่ละเดือน /1000</t>
    </r>
  </si>
  <si>
    <t>คำถาม ค่า 720 มาจากไหน</t>
  </si>
  <si>
    <r>
      <t xml:space="preserve">GSP RY	GC (LPG)	GSP RY =  </t>
    </r>
    <r>
      <rPr>
        <sz val="11"/>
        <color rgb="FFFF0000"/>
        <rFont val="Calibri (Body)"/>
      </rPr>
      <t xml:space="preserve">1100 </t>
    </r>
    <r>
      <rPr>
        <sz val="11"/>
        <color rgb="FF0000FF"/>
        <rFont val="Calibri"/>
        <family val="2"/>
        <charset val="222"/>
        <scheme val="minor"/>
      </rPr>
      <t xml:space="preserve"> * จำนวนวันของแต่ละเดือน /1000</t>
    </r>
  </si>
  <si>
    <r>
      <t xml:space="preserve">GSP RY	 HMC (C3)	 GSP RY =  </t>
    </r>
    <r>
      <rPr>
        <sz val="11"/>
        <color rgb="FFFF0000"/>
        <rFont val="Calibri (Body)"/>
      </rPr>
      <t>1040</t>
    </r>
    <r>
      <rPr>
        <sz val="11"/>
        <color rgb="FF0000FF"/>
        <rFont val="Calibri"/>
        <family val="2"/>
        <charset val="222"/>
        <scheme val="minor"/>
      </rPr>
      <t xml:space="preserve"> * จำนวนวันของแต่ละเดือน /1000</t>
    </r>
  </si>
  <si>
    <t>GC	 PTTOR	 MT = AO61-AO136-AO137-AO138-AO139-AO140-AO141-AO143-AO144-AO145-AO146-AO147-AO148-AO149-AO150-AO142</t>
  </si>
  <si>
    <t>SPRC 	PTTOR	 SPRC =  SPRC (A62) - SPRC	 PAP	 SPRC  (A154) - SPRC	 WP	 SPRC  (A155) - SPRC	 Atlas	 SPRC (A156)</t>
  </si>
  <si>
    <t>=PTTEP/LKB  (A63)</t>
  </si>
  <si>
    <t>=GSP KHM (A64)</t>
  </si>
  <si>
    <t>Demand Petro = Petro M.7 (A161) + Petro Non M.7 (A162)</t>
  </si>
  <si>
    <t>Petro M.7 = AO97+AO98+AO99+AO100+AO101</t>
  </si>
  <si>
    <t>Petro Non M.7 = AO102+AO103+AO104</t>
  </si>
  <si>
    <t>ผลรวมของ (AO105:AO158)</t>
  </si>
  <si>
    <t>ผลรวมของ AO109+AO110+AO114+AO116+AO118+AO119+AO121+AO122+AO124+AO126+AO129+AO130+AO131+AO136+AO137+AO139+AO141+AO144+AO146+AO148+AO150+AO151+AO142</t>
  </si>
  <si>
    <t>ผลรวมของ AO107+AO108+AO111+AO112+AO113+AO115+AO117+AO120+AO123+AO125+AO127+AO128+AO135+AO138+AO140+AO143+AO145+AO147+AO149</t>
  </si>
  <si>
    <t>ผลรวมของ AO105+AO106</t>
  </si>
  <si>
    <t>ผลรวมของ (AO153:AO158)</t>
  </si>
  <si>
    <t>ผลรวมของ (AO106:AO131)</t>
  </si>
  <si>
    <t>ผลรวมของ (AO107:AO110,AO135:AO137,AO153,AO157,AO158,AO105,AO106,AO132)</t>
  </si>
  <si>
    <t>ผลรวมของ AO169-AO105-AO106</t>
  </si>
  <si>
    <t>ผลรวมของ AO111+AO112</t>
  </si>
  <si>
    <t>ผลรวมของ AO117+AO118+AO140+AO141+AO142+AO154+AO119</t>
  </si>
  <si>
    <t>ผลรวมของ AO120+AO121+AO133+AO143+AO144+AO155</t>
  </si>
  <si>
    <t>ผลรวมของ AO122+AO156</t>
  </si>
  <si>
    <t>ผลรวมของ AO113+AO114+AO138+AO139</t>
  </si>
  <si>
    <t>ผลรวมของ AO115+AO116</t>
  </si>
  <si>
    <t>ผลรวมของ AO125+AO126+AO147+AO148</t>
  </si>
  <si>
    <t>ผลรวมของ (AO97:AO158)</t>
  </si>
  <si>
    <t>ผลรวมของ AO178-AO160-AO105-AO106</t>
  </si>
  <si>
    <t>ผลรวมของ AO61-AO135-AO136-AO137-AO138-AO139-AO140-AO141-AO143-AO144-AO145-AO146-AO147-AO148-AO149-AO150-AO151</t>
  </si>
  <si>
    <t>ผลรวมของ AO62-AO153-AO155-AO154-AO156</t>
  </si>
  <si>
    <t>ผลรวมของ AO63-AO157</t>
  </si>
  <si>
    <t>ผลรวมของ AO64-AO158</t>
  </si>
  <si>
    <t>=Supply (IN) (A6) - Ability 5rev2_16Apr'21 (B2)</t>
  </si>
  <si>
    <t>คำถาม ค่า 38 มาจากไหน?</t>
  </si>
  <si>
    <r>
      <t>ROC (max meter 48 T/hr.)72 m3/hr)--&gt; 38 T/hr.=</t>
    </r>
    <r>
      <rPr>
        <sz val="11"/>
        <color rgb="FFFF0000"/>
        <rFont val="Tahoma"/>
        <family val="2"/>
      </rPr>
      <t>38</t>
    </r>
    <r>
      <rPr>
        <sz val="11"/>
        <color rgb="FF0000FF"/>
        <rFont val="Tahoma"/>
        <family val="2"/>
      </rPr>
      <t>/0.648*จำนวนวันของแต่ละเดือน*24ชม/1000</t>
    </r>
  </si>
  <si>
    <t>End Inventory (m3) = End Inventory (m3) ข้อมูลของเดือนก่อนหน้า  + (Supply (IN) (A6) - Total Demand (B13))*1000</t>
  </si>
  <si>
    <t>End Inventory (%) = End Inventory (m3) (B11)/22600</t>
  </si>
  <si>
    <t>Total Demand = PTTGC (km3) + ROC (max meter 48 T/hr.)72 m3/hr)--&gt; 38 T/hr. + Export to IRPC@MT + Export RY</t>
  </si>
  <si>
    <t>Surplus/Deficit = (Supply (IN) (A6) - Total Demand (B13)</t>
  </si>
  <si>
    <t>Total Petro = M.7 (B16) + Non M.7 (B17)</t>
  </si>
  <si>
    <t>M.7 =PTTGC (km3)  (B7) +  ROC (max meter 48 T/hr.)72 m3/hr)--&gt; 38 T/hr. (B8)</t>
  </si>
  <si>
    <t>Non M.7 = Export to IRPC@MT (B9)</t>
  </si>
  <si>
    <t>PTTGC (kTON) = PTTGC (km3)  (B7) * 0.648</t>
  </si>
  <si>
    <t>=OC (max meter 48 T/hr.)72 m3/hr)--&gt; 38 T/hr. (B8) * 0.648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</si>
</sst>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41" formatCode="_(* #,##0_);_(* \(#,##0\);_(* &quot;-&quot;_);_(@_)"/>
    <numFmt numFmtId="43" formatCode="_(* #,##0.00_);_(* \(#,##0.00\);_(* &quot;-&quot;??_);_(@_)"/>
    <numFmt numFmtId="164" formatCode="&quot;$&quot;#,##0_);[Red]\(&quot;$&quot;#,##0\)"/>
    <numFmt numFmtId="165" formatCode="&quot;$&quot;#,##0.00_);[Red]\(&quot;$&quot;#,##0.00\)"/>
    <numFmt numFmtId="166" formatCode="_-* #,##0.00_-;\-* #,##0.00_-;_-* &quot;-&quot;??_-;_-@_-"/>
    <numFmt numFmtId="167" formatCode="&quot;฿&quot;#,##0_);\(&quot;฿&quot;#,##0\)"/>
    <numFmt numFmtId="168" formatCode="&quot;฿&quot;#,##0_);[Red]\(&quot;฿&quot;#,##0\)"/>
    <numFmt numFmtId="169" formatCode="_(&quot;฿&quot;* #,##0_);_(&quot;฿&quot;* \(#,##0\);_(&quot;฿&quot;* &quot;-&quot;_);_(@_)"/>
    <numFmt numFmtId="170" formatCode="_(&quot;฿&quot;* #,##0.00_);_(&quot;฿&quot;* \(#,##0.00\);_(&quot;฿&quot;* &quot;-&quot;??_);_(@_)"/>
    <numFmt numFmtId="171" formatCode="B1mmm\-yy"/>
    <numFmt numFmtId="172" formatCode="_-* #,##0.0_-;\-* #,##0.0_-;_-* &quot;-&quot;??_-;_-@_-"/>
    <numFmt numFmtId="173" formatCode="B1d\-mmm"/>
    <numFmt numFmtId="174" formatCode="_-* #,##0_-;\-* #,##0_-;_-* &quot;-&quot;??_-;_-@_-"/>
    <numFmt numFmtId="175" formatCode="_(* #,##0_);_(* \(#,##0\);_(* &quot;-&quot;??_);_(@_)"/>
    <numFmt numFmtId="176" formatCode="_(* #,##0.0_);_(* \(#,##0.0\);_(* &quot;-&quot;??_);_(@_)"/>
    <numFmt numFmtId="177" formatCode="0.0"/>
    <numFmt numFmtId="178" formatCode="0.00_)"/>
    <numFmt numFmtId="179" formatCode="0.00000_)"/>
    <numFmt numFmtId="180" formatCode="0000"/>
    <numFmt numFmtId="181" formatCode="&quot;฿&quot;##,#00_);\(&quot;฿&quot;##,#00\)"/>
    <numFmt numFmtId="182" formatCode="#,##0.000000"/>
    <numFmt numFmtId="183" formatCode="\t#,##0.00_);\(\t#,##0.00\)"/>
    <numFmt numFmtId="184" formatCode="#,##0.0;[Red]\(#,##0.0\)"/>
    <numFmt numFmtId="185" formatCode="#,##0;\(#,##0\)"/>
    <numFmt numFmtId="186" formatCode="&quot;$&quot;#,##0.0_);\(&quot;$&quot;#,##0.0\)"/>
    <numFmt numFmtId="187" formatCode="&quot;$&quot;#,##0.0"/>
    <numFmt numFmtId="188" formatCode="General_)"/>
    <numFmt numFmtId="189" formatCode="&quot;?&quot;#,##0.0;\(&quot;?&quot;#,##0.0\)"/>
    <numFmt numFmtId="190" formatCode="#,##0\ \d\a\y\s"/>
    <numFmt numFmtId="191" formatCode="#,##0\ \m\o\n\t\h"/>
    <numFmt numFmtId="192" formatCode="[$-409]mmmm\ yyyy;@"/>
    <numFmt numFmtId="193" formatCode="[$-409]dd/mmm/yy;@"/>
    <numFmt numFmtId="194" formatCode="[$-409]mmm\-yy;@"/>
    <numFmt numFmtId="195" formatCode="yyyy"/>
    <numFmt numFmtId="196" formatCode="#,##0\ \y\r."/>
  </numFmts>
  <fonts count="197">
    <font>
      <sz val="11"/>
      <color theme="1"/>
      <name val="Calibri"/>
      <family val="2"/>
      <charset val="222"/>
      <scheme val="minor"/>
    </font>
    <font>
      <sz val="11"/>
      <color theme="1"/>
      <name val="Calibri"/>
      <family val="2"/>
      <scheme val="minor"/>
    </font>
    <font>
      <sz val="11"/>
      <color theme="1"/>
      <name val="Calibri"/>
      <family val="2"/>
      <charset val="222"/>
      <scheme val="minor"/>
    </font>
    <font>
      <sz val="11"/>
      <color rgb="FFFF0000"/>
      <name val="Calibri"/>
      <family val="2"/>
      <charset val="222"/>
      <scheme val="minor"/>
    </font>
    <font>
      <b/>
      <sz val="11"/>
      <color rgb="FFFF0000"/>
      <name val="Calibri"/>
      <family val="2"/>
      <scheme val="minor"/>
    </font>
    <font>
      <b/>
      <sz val="11"/>
      <color theme="1"/>
      <name val="Calibri"/>
      <family val="2"/>
      <scheme val="minor"/>
    </font>
    <font>
      <sz val="11"/>
      <color theme="1"/>
      <name val="Calibri"/>
      <family val="2"/>
      <scheme val="minor"/>
    </font>
    <font>
      <sz val="11"/>
      <color rgb="FF0000FF"/>
      <name val="Calibri"/>
      <family val="2"/>
      <scheme val="minor"/>
    </font>
    <font>
      <sz val="1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
      <sz val="11"/>
      <color rgb="FF7030A0"/>
      <name val="Calibri"/>
      <family val="2"/>
      <scheme val="minor"/>
    </font>
    <font>
      <sz val="11"/>
      <color rgb="FF00B050"/>
      <name val="Calibri"/>
      <family val="2"/>
      <scheme val="minor"/>
    </font>
    <font>
      <b/>
      <sz val="18"/>
      <color rgb="FF0000FF"/>
      <name val="Calibri"/>
      <family val="2"/>
      <scheme val="minor"/>
    </font>
    <font>
      <b/>
      <sz val="11"/>
      <color rgb="FFC00000"/>
      <name val="Calibri"/>
      <family val="2"/>
      <scheme val="minor"/>
    </font>
    <font>
      <sz val="11"/>
      <color rgb="FFC00000"/>
      <name val="Calibri"/>
      <family val="2"/>
      <charset val="222"/>
      <scheme val="minor"/>
    </font>
    <font>
      <b/>
      <sz val="11"/>
      <color theme="8" tint="-0.249977111117893"/>
      <name val="Calibri"/>
      <family val="2"/>
      <scheme val="minor"/>
    </font>
    <font>
      <b/>
      <sz val="11"/>
      <name val="Calibri"/>
      <family val="2"/>
      <scheme val="minor"/>
    </font>
    <font>
      <b/>
      <sz val="11"/>
      <color theme="0"/>
      <name val="Calibri"/>
      <family val="2"/>
      <scheme val="minor"/>
    </font>
    <font>
      <sz val="8"/>
      <color theme="1"/>
      <name val="Calibri"/>
      <family val="2"/>
      <scheme val="minor"/>
    </font>
    <font>
      <sz val="9"/>
      <color indexed="81"/>
      <name val="Tahoma"/>
      <family val="2"/>
    </font>
    <font>
      <b/>
      <sz val="9"/>
      <color indexed="81"/>
      <name val="Tahoma"/>
      <family val="2"/>
    </font>
    <font>
      <sz val="11"/>
      <color rgb="FF0000FF"/>
      <name val="Calibri"/>
      <family val="2"/>
      <charset val="222"/>
      <scheme val="minor"/>
    </font>
    <font>
      <sz val="11"/>
      <name val="Calibri"/>
      <family val="2"/>
      <charset val="222"/>
      <scheme val="minor"/>
    </font>
    <font>
      <b/>
      <sz val="11"/>
      <color rgb="FF0000FF"/>
      <name val="Calibri"/>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Calibri"/>
      <family val="2"/>
      <scheme val="minor"/>
    </font>
    <font>
      <b/>
      <sz val="11"/>
      <color rgb="FFFF00FF"/>
      <name val="Calibri"/>
      <family val="2"/>
      <scheme val="minor"/>
    </font>
    <font>
      <sz val="11"/>
      <color rgb="FF00B050"/>
      <name val="Calibri"/>
      <family val="2"/>
      <charset val="222"/>
      <scheme val="minor"/>
    </font>
    <font>
      <sz val="9"/>
      <color rgb="FF0000FF"/>
      <name val="Calibri"/>
      <family val="2"/>
      <scheme val="minor"/>
    </font>
    <font>
      <b/>
      <sz val="9"/>
      <color theme="1"/>
      <name val="Calibri"/>
      <family val="2"/>
      <scheme val="minor"/>
    </font>
    <font>
      <sz val="11"/>
      <color theme="1"/>
      <name val="Arial"/>
      <family val="2"/>
      <charset val="222"/>
    </font>
    <font>
      <b/>
      <u/>
      <sz val="11"/>
      <color rgb="FFC00000"/>
      <name val="Calibri"/>
      <family val="2"/>
      <scheme val="minor"/>
    </font>
    <font>
      <b/>
      <u/>
      <sz val="11"/>
      <color rgb="FF0000FF"/>
      <name val="Calibri"/>
      <family val="2"/>
      <scheme val="minor"/>
    </font>
    <font>
      <sz val="11"/>
      <color rgb="FF00B0F0"/>
      <name val="Calibri"/>
      <family val="2"/>
      <scheme val="minor"/>
    </font>
    <font>
      <sz val="11"/>
      <color theme="5"/>
      <name val="Calibri"/>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Calibri"/>
      <family val="2"/>
      <scheme val="minor"/>
    </font>
    <font>
      <sz val="11"/>
      <color theme="0" tint="-0.499984740745262"/>
      <name val="Calibri"/>
      <family val="2"/>
      <scheme val="minor"/>
    </font>
    <font>
      <sz val="8"/>
      <color theme="0" tint="-0.499984740745262"/>
      <name val="Calibri"/>
      <family val="2"/>
      <scheme val="minor"/>
    </font>
    <font>
      <b/>
      <sz val="8"/>
      <color theme="0" tint="-0.499984740745262"/>
      <name val="Calibri"/>
      <family val="2"/>
      <scheme val="minor"/>
    </font>
    <font>
      <sz val="11"/>
      <color theme="0" tint="-0.499984740745262"/>
      <name val="Calibri"/>
      <family val="2"/>
      <charset val="222"/>
      <scheme val="minor"/>
    </font>
    <font>
      <sz val="11"/>
      <color rgb="FFC00000"/>
      <name val="Calibri"/>
      <family val="2"/>
      <scheme val="minor"/>
    </font>
    <font>
      <b/>
      <sz val="8"/>
      <color rgb="FF0000FF"/>
      <name val="Calibri"/>
      <family val="2"/>
      <scheme val="minor"/>
    </font>
    <font>
      <b/>
      <sz val="11"/>
      <color theme="1"/>
      <name val="Calibri"/>
      <family val="2"/>
      <charset val="222"/>
      <scheme val="minor"/>
    </font>
    <font>
      <sz val="10"/>
      <color theme="1"/>
      <name val="Tahoma"/>
      <family val="2"/>
    </font>
    <font>
      <b/>
      <sz val="10"/>
      <name val="Tahoma"/>
      <family val="2"/>
    </font>
    <font>
      <b/>
      <sz val="11"/>
      <color rgb="FF0033CC"/>
      <name val="Calibri"/>
      <family val="2"/>
      <charset val="222"/>
      <scheme val="minor"/>
    </font>
    <font>
      <sz val="11"/>
      <color rgb="FF0033CC"/>
      <name val="Calibri"/>
      <family val="2"/>
      <charset val="222"/>
      <scheme val="minor"/>
    </font>
    <font>
      <b/>
      <sz val="11"/>
      <color theme="0" tint="-0.499984740745262"/>
      <name val="Calibri"/>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Calibri"/>
      <family val="2"/>
      <charset val="222"/>
      <scheme val="minor"/>
    </font>
    <font>
      <b/>
      <sz val="11"/>
      <color rgb="FF0000FF"/>
      <name val="Calibri"/>
      <family val="2"/>
      <charset val="222"/>
      <scheme val="minor"/>
    </font>
    <font>
      <sz val="10"/>
      <color rgb="FFFF0000"/>
      <name val="Tahoma"/>
      <family val="2"/>
    </font>
    <font>
      <b/>
      <sz val="10"/>
      <color rgb="FFFF0000"/>
      <name val="Calibri"/>
      <family val="2"/>
      <scheme val="minor"/>
    </font>
    <font>
      <sz val="12"/>
      <color rgb="FF0000FF"/>
      <name val="Calibri"/>
      <family val="2"/>
      <scheme val="minor"/>
    </font>
    <font>
      <sz val="11"/>
      <color theme="1"/>
      <name val="Tahoma"/>
      <family val="2"/>
      <charset val="222"/>
    </font>
    <font>
      <b/>
      <sz val="11"/>
      <name val="Calibri"/>
      <family val="2"/>
      <charset val="222"/>
      <scheme val="minor"/>
    </font>
    <font>
      <sz val="11"/>
      <color rgb="FF0000FF"/>
      <name val="Tahoma"/>
      <family val="2"/>
      <charset val="222"/>
    </font>
    <font>
      <b/>
      <sz val="10"/>
      <color rgb="FF7030A0"/>
      <name val="Tahoma"/>
      <family val="2"/>
    </font>
    <font>
      <sz val="11"/>
      <color rgb="FF7030A0"/>
      <name val="Calibri"/>
      <family val="2"/>
      <charset val="222"/>
      <scheme val="minor"/>
    </font>
    <font>
      <sz val="11"/>
      <color theme="5"/>
      <name val="Calibri"/>
      <family val="2"/>
      <charset val="222"/>
      <scheme val="minor"/>
    </font>
    <font>
      <b/>
      <sz val="11"/>
      <color rgb="FFFF0000"/>
      <name val="Calibri (Body)"/>
    </font>
    <font>
      <sz val="10"/>
      <color rgb="FF0000FF"/>
      <name val="Tahoma"/>
      <family val="2"/>
    </font>
    <font>
      <b/>
      <sz val="11"/>
      <color rgb="FFFF0000"/>
      <name val="Calibri"/>
      <family val="2"/>
      <charset val="222"/>
      <scheme val="minor"/>
    </font>
    <font>
      <sz val="11"/>
      <color rgb="FFFFA7FF"/>
      <name val="Calibri"/>
      <family val="2"/>
      <charset val="222"/>
      <scheme val="minor"/>
    </font>
    <font>
      <b/>
      <sz val="9"/>
      <color rgb="FF000000"/>
      <name val="Tahoma"/>
      <family val="2"/>
    </font>
    <font>
      <sz val="9"/>
      <color rgb="FF000000"/>
      <name val="Tahoma"/>
      <family val="2"/>
    </font>
    <font>
      <sz val="8"/>
      <name val="Calibri"/>
      <family val="2"/>
      <charset val="222"/>
      <scheme val="minor"/>
    </font>
    <font>
      <sz val="11"/>
      <color rgb="FFE265FF"/>
      <name val="Calibri"/>
      <family val="2"/>
      <charset val="222"/>
      <scheme val="minor"/>
    </font>
    <font>
      <sz val="11"/>
      <color rgb="FFFF0000"/>
      <name val="Calibri (Body)"/>
    </font>
    <font>
      <sz val="11"/>
      <color rgb="FF0000FF"/>
      <name val="Tahoma"/>
      <family val="2"/>
    </font>
    <font>
      <sz val="11"/>
      <color rgb="FFFF0000"/>
      <name val="Tahoma"/>
      <family val="2"/>
    </font>
  </fonts>
  <fills count="115">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rgb="FFFFC000"/>
        <bgColor rgb="FF000000"/>
      </patternFill>
    </fill>
    <fill>
      <patternFill patternType="solid">
        <fgColor theme="7"/>
        <bgColor indexed="64"/>
      </patternFill>
    </fill>
    <fill>
      <patternFill patternType="solid">
        <fgColor theme="4" tint="0.39997558519241921"/>
        <bgColor indexed="64"/>
      </patternFill>
    </fill>
  </fills>
  <borders count="59">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111">
    <xf numFmtId="0" fontId="0"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6" fillId="0" borderId="0" applyFont="0" applyFill="0" applyBorder="0" applyAlignment="0" applyProtection="0"/>
    <xf numFmtId="0" fontId="34" fillId="0" borderId="0"/>
    <xf numFmtId="43" fontId="2" fillId="0" borderId="0" applyFont="0" applyFill="0" applyBorder="0" applyAlignment="0" applyProtection="0"/>
    <xf numFmtId="0" fontId="39" fillId="0" borderId="0"/>
    <xf numFmtId="0" fontId="50" fillId="30" borderId="0" applyNumberFormat="0" applyBorder="0" applyAlignment="0" applyProtection="0"/>
    <xf numFmtId="0" fontId="50" fillId="30" borderId="0" applyNumberFormat="0" applyBorder="0" applyAlignment="0" applyProtection="0"/>
    <xf numFmtId="0" fontId="50" fillId="30" borderId="0" applyNumberFormat="0" applyBorder="0" applyAlignment="0" applyProtection="0"/>
    <xf numFmtId="0" fontId="50" fillId="31" borderId="0" applyNumberFormat="0" applyBorder="0" applyAlignment="0" applyProtection="0"/>
    <xf numFmtId="0" fontId="50" fillId="31" borderId="0" applyNumberFormat="0" applyBorder="0" applyAlignment="0" applyProtection="0"/>
    <xf numFmtId="0" fontId="50" fillId="31"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9" fontId="39" fillId="0" borderId="0"/>
    <xf numFmtId="9" fontId="39" fillId="0" borderId="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3" fillId="48" borderId="33" applyNumberFormat="0" applyAlignment="0" applyProtection="0"/>
    <xf numFmtId="0" fontId="53" fillId="48" borderId="33" applyNumberFormat="0" applyAlignment="0" applyProtection="0"/>
    <xf numFmtId="0" fontId="53" fillId="48" borderId="33" applyNumberFormat="0" applyAlignment="0" applyProtection="0"/>
    <xf numFmtId="0" fontId="54" fillId="49" borderId="34" applyNumberFormat="0" applyAlignment="0" applyProtection="0"/>
    <xf numFmtId="0" fontId="54" fillId="49" borderId="34" applyNumberFormat="0" applyAlignment="0" applyProtection="0"/>
    <xf numFmtId="0" fontId="54" fillId="49" borderId="34" applyNumberFormat="0" applyAlignment="0" applyProtection="0"/>
    <xf numFmtId="43" fontId="4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79" fontId="39" fillId="0" borderId="0"/>
    <xf numFmtId="182" fontId="39" fillId="0" borderId="0"/>
    <xf numFmtId="14" fontId="39" fillId="0" borderId="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32" borderId="0" applyNumberFormat="0" applyBorder="0" applyAlignment="0" applyProtection="0"/>
    <xf numFmtId="0" fontId="57" fillId="32" borderId="0" applyNumberFormat="0" applyBorder="0" applyAlignment="0" applyProtection="0"/>
    <xf numFmtId="0" fontId="57" fillId="32" borderId="0" applyNumberFormat="0" applyBorder="0" applyAlignment="0" applyProtection="0"/>
    <xf numFmtId="0" fontId="43" fillId="0" borderId="15" applyNumberFormat="0" applyAlignment="0" applyProtection="0">
      <alignment horizontal="left" vertical="center"/>
    </xf>
    <xf numFmtId="0" fontId="43" fillId="0" borderId="26">
      <alignment horizontal="left" vertical="center"/>
    </xf>
    <xf numFmtId="0" fontId="58" fillId="0" borderId="35" applyNumberFormat="0" applyFill="0" applyAlignment="0" applyProtection="0"/>
    <xf numFmtId="0" fontId="58" fillId="0" borderId="35" applyNumberFormat="0" applyFill="0" applyAlignment="0" applyProtection="0"/>
    <xf numFmtId="0" fontId="58" fillId="0" borderId="35" applyNumberFormat="0" applyFill="0" applyAlignment="0" applyProtection="0"/>
    <xf numFmtId="0" fontId="59" fillId="0" borderId="36" applyNumberFormat="0" applyFill="0" applyAlignment="0" applyProtection="0"/>
    <xf numFmtId="0" fontId="59" fillId="0" borderId="36" applyNumberFormat="0" applyFill="0" applyAlignment="0" applyProtection="0"/>
    <xf numFmtId="0" fontId="59" fillId="0" borderId="36" applyNumberFormat="0" applyFill="0" applyAlignment="0" applyProtection="0"/>
    <xf numFmtId="0" fontId="60" fillId="0" borderId="37" applyNumberFormat="0" applyFill="0" applyAlignment="0" applyProtection="0"/>
    <xf numFmtId="0" fontId="60" fillId="0" borderId="37" applyNumberFormat="0" applyFill="0" applyAlignment="0" applyProtection="0"/>
    <xf numFmtId="0" fontId="60" fillId="0" borderId="37"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35" borderId="33" applyNumberFormat="0" applyAlignment="0" applyProtection="0"/>
    <xf numFmtId="0" fontId="61" fillId="35" borderId="33" applyNumberFormat="0" applyAlignment="0" applyProtection="0"/>
    <xf numFmtId="0" fontId="61" fillId="35" borderId="33" applyNumberFormat="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178" fontId="45" fillId="0" borderId="0"/>
    <xf numFmtId="0" fontId="46" fillId="0" borderId="0"/>
    <xf numFmtId="0" fontId="46" fillId="0" borderId="0"/>
    <xf numFmtId="0" fontId="46" fillId="0" borderId="0"/>
    <xf numFmtId="0" fontId="6" fillId="0" borderId="0"/>
    <xf numFmtId="0" fontId="39" fillId="0" borderId="0"/>
    <xf numFmtId="0" fontId="55" fillId="51" borderId="39" applyNumberFormat="0" applyFont="0" applyAlignment="0" applyProtection="0"/>
    <xf numFmtId="0" fontId="55" fillId="51" borderId="39" applyNumberFormat="0" applyFont="0" applyAlignment="0" applyProtection="0"/>
    <xf numFmtId="0" fontId="55" fillId="51" borderId="39" applyNumberFormat="0" applyFont="0" applyAlignment="0" applyProtection="0"/>
    <xf numFmtId="0" fontId="64" fillId="48" borderId="40" applyNumberFormat="0" applyAlignment="0" applyProtection="0"/>
    <xf numFmtId="0" fontId="64" fillId="48" borderId="40" applyNumberFormat="0" applyAlignment="0" applyProtection="0"/>
    <xf numFmtId="0" fontId="64" fillId="48" borderId="40" applyNumberFormat="0" applyAlignment="0" applyProtection="0"/>
    <xf numFmtId="4" fontId="70" fillId="50" borderId="41" applyNumberFormat="0" applyProtection="0">
      <alignment vertical="center"/>
    </xf>
    <xf numFmtId="4" fontId="70" fillId="52" borderId="41" applyNumberFormat="0" applyProtection="0">
      <alignment horizontal="left" vertical="center" indent="1"/>
    </xf>
    <xf numFmtId="4" fontId="70" fillId="53" borderId="0" applyNumberFormat="0" applyProtection="0">
      <alignment horizontal="left" vertical="center" indent="1"/>
    </xf>
    <xf numFmtId="4" fontId="71" fillId="54" borderId="41" applyNumberFormat="0" applyProtection="0">
      <alignment horizontal="right" vertical="center"/>
    </xf>
    <xf numFmtId="4" fontId="71" fillId="55" borderId="41" applyNumberFormat="0" applyProtection="0">
      <alignment horizontal="right" vertical="center"/>
    </xf>
    <xf numFmtId="4" fontId="71" fillId="54" borderId="41" applyNumberFormat="0" applyProtection="0">
      <alignment horizontal="left" vertical="center" indent="1"/>
    </xf>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9" fontId="41" fillId="0" borderId="0" applyFont="0" applyFill="0" applyBorder="0" applyAlignment="0" applyProtection="0"/>
    <xf numFmtId="181" fontId="39" fillId="0" borderId="0" applyFont="0" applyFill="0" applyBorder="0" applyAlignment="0" applyProtection="0"/>
    <xf numFmtId="183" fontId="39" fillId="0" borderId="0" applyFont="0" applyFill="0" applyBorder="0" applyAlignment="0" applyProtection="0"/>
    <xf numFmtId="180" fontId="39" fillId="0" borderId="0" applyFont="0" applyFill="0" applyBorder="0" applyAlignment="0" applyProtection="0"/>
    <xf numFmtId="184" fontId="40" fillId="0" borderId="0" applyFont="0" applyFill="0" applyBorder="0" applyAlignment="0" applyProtection="0"/>
    <xf numFmtId="0" fontId="41" fillId="0" borderId="0"/>
    <xf numFmtId="0" fontId="39" fillId="0" borderId="0"/>
    <xf numFmtId="0" fontId="6" fillId="0" borderId="0"/>
    <xf numFmtId="0" fontId="39" fillId="0" borderId="0"/>
    <xf numFmtId="0" fontId="42" fillId="0" borderId="0"/>
    <xf numFmtId="0" fontId="6" fillId="0" borderId="0"/>
    <xf numFmtId="43" fontId="40" fillId="0" borderId="0" applyFont="0" applyFill="0" applyBorder="0" applyAlignment="0" applyProtection="0"/>
    <xf numFmtId="185" fontId="73" fillId="0" borderId="0"/>
    <xf numFmtId="186" fontId="44" fillId="0" borderId="0"/>
    <xf numFmtId="187" fontId="44" fillId="0" borderId="0"/>
    <xf numFmtId="0" fontId="46" fillId="0" borderId="0"/>
    <xf numFmtId="0" fontId="6" fillId="0" borderId="0"/>
    <xf numFmtId="9" fontId="39" fillId="0" borderId="0" applyFont="0" applyFill="0" applyBorder="0" applyAlignment="0" applyProtection="0"/>
    <xf numFmtId="0" fontId="6" fillId="0" borderId="0"/>
    <xf numFmtId="0" fontId="6" fillId="0" borderId="0"/>
    <xf numFmtId="0" fontId="2" fillId="0" borderId="0"/>
    <xf numFmtId="4" fontId="71" fillId="52" borderId="40" applyNumberFormat="0" applyProtection="0">
      <alignment vertical="center"/>
    </xf>
    <xf numFmtId="4" fontId="74" fillId="52" borderId="40" applyNumberFormat="0" applyProtection="0">
      <alignment vertical="center"/>
    </xf>
    <xf numFmtId="4" fontId="71" fillId="52" borderId="40" applyNumberFormat="0" applyProtection="0">
      <alignment horizontal="left" vertical="center" indent="1"/>
    </xf>
    <xf numFmtId="4" fontId="71" fillId="52" borderId="40" applyNumberFormat="0" applyProtection="0">
      <alignment horizontal="left" vertical="center" indent="1"/>
    </xf>
    <xf numFmtId="0" fontId="46" fillId="59" borderId="40" applyNumberFormat="0" applyProtection="0">
      <alignment horizontal="left" vertical="center" indent="1"/>
    </xf>
    <xf numFmtId="4" fontId="71" fillId="60" borderId="40" applyNumberFormat="0" applyProtection="0">
      <alignment horizontal="right" vertical="center"/>
    </xf>
    <xf numFmtId="4" fontId="71" fillId="61" borderId="40" applyNumberFormat="0" applyProtection="0">
      <alignment horizontal="right" vertical="center"/>
    </xf>
    <xf numFmtId="4" fontId="71" fillId="62" borderId="40" applyNumberFormat="0" applyProtection="0">
      <alignment horizontal="right" vertical="center"/>
    </xf>
    <xf numFmtId="4" fontId="71" fillId="63" borderId="40" applyNumberFormat="0" applyProtection="0">
      <alignment horizontal="right" vertical="center"/>
    </xf>
    <xf numFmtId="4" fontId="71" fillId="64" borderId="40" applyNumberFormat="0" applyProtection="0">
      <alignment horizontal="right" vertical="center"/>
    </xf>
    <xf numFmtId="4" fontId="71" fillId="65" borderId="40" applyNumberFormat="0" applyProtection="0">
      <alignment horizontal="right" vertical="center"/>
    </xf>
    <xf numFmtId="4" fontId="71" fillId="66" borderId="40" applyNumberFormat="0" applyProtection="0">
      <alignment horizontal="right" vertical="center"/>
    </xf>
    <xf numFmtId="4" fontId="71" fillId="67" borderId="40" applyNumberFormat="0" applyProtection="0">
      <alignment horizontal="right" vertical="center"/>
    </xf>
    <xf numFmtId="4" fontId="71" fillId="68" borderId="40" applyNumberFormat="0" applyProtection="0">
      <alignment horizontal="right" vertical="center"/>
    </xf>
    <xf numFmtId="4" fontId="70" fillId="69" borderId="40" applyNumberFormat="0" applyProtection="0">
      <alignment horizontal="left" vertical="center" indent="1"/>
    </xf>
    <xf numFmtId="4" fontId="71" fillId="70" borderId="43" applyNumberFormat="0" applyProtection="0">
      <alignment horizontal="left" vertical="center" indent="1"/>
    </xf>
    <xf numFmtId="4" fontId="75" fillId="71" borderId="0" applyNumberFormat="0" applyProtection="0">
      <alignment horizontal="left" vertical="center" indent="1"/>
    </xf>
    <xf numFmtId="0" fontId="46" fillId="59" borderId="40" applyNumberFormat="0" applyProtection="0">
      <alignment horizontal="left" vertical="center" indent="1"/>
    </xf>
    <xf numFmtId="4" fontId="71" fillId="70" borderId="40" applyNumberFormat="0" applyProtection="0">
      <alignment horizontal="left" vertical="center" indent="1"/>
    </xf>
    <xf numFmtId="4" fontId="71"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1" fillId="74" borderId="40" applyNumberFormat="0" applyProtection="0">
      <alignment vertical="center"/>
    </xf>
    <xf numFmtId="4" fontId="74" fillId="74" borderId="40" applyNumberFormat="0" applyProtection="0">
      <alignment vertical="center"/>
    </xf>
    <xf numFmtId="4" fontId="71" fillId="74" borderId="40" applyNumberFormat="0" applyProtection="0">
      <alignment horizontal="left" vertical="center" indent="1"/>
    </xf>
    <xf numFmtId="4" fontId="71" fillId="74" borderId="40" applyNumberFormat="0" applyProtection="0">
      <alignment horizontal="left" vertical="center" indent="1"/>
    </xf>
    <xf numFmtId="4" fontId="71" fillId="70" borderId="40" applyNumberFormat="0" applyProtection="0">
      <alignment horizontal="right" vertical="center"/>
    </xf>
    <xf numFmtId="4" fontId="74" fillId="70" borderId="40" applyNumberFormat="0" applyProtection="0">
      <alignment horizontal="right" vertical="center"/>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76" fillId="0" borderId="0"/>
    <xf numFmtId="4" fontId="48" fillId="70" borderId="40" applyNumberFormat="0" applyProtection="0">
      <alignment horizontal="right" vertical="center"/>
    </xf>
    <xf numFmtId="43" fontId="2" fillId="0" borderId="0" applyFont="0" applyFill="0" applyBorder="0" applyAlignment="0" applyProtection="0"/>
    <xf numFmtId="0" fontId="2" fillId="0" borderId="0"/>
    <xf numFmtId="0" fontId="6" fillId="0" borderId="0"/>
    <xf numFmtId="0" fontId="6" fillId="0" borderId="0"/>
    <xf numFmtId="43" fontId="40" fillId="0" borderId="0" applyFont="0" applyFill="0" applyBorder="0" applyAlignment="0" applyProtection="0"/>
    <xf numFmtId="43" fontId="46" fillId="0" borderId="0" applyFont="0" applyFill="0" applyBorder="0" applyAlignment="0" applyProtection="0"/>
    <xf numFmtId="0" fontId="46" fillId="0" borderId="0"/>
    <xf numFmtId="0" fontId="6" fillId="0" borderId="0"/>
    <xf numFmtId="0" fontId="6" fillId="0" borderId="0"/>
    <xf numFmtId="0" fontId="6" fillId="0" borderId="0"/>
    <xf numFmtId="0" fontId="46" fillId="0" borderId="0"/>
    <xf numFmtId="43" fontId="42" fillId="0" borderId="0" applyFont="0" applyFill="0" applyBorder="0" applyAlignment="0" applyProtection="0"/>
    <xf numFmtId="43" fontId="77" fillId="0" borderId="0" applyFont="0" applyFill="0" applyBorder="0" applyAlignment="0" applyProtection="0"/>
    <xf numFmtId="43" fontId="46" fillId="0" borderId="0" applyFont="0" applyFill="0" applyBorder="0" applyAlignment="0" applyProtection="0"/>
    <xf numFmtId="43" fontId="6" fillId="0" borderId="0" applyFont="0" applyFill="0" applyBorder="0" applyAlignment="0" applyProtection="0"/>
    <xf numFmtId="43" fontId="68" fillId="0" borderId="0" applyFont="0" applyFill="0" applyBorder="0" applyAlignment="0" applyProtection="0"/>
    <xf numFmtId="0" fontId="46" fillId="0" borderId="0"/>
    <xf numFmtId="0" fontId="46" fillId="0" borderId="0"/>
    <xf numFmtId="43" fontId="39" fillId="0" borderId="0" applyFont="0" applyFill="0" applyBorder="0" applyAlignment="0" applyProtection="0"/>
    <xf numFmtId="41" fontId="68" fillId="0" borderId="0" applyFont="0" applyFill="0" applyBorder="0" applyAlignment="0" applyProtection="0"/>
    <xf numFmtId="0" fontId="6" fillId="0" borderId="0"/>
    <xf numFmtId="0" fontId="2" fillId="0" borderId="0"/>
    <xf numFmtId="43" fontId="77" fillId="0" borderId="0" applyFont="0" applyFill="0" applyBorder="0" applyAlignment="0" applyProtection="0"/>
    <xf numFmtId="0" fontId="2" fillId="0" borderId="0"/>
    <xf numFmtId="43" fontId="2" fillId="0" borderId="0" applyFont="0" applyFill="0" applyBorder="0" applyAlignment="0" applyProtection="0"/>
    <xf numFmtId="0" fontId="46" fillId="0" borderId="0"/>
    <xf numFmtId="0" fontId="46" fillId="0" borderId="0"/>
    <xf numFmtId="0" fontId="6" fillId="0" borderId="0"/>
    <xf numFmtId="0" fontId="46" fillId="0" borderId="0"/>
    <xf numFmtId="0" fontId="46" fillId="0" borderId="0"/>
    <xf numFmtId="0" fontId="79" fillId="0" borderId="0"/>
    <xf numFmtId="0" fontId="46" fillId="0" borderId="0"/>
    <xf numFmtId="0" fontId="46" fillId="0" borderId="0"/>
    <xf numFmtId="0" fontId="46" fillId="0" borderId="0"/>
    <xf numFmtId="0" fontId="79" fillId="0" borderId="0"/>
    <xf numFmtId="0" fontId="46" fillId="0" borderId="0"/>
    <xf numFmtId="0" fontId="80" fillId="0" borderId="0"/>
    <xf numFmtId="0" fontId="46" fillId="0" borderId="0"/>
    <xf numFmtId="0" fontId="46" fillId="0" borderId="0"/>
    <xf numFmtId="9" fontId="77" fillId="0" borderId="0" applyFont="0" applyFill="0" applyBorder="0" applyAlignment="0" applyProtection="0"/>
    <xf numFmtId="9" fontId="46" fillId="0" borderId="0" applyFont="0" applyFill="0" applyBorder="0" applyAlignment="0" applyProtection="0"/>
    <xf numFmtId="9" fontId="77" fillId="0" borderId="0" applyFont="0" applyFill="0" applyBorder="0" applyAlignment="0" applyProtection="0"/>
    <xf numFmtId="9" fontId="39" fillId="0" borderId="0" applyFont="0" applyFill="0" applyBorder="0" applyAlignment="0" applyProtection="0"/>
    <xf numFmtId="0" fontId="2" fillId="0" borderId="0"/>
    <xf numFmtId="188" fontId="78" fillId="0" borderId="0"/>
    <xf numFmtId="169" fontId="68" fillId="0" borderId="0" applyFont="0" applyFill="0" applyBorder="0" applyAlignment="0" applyProtection="0"/>
    <xf numFmtId="170" fontId="68" fillId="0" borderId="0" applyFont="0" applyFill="0" applyBorder="0" applyAlignment="0" applyProtection="0"/>
    <xf numFmtId="0" fontId="2" fillId="0" borderId="0"/>
    <xf numFmtId="43" fontId="39" fillId="0" borderId="0" applyFont="0" applyFill="0" applyBorder="0" applyAlignment="0" applyProtection="0"/>
    <xf numFmtId="0" fontId="81" fillId="0" borderId="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0"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39"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81" fillId="0" borderId="0"/>
    <xf numFmtId="0" fontId="81" fillId="0" borderId="0"/>
    <xf numFmtId="38" fontId="49" fillId="56" borderId="0" applyNumberFormat="0" applyBorder="0" applyAlignment="0" applyProtection="0"/>
    <xf numFmtId="0" fontId="82"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10" fontId="49" fillId="74" borderId="28" applyNumberFormat="0" applyBorder="0" applyAlignment="0" applyProtection="0"/>
    <xf numFmtId="38" fontId="84" fillId="0" borderId="0" applyFont="0" applyFill="0" applyBorder="0" applyAlignment="0" applyProtection="0"/>
    <xf numFmtId="40" fontId="84" fillId="0" borderId="0" applyFont="0" applyFill="0" applyBorder="0" applyAlignment="0" applyProtection="0"/>
    <xf numFmtId="164" fontId="84" fillId="0" borderId="0" applyFont="0" applyFill="0" applyBorder="0" applyAlignment="0" applyProtection="0"/>
    <xf numFmtId="165" fontId="84" fillId="0" borderId="0" applyFont="0" applyFill="0" applyBorder="0" applyAlignment="0" applyProtection="0"/>
    <xf numFmtId="37" fontId="85" fillId="0" borderId="0"/>
    <xf numFmtId="0" fontId="81" fillId="0" borderId="0"/>
    <xf numFmtId="0" fontId="72" fillId="0" borderId="0"/>
    <xf numFmtId="0" fontId="39" fillId="0" borderId="0"/>
    <xf numFmtId="0" fontId="42" fillId="0" borderId="0"/>
    <xf numFmtId="0" fontId="46" fillId="0" borderId="0"/>
    <xf numFmtId="0" fontId="72" fillId="0" borderId="0"/>
    <xf numFmtId="0" fontId="39" fillId="0" borderId="0"/>
    <xf numFmtId="0" fontId="46" fillId="0" borderId="0"/>
    <xf numFmtId="0" fontId="72" fillId="0" borderId="0"/>
    <xf numFmtId="0" fontId="46" fillId="0" borderId="0"/>
    <xf numFmtId="0" fontId="39" fillId="0" borderId="0"/>
    <xf numFmtId="0" fontId="46" fillId="0" borderId="0"/>
    <xf numFmtId="0" fontId="46" fillId="0" borderId="0"/>
    <xf numFmtId="0" fontId="72" fillId="0" borderId="0"/>
    <xf numFmtId="0" fontId="42" fillId="0" borderId="0"/>
    <xf numFmtId="0" fontId="42" fillId="0" borderId="0"/>
    <xf numFmtId="0" fontId="46" fillId="0" borderId="0"/>
    <xf numFmtId="0" fontId="46" fillId="0" borderId="0"/>
    <xf numFmtId="0" fontId="72" fillId="0" borderId="0"/>
    <xf numFmtId="0" fontId="6" fillId="0" borderId="0"/>
    <xf numFmtId="0" fontId="39" fillId="0" borderId="0"/>
    <xf numFmtId="0" fontId="39" fillId="0" borderId="0"/>
    <xf numFmtId="0" fontId="39" fillId="0" borderId="0"/>
    <xf numFmtId="0" fontId="72" fillId="0" borderId="0"/>
    <xf numFmtId="0" fontId="46" fillId="0" borderId="0"/>
    <xf numFmtId="0" fontId="46" fillId="0" borderId="0"/>
    <xf numFmtId="0" fontId="39" fillId="0" borderId="0"/>
    <xf numFmtId="0" fontId="72" fillId="0" borderId="0"/>
    <xf numFmtId="0" fontId="46" fillId="0" borderId="0"/>
    <xf numFmtId="0" fontId="72" fillId="0" borderId="0"/>
    <xf numFmtId="0" fontId="39" fillId="0" borderId="0"/>
    <xf numFmtId="0" fontId="42" fillId="0" borderId="0"/>
    <xf numFmtId="0" fontId="72" fillId="0" borderId="0"/>
    <xf numFmtId="0" fontId="46" fillId="0" borderId="0"/>
    <xf numFmtId="0" fontId="46" fillId="0" borderId="0"/>
    <xf numFmtId="0" fontId="46" fillId="0" borderId="0"/>
    <xf numFmtId="0" fontId="39" fillId="0" borderId="0"/>
    <xf numFmtId="0" fontId="72" fillId="0" borderId="0"/>
    <xf numFmtId="0" fontId="46" fillId="0" borderId="0"/>
    <xf numFmtId="0" fontId="46" fillId="0" borderId="0"/>
    <xf numFmtId="0" fontId="46" fillId="0" borderId="0"/>
    <xf numFmtId="0" fontId="46" fillId="0" borderId="0"/>
    <xf numFmtId="0" fontId="42" fillId="0" borderId="0"/>
    <xf numFmtId="0" fontId="42" fillId="0" borderId="0"/>
    <xf numFmtId="0" fontId="72" fillId="0" borderId="0"/>
    <xf numFmtId="0" fontId="39" fillId="0" borderId="0"/>
    <xf numFmtId="0" fontId="46" fillId="0" borderId="0"/>
    <xf numFmtId="0" fontId="72" fillId="0" borderId="0"/>
    <xf numFmtId="0" fontId="39" fillId="0" borderId="0"/>
    <xf numFmtId="0" fontId="72" fillId="0" borderId="0"/>
    <xf numFmtId="0" fontId="72" fillId="0" borderId="0"/>
    <xf numFmtId="0" fontId="72" fillId="0" borderId="0"/>
    <xf numFmtId="0" fontId="72" fillId="0" borderId="0"/>
    <xf numFmtId="0" fontId="39" fillId="0" borderId="0"/>
    <xf numFmtId="0" fontId="39" fillId="0" borderId="0"/>
    <xf numFmtId="0" fontId="72" fillId="0" borderId="0"/>
    <xf numFmtId="0" fontId="46" fillId="0" borderId="0"/>
    <xf numFmtId="0" fontId="72" fillId="0" borderId="0"/>
    <xf numFmtId="0" fontId="39" fillId="0" borderId="0"/>
    <xf numFmtId="0" fontId="72" fillId="0" borderId="0"/>
    <xf numFmtId="0" fontId="46" fillId="0" borderId="0"/>
    <xf numFmtId="0" fontId="72" fillId="0" borderId="0"/>
    <xf numFmtId="0" fontId="72" fillId="0" borderId="0"/>
    <xf numFmtId="0" fontId="72" fillId="0" borderId="0"/>
    <xf numFmtId="0" fontId="46" fillId="0" borderId="0"/>
    <xf numFmtId="0" fontId="39" fillId="0" borderId="0"/>
    <xf numFmtId="0" fontId="46" fillId="0" borderId="0"/>
    <xf numFmtId="0" fontId="72" fillId="0" borderId="0"/>
    <xf numFmtId="0" fontId="39" fillId="0" borderId="0"/>
    <xf numFmtId="0" fontId="46" fillId="0" borderId="0"/>
    <xf numFmtId="0" fontId="46" fillId="0" borderId="0"/>
    <xf numFmtId="0" fontId="72" fillId="0" borderId="0"/>
    <xf numFmtId="0" fontId="72" fillId="0" borderId="0"/>
    <xf numFmtId="0" fontId="39" fillId="0" borderId="0"/>
    <xf numFmtId="0" fontId="46" fillId="0" borderId="0"/>
    <xf numFmtId="0" fontId="46" fillId="0" borderId="0"/>
    <xf numFmtId="0" fontId="42" fillId="0" borderId="0"/>
    <xf numFmtId="0" fontId="2" fillId="0" borderId="0"/>
    <xf numFmtId="0" fontId="72" fillId="0" borderId="0"/>
    <xf numFmtId="0" fontId="39" fillId="0" borderId="0"/>
    <xf numFmtId="0" fontId="46" fillId="0" borderId="0"/>
    <xf numFmtId="0" fontId="72" fillId="0" borderId="0"/>
    <xf numFmtId="0" fontId="39" fillId="0" borderId="0"/>
    <xf numFmtId="0" fontId="46" fillId="0" borderId="0"/>
    <xf numFmtId="0" fontId="46" fillId="0" borderId="0"/>
    <xf numFmtId="0" fontId="72" fillId="0" borderId="0"/>
    <xf numFmtId="0" fontId="39" fillId="0" borderId="0"/>
    <xf numFmtId="0" fontId="39" fillId="0" borderId="0"/>
    <xf numFmtId="10" fontId="46"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39" fillId="0" borderId="0" applyFont="0" applyFill="0" applyBorder="0" applyAlignment="0" applyProtection="0"/>
    <xf numFmtId="9" fontId="84" fillId="0" borderId="7" applyNumberFormat="0" applyBorder="0"/>
    <xf numFmtId="1" fontId="46" fillId="0" borderId="30" applyNumberFormat="0" applyFill="0" applyAlignment="0" applyProtection="0">
      <alignment horizontal="center" vertical="center"/>
    </xf>
    <xf numFmtId="4" fontId="71" fillId="55" borderId="41" applyNumberFormat="0" applyProtection="0">
      <alignment horizontal="right" vertical="center"/>
    </xf>
    <xf numFmtId="4" fontId="71" fillId="54" borderId="41" applyNumberFormat="0" applyProtection="0">
      <alignment horizontal="left" vertical="center" indent="1"/>
    </xf>
    <xf numFmtId="0" fontId="71" fillId="53" borderId="41" applyNumberFormat="0" applyProtection="0">
      <alignment horizontal="left" vertical="top" indent="1"/>
    </xf>
    <xf numFmtId="4" fontId="86" fillId="75" borderId="0" applyNumberFormat="0" applyProtection="0">
      <alignment horizontal="left" vertical="center" indent="1"/>
    </xf>
    <xf numFmtId="0" fontId="2" fillId="0" borderId="0"/>
    <xf numFmtId="0" fontId="2" fillId="0" borderId="0"/>
    <xf numFmtId="0" fontId="2" fillId="0" borderId="0"/>
    <xf numFmtId="0" fontId="2" fillId="0" borderId="0"/>
    <xf numFmtId="0" fontId="2" fillId="0" borderId="0"/>
    <xf numFmtId="0" fontId="87" fillId="30" borderId="0" applyNumberFormat="0" applyBorder="0" applyAlignment="0" applyProtection="0"/>
    <xf numFmtId="0" fontId="128" fillId="41" borderId="0" applyNumberFormat="0" applyBorder="0" applyAlignment="0" applyProtection="0"/>
    <xf numFmtId="0" fontId="87" fillId="31" borderId="0" applyNumberFormat="0" applyBorder="0" applyAlignment="0" applyProtection="0"/>
    <xf numFmtId="0" fontId="128" fillId="41" borderId="0" applyNumberFormat="0" applyBorder="0" applyAlignment="0" applyProtection="0"/>
    <xf numFmtId="0" fontId="87" fillId="32" borderId="0" applyNumberFormat="0" applyBorder="0" applyAlignment="0" applyProtection="0"/>
    <xf numFmtId="0" fontId="128" fillId="41" borderId="0" applyNumberFormat="0" applyBorder="0" applyAlignment="0" applyProtection="0"/>
    <xf numFmtId="0" fontId="87" fillId="33" borderId="0" applyNumberFormat="0" applyBorder="0" applyAlignment="0" applyProtection="0"/>
    <xf numFmtId="0" fontId="128" fillId="41" borderId="0" applyNumberFormat="0" applyBorder="0" applyAlignment="0" applyProtection="0"/>
    <xf numFmtId="0" fontId="87" fillId="34" borderId="0" applyNumberFormat="0" applyBorder="0" applyAlignment="0" applyProtection="0"/>
    <xf numFmtId="0" fontId="128" fillId="41" borderId="0" applyNumberFormat="0" applyBorder="0" applyAlignment="0" applyProtection="0"/>
    <xf numFmtId="0" fontId="87" fillId="35" borderId="0" applyNumberFormat="0" applyBorder="0" applyAlignment="0" applyProtection="0"/>
    <xf numFmtId="0" fontId="128" fillId="41" borderId="0" applyNumberFormat="0" applyBorder="0" applyAlignment="0" applyProtection="0"/>
    <xf numFmtId="0" fontId="87" fillId="36" borderId="0" applyNumberFormat="0" applyBorder="0" applyAlignment="0" applyProtection="0"/>
    <xf numFmtId="0" fontId="128" fillId="41" borderId="0" applyNumberFormat="0" applyBorder="0" applyAlignment="0" applyProtection="0"/>
    <xf numFmtId="0" fontId="87" fillId="37" borderId="0" applyNumberFormat="0" applyBorder="0" applyAlignment="0" applyProtection="0"/>
    <xf numFmtId="0" fontId="128" fillId="41" borderId="0" applyNumberFormat="0" applyBorder="0" applyAlignment="0" applyProtection="0"/>
    <xf numFmtId="0" fontId="87" fillId="38" borderId="0" applyNumberFormat="0" applyBorder="0" applyAlignment="0" applyProtection="0"/>
    <xf numFmtId="0" fontId="128" fillId="41" borderId="0" applyNumberFormat="0" applyBorder="0" applyAlignment="0" applyProtection="0"/>
    <xf numFmtId="0" fontId="87" fillId="33" borderId="0" applyNumberFormat="0" applyBorder="0" applyAlignment="0" applyProtection="0"/>
    <xf numFmtId="0" fontId="128" fillId="41" borderId="0" applyNumberFormat="0" applyBorder="0" applyAlignment="0" applyProtection="0"/>
    <xf numFmtId="0" fontId="87" fillId="36" borderId="0" applyNumberFormat="0" applyBorder="0" applyAlignment="0" applyProtection="0"/>
    <xf numFmtId="0" fontId="128" fillId="41" borderId="0" applyNumberFormat="0" applyBorder="0" applyAlignment="0" applyProtection="0"/>
    <xf numFmtId="0" fontId="87" fillId="39" borderId="0" applyNumberFormat="0" applyBorder="0" applyAlignment="0" applyProtection="0"/>
    <xf numFmtId="0" fontId="128" fillId="41" borderId="0" applyNumberFormat="0" applyBorder="0" applyAlignment="0" applyProtection="0"/>
    <xf numFmtId="0" fontId="88" fillId="40" borderId="0" applyNumberFormat="0" applyBorder="0" applyAlignment="0" applyProtection="0"/>
    <xf numFmtId="0" fontId="128" fillId="41" borderId="0" applyNumberFormat="0" applyBorder="0" applyAlignment="0" applyProtection="0"/>
    <xf numFmtId="0" fontId="88" fillId="37" borderId="0" applyNumberFormat="0" applyBorder="0" applyAlignment="0" applyProtection="0"/>
    <xf numFmtId="0" fontId="128" fillId="41" borderId="0" applyNumberFormat="0" applyBorder="0" applyAlignment="0" applyProtection="0"/>
    <xf numFmtId="0" fontId="88" fillId="38" borderId="0" applyNumberFormat="0" applyBorder="0" applyAlignment="0" applyProtection="0"/>
    <xf numFmtId="0" fontId="128" fillId="41" borderId="0" applyNumberFormat="0" applyBorder="0" applyAlignment="0" applyProtection="0"/>
    <xf numFmtId="0" fontId="88" fillId="41" borderId="0" applyNumberFormat="0" applyBorder="0" applyAlignment="0" applyProtection="0"/>
    <xf numFmtId="0" fontId="128" fillId="41" borderId="0" applyNumberFormat="0" applyBorder="0" applyAlignment="0" applyProtection="0"/>
    <xf numFmtId="0" fontId="88" fillId="42" borderId="0" applyNumberFormat="0" applyBorder="0" applyAlignment="0" applyProtection="0"/>
    <xf numFmtId="0" fontId="128" fillId="41" borderId="0" applyNumberFormat="0" applyBorder="0" applyAlignment="0" applyProtection="0"/>
    <xf numFmtId="0" fontId="88" fillId="43"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77" fillId="76" borderId="0" applyNumberFormat="0" applyBorder="0" applyAlignment="0" applyProtection="0"/>
    <xf numFmtId="0" fontId="77" fillId="77" borderId="0" applyNumberFormat="0" applyBorder="0" applyAlignment="0" applyProtection="0"/>
    <xf numFmtId="0" fontId="89" fillId="78"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8" fillId="44"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128" fillId="41"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77" fillId="80" borderId="0" applyNumberFormat="0" applyBorder="0" applyAlignment="0" applyProtection="0"/>
    <xf numFmtId="0" fontId="77" fillId="81" borderId="0" applyNumberFormat="0" applyBorder="0" applyAlignment="0" applyProtection="0"/>
    <xf numFmtId="0" fontId="89" fillId="82"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8" fillId="45"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128" fillId="41"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77" fillId="84" borderId="0" applyNumberFormat="0" applyBorder="0" applyAlignment="0" applyProtection="0"/>
    <xf numFmtId="0" fontId="77" fillId="85" borderId="0" applyNumberFormat="0" applyBorder="0" applyAlignment="0" applyProtection="0"/>
    <xf numFmtId="0" fontId="89" fillId="86"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8" fillId="46"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128" fillId="41"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77" fillId="80" borderId="0" applyNumberFormat="0" applyBorder="0" applyAlignment="0" applyProtection="0"/>
    <xf numFmtId="0" fontId="77" fillId="88" borderId="0" applyNumberFormat="0" applyBorder="0" applyAlignment="0" applyProtection="0"/>
    <xf numFmtId="0" fontId="89" fillId="8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8" fillId="4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128" fillId="4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77" fillId="90" borderId="0" applyNumberFormat="0" applyBorder="0" applyAlignment="0" applyProtection="0"/>
    <xf numFmtId="0" fontId="77" fillId="91"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8" fillId="42"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128" fillId="41"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77" fillId="92" borderId="0" applyNumberFormat="0" applyBorder="0" applyAlignment="0" applyProtection="0"/>
    <xf numFmtId="0" fontId="77" fillId="93" borderId="0" applyNumberFormat="0" applyBorder="0" applyAlignment="0" applyProtection="0"/>
    <xf numFmtId="0" fontId="89" fillId="94"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8" fillId="47"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128" fillId="41"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90" fillId="31" borderId="0" applyNumberFormat="0" applyBorder="0" applyAlignment="0" applyProtection="0"/>
    <xf numFmtId="0" fontId="128" fillId="41" borderId="0" applyNumberFormat="0" applyBorder="0" applyAlignment="0" applyProtection="0"/>
    <xf numFmtId="0" fontId="91" fillId="92" borderId="0" applyNumberFormat="0" applyBorder="0" applyAlignment="0" applyProtection="0"/>
    <xf numFmtId="0" fontId="92" fillId="48" borderId="33" applyNumberFormat="0" applyAlignment="0" applyProtection="0"/>
    <xf numFmtId="0" fontId="128" fillId="41" borderId="0" applyNumberFormat="0" applyBorder="0" applyAlignment="0" applyProtection="0"/>
    <xf numFmtId="0" fontId="93" fillId="96" borderId="44" applyNumberFormat="0" applyAlignment="0" applyProtection="0"/>
    <xf numFmtId="0" fontId="94" fillId="49" borderId="34" applyNumberFormat="0" applyAlignment="0" applyProtection="0"/>
    <xf numFmtId="0" fontId="128" fillId="41" borderId="0" applyNumberFormat="0" applyBorder="0" applyAlignment="0" applyProtection="0"/>
    <xf numFmtId="0" fontId="95" fillId="89" borderId="34" applyNumberFormat="0" applyAlignment="0" applyProtection="0"/>
    <xf numFmtId="0" fontId="128" fillId="41" borderId="0" applyNumberFormat="0" applyBorder="0" applyAlignment="0" applyProtection="0"/>
    <xf numFmtId="0" fontId="128" fillId="41" borderId="0" applyNumberFormat="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39"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128" fillId="41" borderId="0" applyNumberFormat="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87"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0" fontId="128" fillId="41" borderId="0" applyNumberFormat="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96" fillId="0" borderId="0" applyFont="0" applyFill="0" applyBorder="0" applyAlignment="0" applyProtection="0"/>
    <xf numFmtId="43" fontId="87" fillId="0" borderId="0" applyFont="0" applyFill="0" applyBorder="0" applyAlignment="0" applyProtection="0"/>
    <xf numFmtId="43" fontId="77" fillId="0" borderId="0" applyFont="0" applyFill="0" applyBorder="0" applyAlignment="0" applyProtection="0"/>
    <xf numFmtId="43" fontId="6" fillId="0" borderId="0" applyFont="0" applyFill="0" applyBorder="0" applyAlignment="0" applyProtection="0"/>
    <xf numFmtId="43" fontId="39"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170" fontId="42"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97" fillId="97" borderId="0" applyNumberFormat="0" applyBorder="0" applyAlignment="0" applyProtection="0"/>
    <xf numFmtId="0" fontId="97" fillId="98" borderId="0" applyNumberFormat="0" applyBorder="0" applyAlignment="0" applyProtection="0"/>
    <xf numFmtId="0" fontId="97" fillId="99" borderId="0" applyNumberFormat="0" applyBorder="0" applyAlignment="0" applyProtection="0"/>
    <xf numFmtId="0" fontId="98" fillId="0" borderId="0" applyNumberFormat="0" applyFill="0" applyBorder="0" applyAlignment="0" applyProtection="0"/>
    <xf numFmtId="0" fontId="128" fillId="41" borderId="0" applyNumberFormat="0" applyBorder="0" applyAlignment="0" applyProtection="0"/>
    <xf numFmtId="0" fontId="126" fillId="28" borderId="0" applyNumberFormat="0" applyBorder="0" applyAlignment="0" applyProtection="0"/>
    <xf numFmtId="0" fontId="128" fillId="41" borderId="0" applyNumberFormat="0" applyBorder="0" applyAlignment="0" applyProtection="0"/>
    <xf numFmtId="0" fontId="77" fillId="85"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99" fillId="0" borderId="35" applyNumberFormat="0" applyFill="0" applyAlignment="0" applyProtection="0"/>
    <xf numFmtId="0" fontId="128" fillId="41" borderId="0" applyNumberFormat="0" applyBorder="0" applyAlignment="0" applyProtection="0"/>
    <xf numFmtId="0" fontId="100" fillId="0" borderId="45" applyNumberFormat="0" applyFill="0" applyAlignment="0" applyProtection="0"/>
    <xf numFmtId="0" fontId="101" fillId="0" borderId="36" applyNumberFormat="0" applyFill="0" applyAlignment="0" applyProtection="0"/>
    <xf numFmtId="0" fontId="128" fillId="41" borderId="0" applyNumberFormat="0" applyBorder="0" applyAlignment="0" applyProtection="0"/>
    <xf numFmtId="0" fontId="102" fillId="0" borderId="46" applyNumberFormat="0" applyFill="0" applyAlignment="0" applyProtection="0"/>
    <xf numFmtId="0" fontId="103" fillId="0" borderId="37" applyNumberFormat="0" applyFill="0" applyAlignment="0" applyProtection="0"/>
    <xf numFmtId="0" fontId="128" fillId="41" borderId="0" applyNumberFormat="0" applyBorder="0" applyAlignment="0" applyProtection="0"/>
    <xf numFmtId="0" fontId="104" fillId="0" borderId="47" applyNumberFormat="0" applyFill="0" applyAlignment="0" applyProtection="0"/>
    <xf numFmtId="0" fontId="103" fillId="0" borderId="0" applyNumberFormat="0" applyFill="0" applyBorder="0" applyAlignment="0" applyProtection="0"/>
    <xf numFmtId="0" fontId="128" fillId="41" borderId="0" applyNumberFormat="0" applyBorder="0" applyAlignment="0" applyProtection="0"/>
    <xf numFmtId="0" fontId="104" fillId="0" borderId="0" applyNumberForma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7" fillId="35" borderId="33"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7" fillId="35" borderId="33"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8" fillId="0" borderId="38" applyNumberFormat="0" applyFill="0" applyAlignment="0" applyProtection="0"/>
    <xf numFmtId="0" fontId="128" fillId="42" borderId="0" applyNumberFormat="0" applyBorder="0" applyAlignment="0" applyProtection="0"/>
    <xf numFmtId="0" fontId="109" fillId="0" borderId="48" applyNumberFormat="0" applyFill="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10" fillId="50" borderId="0" applyNumberFormat="0" applyBorder="0" applyAlignment="0" applyProtection="0"/>
    <xf numFmtId="0" fontId="128" fillId="42" borderId="0" applyNumberFormat="0" applyBorder="0" applyAlignment="0" applyProtection="0"/>
    <xf numFmtId="0" fontId="109" fillId="93"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72" fillId="0" borderId="0"/>
    <xf numFmtId="0" fontId="111" fillId="0" borderId="0"/>
    <xf numFmtId="0" fontId="72" fillId="0" borderId="0"/>
    <xf numFmtId="0" fontId="111" fillId="0" borderId="0"/>
    <xf numFmtId="0" fontId="72" fillId="0" borderId="0"/>
    <xf numFmtId="0" fontId="46" fillId="0" borderId="0"/>
    <xf numFmtId="0" fontId="46" fillId="0" borderId="0"/>
    <xf numFmtId="0" fontId="72" fillId="0" borderId="0"/>
    <xf numFmtId="0" fontId="111" fillId="0" borderId="0"/>
    <xf numFmtId="0" fontId="46" fillId="0" borderId="0"/>
    <xf numFmtId="0" fontId="128" fillId="42" borderId="0" applyNumberFormat="0" applyBorder="0" applyAlignment="0" applyProtection="0"/>
    <xf numFmtId="0" fontId="46" fillId="0" borderId="0"/>
    <xf numFmtId="0" fontId="46" fillId="0" borderId="0"/>
    <xf numFmtId="0" fontId="46" fillId="0" borderId="0"/>
    <xf numFmtId="0" fontId="72" fillId="0" borderId="0"/>
    <xf numFmtId="0" fontId="111" fillId="0" borderId="0"/>
    <xf numFmtId="0" fontId="2" fillId="0" borderId="0"/>
    <xf numFmtId="0" fontId="46" fillId="0" borderId="0"/>
    <xf numFmtId="0" fontId="2" fillId="0" borderId="0"/>
    <xf numFmtId="0" fontId="2" fillId="0" borderId="0"/>
    <xf numFmtId="0" fontId="72" fillId="0" borderId="0"/>
    <xf numFmtId="0" fontId="128" fillId="42" borderId="0" applyNumberFormat="0" applyBorder="0" applyAlignment="0" applyProtection="0"/>
    <xf numFmtId="0" fontId="42" fillId="0" borderId="0"/>
    <xf numFmtId="0" fontId="6" fillId="0" borderId="0"/>
    <xf numFmtId="0" fontId="111" fillId="0" borderId="0"/>
    <xf numFmtId="0" fontId="72" fillId="0" borderId="0"/>
    <xf numFmtId="0" fontId="2" fillId="0" borderId="0"/>
    <xf numFmtId="0" fontId="2" fillId="0" borderId="0"/>
    <xf numFmtId="0" fontId="79" fillId="0" borderId="0"/>
    <xf numFmtId="0" fontId="79" fillId="0" borderId="0"/>
    <xf numFmtId="0" fontId="79" fillId="0" borderId="0"/>
    <xf numFmtId="0" fontId="79" fillId="0" borderId="0"/>
    <xf numFmtId="0" fontId="79" fillId="0" borderId="0"/>
    <xf numFmtId="0" fontId="128" fillId="42" borderId="0" applyNumberFormat="0" applyBorder="0" applyAlignment="0" applyProtection="0"/>
    <xf numFmtId="0" fontId="79" fillId="0" borderId="0"/>
    <xf numFmtId="0" fontId="79" fillId="0" borderId="0"/>
    <xf numFmtId="0" fontId="79" fillId="0" borderId="0"/>
    <xf numFmtId="0" fontId="79" fillId="0" borderId="0"/>
    <xf numFmtId="0" fontId="2" fillId="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128" fillId="42" borderId="0" applyNumberFormat="0" applyBorder="0" applyAlignment="0" applyProtection="0"/>
    <xf numFmtId="0" fontId="42" fillId="0" borderId="0"/>
    <xf numFmtId="0" fontId="72" fillId="0" borderId="0"/>
    <xf numFmtId="0" fontId="72" fillId="0" borderId="0"/>
    <xf numFmtId="0" fontId="72" fillId="0" borderId="0"/>
    <xf numFmtId="0" fontId="2" fillId="0" borderId="0"/>
    <xf numFmtId="0" fontId="39" fillId="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39" fillId="0" borderId="0"/>
    <xf numFmtId="0" fontId="72" fillId="0" borderId="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69" fillId="0" borderId="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7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2" fillId="0" borderId="0"/>
    <xf numFmtId="0" fontId="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4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39"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39" fillId="0" borderId="0"/>
    <xf numFmtId="0" fontId="128" fillId="47" borderId="0" applyNumberFormat="0" applyBorder="0" applyAlignment="0" applyProtection="0"/>
    <xf numFmtId="0" fontId="72" fillId="0" borderId="0"/>
    <xf numFmtId="0" fontId="46" fillId="0" borderId="0"/>
    <xf numFmtId="0" fontId="42" fillId="0" borderId="0"/>
    <xf numFmtId="0" fontId="39" fillId="0" borderId="0"/>
    <xf numFmtId="0" fontId="72" fillId="0" borderId="0"/>
    <xf numFmtId="0" fontId="46" fillId="0" borderId="0"/>
    <xf numFmtId="0" fontId="72" fillId="0" borderId="0"/>
    <xf numFmtId="0" fontId="72" fillId="0" borderId="0"/>
    <xf numFmtId="0" fontId="46" fillId="0" borderId="0"/>
    <xf numFmtId="0" fontId="46" fillId="0" borderId="0"/>
    <xf numFmtId="0" fontId="111" fillId="0" borderId="0"/>
    <xf numFmtId="0" fontId="129" fillId="31" borderId="0" applyNumberFormat="0" applyBorder="0" applyAlignment="0" applyProtection="0"/>
    <xf numFmtId="0" fontId="129" fillId="31" borderId="0" applyNumberFormat="0" applyBorder="0" applyAlignment="0" applyProtection="0"/>
    <xf numFmtId="0" fontId="87" fillId="29" borderId="32" applyNumberFormat="0" applyFont="0" applyAlignment="0" applyProtection="0"/>
    <xf numFmtId="0" fontId="129" fillId="31" borderId="0" applyNumberFormat="0" applyBorder="0" applyAlignment="0" applyProtection="0"/>
    <xf numFmtId="0" fontId="49" fillId="92" borderId="44" applyNumberFormat="0" applyFont="0" applyAlignment="0" applyProtection="0"/>
    <xf numFmtId="0" fontId="112" fillId="48" borderId="40" applyNumberFormat="0" applyAlignment="0" applyProtection="0"/>
    <xf numFmtId="0" fontId="129" fillId="31" borderId="0" applyNumberFormat="0" applyBorder="0" applyAlignment="0" applyProtection="0"/>
    <xf numFmtId="0" fontId="113" fillId="96" borderId="40" applyNumberFormat="0" applyAlignment="0" applyProtection="0"/>
    <xf numFmtId="9" fontId="2"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9" fontId="46"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77" fillId="0" borderId="0" applyFont="0" applyFill="0" applyBorder="0" applyAlignment="0" applyProtection="0"/>
    <xf numFmtId="9" fontId="87"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4" fontId="49" fillId="50" borderId="44" applyNumberFormat="0" applyProtection="0">
      <alignment vertical="center"/>
    </xf>
    <xf numFmtId="4" fontId="114" fillId="52" borderId="41" applyNumberFormat="0" applyProtection="0">
      <alignment vertical="center"/>
    </xf>
    <xf numFmtId="4" fontId="115" fillId="52" borderId="44" applyNumberFormat="0" applyProtection="0">
      <alignment vertical="center"/>
    </xf>
    <xf numFmtId="0" fontId="129" fillId="31" borderId="0" applyNumberFormat="0" applyBorder="0" applyAlignment="0" applyProtection="0"/>
    <xf numFmtId="0" fontId="129" fillId="31" borderId="0" applyNumberFormat="0" applyBorder="0" applyAlignment="0" applyProtection="0"/>
    <xf numFmtId="4" fontId="49" fillId="52" borderId="44" applyNumberFormat="0" applyProtection="0">
      <alignment horizontal="left" vertical="center" indent="1"/>
    </xf>
    <xf numFmtId="0" fontId="70" fillId="52" borderId="41" applyNumberFormat="0" applyProtection="0">
      <alignment horizontal="left" vertical="top" indent="1"/>
    </xf>
    <xf numFmtId="0" fontId="116" fillId="50" borderId="41" applyNumberFormat="0" applyProtection="0">
      <alignment horizontal="left" vertical="top" indent="1"/>
    </xf>
    <xf numFmtId="0" fontId="129" fillId="31" borderId="0" applyNumberFormat="0" applyBorder="0" applyAlignment="0" applyProtection="0"/>
    <xf numFmtId="0" fontId="129" fillId="31" borderId="0" applyNumberFormat="0" applyBorder="0" applyAlignment="0" applyProtection="0"/>
    <xf numFmtId="4" fontId="49" fillId="42" borderId="44" applyNumberFormat="0" applyProtection="0">
      <alignment horizontal="left" vertical="center" indent="1"/>
    </xf>
    <xf numFmtId="4" fontId="71" fillId="31" borderId="41" applyNumberFormat="0" applyProtection="0">
      <alignment horizontal="right" vertical="center"/>
    </xf>
    <xf numFmtId="4" fontId="49" fillId="31" borderId="44" applyNumberFormat="0" applyProtection="0">
      <alignment horizontal="right" vertical="center"/>
    </xf>
    <xf numFmtId="4" fontId="71" fillId="37" borderId="41" applyNumberFormat="0" applyProtection="0">
      <alignment horizontal="right" vertical="center"/>
    </xf>
    <xf numFmtId="4" fontId="49" fillId="101" borderId="44" applyNumberFormat="0" applyProtection="0">
      <alignment horizontal="right" vertical="center"/>
    </xf>
    <xf numFmtId="4" fontId="71" fillId="45" borderId="41" applyNumberFormat="0" applyProtection="0">
      <alignment horizontal="right" vertical="center"/>
    </xf>
    <xf numFmtId="4" fontId="49" fillId="45" borderId="49" applyNumberFormat="0" applyProtection="0">
      <alignment horizontal="right" vertical="center"/>
    </xf>
    <xf numFmtId="4" fontId="71" fillId="39" borderId="41" applyNumberFormat="0" applyProtection="0">
      <alignment horizontal="right" vertical="center"/>
    </xf>
    <xf numFmtId="4" fontId="49" fillId="39" borderId="44" applyNumberFormat="0" applyProtection="0">
      <alignment horizontal="right" vertical="center"/>
    </xf>
    <xf numFmtId="4" fontId="71" fillId="43" borderId="41" applyNumberFormat="0" applyProtection="0">
      <alignment horizontal="right" vertical="center"/>
    </xf>
    <xf numFmtId="4" fontId="49" fillId="43" borderId="44" applyNumberFormat="0" applyProtection="0">
      <alignment horizontal="right" vertical="center"/>
    </xf>
    <xf numFmtId="4" fontId="71" fillId="47" borderId="41" applyNumberFormat="0" applyProtection="0">
      <alignment horizontal="right" vertical="center"/>
    </xf>
    <xf numFmtId="4" fontId="49" fillId="47" borderId="44" applyNumberFormat="0" applyProtection="0">
      <alignment horizontal="right" vertical="center"/>
    </xf>
    <xf numFmtId="4" fontId="71" fillId="46" borderId="41" applyNumberFormat="0" applyProtection="0">
      <alignment horizontal="right" vertical="center"/>
    </xf>
    <xf numFmtId="4" fontId="49" fillId="46" borderId="44" applyNumberFormat="0" applyProtection="0">
      <alignment horizontal="right" vertical="center"/>
    </xf>
    <xf numFmtId="4" fontId="71" fillId="102" borderId="41" applyNumberFormat="0" applyProtection="0">
      <alignment horizontal="right" vertical="center"/>
    </xf>
    <xf numFmtId="4" fontId="49" fillId="102" borderId="44" applyNumberFormat="0" applyProtection="0">
      <alignment horizontal="right" vertical="center"/>
    </xf>
    <xf numFmtId="4" fontId="71" fillId="38" borderId="41" applyNumberFormat="0" applyProtection="0">
      <alignment horizontal="right" vertical="center"/>
    </xf>
    <xf numFmtId="4" fontId="49" fillId="38" borderId="44" applyNumberFormat="0" applyProtection="0">
      <alignment horizontal="right" vertical="center"/>
    </xf>
    <xf numFmtId="4" fontId="70" fillId="103" borderId="50" applyNumberFormat="0" applyProtection="0">
      <alignment horizontal="left" vertical="center" indent="1"/>
    </xf>
    <xf numFmtId="4" fontId="49" fillId="103" borderId="49" applyNumberFormat="0" applyProtection="0">
      <alignment horizontal="left" vertical="center" indent="1"/>
    </xf>
    <xf numFmtId="4" fontId="71" fillId="55" borderId="0" applyNumberFormat="0" applyProtection="0">
      <alignment horizontal="left" vertical="center" indent="1"/>
    </xf>
    <xf numFmtId="4" fontId="46" fillId="104" borderId="49" applyNumberFormat="0" applyProtection="0">
      <alignment horizontal="left" vertical="center" indent="1"/>
    </xf>
    <xf numFmtId="0" fontId="129" fillId="31" borderId="0" applyNumberFormat="0" applyBorder="0" applyAlignment="0" applyProtection="0"/>
    <xf numFmtId="4" fontId="46" fillId="104" borderId="49" applyNumberFormat="0" applyProtection="0">
      <alignment horizontal="left" vertical="center" indent="1"/>
    </xf>
    <xf numFmtId="0" fontId="129" fillId="31" borderId="0" applyNumberFormat="0" applyBorder="0" applyAlignment="0" applyProtection="0"/>
    <xf numFmtId="4" fontId="49" fillId="54" borderId="44" applyNumberFormat="0" applyProtection="0">
      <alignment horizontal="right" vertical="center"/>
    </xf>
    <xf numFmtId="4" fontId="71" fillId="55" borderId="0" applyNumberFormat="0" applyProtection="0">
      <alignment horizontal="left" vertical="center" indent="1"/>
    </xf>
    <xf numFmtId="4" fontId="49" fillId="55" borderId="49" applyNumberFormat="0" applyProtection="0">
      <alignment horizontal="left" vertical="center" indent="1"/>
    </xf>
    <xf numFmtId="4" fontId="71" fillId="53" borderId="0" applyNumberFormat="0" applyProtection="0">
      <alignment horizontal="left" vertical="center" indent="1"/>
    </xf>
    <xf numFmtId="4" fontId="49" fillId="54" borderId="49" applyNumberFormat="0" applyProtection="0">
      <alignment horizontal="left" vertical="center" indent="1"/>
    </xf>
    <xf numFmtId="0" fontId="46" fillId="71" borderId="41" applyNumberFormat="0" applyProtection="0">
      <alignment horizontal="left" vertical="center" indent="1"/>
    </xf>
    <xf numFmtId="0" fontId="49" fillId="48" borderId="44" applyNumberFormat="0" applyProtection="0">
      <alignment horizontal="left" vertical="center" indent="1"/>
    </xf>
    <xf numFmtId="0" fontId="46" fillId="71" borderId="41" applyNumberFormat="0" applyProtection="0">
      <alignment horizontal="left" vertical="top" indent="1"/>
    </xf>
    <xf numFmtId="0" fontId="49" fillId="104" borderId="41" applyNumberFormat="0" applyProtection="0">
      <alignment horizontal="left" vertical="top" indent="1"/>
    </xf>
    <xf numFmtId="0" fontId="46" fillId="53" borderId="41" applyNumberFormat="0" applyProtection="0">
      <alignment horizontal="left" vertical="center" indent="1"/>
    </xf>
    <xf numFmtId="0" fontId="49" fillId="105" borderId="44" applyNumberFormat="0" applyProtection="0">
      <alignment horizontal="left" vertical="center" indent="1"/>
    </xf>
    <xf numFmtId="0" fontId="46" fillId="53" borderId="41" applyNumberFormat="0" applyProtection="0">
      <alignment horizontal="left" vertical="top" indent="1"/>
    </xf>
    <xf numFmtId="0" fontId="49" fillId="54" borderId="41" applyNumberFormat="0" applyProtection="0">
      <alignment horizontal="left" vertical="top" indent="1"/>
    </xf>
    <xf numFmtId="0" fontId="46" fillId="58" borderId="41" applyNumberFormat="0" applyProtection="0">
      <alignment horizontal="left" vertical="center" indent="1"/>
    </xf>
    <xf numFmtId="0" fontId="49" fillId="36" borderId="44" applyNumberFormat="0" applyProtection="0">
      <alignment horizontal="left" vertical="center" indent="1"/>
    </xf>
    <xf numFmtId="0" fontId="46" fillId="58" borderId="41" applyNumberFormat="0" applyProtection="0">
      <alignment horizontal="left" vertical="top" indent="1"/>
    </xf>
    <xf numFmtId="0" fontId="49" fillId="36" borderId="41" applyNumberFormat="0" applyProtection="0">
      <alignment horizontal="left" vertical="top" indent="1"/>
    </xf>
    <xf numFmtId="0" fontId="46" fillId="57" borderId="41" applyNumberFormat="0" applyProtection="0">
      <alignment horizontal="left" vertical="center" indent="1"/>
    </xf>
    <xf numFmtId="0" fontId="49" fillId="55" borderId="44" applyNumberFormat="0" applyProtection="0">
      <alignment horizontal="left" vertical="center" indent="1"/>
    </xf>
    <xf numFmtId="0" fontId="46" fillId="57" borderId="41" applyNumberFormat="0" applyProtection="0">
      <alignment horizontal="left" vertical="top" indent="1"/>
    </xf>
    <xf numFmtId="0" fontId="49" fillId="55" borderId="41" applyNumberFormat="0" applyProtection="0">
      <alignment horizontal="left" vertical="top" indent="1"/>
    </xf>
    <xf numFmtId="0" fontId="49" fillId="106" borderId="51" applyNumberFormat="0">
      <protection locked="0"/>
    </xf>
    <xf numFmtId="0" fontId="117" fillId="104" borderId="52" applyBorder="0"/>
    <xf numFmtId="4" fontId="71" fillId="74" borderId="41" applyNumberFormat="0" applyProtection="0">
      <alignment vertical="center"/>
    </xf>
    <xf numFmtId="4" fontId="118" fillId="51" borderId="41" applyNumberFormat="0" applyProtection="0">
      <alignment vertical="center"/>
    </xf>
    <xf numFmtId="4" fontId="74" fillId="74" borderId="41" applyNumberFormat="0" applyProtection="0">
      <alignment vertical="center"/>
    </xf>
    <xf numFmtId="4" fontId="115" fillId="74" borderId="28" applyNumberFormat="0" applyProtection="0">
      <alignment vertical="center"/>
    </xf>
    <xf numFmtId="4" fontId="71" fillId="74" borderId="41" applyNumberFormat="0" applyProtection="0">
      <alignment horizontal="left" vertical="center" indent="1"/>
    </xf>
    <xf numFmtId="4" fontId="118" fillId="48" borderId="41" applyNumberFormat="0" applyProtection="0">
      <alignment horizontal="left" vertical="center" indent="1"/>
    </xf>
    <xf numFmtId="0" fontId="71" fillId="74" borderId="41" applyNumberFormat="0" applyProtection="0">
      <alignment horizontal="left" vertical="top" indent="1"/>
    </xf>
    <xf numFmtId="0" fontId="118" fillId="51" borderId="41" applyNumberFormat="0" applyProtection="0">
      <alignment horizontal="left" vertical="top" indent="1"/>
    </xf>
    <xf numFmtId="0" fontId="129" fillId="31" borderId="0" applyNumberFormat="0" applyBorder="0" applyAlignment="0" applyProtection="0"/>
    <xf numFmtId="0" fontId="129" fillId="31" borderId="0" applyNumberFormat="0" applyBorder="0" applyAlignment="0" applyProtection="0"/>
    <xf numFmtId="4" fontId="49" fillId="0" borderId="44" applyNumberFormat="0" applyProtection="0">
      <alignment horizontal="right" vertical="center"/>
    </xf>
    <xf numFmtId="4" fontId="74" fillId="55" borderId="41" applyNumberFormat="0" applyProtection="0">
      <alignment horizontal="right" vertical="center"/>
    </xf>
    <xf numFmtId="4" fontId="115" fillId="107" borderId="44" applyNumberFormat="0" applyProtection="0">
      <alignment horizontal="right" vertical="center"/>
    </xf>
    <xf numFmtId="0" fontId="129" fillId="31" borderId="0" applyNumberFormat="0" applyBorder="0" applyAlignment="0" applyProtection="0"/>
    <xf numFmtId="0" fontId="129" fillId="31" borderId="0" applyNumberFormat="0" applyBorder="0" applyAlignment="0" applyProtection="0"/>
    <xf numFmtId="4" fontId="49" fillId="42" borderId="44" applyNumberFormat="0" applyProtection="0">
      <alignment horizontal="left" vertical="center" indent="1"/>
    </xf>
    <xf numFmtId="0" fontId="129" fillId="31" borderId="0" applyNumberFormat="0" applyBorder="0" applyAlignment="0" applyProtection="0"/>
    <xf numFmtId="0" fontId="46" fillId="59" borderId="40" applyNumberFormat="0" applyProtection="0">
      <alignment horizontal="left" vertical="center" indent="1"/>
    </xf>
    <xf numFmtId="0" fontId="118" fillId="54" borderId="41" applyNumberFormat="0" applyProtection="0">
      <alignment horizontal="left" vertical="top" indent="1"/>
    </xf>
    <xf numFmtId="0" fontId="129" fillId="31" borderId="0" applyNumberFormat="0" applyBorder="0" applyAlignment="0" applyProtection="0"/>
    <xf numFmtId="0" fontId="76" fillId="0" borderId="0"/>
    <xf numFmtId="4" fontId="119" fillId="75" borderId="49" applyNumberFormat="0" applyProtection="0">
      <alignment horizontal="left" vertical="center" indent="1"/>
    </xf>
    <xf numFmtId="0" fontId="49" fillId="108" borderId="28"/>
    <xf numFmtId="4" fontId="48" fillId="55" borderId="41" applyNumberFormat="0" applyProtection="0">
      <alignment horizontal="right" vertical="center"/>
    </xf>
    <xf numFmtId="4" fontId="120" fillId="106" borderId="44" applyNumberFormat="0" applyProtection="0">
      <alignment horizontal="right" vertical="center"/>
    </xf>
    <xf numFmtId="0" fontId="121" fillId="0" borderId="0" applyNumberFormat="0" applyFill="0" applyBorder="0" applyAlignment="0" applyProtection="0"/>
    <xf numFmtId="0" fontId="122" fillId="0" borderId="0" applyNumberFormat="0" applyFill="0" applyBorder="0" applyAlignment="0" applyProtection="0"/>
    <xf numFmtId="0" fontId="129" fillId="31" borderId="0" applyNumberFormat="0" applyBorder="0" applyAlignment="0" applyProtection="0"/>
    <xf numFmtId="0" fontId="123" fillId="0" borderId="42" applyNumberFormat="0" applyFill="0" applyAlignment="0" applyProtection="0"/>
    <xf numFmtId="0" fontId="42" fillId="0" borderId="42" applyNumberFormat="0" applyFill="0" applyAlignment="0" applyProtection="0"/>
    <xf numFmtId="0" fontId="97" fillId="0" borderId="53" applyNumberFormat="0" applyFill="0" applyAlignment="0" applyProtection="0"/>
    <xf numFmtId="0" fontId="124" fillId="0" borderId="0" applyNumberFormat="0" applyFill="0" applyBorder="0" applyAlignment="0" applyProtection="0"/>
    <xf numFmtId="0" fontId="42" fillId="0" borderId="0" applyNumberFormat="0" applyFill="0" applyBorder="0" applyAlignment="0" applyProtection="0"/>
    <xf numFmtId="0" fontId="125" fillId="0" borderId="0" applyNumberForma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2" fillId="0" borderId="0"/>
    <xf numFmtId="0" fontId="128" fillId="41" borderId="0" applyNumberFormat="0" applyBorder="0" applyAlignment="0" applyProtection="0"/>
    <xf numFmtId="0" fontId="128" fillId="41"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3" borderId="0" applyNumberFormat="0" applyBorder="0" applyAlignment="0" applyProtection="0"/>
    <xf numFmtId="0" fontId="128" fillId="42" borderId="0" applyNumberFormat="0" applyBorder="0" applyAlignment="0" applyProtection="0"/>
    <xf numFmtId="0" fontId="128" fillId="41" borderId="0" applyNumberFormat="0" applyBorder="0" applyAlignment="0" applyProtection="0"/>
    <xf numFmtId="0" fontId="128" fillId="38" borderId="0" applyNumberFormat="0" applyBorder="0" applyAlignment="0" applyProtection="0"/>
    <xf numFmtId="0" fontId="128" fillId="37" borderId="0" applyNumberFormat="0" applyBorder="0" applyAlignment="0" applyProtection="0"/>
    <xf numFmtId="0" fontId="128" fillId="40"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96" fillId="39" borderId="0" applyNumberFormat="0" applyBorder="0" applyAlignment="0" applyProtection="0"/>
    <xf numFmtId="0" fontId="96" fillId="36" borderId="0" applyNumberFormat="0" applyBorder="0" applyAlignment="0" applyProtection="0"/>
    <xf numFmtId="0" fontId="96" fillId="33" borderId="0" applyNumberFormat="0" applyBorder="0" applyAlignment="0" applyProtection="0"/>
    <xf numFmtId="0" fontId="96" fillId="38" borderId="0" applyNumberFormat="0" applyBorder="0" applyAlignment="0" applyProtection="0"/>
    <xf numFmtId="0" fontId="96" fillId="37" borderId="0" applyNumberFormat="0" applyBorder="0" applyAlignment="0" applyProtection="0"/>
    <xf numFmtId="0" fontId="96" fillId="36"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5" borderId="0" applyNumberFormat="0" applyBorder="0" applyAlignment="0" applyProtection="0"/>
    <xf numFmtId="0" fontId="96" fillId="34" borderId="0" applyNumberFormat="0" applyBorder="0" applyAlignment="0" applyProtection="0"/>
    <xf numFmtId="0" fontId="96" fillId="33" borderId="0" applyNumberFormat="0" applyBorder="0" applyAlignment="0" applyProtection="0"/>
    <xf numFmtId="0" fontId="96" fillId="32" borderId="0" applyNumberFormat="0" applyBorder="0" applyAlignment="0" applyProtection="0"/>
    <xf numFmtId="0" fontId="96" fillId="31" borderId="0" applyNumberFormat="0" applyBorder="0" applyAlignment="0" applyProtection="0"/>
    <xf numFmtId="0" fontId="96" fillId="30"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9" fontId="2" fillId="0" borderId="0" applyFont="0" applyFill="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2" fillId="0" borderId="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41" fontId="46" fillId="0" borderId="0" applyFont="0" applyFill="0" applyBorder="0" applyAlignment="0" applyProtection="0"/>
    <xf numFmtId="41" fontId="46" fillId="0" borderId="0" applyFont="0" applyFill="0" applyBorder="0" applyAlignment="0" applyProtection="0"/>
    <xf numFmtId="43" fontId="6" fillId="0" borderId="0" applyFont="0" applyFill="0" applyBorder="0" applyAlignment="0" applyProtection="0"/>
    <xf numFmtId="43" fontId="77" fillId="0" borderId="0" applyFont="0" applyFill="0" applyBorder="0" applyAlignment="0" applyProtection="0"/>
    <xf numFmtId="43" fontId="46" fillId="0" borderId="0" applyFont="0" applyFill="0" applyBorder="0" applyAlignment="0" applyProtection="0"/>
    <xf numFmtId="168" fontId="39" fillId="0" borderId="0" applyFont="0" applyFill="0" applyBorder="0" applyAlignment="0" applyProtection="0"/>
    <xf numFmtId="43" fontId="46" fillId="0" borderId="0" applyFont="0" applyFill="0" applyBorder="0" applyAlignment="0" applyProtection="0"/>
    <xf numFmtId="43" fontId="96" fillId="0" borderId="0" applyFont="0" applyFill="0" applyBorder="0" applyAlignment="0" applyProtection="0"/>
    <xf numFmtId="43" fontId="6" fillId="0" borderId="0" applyFont="0" applyFill="0" applyBorder="0" applyAlignment="0" applyProtection="0"/>
    <xf numFmtId="43" fontId="79" fillId="0" borderId="0" applyFont="0" applyFill="0" applyBorder="0" applyAlignment="0" applyProtection="0"/>
    <xf numFmtId="0" fontId="39" fillId="0" borderId="0" applyFont="0" applyFill="0" applyBorder="0" applyAlignment="0" applyProtection="0"/>
    <xf numFmtId="43" fontId="132" fillId="0" borderId="0" applyFont="0" applyFill="0" applyBorder="0" applyAlignment="0" applyProtection="0"/>
    <xf numFmtId="43" fontId="7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9" fontId="133" fillId="0" borderId="0"/>
    <xf numFmtId="189" fontId="133" fillId="0" borderId="0"/>
    <xf numFmtId="189" fontId="133" fillId="0" borderId="0"/>
    <xf numFmtId="190" fontId="134"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40" fontId="47" fillId="0" borderId="0">
      <alignment horizontal="left"/>
    </xf>
    <xf numFmtId="40" fontId="137" fillId="0" borderId="0" applyNumberFormat="0" applyAlignment="0">
      <alignment horizontal="left"/>
    </xf>
    <xf numFmtId="40" fontId="138" fillId="0" borderId="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alignment vertical="top"/>
      <protection locked="0"/>
    </xf>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43" fontId="42" fillId="0" borderId="0" applyFont="0" applyFill="0" applyBorder="0" applyAlignment="0" applyProtection="0"/>
    <xf numFmtId="191" fontId="145" fillId="0" borderId="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42" fillId="0" borderId="0"/>
    <xf numFmtId="0" fontId="6" fillId="0" borderId="0"/>
    <xf numFmtId="0" fontId="147" fillId="0" borderId="0"/>
    <xf numFmtId="0" fontId="2" fillId="0" borderId="0"/>
    <xf numFmtId="0" fontId="148" fillId="0" borderId="0">
      <alignment vertical="center"/>
    </xf>
    <xf numFmtId="192"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3" fontId="157" fillId="0" borderId="0"/>
    <xf numFmtId="0" fontId="46" fillId="0" borderId="0"/>
    <xf numFmtId="194" fontId="147" fillId="0" borderId="0"/>
    <xf numFmtId="193" fontId="149" fillId="0" borderId="0"/>
    <xf numFmtId="193" fontId="149" fillId="0" borderId="0"/>
    <xf numFmtId="193" fontId="149" fillId="0" borderId="0"/>
    <xf numFmtId="193" fontId="149" fillId="0" borderId="0"/>
    <xf numFmtId="193" fontId="149" fillId="0" borderId="0"/>
    <xf numFmtId="0" fontId="2" fillId="0" borderId="0"/>
    <xf numFmtId="0" fontId="2" fillId="0" borderId="0"/>
    <xf numFmtId="0" fontId="4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149" fillId="0" borderId="0"/>
    <xf numFmtId="0" fontId="149" fillId="0" borderId="0"/>
    <xf numFmtId="195" fontId="15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6" fillId="0" borderId="0"/>
    <xf numFmtId="0" fontId="2" fillId="0" borderId="0"/>
    <xf numFmtId="0" fontId="2" fillId="0" borderId="0"/>
    <xf numFmtId="0" fontId="6" fillId="0" borderId="0"/>
    <xf numFmtId="0" fontId="149" fillId="0" borderId="0"/>
    <xf numFmtId="0" fontId="149" fillId="0" borderId="0"/>
    <xf numFmtId="0" fontId="44" fillId="0" borderId="0"/>
    <xf numFmtId="0" fontId="39" fillId="0" borderId="0"/>
    <xf numFmtId="167" fontId="157" fillId="0" borderId="0"/>
    <xf numFmtId="0" fontId="46" fillId="0" borderId="0"/>
    <xf numFmtId="195" fontId="15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96"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43" fontId="39" fillId="0" borderId="0" applyFont="0" applyFill="0" applyBorder="0" applyAlignment="0" applyProtection="0"/>
    <xf numFmtId="9" fontId="96"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46" fillId="0" borderId="0" applyFont="0" applyFill="0" applyBorder="0" applyAlignment="0" applyProtection="0"/>
    <xf numFmtId="0" fontId="151" fillId="0" borderId="54" applyNumberFormat="0" applyFont="0" applyFill="0" applyAlignment="0" applyProtection="0">
      <alignment horizontal="left" vertical="center"/>
    </xf>
    <xf numFmtId="177" fontId="152" fillId="0" borderId="28">
      <alignment horizontal="center" vertical="center"/>
      <protection locked="0"/>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5" fillId="71" borderId="0" applyNumberFormat="0" applyProtection="0">
      <alignment horizontal="left" vertical="center" indent="1"/>
    </xf>
    <xf numFmtId="4" fontId="75" fillId="71" borderId="0" applyNumberFormat="0" applyProtection="0">
      <alignment horizontal="left" vertical="center" indent="1"/>
    </xf>
    <xf numFmtId="4" fontId="75" fillId="71" borderId="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76" fillId="0" borderId="0"/>
    <xf numFmtId="0" fontId="76" fillId="0" borderId="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196" fontId="156" fillId="0" borderId="0" applyFont="0" applyFill="0" applyBorder="0" applyAlignment="0" applyProtection="0"/>
    <xf numFmtId="0" fontId="131" fillId="49" borderId="34" applyNumberFormat="0" applyAlignment="0" applyProtection="0"/>
    <xf numFmtId="0" fontId="144" fillId="0" borderId="38" applyNumberFormat="0" applyFill="0" applyAlignment="0" applyProtection="0"/>
    <xf numFmtId="0" fontId="129" fillId="31" borderId="0" applyNumberFormat="0" applyBorder="0" applyAlignment="0" applyProtection="0"/>
    <xf numFmtId="0" fontId="150" fillId="48" borderId="40" applyNumberFormat="0" applyAlignment="0" applyProtection="0"/>
    <xf numFmtId="0" fontId="130" fillId="48" borderId="33" applyNumberFormat="0" applyAlignment="0" applyProtection="0"/>
    <xf numFmtId="0" fontId="155" fillId="0" borderId="0" applyNumberFormat="0" applyFill="0" applyBorder="0" applyAlignment="0" applyProtection="0"/>
    <xf numFmtId="0" fontId="135" fillId="0" borderId="0" applyNumberFormat="0" applyFill="0" applyBorder="0" applyAlignment="0" applyProtection="0"/>
    <xf numFmtId="0" fontId="153" fillId="0" borderId="0" applyNumberFormat="0" applyFill="0" applyBorder="0" applyAlignment="0" applyProtection="0"/>
    <xf numFmtId="0" fontId="136" fillId="32" borderId="0" applyNumberFormat="0" applyBorder="0" applyAlignment="0" applyProtection="0"/>
    <xf numFmtId="0" fontId="143" fillId="35" borderId="33" applyNumberFormat="0" applyAlignment="0" applyProtection="0"/>
    <xf numFmtId="0" fontId="146" fillId="50" borderId="0" applyNumberFormat="0" applyBorder="0" applyAlignment="0" applyProtection="0"/>
    <xf numFmtId="0" fontId="154" fillId="0" borderId="42" applyNumberFormat="0" applyFill="0" applyAlignment="0" applyProtection="0"/>
    <xf numFmtId="0" fontId="2" fillId="0" borderId="0"/>
    <xf numFmtId="0" fontId="128" fillId="44" borderId="0" applyNumberFormat="0" applyBorder="0" applyAlignment="0" applyProtection="0"/>
    <xf numFmtId="0" fontId="128" fillId="45" borderId="0" applyNumberFormat="0" applyBorder="0" applyAlignment="0" applyProtection="0"/>
    <xf numFmtId="0" fontId="128" fillId="46" borderId="0" applyNumberFormat="0" applyBorder="0" applyAlignment="0" applyProtection="0"/>
    <xf numFmtId="0" fontId="128" fillId="41" borderId="0" applyNumberFormat="0" applyBorder="0" applyAlignment="0" applyProtection="0"/>
    <xf numFmtId="0" fontId="128" fillId="42" borderId="0" applyNumberFormat="0" applyBorder="0" applyAlignment="0" applyProtection="0"/>
    <xf numFmtId="0" fontId="128" fillId="47" borderId="0" applyNumberFormat="0" applyBorder="0" applyAlignment="0" applyProtection="0"/>
    <xf numFmtId="0" fontId="73" fillId="51" borderId="39" applyNumberFormat="0" applyFont="0" applyAlignment="0" applyProtection="0"/>
    <xf numFmtId="0" fontId="139" fillId="0" borderId="35" applyNumberFormat="0" applyFill="0" applyAlignment="0" applyProtection="0"/>
    <xf numFmtId="0" fontId="140" fillId="0" borderId="36" applyNumberFormat="0" applyFill="0" applyAlignment="0" applyProtection="0"/>
    <xf numFmtId="0" fontId="141" fillId="0" borderId="37" applyNumberFormat="0" applyFill="0" applyAlignment="0" applyProtection="0"/>
    <xf numFmtId="0" fontId="141" fillId="0" borderId="0" applyNumberFormat="0" applyFill="0" applyBorder="0" applyAlignment="0" applyProtection="0"/>
    <xf numFmtId="0" fontId="6" fillId="0" borderId="0"/>
    <xf numFmtId="43" fontId="40" fillId="0" borderId="0" applyFont="0" applyFill="0" applyBorder="0" applyAlignment="0" applyProtection="0"/>
    <xf numFmtId="0" fontId="6" fillId="0" borderId="0"/>
    <xf numFmtId="43" fontId="6" fillId="0" borderId="0" applyFont="0" applyFill="0" applyBorder="0" applyAlignment="0" applyProtection="0"/>
    <xf numFmtId="0" fontId="2" fillId="0" borderId="0"/>
    <xf numFmtId="43" fontId="46" fillId="0" borderId="0" applyFont="0" applyFill="0" applyBorder="0" applyAlignment="0" applyProtection="0"/>
    <xf numFmtId="43" fontId="2" fillId="0" borderId="0" applyFont="0" applyFill="0" applyBorder="0" applyAlignment="0" applyProtection="0"/>
    <xf numFmtId="0" fontId="2" fillId="0" borderId="0"/>
    <xf numFmtId="41" fontId="39" fillId="0" borderId="0" applyFont="0" applyFill="0" applyBorder="0" applyAlignment="0" applyProtection="0"/>
    <xf numFmtId="43" fontId="39" fillId="0" borderId="0" applyFont="0" applyFill="0" applyBorder="0" applyAlignment="0" applyProtection="0"/>
    <xf numFmtId="169" fontId="39" fillId="0" borderId="0" applyFont="0" applyFill="0" applyBorder="0" applyAlignment="0" applyProtection="0"/>
    <xf numFmtId="170" fontId="39" fillId="0" borderId="0" applyFont="0" applyFill="0" applyBorder="0" applyAlignment="0" applyProtection="0"/>
    <xf numFmtId="0" fontId="39"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6" fillId="0" borderId="0" applyFont="0" applyFill="0" applyBorder="0" applyAlignment="0" applyProtection="0"/>
    <xf numFmtId="0" fontId="6"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cellStyleXfs>
  <cellXfs count="724">
    <xf numFmtId="0" fontId="0" fillId="0" borderId="0" xfId="0"/>
    <xf numFmtId="0" fontId="5" fillId="0" borderId="0" xfId="0" applyFont="1"/>
    <xf numFmtId="0" fontId="0" fillId="0" borderId="0" xfId="0" applyAlignment="1">
      <alignment horizontal="center"/>
    </xf>
    <xf numFmtId="0" fontId="0" fillId="0" borderId="0" xfId="0" applyFill="1"/>
    <xf numFmtId="0" fontId="6" fillId="5" borderId="10" xfId="0" applyFont="1" applyFill="1" applyBorder="1" applyAlignment="1">
      <alignment horizontal="center" vertical="center"/>
    </xf>
    <xf numFmtId="0" fontId="6" fillId="8" borderId="0" xfId="0" applyFont="1" applyFill="1" applyBorder="1" applyAlignment="1">
      <alignment horizontal="center" vertical="center"/>
    </xf>
    <xf numFmtId="0" fontId="5" fillId="8" borderId="0" xfId="0" applyFont="1" applyFill="1"/>
    <xf numFmtId="0" fontId="7" fillId="8" borderId="0" xfId="0" applyFont="1" applyFill="1" applyBorder="1" applyAlignment="1">
      <alignment horizontal="center" vertical="center"/>
    </xf>
    <xf numFmtId="0" fontId="7" fillId="8" borderId="18" xfId="0" applyFont="1" applyFill="1" applyBorder="1" applyAlignment="1">
      <alignment horizontal="center" vertical="center"/>
    </xf>
    <xf numFmtId="0" fontId="6" fillId="8" borderId="16" xfId="0" applyFont="1" applyFill="1" applyBorder="1" applyAlignment="1">
      <alignment horizontal="center" vertical="center"/>
    </xf>
    <xf numFmtId="0" fontId="6" fillId="8" borderId="18"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2" fillId="8" borderId="16"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13" fillId="8" borderId="0" xfId="0" applyFont="1" applyFill="1" applyBorder="1" applyAlignment="1">
      <alignment horizontal="center" vertical="center"/>
    </xf>
    <xf numFmtId="0" fontId="8" fillId="8" borderId="16" xfId="0" applyFont="1" applyFill="1" applyBorder="1" applyAlignment="1">
      <alignment horizontal="center" vertical="center"/>
    </xf>
    <xf numFmtId="0" fontId="8" fillId="8" borderId="18" xfId="0" applyFont="1" applyFill="1" applyBorder="1" applyAlignment="1">
      <alignment horizontal="center" vertical="center"/>
    </xf>
    <xf numFmtId="0" fontId="8" fillId="8" borderId="0" xfId="0" applyFont="1" applyFill="1" applyBorder="1" applyAlignment="1">
      <alignment horizontal="center" vertical="center"/>
    </xf>
    <xf numFmtId="0" fontId="10" fillId="8" borderId="0" xfId="0" applyFont="1" applyFill="1" applyBorder="1" applyAlignment="1">
      <alignment horizontal="center" vertical="center"/>
    </xf>
    <xf numFmtId="0" fontId="5" fillId="8" borderId="6" xfId="0" applyFont="1" applyFill="1" applyBorder="1"/>
    <xf numFmtId="0" fontId="6" fillId="4" borderId="10" xfId="0" applyFont="1" applyFill="1" applyBorder="1" applyAlignment="1">
      <alignment horizontal="center" vertical="center"/>
    </xf>
    <xf numFmtId="0" fontId="6" fillId="6" borderId="20" xfId="0" applyFont="1" applyFill="1" applyBorder="1" applyAlignment="1">
      <alignment horizontal="center" vertical="center"/>
    </xf>
    <xf numFmtId="0" fontId="6" fillId="2" borderId="19"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10" xfId="0" applyFont="1" applyFill="1" applyBorder="1" applyAlignment="1">
      <alignment horizontal="center" vertical="center"/>
    </xf>
    <xf numFmtId="0" fontId="6" fillId="6" borderId="10" xfId="0" applyFont="1" applyFill="1" applyBorder="1" applyAlignment="1">
      <alignment horizontal="center" vertical="center"/>
    </xf>
    <xf numFmtId="0" fontId="7" fillId="8" borderId="21" xfId="0" applyFont="1" applyFill="1" applyBorder="1" applyAlignment="1">
      <alignment horizontal="center" vertical="center"/>
    </xf>
    <xf numFmtId="0" fontId="6" fillId="3" borderId="22"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6" fillId="8" borderId="0" xfId="0" applyFont="1" applyFill="1" applyBorder="1" applyAlignment="1">
      <alignment horizontal="center"/>
    </xf>
    <xf numFmtId="0" fontId="5" fillId="8" borderId="3" xfId="0" applyFont="1" applyFill="1" applyBorder="1"/>
    <xf numFmtId="0" fontId="5" fillId="8" borderId="2" xfId="0" applyFont="1" applyFill="1" applyBorder="1"/>
    <xf numFmtId="0" fontId="0" fillId="8" borderId="0" xfId="0" applyFill="1" applyBorder="1" applyAlignment="1"/>
    <xf numFmtId="0" fontId="0" fillId="8" borderId="9" xfId="0" applyFill="1" applyBorder="1" applyAlignment="1">
      <alignment horizontal="center"/>
    </xf>
    <xf numFmtId="0" fontId="5" fillId="8" borderId="0" xfId="0" applyFont="1" applyFill="1" applyBorder="1" applyAlignment="1">
      <alignment horizontal="center"/>
    </xf>
    <xf numFmtId="0" fontId="0" fillId="8" borderId="0" xfId="0" applyFill="1" applyBorder="1"/>
    <xf numFmtId="0" fontId="14" fillId="8" borderId="0" xfId="0" applyFont="1" applyFill="1"/>
    <xf numFmtId="0" fontId="15" fillId="8" borderId="0" xfId="0" applyFont="1" applyFill="1"/>
    <xf numFmtId="0" fontId="5" fillId="8" borderId="6" xfId="0" applyFont="1" applyFill="1" applyBorder="1" applyAlignment="1"/>
    <xf numFmtId="0" fontId="5" fillId="8" borderId="7" xfId="0" applyFont="1" applyFill="1" applyBorder="1" applyAlignment="1"/>
    <xf numFmtId="0" fontId="5" fillId="8" borderId="9" xfId="0" applyFont="1" applyFill="1" applyBorder="1" applyAlignment="1"/>
    <xf numFmtId="0" fontId="5" fillId="8" borderId="0" xfId="0" applyFont="1" applyFill="1" applyBorder="1" applyAlignment="1"/>
    <xf numFmtId="0" fontId="5" fillId="8" borderId="6" xfId="0" applyFont="1" applyFill="1" applyBorder="1" applyAlignment="1">
      <alignment horizontal="left" vertical="center"/>
    </xf>
    <xf numFmtId="0" fontId="0" fillId="8" borderId="7" xfId="0" applyFill="1" applyBorder="1"/>
    <xf numFmtId="0" fontId="5"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43" fontId="0" fillId="8" borderId="0" xfId="1" applyFont="1" applyFill="1"/>
    <xf numFmtId="0" fontId="5" fillId="8" borderId="11" xfId="0" applyFont="1" applyFill="1" applyBorder="1" applyAlignment="1"/>
    <xf numFmtId="0" fontId="5" fillId="8" borderId="12" xfId="0" applyFont="1" applyFill="1" applyBorder="1" applyAlignment="1"/>
    <xf numFmtId="43" fontId="0" fillId="8" borderId="7" xfId="1" applyFont="1" applyFill="1" applyBorder="1"/>
    <xf numFmtId="43" fontId="0" fillId="8" borderId="9" xfId="1" applyFont="1" applyFill="1" applyBorder="1"/>
    <xf numFmtId="43" fontId="0" fillId="8" borderId="0" xfId="1" applyFont="1" applyFill="1" applyBorder="1"/>
    <xf numFmtId="43" fontId="0" fillId="8" borderId="12" xfId="1" applyFont="1" applyFill="1" applyBorder="1"/>
    <xf numFmtId="43" fontId="8" fillId="8" borderId="6" xfId="1" applyFont="1" applyFill="1" applyBorder="1" applyAlignment="1">
      <alignment horizontal="center" vertical="center"/>
    </xf>
    <xf numFmtId="43" fontId="6" fillId="8" borderId="0" xfId="1" applyFont="1" applyFill="1" applyBorder="1"/>
    <xf numFmtId="43" fontId="5" fillId="8" borderId="14" xfId="0" applyNumberFormat="1" applyFont="1" applyFill="1" applyBorder="1"/>
    <xf numFmtId="43" fontId="5" fillId="8" borderId="15" xfId="0" applyNumberFormat="1" applyFont="1" applyFill="1" applyBorder="1"/>
    <xf numFmtId="43" fontId="8" fillId="8" borderId="9" xfId="1" applyFont="1" applyFill="1" applyBorder="1" applyAlignment="1">
      <alignment horizontal="center" vertical="center"/>
    </xf>
    <xf numFmtId="43" fontId="5" fillId="8" borderId="0" xfId="0" applyNumberFormat="1" applyFont="1" applyFill="1" applyBorder="1"/>
    <xf numFmtId="43" fontId="5" fillId="8" borderId="11" xfId="0" applyNumberFormat="1" applyFont="1" applyFill="1" applyBorder="1"/>
    <xf numFmtId="43" fontId="5" fillId="8" borderId="12" xfId="0" applyNumberFormat="1" applyFont="1" applyFill="1" applyBorder="1"/>
    <xf numFmtId="43" fontId="8" fillId="8" borderId="0" xfId="1" applyFont="1" applyFill="1" applyBorder="1" applyAlignment="1">
      <alignment horizontal="center" vertical="center"/>
    </xf>
    <xf numFmtId="43" fontId="8" fillId="8" borderId="7" xfId="1" applyFont="1" applyFill="1" applyBorder="1" applyAlignment="1">
      <alignment horizontal="center" vertical="center"/>
    </xf>
    <xf numFmtId="43" fontId="8" fillId="8" borderId="11" xfId="1" applyFont="1" applyFill="1" applyBorder="1" applyAlignment="1">
      <alignment horizontal="center" vertical="center"/>
    </xf>
    <xf numFmtId="43" fontId="8" fillId="8" borderId="12" xfId="1" applyFont="1" applyFill="1" applyBorder="1" applyAlignment="1">
      <alignment horizontal="center" vertical="center"/>
    </xf>
    <xf numFmtId="43" fontId="6" fillId="4" borderId="0" xfId="1" applyFont="1" applyFill="1" applyBorder="1" applyAlignment="1">
      <alignment horizontal="center" vertical="center"/>
    </xf>
    <xf numFmtId="43" fontId="6" fillId="4" borderId="0" xfId="1" applyFont="1" applyFill="1" applyBorder="1"/>
    <xf numFmtId="43" fontId="0" fillId="8" borderId="16" xfId="1" applyFont="1" applyFill="1" applyBorder="1"/>
    <xf numFmtId="43" fontId="0" fillId="8" borderId="18" xfId="1" applyFont="1" applyFill="1" applyBorder="1"/>
    <xf numFmtId="0" fontId="11" fillId="8" borderId="0" xfId="0" applyFont="1" applyFill="1" applyBorder="1"/>
    <xf numFmtId="0" fontId="11" fillId="8" borderId="0" xfId="0" applyFont="1" applyFill="1"/>
    <xf numFmtId="0" fontId="11" fillId="0" borderId="0" xfId="0" applyFont="1"/>
    <xf numFmtId="0" fontId="11" fillId="8" borderId="17" xfId="0" applyFont="1" applyFill="1" applyBorder="1"/>
    <xf numFmtId="171" fontId="17" fillId="7" borderId="14" xfId="0" applyNumberFormat="1" applyFont="1" applyFill="1" applyBorder="1" applyAlignment="1">
      <alignment horizontal="center" vertical="center"/>
    </xf>
    <xf numFmtId="171" fontId="17" fillId="7" borderId="15" xfId="0" applyNumberFormat="1" applyFont="1" applyFill="1" applyBorder="1" applyAlignment="1">
      <alignment horizontal="center" vertical="center"/>
    </xf>
    <xf numFmtId="171" fontId="17" fillId="7" borderId="6" xfId="0" applyNumberFormat="1" applyFont="1" applyFill="1" applyBorder="1" applyAlignment="1">
      <alignment horizontal="center" vertical="center"/>
    </xf>
    <xf numFmtId="171" fontId="17" fillId="7" borderId="7" xfId="0" applyNumberFormat="1" applyFont="1" applyFill="1" applyBorder="1" applyAlignment="1">
      <alignment horizontal="center" vertical="center"/>
    </xf>
    <xf numFmtId="0" fontId="17" fillId="7" borderId="14" xfId="0" applyFont="1" applyFill="1" applyBorder="1"/>
    <xf numFmtId="172" fontId="0" fillId="8" borderId="0" xfId="1" applyNumberFormat="1" applyFont="1" applyFill="1" applyBorder="1"/>
    <xf numFmtId="172" fontId="16" fillId="8" borderId="0" xfId="1" applyNumberFormat="1" applyFont="1" applyFill="1" applyBorder="1"/>
    <xf numFmtId="43" fontId="0" fillId="8" borderId="0" xfId="0" applyNumberFormat="1" applyFill="1" applyBorder="1"/>
    <xf numFmtId="43" fontId="0" fillId="8" borderId="12" xfId="0" applyNumberFormat="1" applyFill="1" applyBorder="1"/>
    <xf numFmtId="0" fontId="5" fillId="8" borderId="9" xfId="0" applyFont="1" applyFill="1" applyBorder="1" applyAlignment="1">
      <alignment horizontal="left" indent="1"/>
    </xf>
    <xf numFmtId="0" fontId="5" fillId="0" borderId="9" xfId="0" applyFont="1" applyBorder="1" applyAlignment="1">
      <alignment horizontal="left" indent="1"/>
    </xf>
    <xf numFmtId="0" fontId="0" fillId="8" borderId="0" xfId="0" applyFill="1" applyBorder="1" applyAlignment="1">
      <alignment horizontal="right"/>
    </xf>
    <xf numFmtId="172" fontId="0" fillId="8" borderId="7" xfId="1" applyNumberFormat="1" applyFont="1" applyFill="1" applyBorder="1"/>
    <xf numFmtId="174" fontId="0" fillId="8" borderId="0" xfId="1" applyNumberFormat="1" applyFont="1" applyFill="1" applyBorder="1"/>
    <xf numFmtId="43" fontId="4" fillId="8" borderId="0" xfId="0" applyNumberFormat="1" applyFont="1" applyFill="1" applyBorder="1"/>
    <xf numFmtId="172" fontId="0" fillId="0" borderId="7" xfId="1" applyNumberFormat="1" applyFont="1" applyBorder="1"/>
    <xf numFmtId="43" fontId="9" fillId="4" borderId="0" xfId="1" applyFont="1" applyFill="1" applyBorder="1"/>
    <xf numFmtId="174" fontId="19" fillId="9" borderId="0" xfId="1" applyNumberFormat="1" applyFont="1" applyFill="1" applyBorder="1"/>
    <xf numFmtId="174" fontId="19" fillId="11" borderId="12" xfId="1" applyNumberFormat="1" applyFont="1" applyFill="1" applyBorder="1"/>
    <xf numFmtId="0" fontId="19" fillId="9" borderId="9" xfId="0" applyFont="1" applyFill="1" applyBorder="1" applyAlignment="1">
      <alignment horizontal="left" indent="1"/>
    </xf>
    <xf numFmtId="0" fontId="19" fillId="10" borderId="11" xfId="0" applyFont="1" applyFill="1" applyBorder="1" applyAlignment="1">
      <alignment horizontal="left" indent="1"/>
    </xf>
    <xf numFmtId="43" fontId="3" fillId="8" borderId="0" xfId="1" applyFont="1" applyFill="1" applyBorder="1"/>
    <xf numFmtId="9" fontId="5" fillId="8" borderId="0" xfId="2" applyFont="1" applyFill="1" applyBorder="1"/>
    <xf numFmtId="43"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6" fillId="8" borderId="25" xfId="0" applyFont="1" applyFill="1" applyBorder="1" applyAlignment="1">
      <alignment horizontal="center"/>
    </xf>
    <xf numFmtId="0" fontId="5" fillId="3" borderId="9" xfId="0" applyFont="1" applyFill="1" applyBorder="1" applyAlignment="1"/>
    <xf numFmtId="0" fontId="0" fillId="3" borderId="0" xfId="0" applyFill="1" applyBorder="1" applyAlignment="1">
      <alignment horizontal="center"/>
    </xf>
    <xf numFmtId="0" fontId="0" fillId="3" borderId="0" xfId="0" applyFill="1" applyBorder="1"/>
    <xf numFmtId="0" fontId="5" fillId="3" borderId="11" xfId="0" applyFont="1" applyFill="1" applyBorder="1" applyAlignment="1"/>
    <xf numFmtId="0" fontId="0" fillId="3" borderId="12" xfId="0" applyFill="1" applyBorder="1" applyAlignment="1">
      <alignment horizontal="center"/>
    </xf>
    <xf numFmtId="0" fontId="0" fillId="3" borderId="12" xfId="0" applyFill="1" applyBorder="1"/>
    <xf numFmtId="0" fontId="7" fillId="8" borderId="26" xfId="0" applyFont="1" applyFill="1" applyBorder="1" applyAlignment="1">
      <alignment horizontal="center" vertical="center"/>
    </xf>
    <xf numFmtId="0" fontId="6" fillId="5" borderId="27" xfId="0" applyFont="1" applyFill="1" applyBorder="1" applyAlignment="1">
      <alignment horizontal="center" vertical="center"/>
    </xf>
    <xf numFmtId="43" fontId="23" fillId="8" borderId="0" xfId="1" applyFont="1" applyFill="1"/>
    <xf numFmtId="43" fontId="6" fillId="8" borderId="0" xfId="1" applyFont="1" applyFill="1" applyBorder="1" applyAlignment="1">
      <alignment horizontal="center" vertical="center"/>
    </xf>
    <xf numFmtId="174" fontId="18" fillId="8" borderId="0" xfId="1" applyNumberFormat="1" applyFont="1" applyFill="1" applyBorder="1"/>
    <xf numFmtId="43" fontId="18" fillId="8" borderId="0" xfId="1" applyFont="1" applyFill="1" applyBorder="1"/>
    <xf numFmtId="9" fontId="5" fillId="8" borderId="0" xfId="2" applyNumberFormat="1" applyFont="1" applyFill="1" applyBorder="1"/>
    <xf numFmtId="43" fontId="9" fillId="4" borderId="0" xfId="1" applyFont="1" applyFill="1" applyBorder="1" applyAlignment="1">
      <alignment horizontal="center" vertical="center"/>
    </xf>
    <xf numFmtId="43" fontId="3" fillId="8" borderId="18" xfId="1" applyFont="1" applyFill="1" applyBorder="1"/>
    <xf numFmtId="43" fontId="16" fillId="8" borderId="16" xfId="1" applyFont="1" applyFill="1" applyBorder="1"/>
    <xf numFmtId="43" fontId="3" fillId="8" borderId="0" xfId="1" applyFont="1" applyFill="1"/>
    <xf numFmtId="0" fontId="8" fillId="8" borderId="26" xfId="0" applyFont="1" applyFill="1" applyBorder="1" applyAlignment="1">
      <alignment horizontal="center" vertical="center"/>
    </xf>
    <xf numFmtId="0" fontId="6" fillId="6" borderId="27" xfId="0" applyFont="1" applyFill="1" applyBorder="1" applyAlignment="1">
      <alignment horizontal="center" vertical="center"/>
    </xf>
    <xf numFmtId="43" fontId="24" fillId="8" borderId="18" xfId="1" applyFont="1" applyFill="1" applyBorder="1"/>
    <xf numFmtId="43" fontId="2" fillId="8" borderId="0" xfId="1" applyFont="1" applyFill="1" applyBorder="1"/>
    <xf numFmtId="172" fontId="19" fillId="9" borderId="0" xfId="1" applyNumberFormat="1" applyFont="1" applyFill="1" applyBorder="1"/>
    <xf numFmtId="0" fontId="0" fillId="0" borderId="0" xfId="0" applyAlignment="1">
      <alignment horizontal="center" vertical="center"/>
    </xf>
    <xf numFmtId="43" fontId="0" fillId="0" borderId="0" xfId="1" applyFont="1" applyAlignment="1">
      <alignment horizontal="center" vertical="center"/>
    </xf>
    <xf numFmtId="171" fontId="5" fillId="12" borderId="14" xfId="0" applyNumberFormat="1" applyFont="1" applyFill="1" applyBorder="1" applyAlignment="1">
      <alignment horizontal="center" vertical="center"/>
    </xf>
    <xf numFmtId="171" fontId="5" fillId="12" borderId="5" xfId="0" applyNumberFormat="1" applyFont="1" applyFill="1" applyBorder="1" applyAlignment="1">
      <alignment horizontal="center" vertical="center"/>
    </xf>
    <xf numFmtId="171" fontId="18" fillId="12" borderId="15" xfId="0" applyNumberFormat="1" applyFont="1" applyFill="1" applyBorder="1" applyAlignment="1">
      <alignment horizontal="center" vertical="center"/>
    </xf>
    <xf numFmtId="171" fontId="18" fillId="12" borderId="5" xfId="0" applyNumberFormat="1" applyFont="1" applyFill="1" applyBorder="1" applyAlignment="1">
      <alignment horizontal="center" vertical="center"/>
    </xf>
    <xf numFmtId="171" fontId="5" fillId="12" borderId="15" xfId="0" applyNumberFormat="1" applyFont="1" applyFill="1" applyBorder="1" applyAlignment="1">
      <alignment horizontal="center" vertical="center"/>
    </xf>
    <xf numFmtId="171" fontId="4" fillId="12" borderId="5" xfId="0" applyNumberFormat="1" applyFont="1" applyFill="1" applyBorder="1" applyAlignment="1">
      <alignment horizontal="center" vertical="center"/>
    </xf>
    <xf numFmtId="171" fontId="4" fillId="12" borderId="15" xfId="0" applyNumberFormat="1" applyFont="1" applyFill="1" applyBorder="1" applyAlignment="1">
      <alignment horizontal="center" vertical="center"/>
    </xf>
    <xf numFmtId="171" fontId="4" fillId="12" borderId="2" xfId="0" applyNumberFormat="1" applyFont="1" applyFill="1" applyBorder="1" applyAlignment="1">
      <alignment horizontal="center" vertical="center"/>
    </xf>
    <xf numFmtId="171" fontId="4" fillId="12" borderId="7" xfId="0" applyNumberFormat="1" applyFont="1" applyFill="1" applyBorder="1" applyAlignment="1">
      <alignment horizontal="center" vertical="center"/>
    </xf>
    <xf numFmtId="171" fontId="4" fillId="12" borderId="8" xfId="0" applyNumberFormat="1" applyFont="1" applyFill="1" applyBorder="1" applyAlignment="1">
      <alignment horizontal="center" vertical="center"/>
    </xf>
    <xf numFmtId="171" fontId="5" fillId="12" borderId="8" xfId="0" applyNumberFormat="1" applyFont="1" applyFill="1" applyBorder="1" applyAlignment="1">
      <alignment horizontal="center" vertical="center"/>
    </xf>
    <xf numFmtId="0" fontId="0" fillId="2" borderId="0" xfId="0" applyFill="1" applyAlignment="1">
      <alignment horizontal="center" vertical="center"/>
    </xf>
    <xf numFmtId="171" fontId="5" fillId="2" borderId="0" xfId="0" applyNumberFormat="1" applyFont="1" applyFill="1" applyAlignment="1">
      <alignment horizontal="center" vertical="center"/>
    </xf>
    <xf numFmtId="0" fontId="5" fillId="2" borderId="0" xfId="0" applyNumberFormat="1" applyFont="1" applyFill="1" applyAlignment="1">
      <alignment horizontal="center" vertical="center"/>
    </xf>
    <xf numFmtId="0" fontId="5" fillId="2" borderId="7" xfId="0" applyNumberFormat="1" applyFont="1" applyFill="1" applyBorder="1" applyAlignment="1">
      <alignment horizontal="center" vertical="center"/>
    </xf>
    <xf numFmtId="0" fontId="5" fillId="2" borderId="8" xfId="0" applyNumberFormat="1" applyFont="1" applyFill="1" applyBorder="1" applyAlignment="1">
      <alignment horizontal="center" vertical="center"/>
    </xf>
    <xf numFmtId="43" fontId="5" fillId="2" borderId="12" xfId="1" applyFont="1" applyFill="1" applyBorder="1" applyAlignment="1">
      <alignment horizontal="center" vertical="center"/>
    </xf>
    <xf numFmtId="43" fontId="18" fillId="2" borderId="12" xfId="1" applyFont="1" applyFill="1" applyBorder="1" applyAlignment="1">
      <alignment horizontal="center" vertical="center"/>
    </xf>
    <xf numFmtId="43" fontId="5" fillId="2" borderId="13" xfId="1" applyFont="1" applyFill="1" applyBorder="1" applyAlignment="1">
      <alignment horizontal="center" vertical="center"/>
    </xf>
    <xf numFmtId="0" fontId="5" fillId="0" borderId="0" xfId="0" applyFont="1" applyAlignment="1">
      <alignment horizontal="center" vertical="center"/>
    </xf>
    <xf numFmtId="0" fontId="5" fillId="2" borderId="2" xfId="0" applyFont="1" applyFill="1" applyBorder="1" applyAlignment="1">
      <alignment horizontal="center" vertical="center"/>
    </xf>
    <xf numFmtId="43" fontId="5" fillId="2" borderId="6" xfId="1" applyFont="1" applyFill="1" applyBorder="1" applyAlignment="1">
      <alignment horizontal="center" vertical="center"/>
    </xf>
    <xf numFmtId="43" fontId="5" fillId="2" borderId="2" xfId="1" applyFont="1" applyFill="1" applyBorder="1" applyAlignment="1">
      <alignment horizontal="center" vertical="center"/>
    </xf>
    <xf numFmtId="43" fontId="5" fillId="2" borderId="8" xfId="1" applyFont="1" applyFill="1" applyBorder="1" applyAlignment="1">
      <alignment horizontal="center" vertical="center"/>
    </xf>
    <xf numFmtId="43" fontId="5" fillId="2" borderId="7" xfId="1" applyFont="1" applyFill="1" applyBorder="1" applyAlignment="1">
      <alignment horizontal="center" vertical="center"/>
    </xf>
    <xf numFmtId="43" fontId="18" fillId="2" borderId="4" xfId="1" applyFont="1" applyFill="1" applyBorder="1" applyAlignment="1">
      <alignment horizontal="center" vertical="center"/>
    </xf>
    <xf numFmtId="43" fontId="18" fillId="2" borderId="0" xfId="1" applyFont="1" applyFill="1" applyBorder="1" applyAlignment="1">
      <alignment horizontal="center" vertical="center"/>
    </xf>
    <xf numFmtId="43" fontId="18" fillId="2" borderId="3" xfId="1" applyFont="1" applyFill="1" applyBorder="1" applyAlignment="1">
      <alignment horizontal="center" vertical="center"/>
    </xf>
    <xf numFmtId="43" fontId="18" fillId="2" borderId="10" xfId="1" applyFont="1" applyFill="1" applyBorder="1" applyAlignment="1">
      <alignment horizontal="center" vertical="center"/>
    </xf>
    <xf numFmtId="43" fontId="4" fillId="2" borderId="10" xfId="1" applyFont="1" applyFill="1" applyBorder="1" applyAlignment="1">
      <alignment horizontal="center" vertical="center"/>
    </xf>
    <xf numFmtId="43" fontId="6" fillId="0" borderId="0" xfId="0" applyNumberFormat="1" applyFont="1" applyAlignment="1">
      <alignment horizontal="center" vertical="center"/>
    </xf>
    <xf numFmtId="43" fontId="25" fillId="13" borderId="6" xfId="1" applyFont="1" applyFill="1" applyBorder="1" applyAlignment="1">
      <alignment horizontal="center" vertical="center"/>
    </xf>
    <xf numFmtId="43" fontId="25" fillId="13" borderId="2" xfId="1" applyFont="1" applyFill="1" applyBorder="1" applyAlignment="1">
      <alignment horizontal="center" vertical="center"/>
    </xf>
    <xf numFmtId="43" fontId="25" fillId="14" borderId="2" xfId="1" applyFont="1" applyFill="1" applyBorder="1" applyAlignment="1">
      <alignment horizontal="center" vertical="center"/>
    </xf>
    <xf numFmtId="43" fontId="25" fillId="14" borderId="8" xfId="1" applyFont="1" applyFill="1" applyBorder="1" applyAlignment="1">
      <alignment horizontal="center" vertical="center"/>
    </xf>
    <xf numFmtId="43" fontId="25" fillId="14" borderId="6" xfId="1" applyFont="1" applyFill="1" applyBorder="1" applyAlignment="1">
      <alignment horizontal="center" vertical="center"/>
    </xf>
    <xf numFmtId="43" fontId="26" fillId="15" borderId="8" xfId="1" applyFont="1" applyFill="1" applyBorder="1" applyAlignment="1">
      <alignment horizontal="center" vertical="center"/>
    </xf>
    <xf numFmtId="43" fontId="26" fillId="16" borderId="8" xfId="1" applyFont="1" applyFill="1" applyBorder="1" applyAlignment="1">
      <alignment horizontal="center" vertical="center"/>
    </xf>
    <xf numFmtId="43" fontId="27" fillId="16" borderId="8" xfId="1" applyFont="1" applyFill="1" applyBorder="1" applyAlignment="1">
      <alignment horizontal="center" vertical="center"/>
    </xf>
    <xf numFmtId="43" fontId="25" fillId="13" borderId="9" xfId="1" applyFont="1" applyFill="1" applyBorder="1" applyAlignment="1">
      <alignment horizontal="center" vertical="center"/>
    </xf>
    <xf numFmtId="43" fontId="25" fillId="13" borderId="3" xfId="1" applyFont="1" applyFill="1" applyBorder="1" applyAlignment="1">
      <alignment horizontal="center" vertical="center"/>
    </xf>
    <xf numFmtId="43" fontId="25" fillId="14" borderId="3" xfId="1" applyFont="1" applyFill="1" applyBorder="1" applyAlignment="1">
      <alignment horizontal="center" vertical="center"/>
    </xf>
    <xf numFmtId="43" fontId="25" fillId="14" borderId="10" xfId="1" applyFont="1" applyFill="1" applyBorder="1" applyAlignment="1">
      <alignment horizontal="center" vertical="center"/>
    </xf>
    <xf numFmtId="43" fontId="25" fillId="14" borderId="9" xfId="1" applyFont="1" applyFill="1" applyBorder="1" applyAlignment="1">
      <alignment horizontal="center" vertical="center"/>
    </xf>
    <xf numFmtId="43" fontId="26" fillId="17" borderId="3" xfId="1" applyFont="1" applyFill="1" applyBorder="1" applyAlignment="1">
      <alignment horizontal="center" vertical="center"/>
    </xf>
    <xf numFmtId="43" fontId="27" fillId="17" borderId="3" xfId="1" applyFont="1" applyFill="1" applyBorder="1" applyAlignment="1">
      <alignment horizontal="center" vertical="center"/>
    </xf>
    <xf numFmtId="43" fontId="25" fillId="14" borderId="0" xfId="1" applyFont="1" applyFill="1" applyBorder="1" applyAlignment="1">
      <alignment horizontal="center" vertical="center"/>
    </xf>
    <xf numFmtId="43" fontId="26" fillId="17" borderId="10" xfId="1" applyFont="1" applyFill="1" applyBorder="1" applyAlignment="1">
      <alignment horizontal="center" vertical="center"/>
    </xf>
    <xf numFmtId="43" fontId="28" fillId="17" borderId="10" xfId="1" applyFont="1" applyFill="1" applyBorder="1" applyAlignment="1">
      <alignment horizontal="center" vertical="center"/>
    </xf>
    <xf numFmtId="43" fontId="27" fillId="17" borderId="10" xfId="1" applyFont="1" applyFill="1" applyBorder="1" applyAlignment="1">
      <alignment horizontal="center" vertical="center"/>
    </xf>
    <xf numFmtId="0" fontId="5" fillId="4" borderId="4" xfId="0" applyFont="1" applyFill="1" applyBorder="1" applyAlignment="1">
      <alignment horizontal="center" vertical="center"/>
    </xf>
    <xf numFmtId="43" fontId="25" fillId="4" borderId="11" xfId="1" applyFont="1" applyFill="1" applyBorder="1" applyAlignment="1">
      <alignment horizontal="center" vertical="center"/>
    </xf>
    <xf numFmtId="43" fontId="25" fillId="4" borderId="4" xfId="1" applyFont="1" applyFill="1" applyBorder="1" applyAlignment="1">
      <alignment horizontal="center" vertical="center"/>
    </xf>
    <xf numFmtId="43" fontId="25" fillId="18" borderId="4" xfId="1" applyFont="1" applyFill="1" applyBorder="1" applyAlignment="1">
      <alignment horizontal="center" vertical="center"/>
    </xf>
    <xf numFmtId="43" fontId="25" fillId="18" borderId="13" xfId="1" applyFont="1" applyFill="1" applyBorder="1" applyAlignment="1">
      <alignment horizontal="center" vertical="center"/>
    </xf>
    <xf numFmtId="43" fontId="25" fillId="18" borderId="12" xfId="1" applyFont="1" applyFill="1" applyBorder="1" applyAlignment="1">
      <alignment horizontal="center" vertical="center"/>
    </xf>
    <xf numFmtId="43" fontId="29" fillId="18" borderId="4" xfId="1" applyFont="1" applyFill="1" applyBorder="1" applyAlignment="1">
      <alignment horizontal="center" vertical="center"/>
    </xf>
    <xf numFmtId="43" fontId="4" fillId="18" borderId="4" xfId="1" applyFont="1" applyFill="1" applyBorder="1" applyAlignment="1">
      <alignment horizontal="center" vertical="center"/>
    </xf>
    <xf numFmtId="43" fontId="26" fillId="19" borderId="4" xfId="1" applyFont="1" applyFill="1" applyBorder="1" applyAlignment="1">
      <alignment horizontal="center" vertical="center"/>
    </xf>
    <xf numFmtId="43" fontId="27" fillId="19" borderId="4" xfId="1" applyFont="1" applyFill="1" applyBorder="1" applyAlignment="1">
      <alignment horizontal="center" vertical="center"/>
    </xf>
    <xf numFmtId="43" fontId="27" fillId="20" borderId="4" xfId="1" applyFont="1" applyFill="1" applyBorder="1" applyAlignment="1">
      <alignment horizontal="center" vertical="center"/>
    </xf>
    <xf numFmtId="0" fontId="0" fillId="21" borderId="2" xfId="0" applyFill="1" applyBorder="1" applyAlignment="1">
      <alignment horizontal="center" vertical="center"/>
    </xf>
    <xf numFmtId="174" fontId="0" fillId="21" borderId="6" xfId="0" applyNumberFormat="1" applyFill="1" applyBorder="1" applyAlignment="1">
      <alignment horizontal="center" vertical="center"/>
    </xf>
    <xf numFmtId="174" fontId="0" fillId="21" borderId="2" xfId="0" applyNumberFormat="1" applyFill="1" applyBorder="1" applyAlignment="1">
      <alignment horizontal="center" vertical="center"/>
    </xf>
    <xf numFmtId="174" fontId="0" fillId="21" borderId="3" xfId="0" applyNumberFormat="1" applyFill="1" applyBorder="1" applyAlignment="1">
      <alignment horizontal="center" vertical="center"/>
    </xf>
    <xf numFmtId="0" fontId="15" fillId="21" borderId="4" xfId="0" applyFont="1" applyFill="1" applyBorder="1" applyAlignment="1">
      <alignment horizontal="center" vertical="center"/>
    </xf>
    <xf numFmtId="43" fontId="15" fillId="21" borderId="12" xfId="0" applyNumberFormat="1" applyFont="1" applyFill="1" applyBorder="1" applyAlignment="1">
      <alignment horizontal="center" vertical="center"/>
    </xf>
    <xf numFmtId="43" fontId="15" fillId="21" borderId="4" xfId="0" applyNumberFormat="1" applyFont="1" applyFill="1" applyBorder="1" applyAlignment="1">
      <alignment horizontal="center" vertical="center"/>
    </xf>
    <xf numFmtId="43" fontId="15" fillId="22" borderId="4" xfId="0" applyNumberFormat="1" applyFont="1" applyFill="1" applyBorder="1" applyAlignment="1">
      <alignment horizontal="center" vertical="center"/>
    </xf>
    <xf numFmtId="0" fontId="15" fillId="0" borderId="0" xfId="0" applyFont="1" applyAlignment="1">
      <alignment horizontal="center" vertical="center"/>
    </xf>
    <xf numFmtId="0" fontId="5" fillId="0" borderId="0" xfId="0" applyFont="1" applyFill="1" applyBorder="1" applyAlignment="1">
      <alignment horizontal="center" vertical="center"/>
    </xf>
    <xf numFmtId="43" fontId="5" fillId="0" borderId="0" xfId="0" applyNumberFormat="1" applyFont="1" applyFill="1" applyBorder="1" applyAlignment="1">
      <alignment horizontal="center" vertical="center"/>
    </xf>
    <xf numFmtId="0" fontId="5" fillId="0" borderId="0" xfId="0" applyFont="1" applyFill="1" applyAlignment="1">
      <alignment horizontal="center" vertical="center"/>
    </xf>
    <xf numFmtId="0" fontId="4" fillId="0" borderId="0" xfId="0" applyFont="1" applyFill="1" applyAlignment="1">
      <alignment horizontal="left" vertical="center"/>
    </xf>
    <xf numFmtId="0" fontId="5" fillId="13" borderId="5" xfId="0" applyFont="1" applyFill="1" applyBorder="1" applyAlignment="1">
      <alignment horizontal="center" vertical="center"/>
    </xf>
    <xf numFmtId="43" fontId="25" fillId="13" borderId="5" xfId="1" applyFont="1" applyFill="1" applyBorder="1" applyAlignment="1">
      <alignment horizontal="center" vertical="center"/>
    </xf>
    <xf numFmtId="43" fontId="25" fillId="14" borderId="5" xfId="1" applyFont="1" applyFill="1" applyBorder="1" applyAlignment="1">
      <alignment horizontal="center" vertical="center"/>
    </xf>
    <xf numFmtId="0" fontId="30" fillId="0" borderId="0" xfId="0" applyFont="1" applyAlignment="1">
      <alignment horizontal="center" vertical="center"/>
    </xf>
    <xf numFmtId="0" fontId="15" fillId="0" borderId="0" xfId="0" applyFont="1" applyAlignment="1">
      <alignment horizontal="left" vertical="center"/>
    </xf>
    <xf numFmtId="175" fontId="0" fillId="0" borderId="0" xfId="1" applyNumberFormat="1" applyFont="1" applyAlignment="1">
      <alignment horizontal="center" vertical="center"/>
    </xf>
    <xf numFmtId="0" fontId="0" fillId="0" borderId="0" xfId="0" applyAlignment="1">
      <alignment horizontal="left" vertical="center"/>
    </xf>
    <xf numFmtId="175" fontId="0" fillId="0" borderId="0" xfId="0" applyNumberFormat="1" applyAlignment="1">
      <alignment horizontal="center" vertical="center"/>
    </xf>
    <xf numFmtId="43" fontId="0" fillId="0" borderId="0" xfId="1" applyFont="1"/>
    <xf numFmtId="9" fontId="0" fillId="0" borderId="0" xfId="0" applyNumberFormat="1"/>
    <xf numFmtId="0" fontId="0" fillId="0" borderId="0" xfId="0" applyBorder="1"/>
    <xf numFmtId="0" fontId="23" fillId="0" borderId="0" xfId="0" applyFont="1" applyAlignment="1">
      <alignment horizontal="center" vertical="center"/>
    </xf>
    <xf numFmtId="43" fontId="0" fillId="0" borderId="0" xfId="0" applyNumberFormat="1"/>
    <xf numFmtId="43" fontId="23" fillId="12" borderId="0" xfId="1" applyFont="1" applyFill="1"/>
    <xf numFmtId="43" fontId="0" fillId="12" borderId="16" xfId="1" applyFont="1" applyFill="1" applyBorder="1"/>
    <xf numFmtId="173" fontId="0" fillId="8" borderId="0" xfId="0" applyNumberFormat="1" applyFill="1"/>
    <xf numFmtId="175" fontId="6" fillId="4" borderId="0" xfId="1" applyNumberFormat="1" applyFont="1" applyFill="1" applyBorder="1" applyAlignment="1">
      <alignment horizontal="center" vertical="center"/>
    </xf>
    <xf numFmtId="175" fontId="9" fillId="4" borderId="0" xfId="1" applyNumberFormat="1" applyFont="1" applyFill="1" applyBorder="1"/>
    <xf numFmtId="175" fontId="6" fillId="4" borderId="0" xfId="1" applyNumberFormat="1" applyFont="1" applyFill="1" applyBorder="1"/>
    <xf numFmtId="0" fontId="5" fillId="8" borderId="11" xfId="0" applyFont="1" applyFill="1" applyBorder="1" applyAlignment="1">
      <alignment horizontal="left" indent="1"/>
    </xf>
    <xf numFmtId="43" fontId="31" fillId="8" borderId="0" xfId="1" applyFont="1" applyFill="1" applyBorder="1"/>
    <xf numFmtId="43" fontId="24" fillId="8" borderId="0" xfId="1" applyFont="1" applyFill="1" applyBorder="1"/>
    <xf numFmtId="43" fontId="8" fillId="4" borderId="0" xfId="1" applyFont="1" applyFill="1" applyBorder="1"/>
    <xf numFmtId="43" fontId="25" fillId="12" borderId="5" xfId="1" applyFont="1" applyFill="1" applyBorder="1" applyAlignment="1">
      <alignment horizontal="center" vertical="center"/>
    </xf>
    <xf numFmtId="43" fontId="0" fillId="0" borderId="0" xfId="0" quotePrefix="1" applyNumberFormat="1" applyAlignment="1">
      <alignment horizontal="center" vertical="center"/>
    </xf>
    <xf numFmtId="43" fontId="24" fillId="12" borderId="18" xfId="1" applyFont="1" applyFill="1" applyBorder="1"/>
    <xf numFmtId="172" fontId="19" fillId="11" borderId="12" xfId="1" applyNumberFormat="1" applyFont="1" applyFill="1" applyBorder="1"/>
    <xf numFmtId="171" fontId="17" fillId="23" borderId="15" xfId="0" applyNumberFormat="1" applyFont="1" applyFill="1" applyBorder="1" applyAlignment="1">
      <alignment horizontal="center" vertical="center"/>
    </xf>
    <xf numFmtId="43" fontId="19" fillId="9" borderId="0" xfId="1" applyNumberFormat="1" applyFont="1" applyFill="1" applyBorder="1"/>
    <xf numFmtId="43" fontId="0" fillId="0" borderId="18" xfId="1" applyFont="1" applyFill="1" applyBorder="1"/>
    <xf numFmtId="43" fontId="3" fillId="21" borderId="16" xfId="1" applyFont="1" applyFill="1" applyBorder="1"/>
    <xf numFmtId="43" fontId="3" fillId="21" borderId="18" xfId="1" applyFont="1" applyFill="1" applyBorder="1"/>
    <xf numFmtId="43" fontId="5" fillId="0" borderId="0" xfId="0" applyNumberFormat="1" applyFont="1" applyAlignment="1">
      <alignment horizontal="center" vertical="center"/>
    </xf>
    <xf numFmtId="0" fontId="0" fillId="0" borderId="0" xfId="0" applyAlignment="1">
      <alignment horizontal="right" vertical="center"/>
    </xf>
    <xf numFmtId="43" fontId="23" fillId="8" borderId="16" xfId="1" applyFont="1" applyFill="1" applyBorder="1"/>
    <xf numFmtId="43" fontId="23" fillId="8" borderId="26" xfId="1" applyFont="1" applyFill="1" applyBorder="1"/>
    <xf numFmtId="43" fontId="23" fillId="8" borderId="12" xfId="1" applyFont="1" applyFill="1" applyBorder="1"/>
    <xf numFmtId="43" fontId="24" fillId="21" borderId="0" xfId="1" applyFont="1" applyFill="1"/>
    <xf numFmtId="43" fontId="24" fillId="8" borderId="16" xfId="1" applyFont="1" applyFill="1" applyBorder="1"/>
    <xf numFmtId="43" fontId="0" fillId="12" borderId="0" xfId="1" applyFont="1" applyFill="1"/>
    <xf numFmtId="43" fontId="24" fillId="12" borderId="0" xfId="1" applyFont="1" applyFill="1" applyBorder="1"/>
    <xf numFmtId="9" fontId="0" fillId="0" borderId="0" xfId="2" applyFont="1"/>
    <xf numFmtId="175" fontId="19" fillId="9" borderId="0" xfId="1" applyNumberFormat="1" applyFont="1" applyFill="1" applyBorder="1"/>
    <xf numFmtId="43" fontId="3" fillId="8" borderId="26" xfId="1" applyFont="1" applyFill="1" applyBorder="1"/>
    <xf numFmtId="43" fontId="5" fillId="25" borderId="0" xfId="0" applyNumberFormat="1" applyFont="1" applyFill="1" applyBorder="1"/>
    <xf numFmtId="0" fontId="5" fillId="25" borderId="0" xfId="0" applyFont="1" applyFill="1" applyBorder="1" applyAlignment="1">
      <alignment horizontal="center"/>
    </xf>
    <xf numFmtId="0" fontId="5" fillId="25" borderId="0" xfId="0" applyFont="1" applyFill="1" applyBorder="1" applyAlignment="1">
      <alignment horizontal="right"/>
    </xf>
    <xf numFmtId="0" fontId="5" fillId="18" borderId="0" xfId="0" applyFont="1" applyFill="1" applyBorder="1" applyAlignment="1">
      <alignment horizontal="center"/>
    </xf>
    <xf numFmtId="0" fontId="5" fillId="18" borderId="0" xfId="0" applyFont="1" applyFill="1" applyBorder="1" applyAlignment="1">
      <alignment horizontal="right"/>
    </xf>
    <xf numFmtId="43" fontId="6" fillId="18" borderId="0" xfId="0" applyNumberFormat="1" applyFont="1" applyFill="1" applyBorder="1"/>
    <xf numFmtId="43" fontId="18" fillId="2" borderId="5" xfId="1" applyFont="1" applyFill="1" applyBorder="1" applyAlignment="1">
      <alignment horizontal="center" vertical="center"/>
    </xf>
    <xf numFmtId="43" fontId="18" fillId="2" borderId="1" xfId="1" applyFont="1" applyFill="1" applyBorder="1" applyAlignment="1">
      <alignment horizontal="center" vertical="center"/>
    </xf>
    <xf numFmtId="43" fontId="24" fillId="8" borderId="0" xfId="1" applyFont="1" applyFill="1"/>
    <xf numFmtId="176" fontId="9" fillId="4" borderId="0" xfId="1" applyNumberFormat="1" applyFont="1" applyFill="1" applyBorder="1"/>
    <xf numFmtId="176" fontId="6" fillId="4" borderId="0" xfId="1" applyNumberFormat="1" applyFont="1" applyFill="1" applyBorder="1"/>
    <xf numFmtId="171" fontId="4" fillId="23" borderId="15" xfId="0" applyNumberFormat="1" applyFont="1" applyFill="1" applyBorder="1" applyAlignment="1">
      <alignment horizontal="center" vertical="center"/>
    </xf>
    <xf numFmtId="175" fontId="9" fillId="4" borderId="0" xfId="1" applyNumberFormat="1" applyFont="1" applyFill="1" applyBorder="1" applyAlignment="1">
      <alignment horizontal="center" vertical="center"/>
    </xf>
    <xf numFmtId="176" fontId="8" fillId="4" borderId="0" xfId="1" applyNumberFormat="1" applyFont="1" applyFill="1" applyBorder="1"/>
    <xf numFmtId="0" fontId="32" fillId="8" borderId="26" xfId="0" applyFont="1" applyFill="1" applyBorder="1" applyAlignment="1">
      <alignment horizontal="center" vertical="center"/>
    </xf>
    <xf numFmtId="43" fontId="5" fillId="2" borderId="0" xfId="0" applyNumberFormat="1" applyFont="1" applyFill="1" applyBorder="1"/>
    <xf numFmtId="0" fontId="5" fillId="2" borderId="0" xfId="0" applyFont="1" applyFill="1" applyBorder="1" applyAlignment="1">
      <alignment horizontal="center"/>
    </xf>
    <xf numFmtId="0" fontId="5" fillId="2" borderId="0" xfId="0" applyFont="1" applyFill="1" applyBorder="1" applyAlignment="1">
      <alignment horizontal="right"/>
    </xf>
    <xf numFmtId="0" fontId="33" fillId="2" borderId="0" xfId="0" applyFont="1" applyFill="1" applyBorder="1" applyAlignment="1">
      <alignment horizontal="right"/>
    </xf>
    <xf numFmtId="43" fontId="3" fillId="23" borderId="0" xfId="1" applyFont="1" applyFill="1" applyBorder="1"/>
    <xf numFmtId="176" fontId="19" fillId="9" borderId="0" xfId="1" applyNumberFormat="1" applyFont="1" applyFill="1" applyBorder="1"/>
    <xf numFmtId="172" fontId="3" fillId="8" borderId="0" xfId="1" applyNumberFormat="1" applyFont="1" applyFill="1" applyBorder="1"/>
    <xf numFmtId="175" fontId="8" fillId="4" borderId="0" xfId="1" applyNumberFormat="1" applyFont="1" applyFill="1" applyBorder="1" applyAlignment="1">
      <alignment horizontal="center" vertical="center"/>
    </xf>
    <xf numFmtId="0" fontId="0" fillId="8" borderId="0" xfId="0" applyFill="1" applyBorder="1" applyAlignment="1">
      <alignment horizontal="center"/>
    </xf>
    <xf numFmtId="43" fontId="0" fillId="8" borderId="0" xfId="0" applyNumberFormat="1" applyFill="1"/>
    <xf numFmtId="175" fontId="0" fillId="8" borderId="0" xfId="1" applyNumberFormat="1" applyFont="1" applyFill="1" applyAlignment="1">
      <alignment horizontal="center"/>
    </xf>
    <xf numFmtId="0" fontId="8" fillId="8" borderId="14" xfId="0" applyFont="1" applyFill="1" applyBorder="1"/>
    <xf numFmtId="0" fontId="18" fillId="8" borderId="15" xfId="0" applyFont="1" applyFill="1" applyBorder="1" applyAlignment="1">
      <alignment horizontal="center"/>
    </xf>
    <xf numFmtId="171" fontId="18" fillId="8" borderId="15" xfId="0" applyNumberFormat="1" applyFont="1" applyFill="1" applyBorder="1" applyAlignment="1">
      <alignment horizontal="center" vertical="center"/>
    </xf>
    <xf numFmtId="0" fontId="8" fillId="8" borderId="0" xfId="0" applyFont="1" applyFill="1" applyBorder="1"/>
    <xf numFmtId="0" fontId="35" fillId="8" borderId="0" xfId="0" applyFont="1" applyFill="1" applyBorder="1"/>
    <xf numFmtId="0" fontId="8" fillId="8" borderId="0" xfId="0" applyFont="1" applyFill="1" applyBorder="1" applyAlignment="1">
      <alignment horizontal="center"/>
    </xf>
    <xf numFmtId="171" fontId="8" fillId="8" borderId="0" xfId="0" applyNumberFormat="1" applyFont="1" applyFill="1" applyBorder="1" applyAlignment="1">
      <alignment horizontal="center" vertical="center"/>
    </xf>
    <xf numFmtId="0" fontId="36" fillId="18" borderId="0" xfId="0" applyFont="1" applyFill="1" applyBorder="1"/>
    <xf numFmtId="0" fontId="8" fillId="18" borderId="0" xfId="0" applyFont="1" applyFill="1" applyBorder="1" applyAlignment="1">
      <alignment horizontal="center"/>
    </xf>
    <xf numFmtId="0" fontId="37" fillId="8" borderId="0" xfId="0" applyFont="1" applyFill="1" applyBorder="1"/>
    <xf numFmtId="0" fontId="37" fillId="8" borderId="0" xfId="0" applyFont="1" applyFill="1" applyBorder="1" applyAlignment="1">
      <alignment horizontal="center"/>
    </xf>
    <xf numFmtId="0" fontId="38" fillId="8" borderId="0" xfId="0" quotePrefix="1" applyFont="1" applyFill="1" applyBorder="1"/>
    <xf numFmtId="0" fontId="38" fillId="8" borderId="0" xfId="0" applyFont="1" applyFill="1" applyBorder="1" applyAlignment="1">
      <alignment horizontal="center"/>
    </xf>
    <xf numFmtId="0" fontId="8" fillId="21" borderId="0" xfId="0" applyFont="1" applyFill="1" applyBorder="1"/>
    <xf numFmtId="0" fontId="8" fillId="21" borderId="0" xfId="0" applyFont="1" applyFill="1" applyBorder="1" applyAlignment="1">
      <alignment horizontal="center"/>
    </xf>
    <xf numFmtId="174" fontId="8" fillId="8" borderId="0" xfId="0" applyNumberFormat="1" applyFont="1" applyFill="1" applyBorder="1"/>
    <xf numFmtId="0" fontId="37" fillId="18" borderId="0" xfId="0" applyFont="1" applyFill="1" applyBorder="1" applyAlignment="1">
      <alignment horizontal="center"/>
    </xf>
    <xf numFmtId="0" fontId="36" fillId="26" borderId="0" xfId="0" applyFont="1" applyFill="1" applyBorder="1"/>
    <xf numFmtId="0" fontId="8" fillId="26" borderId="0" xfId="0" applyFont="1" applyFill="1" applyBorder="1" applyAlignment="1">
      <alignment horizontal="center"/>
    </xf>
    <xf numFmtId="174" fontId="8" fillId="8" borderId="0" xfId="6" applyNumberFormat="1" applyFont="1" applyFill="1" applyBorder="1"/>
    <xf numFmtId="0" fontId="18" fillId="27" borderId="0" xfId="0" applyFont="1" applyFill="1" applyBorder="1" applyAlignment="1"/>
    <xf numFmtId="0" fontId="8" fillId="8" borderId="0" xfId="0" applyFont="1" applyFill="1" applyBorder="1" applyAlignment="1"/>
    <xf numFmtId="0" fontId="6" fillId="8" borderId="0" xfId="0" applyFont="1" applyFill="1" applyBorder="1"/>
    <xf numFmtId="171" fontId="6" fillId="8" borderId="0" xfId="0" applyNumberFormat="1" applyFont="1" applyFill="1" applyBorder="1"/>
    <xf numFmtId="174" fontId="6" fillId="8" borderId="0" xfId="0" applyNumberFormat="1" applyFont="1" applyFill="1" applyBorder="1"/>
    <xf numFmtId="43" fontId="5" fillId="0" borderId="0" xfId="1" applyFont="1"/>
    <xf numFmtId="43" fontId="19" fillId="9" borderId="0" xfId="1" applyFont="1" applyFill="1" applyBorder="1"/>
    <xf numFmtId="0" fontId="18" fillId="27" borderId="0" xfId="0" applyFont="1" applyFill="1" applyBorder="1" applyAlignment="1">
      <alignment horizontal="center"/>
    </xf>
    <xf numFmtId="0" fontId="18" fillId="8" borderId="0" xfId="0" applyFont="1" applyFill="1" applyBorder="1"/>
    <xf numFmtId="0" fontId="18" fillId="8" borderId="0" xfId="0" applyFont="1" applyFill="1" applyBorder="1" applyAlignment="1">
      <alignment horizontal="center"/>
    </xf>
    <xf numFmtId="175" fontId="18" fillId="8" borderId="0" xfId="1" applyNumberFormat="1" applyFont="1" applyFill="1" applyBorder="1"/>
    <xf numFmtId="175" fontId="4" fillId="8" borderId="0" xfId="1" applyNumberFormat="1" applyFont="1" applyFill="1" applyBorder="1"/>
    <xf numFmtId="175" fontId="18" fillId="27" borderId="0" xfId="1" applyNumberFormat="1" applyFont="1" applyFill="1" applyBorder="1"/>
    <xf numFmtId="175" fontId="8" fillId="18" borderId="0" xfId="1" applyNumberFormat="1" applyFont="1" applyFill="1" applyBorder="1"/>
    <xf numFmtId="175" fontId="9" fillId="8" borderId="0" xfId="1" applyNumberFormat="1" applyFont="1" applyFill="1" applyBorder="1"/>
    <xf numFmtId="175" fontId="37" fillId="8" borderId="0" xfId="1" applyNumberFormat="1" applyFont="1" applyFill="1" applyBorder="1"/>
    <xf numFmtId="175" fontId="9" fillId="21" borderId="0" xfId="1" applyNumberFormat="1" applyFont="1" applyFill="1" applyBorder="1"/>
    <xf numFmtId="175" fontId="8" fillId="8" borderId="0" xfId="1" applyNumberFormat="1" applyFont="1" applyFill="1" applyBorder="1" applyAlignment="1">
      <alignment horizontal="center" vertical="center"/>
    </xf>
    <xf numFmtId="175" fontId="8" fillId="8" borderId="0" xfId="1" applyNumberFormat="1" applyFont="1" applyFill="1" applyBorder="1"/>
    <xf numFmtId="175" fontId="37" fillId="18" borderId="0" xfId="1" applyNumberFormat="1" applyFont="1" applyFill="1" applyBorder="1"/>
    <xf numFmtId="175" fontId="38" fillId="8" borderId="0" xfId="1" applyNumberFormat="1" applyFont="1" applyFill="1" applyBorder="1"/>
    <xf numFmtId="175" fontId="8" fillId="26" borderId="0" xfId="1" applyNumberFormat="1" applyFont="1" applyFill="1" applyBorder="1"/>
    <xf numFmtId="175" fontId="8" fillId="21" borderId="0" xfId="1" applyNumberFormat="1" applyFont="1" applyFill="1" applyBorder="1"/>
    <xf numFmtId="9" fontId="15" fillId="21" borderId="4" xfId="2" applyFont="1" applyFill="1" applyBorder="1" applyAlignment="1">
      <alignment horizontal="center" vertical="center"/>
    </xf>
    <xf numFmtId="171" fontId="5" fillId="8" borderId="0" xfId="0" applyNumberFormat="1" applyFont="1" applyFill="1" applyBorder="1"/>
    <xf numFmtId="4" fontId="8" fillId="8" borderId="0" xfId="0" applyNumberFormat="1" applyFont="1" applyFill="1" applyBorder="1"/>
    <xf numFmtId="4" fontId="6" fillId="8" borderId="0" xfId="0" applyNumberFormat="1" applyFont="1" applyFill="1" applyBorder="1"/>
    <xf numFmtId="176" fontId="6" fillId="4" borderId="0" xfId="1" applyNumberFormat="1" applyFont="1" applyFill="1" applyBorder="1" applyAlignment="1">
      <alignment horizontal="center" vertical="center"/>
    </xf>
    <xf numFmtId="43" fontId="3" fillId="8" borderId="16" xfId="1" applyFont="1" applyFill="1" applyBorder="1"/>
    <xf numFmtId="43" fontId="3" fillId="5" borderId="0" xfId="1" applyFont="1" applyFill="1" applyBorder="1"/>
    <xf numFmtId="176" fontId="9" fillId="4" borderId="0" xfId="1" applyNumberFormat="1" applyFont="1" applyFill="1" applyBorder="1" applyAlignment="1">
      <alignment horizontal="center" vertical="center"/>
    </xf>
    <xf numFmtId="43" fontId="19" fillId="11" borderId="12" xfId="1" applyNumberFormat="1" applyFont="1" applyFill="1" applyBorder="1"/>
    <xf numFmtId="176" fontId="9" fillId="8" borderId="0" xfId="1" applyNumberFormat="1" applyFont="1" applyFill="1" applyBorder="1"/>
    <xf numFmtId="0" fontId="6" fillId="8" borderId="10" xfId="0" applyFont="1" applyFill="1" applyBorder="1" applyAlignment="1">
      <alignment horizontal="center" vertical="center"/>
    </xf>
    <xf numFmtId="0" fontId="5" fillId="8" borderId="9" xfId="0" applyFont="1" applyFill="1" applyBorder="1"/>
    <xf numFmtId="0" fontId="9" fillId="8" borderId="0" xfId="0" applyFont="1" applyFill="1" applyBorder="1" applyAlignment="1">
      <alignment horizontal="center" vertical="center"/>
    </xf>
    <xf numFmtId="0" fontId="5" fillId="8" borderId="29" xfId="0" applyFont="1" applyFill="1" applyBorder="1"/>
    <xf numFmtId="0" fontId="5" fillId="8" borderId="0" xfId="0" applyFont="1" applyFill="1" applyBorder="1"/>
    <xf numFmtId="0" fontId="5" fillId="8" borderId="11" xfId="0" applyFont="1" applyFill="1" applyBorder="1"/>
    <xf numFmtId="0" fontId="6" fillId="8" borderId="9" xfId="0" applyFont="1" applyFill="1" applyBorder="1" applyAlignment="1">
      <alignment horizontal="center"/>
    </xf>
    <xf numFmtId="0" fontId="6" fillId="8" borderId="31" xfId="0" applyFont="1" applyFill="1" applyBorder="1" applyAlignment="1">
      <alignment horizontal="center"/>
    </xf>
    <xf numFmtId="0" fontId="6" fillId="8" borderId="24" xfId="0" applyFont="1" applyFill="1" applyBorder="1" applyAlignment="1">
      <alignment horizontal="center"/>
    </xf>
    <xf numFmtId="0" fontId="6" fillId="8" borderId="23" xfId="0" applyFont="1" applyFill="1" applyBorder="1" applyAlignment="1">
      <alignment horizontal="center"/>
    </xf>
    <xf numFmtId="0" fontId="0" fillId="8" borderId="31" xfId="0" applyFill="1" applyBorder="1" applyAlignment="1">
      <alignment horizontal="center"/>
    </xf>
    <xf numFmtId="0" fontId="8" fillId="8" borderId="10" xfId="0" applyFont="1" applyFill="1" applyBorder="1" applyAlignment="1">
      <alignment horizontal="center" vertical="center"/>
    </xf>
    <xf numFmtId="0" fontId="0" fillId="0" borderId="27" xfId="0" applyBorder="1" applyAlignment="1">
      <alignment horizontal="center"/>
    </xf>
    <xf numFmtId="43" fontId="24" fillId="8" borderId="26" xfId="1" applyFont="1" applyFill="1" applyBorder="1"/>
    <xf numFmtId="175" fontId="6" fillId="12" borderId="0" xfId="1" applyNumberFormat="1" applyFont="1" applyFill="1" applyBorder="1" applyAlignment="1">
      <alignment horizontal="center" vertical="center"/>
    </xf>
    <xf numFmtId="43" fontId="6" fillId="8" borderId="0" xfId="0" applyNumberFormat="1" applyFont="1" applyFill="1" applyBorder="1"/>
    <xf numFmtId="43" fontId="8" fillId="8" borderId="0" xfId="0" applyNumberFormat="1" applyFont="1" applyFill="1" applyBorder="1"/>
    <xf numFmtId="43" fontId="2" fillId="12" borderId="0" xfId="1" applyFont="1" applyFill="1" applyBorder="1"/>
    <xf numFmtId="43" fontId="0" fillId="0" borderId="0" xfId="0" applyNumberFormat="1" applyAlignment="1">
      <alignment horizontal="center" vertical="center"/>
    </xf>
    <xf numFmtId="43" fontId="0" fillId="23" borderId="0" xfId="1" applyFont="1" applyFill="1" applyBorder="1"/>
    <xf numFmtId="1" fontId="30" fillId="0" borderId="0" xfId="0" applyNumberFormat="1" applyFont="1" applyAlignment="1">
      <alignment horizontal="center" vertical="center"/>
    </xf>
    <xf numFmtId="43" fontId="18" fillId="12" borderId="5" xfId="1" applyFont="1" applyFill="1" applyBorder="1" applyAlignment="1">
      <alignment horizontal="center" vertical="center"/>
    </xf>
    <xf numFmtId="175" fontId="0" fillId="8" borderId="0" xfId="0" applyNumberFormat="1" applyFill="1"/>
    <xf numFmtId="43" fontId="3" fillId="12" borderId="0" xfId="1" applyFont="1" applyFill="1" applyBorder="1"/>
    <xf numFmtId="43" fontId="0" fillId="12" borderId="0" xfId="1" applyFont="1" applyFill="1" applyBorder="1"/>
    <xf numFmtId="43" fontId="3" fillId="23" borderId="0" xfId="1" applyFont="1" applyFill="1"/>
    <xf numFmtId="43" fontId="8" fillId="12" borderId="0" xfId="0" applyNumberFormat="1" applyFont="1" applyFill="1" applyBorder="1"/>
    <xf numFmtId="171" fontId="25" fillId="12" borderId="8" xfId="0" applyNumberFormat="1" applyFont="1" applyFill="1" applyBorder="1" applyAlignment="1">
      <alignment horizontal="center" vertical="center"/>
    </xf>
    <xf numFmtId="43" fontId="8" fillId="8" borderId="0" xfId="1" applyFont="1" applyFill="1" applyBorder="1"/>
    <xf numFmtId="43" fontId="0" fillId="0" borderId="0" xfId="0" applyNumberFormat="1"/>
    <xf numFmtId="43" fontId="9" fillId="8" borderId="0" xfId="0" applyNumberFormat="1" applyFont="1" applyFill="1"/>
    <xf numFmtId="0" fontId="17" fillId="7" borderId="15" xfId="0" applyFont="1" applyFill="1" applyBorder="1" applyAlignment="1">
      <alignment horizontal="center"/>
    </xf>
    <xf numFmtId="0" fontId="17" fillId="7" borderId="1" xfId="0" applyFont="1" applyFill="1" applyBorder="1" applyAlignment="1">
      <alignment horizontal="center"/>
    </xf>
    <xf numFmtId="172" fontId="24" fillId="8" borderId="0" xfId="1" applyNumberFormat="1" applyFont="1" applyFill="1" applyBorder="1"/>
    <xf numFmtId="171" fontId="17" fillId="7" borderId="0" xfId="0" applyNumberFormat="1" applyFont="1" applyFill="1" applyBorder="1" applyAlignment="1">
      <alignment horizontal="center" vertical="center"/>
    </xf>
    <xf numFmtId="0" fontId="0" fillId="8" borderId="12" xfId="0" applyFill="1" applyBorder="1" applyAlignment="1"/>
    <xf numFmtId="43" fontId="8" fillId="4" borderId="0" xfId="1" applyFont="1" applyFill="1" applyBorder="1" applyAlignment="1">
      <alignment horizontal="center" vertical="center"/>
    </xf>
    <xf numFmtId="43" fontId="0" fillId="8" borderId="0" xfId="0" applyNumberFormat="1" applyFill="1"/>
    <xf numFmtId="9" fontId="5" fillId="110" borderId="0" xfId="2" applyNumberFormat="1" applyFont="1" applyFill="1" applyBorder="1"/>
    <xf numFmtId="0" fontId="5" fillId="110" borderId="9" xfId="0" applyFont="1" applyFill="1" applyBorder="1" applyAlignment="1">
      <alignment horizontal="left" indent="1"/>
    </xf>
    <xf numFmtId="0" fontId="0" fillId="8" borderId="0" xfId="0" applyFill="1" applyBorder="1" applyAlignment="1">
      <alignment horizontal="center"/>
    </xf>
    <xf numFmtId="0" fontId="0" fillId="8" borderId="10" xfId="0" applyFill="1" applyBorder="1" applyAlignment="1">
      <alignment horizontal="center"/>
    </xf>
    <xf numFmtId="0" fontId="0" fillId="8" borderId="12" xfId="0" applyFill="1" applyBorder="1" applyAlignment="1">
      <alignment horizontal="center"/>
    </xf>
    <xf numFmtId="0" fontId="17" fillId="7" borderId="15"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7" fillId="7" borderId="1" xfId="0" applyFont="1" applyFill="1" applyBorder="1" applyAlignment="1">
      <alignment horizontal="center"/>
    </xf>
    <xf numFmtId="175" fontId="6" fillId="8" borderId="0" xfId="1" applyNumberFormat="1" applyFont="1" applyFill="1" applyBorder="1" applyAlignment="1">
      <alignment horizontal="center" vertic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72" fontId="0" fillId="8" borderId="6" xfId="1" applyNumberFormat="1" applyFont="1" applyFill="1" applyBorder="1"/>
    <xf numFmtId="172" fontId="24" fillId="8" borderId="9" xfId="1" applyNumberFormat="1" applyFont="1" applyFill="1" applyBorder="1"/>
    <xf numFmtId="174" fontId="0" fillId="8" borderId="9" xfId="1" applyNumberFormat="1" applyFont="1" applyFill="1" applyBorder="1"/>
    <xf numFmtId="0" fontId="18" fillId="8" borderId="0" xfId="0" applyFont="1" applyFill="1"/>
    <xf numFmtId="0" fontId="6" fillId="8" borderId="7" xfId="0" applyFont="1" applyFill="1" applyBorder="1" applyAlignment="1">
      <alignment horizontal="center"/>
    </xf>
    <xf numFmtId="171" fontId="17" fillId="7" borderId="12" xfId="0" applyNumberFormat="1" applyFont="1" applyFill="1" applyBorder="1" applyAlignment="1">
      <alignment horizontal="center" vertical="center"/>
    </xf>
    <xf numFmtId="0" fontId="14" fillId="8" borderId="0" xfId="0" applyFont="1" applyFill="1" applyBorder="1"/>
    <xf numFmtId="172" fontId="18" fillId="8" borderId="0" xfId="1" applyNumberFormat="1" applyFont="1" applyFill="1" applyBorder="1"/>
    <xf numFmtId="0" fontId="5" fillId="3" borderId="6" xfId="0" applyFont="1" applyFill="1" applyBorder="1" applyAlignment="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43" fontId="0" fillId="8" borderId="9" xfId="0" applyNumberFormat="1" applyFill="1" applyBorder="1"/>
    <xf numFmtId="43" fontId="0" fillId="8" borderId="11" xfId="0" applyNumberFormat="1" applyFill="1" applyBorder="1"/>
    <xf numFmtId="175" fontId="0" fillId="8" borderId="0"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6" fillId="8" borderId="7" xfId="0" applyFont="1" applyFill="1" applyBorder="1" applyAlignment="1">
      <alignment horizontal="center" vertical="center"/>
    </xf>
    <xf numFmtId="0" fontId="6" fillId="8" borderId="12" xfId="0" applyFont="1" applyFill="1" applyBorder="1" applyAlignment="1">
      <alignment horizontal="center" vertical="center"/>
    </xf>
    <xf numFmtId="0" fontId="6" fillId="8" borderId="11" xfId="0" applyFont="1" applyFill="1" applyBorder="1" applyAlignment="1">
      <alignment horizontal="center" vertical="center"/>
    </xf>
    <xf numFmtId="0" fontId="6" fillId="8" borderId="8" xfId="0" applyFont="1" applyFill="1" applyBorder="1" applyAlignment="1">
      <alignment horizontal="center" vertical="center"/>
    </xf>
    <xf numFmtId="9" fontId="5" fillId="24" borderId="11" xfId="2" applyNumberFormat="1" applyFont="1" applyFill="1" applyBorder="1"/>
    <xf numFmtId="9" fontId="5" fillId="24" borderId="12" xfId="2" applyNumberFormat="1" applyFont="1" applyFill="1" applyBorder="1"/>
    <xf numFmtId="43" fontId="0" fillId="109" borderId="0" xfId="1" applyFont="1" applyFill="1" applyBorder="1"/>
    <xf numFmtId="43" fontId="5" fillId="8" borderId="7" xfId="1" applyFont="1" applyFill="1" applyBorder="1"/>
    <xf numFmtId="175" fontId="5" fillId="8" borderId="14" xfId="1" applyNumberFormat="1" applyFont="1" applyFill="1" applyBorder="1"/>
    <xf numFmtId="175" fontId="5" fillId="8" borderId="15" xfId="1" applyNumberFormat="1" applyFont="1" applyFill="1" applyBorder="1"/>
    <xf numFmtId="43" fontId="0" fillId="0" borderId="0" xfId="1" applyFont="1" applyBorder="1"/>
    <xf numFmtId="43" fontId="0" fillId="109" borderId="2" xfId="1" applyFont="1" applyFill="1" applyBorder="1"/>
    <xf numFmtId="0" fontId="160" fillId="8" borderId="0" xfId="0" applyFont="1" applyFill="1" applyBorder="1" applyAlignment="1">
      <alignment horizontal="center" vertical="center"/>
    </xf>
    <xf numFmtId="0" fontId="159" fillId="8" borderId="10" xfId="0" applyFont="1" applyFill="1" applyBorder="1" applyAlignment="1">
      <alignment horizontal="center" vertical="center"/>
    </xf>
    <xf numFmtId="43" fontId="159" fillId="18" borderId="0" xfId="0" applyNumberFormat="1" applyFont="1" applyFill="1" applyBorder="1"/>
    <xf numFmtId="43" fontId="2" fillId="8" borderId="0" xfId="1" applyFont="1" applyFill="1"/>
    <xf numFmtId="43" fontId="8" fillId="21" borderId="0" xfId="0" applyNumberFormat="1" applyFont="1" applyFill="1" applyBorder="1"/>
    <xf numFmtId="43" fontId="0" fillId="0" borderId="0" xfId="1" applyFont="1" applyFill="1" applyBorder="1"/>
    <xf numFmtId="43" fontId="0" fillId="0" borderId="0" xfId="0" applyNumberFormat="1"/>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43" fontId="9" fillId="8" borderId="0" xfId="0" applyNumberFormat="1" applyFont="1" applyFill="1" applyBorder="1"/>
    <xf numFmtId="43" fontId="18" fillId="12" borderId="1" xfId="1" applyFont="1" applyFill="1" applyBorder="1" applyAlignment="1">
      <alignment horizontal="center" vertical="center"/>
    </xf>
    <xf numFmtId="43" fontId="0" fillId="0" borderId="0" xfId="0" applyNumberFormat="1"/>
    <xf numFmtId="43" fontId="0" fillId="0" borderId="0" xfId="0" applyNumberFormat="1"/>
    <xf numFmtId="0" fontId="18" fillId="111" borderId="2" xfId="0" applyFont="1" applyFill="1" applyBorder="1" applyAlignment="1">
      <alignment horizontal="center" vertical="center"/>
    </xf>
    <xf numFmtId="43" fontId="18" fillId="111" borderId="1" xfId="1" applyFont="1" applyFill="1" applyBorder="1" applyAlignment="1">
      <alignment horizontal="center" vertical="center"/>
    </xf>
    <xf numFmtId="43" fontId="23" fillId="5" borderId="0" xfId="1" applyFont="1" applyFill="1" applyBorder="1"/>
    <xf numFmtId="43" fontId="23" fillId="8" borderId="0" xfId="1" applyFont="1" applyFill="1" applyBorder="1"/>
    <xf numFmtId="43" fontId="19" fillId="11" borderId="12" xfId="1" applyNumberFormat="1" applyFont="1" applyFill="1" applyBorder="1"/>
    <xf numFmtId="43" fontId="0" fillId="0" borderId="0" xfId="0" applyNumberFormat="1" applyAlignment="1">
      <alignment horizontal="center" vertical="center"/>
    </xf>
    <xf numFmtId="43" fontId="24" fillId="0" borderId="0" xfId="1" applyFont="1" applyFill="1" applyBorder="1"/>
    <xf numFmtId="43" fontId="23" fillId="5" borderId="9" xfId="1" applyFont="1" applyFill="1" applyBorder="1"/>
    <xf numFmtId="43" fontId="23" fillId="8" borderId="9" xfId="1" applyFont="1" applyFill="1" applyBorder="1"/>
    <xf numFmtId="43" fontId="23" fillId="8" borderId="11" xfId="1" applyFont="1" applyFill="1" applyBorder="1"/>
    <xf numFmtId="0" fontId="17" fillId="8" borderId="0" xfId="0" applyFont="1" applyFill="1"/>
    <xf numFmtId="175" fontId="5" fillId="8" borderId="0" xfId="1" applyNumberFormat="1" applyFont="1" applyFill="1"/>
    <xf numFmtId="43" fontId="0" fillId="8" borderId="24" xfId="1" applyFont="1" applyFill="1" applyBorder="1"/>
    <xf numFmtId="43" fontId="0" fillId="8" borderId="31" xfId="1" applyFont="1" applyFill="1" applyBorder="1"/>
    <xf numFmtId="43" fontId="24" fillId="8" borderId="9" xfId="1" applyFont="1" applyFill="1" applyBorder="1"/>
    <xf numFmtId="43" fontId="24" fillId="8" borderId="24" xfId="1" applyFont="1" applyFill="1" applyBorder="1"/>
    <xf numFmtId="43" fontId="0" fillId="8" borderId="23" xfId="1" applyFont="1" applyFill="1" applyBorder="1"/>
    <xf numFmtId="43" fontId="3" fillId="8" borderId="23" xfId="1" applyFont="1" applyFill="1" applyBorder="1"/>
    <xf numFmtId="43" fontId="23" fillId="8" borderId="31" xfId="1" applyFont="1" applyFill="1" applyBorder="1"/>
    <xf numFmtId="175" fontId="19" fillId="11" borderId="12" xfId="1" applyNumberFormat="1" applyFont="1" applyFill="1" applyBorder="1"/>
    <xf numFmtId="0" fontId="12" fillId="8" borderId="0" xfId="0" applyFont="1" applyFill="1" applyBorder="1" applyAlignment="1">
      <alignment horizontal="center" vertical="center"/>
    </xf>
    <xf numFmtId="43" fontId="0" fillId="109" borderId="8" xfId="1" applyFont="1" applyFill="1" applyBorder="1"/>
    <xf numFmtId="0" fontId="5" fillId="8" borderId="6" xfId="0" applyFont="1" applyFill="1" applyBorder="1" applyAlignment="1">
      <alignment horizontal="center" vertical="center"/>
    </xf>
    <xf numFmtId="0" fontId="6" fillId="8" borderId="9" xfId="0" applyFont="1" applyFill="1" applyBorder="1" applyAlignment="1">
      <alignment horizontal="center" vertical="center"/>
    </xf>
    <xf numFmtId="0" fontId="159" fillId="8" borderId="9" xfId="0" applyFont="1" applyFill="1" applyBorder="1" applyAlignment="1">
      <alignment horizontal="center" vertical="center"/>
    </xf>
    <xf numFmtId="0" fontId="12" fillId="8" borderId="26" xfId="0" applyFont="1" applyFill="1" applyBorder="1" applyAlignment="1">
      <alignment horizontal="center" vertical="center"/>
    </xf>
    <xf numFmtId="43" fontId="0" fillId="0" borderId="0" xfId="0" applyNumberFormat="1"/>
    <xf numFmtId="43" fontId="162" fillId="8" borderId="0" xfId="1" applyFont="1" applyFill="1" applyBorder="1"/>
    <xf numFmtId="176" fontId="6" fillId="24" borderId="0" xfId="1" applyNumberFormat="1" applyFon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43" fontId="5" fillId="0" borderId="9" xfId="0" applyNumberFormat="1" applyFont="1" applyBorder="1" applyAlignment="1">
      <alignment horizontal="center" vertical="center"/>
    </xf>
    <xf numFmtId="43" fontId="5" fillId="0" borderId="10" xfId="0" applyNumberFormat="1" applyFont="1" applyBorder="1" applyAlignment="1">
      <alignment horizontal="center" vertical="center"/>
    </xf>
    <xf numFmtId="43" fontId="5" fillId="0" borderId="11" xfId="0" applyNumberFormat="1" applyFont="1" applyBorder="1" applyAlignment="1">
      <alignment horizontal="center" vertical="center"/>
    </xf>
    <xf numFmtId="43" fontId="5" fillId="0" borderId="13" xfId="0" applyNumberFormat="1" applyFont="1" applyBorder="1" applyAlignment="1">
      <alignment horizontal="center" vertical="center"/>
    </xf>
    <xf numFmtId="43" fontId="27" fillId="112" borderId="3" xfId="1" applyFont="1" applyFill="1" applyBorder="1" applyAlignment="1">
      <alignment horizontal="center" vertical="center"/>
    </xf>
    <xf numFmtId="43" fontId="0" fillId="0" borderId="0" xfId="0" applyNumberFormat="1" applyAlignment="1">
      <alignment horizontal="center" vertical="center"/>
    </xf>
    <xf numFmtId="43" fontId="24" fillId="5" borderId="9" xfId="1" applyFont="1" applyFill="1" applyBorder="1"/>
    <xf numFmtId="43" fontId="23" fillId="12" borderId="0" xfId="1" applyFont="1" applyFill="1" applyBorder="1"/>
    <xf numFmtId="43" fontId="5" fillId="0" borderId="0" xfId="0" applyNumberFormat="1" applyFont="1" applyAlignment="1">
      <alignment horizontal="center" vertical="center"/>
    </xf>
    <xf numFmtId="43" fontId="5" fillId="0" borderId="0" xfId="0" applyNumberFormat="1" applyFont="1" applyFill="1" applyAlignment="1">
      <alignment horizontal="center" vertical="center"/>
    </xf>
    <xf numFmtId="176" fontId="163" fillId="24" borderId="0" xfId="1" applyNumberFormat="1" applyFont="1" applyFill="1" applyBorder="1" applyAlignment="1">
      <alignment horizontal="center" vertical="center"/>
    </xf>
    <xf numFmtId="43" fontId="24" fillId="5" borderId="0" xfId="1" applyFont="1" applyFill="1" applyBorder="1"/>
    <xf numFmtId="43" fontId="7" fillId="5" borderId="7" xfId="0" applyNumberFormat="1" applyFont="1" applyFill="1" applyBorder="1"/>
    <xf numFmtId="43" fontId="0" fillId="0" borderId="0" xfId="0" applyNumberFormat="1"/>
    <xf numFmtId="43" fontId="9" fillId="21" borderId="0" xfId="0" applyNumberFormat="1" applyFont="1" applyFill="1" applyBorder="1"/>
    <xf numFmtId="43" fontId="0" fillId="0" borderId="0" xfId="0" applyNumberFormat="1" applyAlignment="1">
      <alignment horizontal="center" vertical="center"/>
    </xf>
    <xf numFmtId="43" fontId="3" fillId="8" borderId="9" xfId="1" applyFont="1" applyFill="1" applyBorder="1"/>
    <xf numFmtId="0" fontId="0" fillId="12" borderId="0" xfId="0" applyFill="1" applyAlignment="1">
      <alignment horizontal="right" vertical="center"/>
    </xf>
    <xf numFmtId="43" fontId="0" fillId="12" borderId="0" xfId="1" applyFont="1" applyFill="1" applyAlignment="1">
      <alignment horizontal="center" vertical="center"/>
    </xf>
    <xf numFmtId="43" fontId="9" fillId="12" borderId="0" xfId="0" applyNumberFormat="1" applyFont="1" applyFill="1" applyBorder="1"/>
    <xf numFmtId="43" fontId="31" fillId="8" borderId="16" xfId="1" applyFont="1" applyFill="1" applyBorder="1"/>
    <xf numFmtId="175" fontId="25" fillId="8" borderId="0" xfId="1" applyNumberFormat="1" applyFont="1" applyFill="1" applyBorder="1"/>
    <xf numFmtId="0" fontId="164" fillId="8" borderId="0" xfId="0" applyFont="1" applyFill="1" applyBorder="1" applyAlignment="1">
      <alignment horizontal="center"/>
    </xf>
    <xf numFmtId="0" fontId="165" fillId="0" borderId="0" xfId="0" applyFont="1" applyBorder="1"/>
    <xf numFmtId="0" fontId="166" fillId="0" borderId="0" xfId="0" applyFont="1" applyBorder="1" applyAlignment="1">
      <alignment vertical="center"/>
    </xf>
    <xf numFmtId="0" fontId="167" fillId="113" borderId="0" xfId="0" applyFont="1" applyFill="1" applyBorder="1" applyAlignment="1">
      <alignment horizontal="center" vertical="center"/>
    </xf>
    <xf numFmtId="171" fontId="167" fillId="3" borderId="0" xfId="0" applyNumberFormat="1" applyFont="1" applyFill="1" applyBorder="1" applyAlignment="1">
      <alignment horizontal="center" vertical="center"/>
    </xf>
    <xf numFmtId="171" fontId="167" fillId="12" borderId="0" xfId="0" applyNumberFormat="1" applyFont="1" applyFill="1" applyBorder="1" applyAlignment="1">
      <alignment horizontal="center" vertical="center"/>
    </xf>
    <xf numFmtId="171" fontId="167" fillId="113" borderId="0" xfId="0" applyNumberFormat="1" applyFont="1" applyFill="1" applyBorder="1" applyAlignment="1">
      <alignment horizontal="center" vertical="center"/>
    </xf>
    <xf numFmtId="0" fontId="168" fillId="0" borderId="0" xfId="0" applyFont="1" applyBorder="1"/>
    <xf numFmtId="0" fontId="0" fillId="0" borderId="0" xfId="0" applyBorder="1" applyAlignment="1">
      <alignment horizontal="center"/>
    </xf>
    <xf numFmtId="43" fontId="169" fillId="2" borderId="0" xfId="1" applyFont="1" applyFill="1" applyBorder="1"/>
    <xf numFmtId="43" fontId="24" fillId="0" borderId="0" xfId="1" applyFont="1" applyBorder="1"/>
    <xf numFmtId="174" fontId="0" fillId="0" borderId="0" xfId="1" applyNumberFormat="1" applyFont="1" applyBorder="1"/>
    <xf numFmtId="43" fontId="3" fillId="0" borderId="0" xfId="1" applyFont="1" applyBorder="1"/>
    <xf numFmtId="0" fontId="0" fillId="0" borderId="0" xfId="0" applyFont="1" applyBorder="1" applyAlignment="1">
      <alignment horizontal="center"/>
    </xf>
    <xf numFmtId="0" fontId="165" fillId="0" borderId="0" xfId="0" applyFont="1"/>
    <xf numFmtId="43" fontId="23" fillId="2" borderId="0" xfId="1" applyFont="1" applyFill="1" applyBorder="1"/>
    <xf numFmtId="43" fontId="169" fillId="0" borderId="0" xfId="1" applyFont="1" applyFill="1" applyBorder="1"/>
    <xf numFmtId="171" fontId="167" fillId="0" borderId="0" xfId="0" applyNumberFormat="1" applyFont="1" applyFill="1" applyBorder="1" applyAlignment="1">
      <alignment horizontal="center" vertical="center"/>
    </xf>
    <xf numFmtId="0" fontId="170" fillId="0" borderId="0" xfId="0" applyFont="1" applyBorder="1"/>
    <xf numFmtId="43" fontId="172" fillId="0" borderId="0" xfId="1" applyFont="1" applyBorder="1" applyAlignment="1">
      <alignment vertical="center"/>
    </xf>
    <xf numFmtId="43" fontId="0" fillId="0" borderId="0" xfId="1" applyFont="1" applyFill="1"/>
    <xf numFmtId="0" fontId="166" fillId="0" borderId="0" xfId="0" applyFont="1" applyFill="1" applyBorder="1" applyAlignment="1">
      <alignment vertical="center"/>
    </xf>
    <xf numFmtId="174" fontId="0" fillId="0" borderId="0" xfId="1" applyNumberFormat="1" applyFont="1" applyFill="1" applyBorder="1"/>
    <xf numFmtId="43" fontId="3" fillId="0" borderId="0" xfId="1" applyFont="1" applyFill="1" applyBorder="1"/>
    <xf numFmtId="0" fontId="17" fillId="7" borderId="14" xfId="0" applyFont="1" applyFill="1" applyBorder="1" applyAlignment="1">
      <alignment horizontal="center"/>
    </xf>
    <xf numFmtId="0" fontId="17" fillId="7" borderId="15" xfId="0" applyFont="1" applyFill="1" applyBorder="1" applyAlignment="1">
      <alignment horizontal="center"/>
    </xf>
    <xf numFmtId="43" fontId="0" fillId="8" borderId="55" xfId="1" applyFont="1" applyFill="1" applyBorder="1"/>
    <xf numFmtId="43" fontId="24" fillId="8" borderId="17" xfId="1" applyFont="1" applyFill="1" applyBorder="1"/>
    <xf numFmtId="43" fontId="24" fillId="8" borderId="56" xfId="1" applyFont="1" applyFill="1" applyBorder="1"/>
    <xf numFmtId="43" fontId="0" fillId="8" borderId="57" xfId="1" applyFont="1" applyFill="1" applyBorder="1"/>
    <xf numFmtId="43" fontId="0" fillId="8" borderId="58" xfId="1" applyFont="1" applyFill="1" applyBorder="1"/>
    <xf numFmtId="43" fontId="5" fillId="0" borderId="0" xfId="0" applyNumberFormat="1" applyFont="1" applyFill="1" applyBorder="1"/>
    <xf numFmtId="0" fontId="9" fillId="8" borderId="0" xfId="0" applyFont="1" applyFill="1" applyBorder="1" applyAlignment="1">
      <alignment horizontal="center"/>
    </xf>
    <xf numFmtId="3" fontId="0" fillId="0" borderId="0" xfId="0" applyNumberFormat="1" applyAlignment="1">
      <alignment horizontal="center" vertical="center"/>
    </xf>
    <xf numFmtId="175" fontId="175" fillId="0" borderId="0" xfId="1" applyNumberFormat="1" applyFont="1" applyAlignment="1">
      <alignment horizontal="center" vertical="center"/>
    </xf>
    <xf numFmtId="43" fontId="0" fillId="0" borderId="0" xfId="0" applyNumberFormat="1"/>
    <xf numFmtId="43" fontId="3" fillId="12" borderId="11" xfId="1" applyFont="1" applyFill="1" applyBorder="1"/>
    <xf numFmtId="0" fontId="176" fillId="0" borderId="0" xfId="0" applyFont="1" applyBorder="1"/>
    <xf numFmtId="176" fontId="8" fillId="24" borderId="0" xfId="1" applyNumberFormat="1" applyFont="1" applyFill="1" applyBorder="1" applyAlignment="1">
      <alignment horizontal="center" vertical="center"/>
    </xf>
    <xf numFmtId="176" fontId="8" fillId="4" borderId="0" xfId="1" applyNumberFormat="1" applyFont="1" applyFill="1" applyBorder="1" applyAlignment="1">
      <alignment horizontal="center" vertical="center"/>
    </xf>
    <xf numFmtId="175" fontId="6" fillId="8" borderId="0" xfId="0" applyNumberFormat="1" applyFont="1" applyFill="1" applyBorder="1"/>
    <xf numFmtId="0" fontId="0" fillId="8" borderId="13"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3" fontId="11" fillId="8" borderId="0" xfId="0" applyNumberFormat="1" applyFont="1" applyFill="1"/>
    <xf numFmtId="43" fontId="8" fillId="5" borderId="7" xfId="0" applyNumberFormat="1" applyFont="1" applyFill="1" applyBorder="1"/>
    <xf numFmtId="43" fontId="8" fillId="5" borderId="6" xfId="0" applyNumberFormat="1" applyFont="1" applyFill="1" applyBorder="1"/>
    <xf numFmtId="0" fontId="6" fillId="6" borderId="19" xfId="0" applyFont="1" applyFill="1" applyBorder="1" applyAlignment="1">
      <alignment horizontal="center" vertical="center"/>
    </xf>
    <xf numFmtId="0" fontId="7" fillId="8" borderId="7" xfId="0" applyFont="1" applyFill="1" applyBorder="1" applyAlignment="1">
      <alignment horizontal="center" vertical="center"/>
    </xf>
    <xf numFmtId="0" fontId="0" fillId="8" borderId="11" xfId="0" applyFill="1" applyBorder="1" applyAlignment="1">
      <alignment horizontal="center"/>
    </xf>
    <xf numFmtId="0" fontId="12" fillId="8" borderId="12" xfId="0" applyFont="1" applyFill="1" applyBorder="1" applyAlignment="1">
      <alignment horizontal="center" vertical="center"/>
    </xf>
    <xf numFmtId="43" fontId="24" fillId="8" borderId="6" xfId="1" applyFont="1" applyFill="1" applyBorder="1"/>
    <xf numFmtId="43" fontId="24" fillId="8" borderId="7" xfId="1" applyFont="1" applyFill="1" applyBorder="1"/>
    <xf numFmtId="43" fontId="24" fillId="8" borderId="11" xfId="1" applyFont="1" applyFill="1" applyBorder="1"/>
    <xf numFmtId="43" fontId="24" fillId="8" borderId="12" xfId="1" applyFont="1" applyFill="1" applyBorder="1"/>
    <xf numFmtId="43" fontId="7" fillId="8" borderId="0" xfId="1" applyFont="1" applyFill="1" applyBorder="1"/>
    <xf numFmtId="176" fontId="9" fillId="24" borderId="0" xfId="1" applyNumberFormat="1" applyFont="1" applyFill="1" applyBorder="1" applyAlignment="1">
      <alignment horizontal="center" vertical="center"/>
    </xf>
    <xf numFmtId="0" fontId="6" fillId="18" borderId="0" xfId="0" applyFont="1" applyFill="1" applyBorder="1" applyAlignment="1">
      <alignment horizontal="center"/>
    </xf>
    <xf numFmtId="43" fontId="6" fillId="0" borderId="0" xfId="0" applyNumberFormat="1" applyFont="1" applyFill="1" applyBorder="1"/>
    <xf numFmtId="0" fontId="162" fillId="8" borderId="0" xfId="0" applyFont="1" applyFill="1" applyAlignment="1">
      <alignment horizontal="center"/>
    </xf>
    <xf numFmtId="0" fontId="159" fillId="8" borderId="0" xfId="0" applyFont="1" applyFill="1" applyBorder="1" applyAlignment="1">
      <alignment horizontal="center"/>
    </xf>
    <xf numFmtId="0" fontId="6" fillId="26" borderId="0" xfId="0" applyFont="1" applyFill="1" applyBorder="1" applyAlignment="1">
      <alignment horizontal="center"/>
    </xf>
    <xf numFmtId="43" fontId="9" fillId="26" borderId="0" xfId="0" applyNumberFormat="1" applyFont="1" applyFill="1" applyBorder="1"/>
    <xf numFmtId="43" fontId="0" fillId="0" borderId="0" xfId="0" applyNumberFormat="1" applyAlignment="1">
      <alignment horizontal="center" vertical="center"/>
    </xf>
    <xf numFmtId="43" fontId="23" fillId="23" borderId="0" xfId="1" applyFont="1" applyFill="1" applyBorder="1"/>
    <xf numFmtId="43" fontId="3" fillId="12" borderId="9" xfId="1" applyFont="1" applyFill="1" applyBorder="1"/>
    <xf numFmtId="43" fontId="7" fillId="8" borderId="9" xfId="1" applyFont="1" applyFill="1" applyBorder="1"/>
    <xf numFmtId="43" fontId="0" fillId="8" borderId="6" xfId="1" applyFont="1" applyFill="1" applyBorder="1"/>
    <xf numFmtId="43" fontId="7" fillId="5" borderId="6" xfId="0" applyNumberFormat="1" applyFont="1" applyFill="1" applyBorder="1"/>
    <xf numFmtId="43" fontId="24" fillId="8" borderId="23" xfId="1" applyFont="1" applyFill="1" applyBorder="1"/>
    <xf numFmtId="0" fontId="4" fillId="2" borderId="8" xfId="0" applyNumberFormat="1" applyFont="1" applyFill="1" applyBorder="1" applyAlignment="1">
      <alignment horizontal="center" vertical="center"/>
    </xf>
    <xf numFmtId="0" fontId="3" fillId="8" borderId="0" xfId="0" applyFont="1" applyFill="1"/>
    <xf numFmtId="0" fontId="3" fillId="8" borderId="0" xfId="0" applyFont="1" applyFill="1" applyAlignment="1">
      <alignment horizontal="right"/>
    </xf>
    <xf numFmtId="0" fontId="177" fillId="0" borderId="0" xfId="0" applyFont="1" applyBorder="1" applyAlignment="1">
      <alignment vertical="center"/>
    </xf>
    <xf numFmtId="0" fontId="178" fillId="8" borderId="0" xfId="0" applyFont="1" applyFill="1" applyBorder="1"/>
    <xf numFmtId="0" fontId="0" fillId="8" borderId="0" xfId="0" applyFill="1" applyBorder="1" applyAlignment="1">
      <alignment horizontal="center"/>
    </xf>
    <xf numFmtId="0" fontId="0" fillId="8" borderId="10" xfId="0" applyFill="1" applyBorder="1" applyAlignment="1">
      <alignment horizontal="center"/>
    </xf>
    <xf numFmtId="43" fontId="3" fillId="5" borderId="7" xfId="0" applyNumberFormat="1" applyFont="1" applyFill="1" applyBorder="1"/>
    <xf numFmtId="0" fontId="6" fillId="8" borderId="9" xfId="0" applyFont="1" applyFill="1" applyBorder="1" applyAlignment="1"/>
    <xf numFmtId="9" fontId="5" fillId="114" borderId="12" xfId="2" applyNumberFormat="1" applyFont="1" applyFill="1" applyBorder="1"/>
    <xf numFmtId="175" fontId="159" fillId="4" borderId="0" xfId="1" applyNumberFormat="1" applyFont="1" applyFill="1" applyBorder="1" applyAlignment="1">
      <alignment horizontal="center" vertical="center"/>
    </xf>
    <xf numFmtId="175" fontId="11" fillId="8" borderId="0" xfId="0" applyNumberFormat="1" applyFont="1" applyFill="1"/>
    <xf numFmtId="175" fontId="7" fillId="4" borderId="0" xfId="1" applyNumberFormat="1" applyFont="1" applyFill="1" applyBorder="1" applyAlignment="1">
      <alignment horizontal="center" vertical="center"/>
    </xf>
    <xf numFmtId="0" fontId="179" fillId="24" borderId="0" xfId="0" applyFont="1" applyFill="1" applyAlignment="1">
      <alignment horizontal="left" indent="1"/>
    </xf>
    <xf numFmtId="0" fontId="0" fillId="24" borderId="0" xfId="0" applyFill="1" applyAlignment="1">
      <alignment horizontal="center"/>
    </xf>
    <xf numFmtId="0" fontId="0" fillId="24" borderId="0" xfId="0" applyFill="1"/>
    <xf numFmtId="43" fontId="0" fillId="24" borderId="0" xfId="1" applyFont="1" applyFill="1"/>
    <xf numFmtId="0" fontId="17" fillId="24" borderId="15" xfId="0" applyFont="1" applyFill="1" applyBorder="1" applyAlignment="1">
      <alignment horizontal="center"/>
    </xf>
    <xf numFmtId="0" fontId="17" fillId="24" borderId="1" xfId="0" applyFont="1" applyFill="1" applyBorder="1" applyAlignment="1">
      <alignment horizontal="center"/>
    </xf>
    <xf numFmtId="0" fontId="5"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5" fillId="24" borderId="9" xfId="0" applyFont="1" applyFill="1" applyBorder="1" applyAlignment="1">
      <alignment horizontal="left" indent="1"/>
    </xf>
    <xf numFmtId="0" fontId="0" fillId="24" borderId="0" xfId="0" applyFill="1" applyBorder="1" applyAlignment="1">
      <alignment horizontal="center"/>
    </xf>
    <xf numFmtId="0" fontId="0" fillId="24" borderId="0" xfId="0" applyFill="1" applyBorder="1"/>
    <xf numFmtId="0" fontId="0" fillId="24" borderId="10" xfId="0" applyFill="1" applyBorder="1" applyAlignment="1">
      <alignment horizontal="right"/>
    </xf>
    <xf numFmtId="0" fontId="5"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5" fontId="8" fillId="0" borderId="0" xfId="1" applyNumberFormat="1" applyFont="1" applyBorder="1" applyAlignment="1">
      <alignment vertical="center"/>
    </xf>
    <xf numFmtId="175" fontId="159" fillId="0" borderId="0" xfId="1" applyNumberFormat="1" applyFont="1" applyBorder="1" applyAlignment="1">
      <alignment vertical="center"/>
    </xf>
    <xf numFmtId="0" fontId="24" fillId="0" borderId="0" xfId="0" applyFont="1" applyBorder="1" applyAlignment="1">
      <alignment horizontal="center"/>
    </xf>
    <xf numFmtId="43" fontId="180" fillId="0" borderId="0" xfId="1" applyFont="1" applyBorder="1" applyAlignment="1">
      <alignment vertical="center"/>
    </xf>
    <xf numFmtId="43" fontId="6" fillId="0" borderId="0" xfId="1" applyFont="1" applyBorder="1" applyAlignment="1">
      <alignment vertical="center"/>
    </xf>
    <xf numFmtId="0" fontId="173" fillId="0" borderId="0" xfId="0" applyFont="1" applyBorder="1" applyAlignment="1">
      <alignment horizontal="left" vertical="center"/>
    </xf>
    <xf numFmtId="0" fontId="162" fillId="0" borderId="0" xfId="0" applyFont="1" applyBorder="1" applyAlignment="1">
      <alignment horizontal="center"/>
    </xf>
    <xf numFmtId="43" fontId="171" fillId="0" borderId="0" xfId="1" applyFont="1" applyBorder="1" applyAlignment="1">
      <alignment vertical="center"/>
    </xf>
    <xf numFmtId="43" fontId="159" fillId="0" borderId="0" xfId="1" applyFont="1" applyBorder="1" applyAlignment="1">
      <alignment vertical="center"/>
    </xf>
    <xf numFmtId="43" fontId="162" fillId="2" borderId="0" xfId="1" applyFont="1" applyFill="1" applyBorder="1"/>
    <xf numFmtId="43" fontId="159" fillId="0" borderId="0" xfId="1" applyFont="1" applyFill="1" applyBorder="1"/>
    <xf numFmtId="0" fontId="181" fillId="0" borderId="0" xfId="0" applyFont="1" applyBorder="1"/>
    <xf numFmtId="175" fontId="162" fillId="0" borderId="0" xfId="1" applyNumberFormat="1" applyFont="1" applyBorder="1" applyAlignment="1">
      <alignment vertical="center"/>
    </xf>
    <xf numFmtId="175" fontId="167" fillId="0" borderId="0" xfId="1" applyNumberFormat="1" applyFont="1" applyBorder="1" applyAlignment="1">
      <alignment vertical="center"/>
    </xf>
    <xf numFmtId="175" fontId="0" fillId="0" borderId="0" xfId="1" applyNumberFormat="1" applyFont="1" applyBorder="1"/>
    <xf numFmtId="0" fontId="170" fillId="0" borderId="0" xfId="0" applyFont="1"/>
    <xf numFmtId="0" fontId="162" fillId="0" borderId="0" xfId="0" applyFont="1" applyFill="1" applyBorder="1" applyAlignment="1">
      <alignment horizontal="center"/>
    </xf>
    <xf numFmtId="43" fontId="0" fillId="0" borderId="0" xfId="0" applyNumberFormat="1"/>
    <xf numFmtId="43" fontId="3" fillId="8" borderId="12" xfId="1" applyFont="1" applyFill="1" applyBorder="1"/>
    <xf numFmtId="175" fontId="4" fillId="12" borderId="0" xfId="1" applyNumberFormat="1" applyFont="1" applyFill="1" applyBorder="1"/>
    <xf numFmtId="43" fontId="24" fillId="23" borderId="0" xfId="1" applyFont="1" applyFill="1" applyBorder="1"/>
    <xf numFmtId="43" fontId="24" fillId="23" borderId="0" xfId="0" applyNumberFormat="1" applyFont="1" applyFill="1" applyBorder="1"/>
    <xf numFmtId="171" fontId="17" fillId="7" borderId="15" xfId="0" applyNumberFormat="1" applyFont="1" applyFill="1" applyBorder="1" applyAlignment="1">
      <alignment horizontal="center" vertical="center"/>
    </xf>
    <xf numFmtId="43" fontId="2" fillId="5" borderId="0" xfId="1" applyFont="1" applyFill="1" applyBorder="1"/>
    <xf numFmtId="43" fontId="8" fillId="0" borderId="0" xfId="1" applyFont="1" applyBorder="1" applyAlignment="1">
      <alignment vertical="center"/>
    </xf>
    <xf numFmtId="0" fontId="24" fillId="0" borderId="0" xfId="0" applyFont="1"/>
    <xf numFmtId="175" fontId="24" fillId="0" borderId="0" xfId="1" applyNumberFormat="1" applyFont="1"/>
    <xf numFmtId="175" fontId="181" fillId="0" borderId="0" xfId="1" applyNumberFormat="1" applyFont="1"/>
    <xf numFmtId="0" fontId="181" fillId="0" borderId="0" xfId="0" applyFont="1" applyBorder="1" applyAlignment="1">
      <alignment horizontal="center"/>
    </xf>
    <xf numFmtId="43" fontId="9" fillId="0" borderId="0" xfId="1" applyFont="1" applyBorder="1" applyAlignment="1">
      <alignment vertical="center"/>
    </xf>
    <xf numFmtId="43" fontId="18" fillId="14" borderId="5" xfId="1" applyFont="1" applyFill="1" applyBorder="1" applyAlignment="1">
      <alignment horizontal="center" vertical="center"/>
    </xf>
    <xf numFmtId="0" fontId="3" fillId="0" borderId="0" xfId="0" applyFont="1" applyAlignment="1">
      <alignment horizontal="center" vertical="center"/>
    </xf>
    <xf numFmtId="43" fontId="9" fillId="5" borderId="7" xfId="0" applyNumberFormat="1" applyFont="1" applyFill="1" applyBorder="1"/>
    <xf numFmtId="43" fontId="8" fillId="23" borderId="0" xfId="0" applyNumberFormat="1" applyFont="1" applyFill="1" applyBorder="1"/>
    <xf numFmtId="176" fontId="18" fillId="8" borderId="0" xfId="1" applyNumberFormat="1" applyFont="1" applyFill="1" applyBorder="1"/>
    <xf numFmtId="175" fontId="9" fillId="8" borderId="0" xfId="1" applyNumberFormat="1" applyFont="1" applyFill="1" applyBorder="1" applyAlignment="1">
      <alignment horizontal="center" vertical="center"/>
    </xf>
    <xf numFmtId="43" fontId="9" fillId="8" borderId="0" xfId="1" applyFont="1" applyFill="1" applyBorder="1"/>
    <xf numFmtId="43" fontId="23" fillId="0" borderId="0" xfId="1" applyFont="1" applyFill="1" applyBorder="1"/>
    <xf numFmtId="43" fontId="9" fillId="0" borderId="0" xfId="1" applyFont="1" applyFill="1" applyBorder="1"/>
    <xf numFmtId="43" fontId="9" fillId="12" borderId="7" xfId="0" applyNumberFormat="1" applyFont="1" applyFill="1" applyBorder="1"/>
    <xf numFmtId="43" fontId="9" fillId="12" borderId="0" xfId="1" applyFont="1" applyFill="1" applyBorder="1"/>
    <xf numFmtId="0" fontId="23" fillId="0" borderId="0" xfId="0" applyFont="1" applyBorder="1" applyAlignment="1">
      <alignment horizontal="center"/>
    </xf>
    <xf numFmtId="43" fontId="182" fillId="0" borderId="0" xfId="1" applyFont="1" applyBorder="1" applyAlignment="1">
      <alignment vertical="center"/>
    </xf>
    <xf numFmtId="175" fontId="7" fillId="0" borderId="0" xfId="1" applyNumberFormat="1" applyFont="1" applyBorder="1" applyAlignment="1">
      <alignment vertical="center"/>
    </xf>
    <xf numFmtId="0" fontId="23" fillId="0" borderId="0" xfId="0" applyFont="1" applyFill="1"/>
    <xf numFmtId="175" fontId="174" fillId="0" borderId="0" xfId="1" applyNumberFormat="1" applyFont="1" applyBorder="1" applyAlignment="1">
      <alignment vertical="center"/>
    </xf>
    <xf numFmtId="0" fontId="23" fillId="0" borderId="0" xfId="0" applyFont="1"/>
    <xf numFmtId="0" fontId="183" fillId="0" borderId="0" xfId="0" applyFont="1" applyBorder="1" applyAlignment="1">
      <alignment horizontal="left" vertical="center"/>
    </xf>
    <xf numFmtId="0" fontId="184" fillId="0" borderId="0" xfId="0" applyFont="1" applyBorder="1" applyAlignment="1">
      <alignment horizontal="center"/>
    </xf>
    <xf numFmtId="43" fontId="184" fillId="2" borderId="0" xfId="1" applyFont="1" applyFill="1" applyBorder="1"/>
    <xf numFmtId="175" fontId="184" fillId="2" borderId="0" xfId="1" applyNumberFormat="1" applyFont="1" applyFill="1" applyBorder="1"/>
    <xf numFmtId="43" fontId="184" fillId="0" borderId="0" xfId="1" applyFont="1" applyFill="1" applyBorder="1"/>
    <xf numFmtId="175" fontId="184" fillId="0" borderId="0" xfId="1" applyNumberFormat="1" applyFont="1" applyBorder="1"/>
    <xf numFmtId="0" fontId="184" fillId="0" borderId="0" xfId="0" applyFont="1"/>
    <xf numFmtId="43" fontId="6" fillId="5" borderId="7" xfId="0" applyNumberFormat="1" applyFont="1" applyFill="1" applyBorder="1"/>
    <xf numFmtId="43" fontId="23" fillId="111" borderId="0" xfId="1" applyFont="1" applyFill="1" applyBorder="1"/>
    <xf numFmtId="43" fontId="8" fillId="5" borderId="0" xfId="1" applyFont="1" applyFill="1" applyBorder="1"/>
    <xf numFmtId="166" fontId="11" fillId="8" borderId="0" xfId="0" applyNumberFormat="1" applyFont="1" applyFill="1"/>
    <xf numFmtId="0" fontId="0" fillId="8" borderId="0" xfId="0" applyNumberFormat="1" applyFill="1"/>
    <xf numFmtId="17" fontId="0" fillId="8" borderId="0" xfId="0" quotePrefix="1" applyNumberFormat="1" applyFill="1"/>
    <xf numFmtId="0" fontId="0" fillId="8" borderId="0" xfId="0" quotePrefix="1" applyFill="1"/>
    <xf numFmtId="43" fontId="185" fillId="0" borderId="0" xfId="1" applyFont="1" applyFill="1" applyBorder="1"/>
    <xf numFmtId="43" fontId="23" fillId="0" borderId="0" xfId="1" applyFont="1" applyFill="1" applyAlignment="1">
      <alignment horizontal="left"/>
    </xf>
    <xf numFmtId="0" fontId="187" fillId="0" borderId="0" xfId="0" applyFont="1" applyFill="1" applyBorder="1" applyAlignment="1">
      <alignment vertical="center"/>
    </xf>
    <xf numFmtId="174" fontId="23" fillId="0" borderId="0" xfId="1" applyNumberFormat="1" applyFont="1" applyFill="1" applyBorder="1"/>
    <xf numFmtId="0" fontId="3" fillId="0" borderId="0" xfId="0" applyFont="1"/>
    <xf numFmtId="0" fontId="188" fillId="0" borderId="0" xfId="0" applyFont="1"/>
    <xf numFmtId="174" fontId="189" fillId="0" borderId="0" xfId="1" applyNumberFormat="1" applyFont="1" applyFill="1" applyBorder="1"/>
    <xf numFmtId="43" fontId="189" fillId="0" borderId="0" xfId="1" applyFont="1" applyFill="1"/>
    <xf numFmtId="43" fontId="189" fillId="0" borderId="0" xfId="1" applyFont="1" applyFill="1" applyBorder="1"/>
    <xf numFmtId="0" fontId="7" fillId="8" borderId="0" xfId="0" applyFont="1" applyFill="1" applyBorder="1" applyAlignment="1"/>
    <xf numFmtId="0" fontId="7" fillId="8" borderId="0" xfId="0" applyFont="1" applyFill="1" applyBorder="1"/>
    <xf numFmtId="0" fontId="9" fillId="8" borderId="0" xfId="0" applyFont="1" applyFill="1" applyBorder="1"/>
    <xf numFmtId="0" fontId="25" fillId="8" borderId="0" xfId="0" applyFont="1" applyFill="1" applyBorder="1"/>
    <xf numFmtId="0" fontId="1" fillId="8" borderId="0" xfId="0" applyFont="1" applyFill="1" applyBorder="1"/>
    <xf numFmtId="0" fontId="23" fillId="8" borderId="0" xfId="0" applyFont="1" applyFill="1"/>
    <xf numFmtId="0" fontId="23" fillId="8" borderId="0" xfId="0" applyFont="1" applyFill="1" applyBorder="1"/>
    <xf numFmtId="0" fontId="25" fillId="8" borderId="0" xfId="0" applyFont="1" applyFill="1"/>
    <xf numFmtId="0" fontId="25" fillId="8" borderId="11" xfId="0" applyFont="1" applyFill="1" applyBorder="1" applyAlignment="1">
      <alignment horizontal="left" indent="1"/>
    </xf>
    <xf numFmtId="43" fontId="0" fillId="0" borderId="0" xfId="1" applyFont="1" applyFill="1" applyAlignment="1">
      <alignment horizontal="center" vertical="center"/>
    </xf>
    <xf numFmtId="43" fontId="0" fillId="0" borderId="0" xfId="0" applyNumberFormat="1" applyFill="1" applyAlignment="1">
      <alignment horizontal="center" vertical="center"/>
    </xf>
    <xf numFmtId="171" fontId="5" fillId="0"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43" fontId="5" fillId="0" borderId="0" xfId="1" applyFont="1" applyFill="1" applyBorder="1" applyAlignment="1">
      <alignment horizontal="center" vertical="center"/>
    </xf>
    <xf numFmtId="43" fontId="18" fillId="0" borderId="0" xfId="1" applyFont="1" applyFill="1" applyBorder="1" applyAlignment="1">
      <alignment horizontal="center" vertical="center"/>
    </xf>
    <xf numFmtId="43" fontId="27" fillId="0" borderId="0" xfId="1" applyFont="1" applyFill="1" applyBorder="1" applyAlignment="1">
      <alignment horizontal="center" vertical="center"/>
    </xf>
    <xf numFmtId="43" fontId="26" fillId="0" borderId="0" xfId="1" applyFont="1" applyFill="1" applyBorder="1" applyAlignment="1">
      <alignment horizontal="center" vertical="center"/>
    </xf>
    <xf numFmtId="174" fontId="0" fillId="0" borderId="0" xfId="0" applyNumberFormat="1" applyFill="1" applyBorder="1" applyAlignment="1">
      <alignment horizontal="center" vertical="center"/>
    </xf>
    <xf numFmtId="9" fontId="15" fillId="0" borderId="0" xfId="2" applyFont="1" applyFill="1" applyBorder="1" applyAlignment="1">
      <alignment horizontal="center" vertical="center"/>
    </xf>
    <xf numFmtId="0" fontId="0" fillId="0" borderId="0" xfId="0" applyFill="1" applyAlignment="1">
      <alignment horizontal="center" vertical="center"/>
    </xf>
    <xf numFmtId="175" fontId="0" fillId="0" borderId="0" xfId="1" applyNumberFormat="1" applyFont="1" applyFill="1" applyAlignment="1">
      <alignment horizontal="center" vertical="center"/>
    </xf>
    <xf numFmtId="0" fontId="1" fillId="8" borderId="9" xfId="0" applyFont="1" applyFill="1" applyBorder="1" applyAlignment="1"/>
    <xf numFmtId="0" fontId="23" fillId="8" borderId="0" xfId="0" applyFont="1" applyFill="1" applyBorder="1" applyAlignment="1"/>
    <xf numFmtId="0" fontId="3" fillId="8" borderId="0" xfId="0" applyFont="1" applyFill="1" applyBorder="1"/>
    <xf numFmtId="0" fontId="23" fillId="8" borderId="0" xfId="0" quotePrefix="1" applyFont="1" applyFill="1" applyBorder="1"/>
    <xf numFmtId="0" fontId="193" fillId="8" borderId="0" xfId="0" quotePrefix="1" applyFont="1" applyFill="1" applyBorder="1" applyAlignment="1"/>
    <xf numFmtId="0" fontId="193" fillId="8" borderId="0" xfId="0" applyFont="1" applyFill="1" applyBorder="1" applyAlignment="1"/>
    <xf numFmtId="0" fontId="193" fillId="8" borderId="0" xfId="0" quotePrefix="1" applyFont="1" applyFill="1" applyBorder="1"/>
    <xf numFmtId="0" fontId="193" fillId="8" borderId="0" xfId="0" applyFont="1" applyFill="1" applyBorder="1"/>
    <xf numFmtId="0" fontId="7" fillId="8" borderId="0" xfId="0" applyFont="1" applyFill="1"/>
    <xf numFmtId="173" fontId="0" fillId="8" borderId="12" xfId="0" applyNumberFormat="1" applyFill="1" applyBorder="1" applyAlignment="1">
      <alignment horizontal="center"/>
    </xf>
    <xf numFmtId="0" fontId="0" fillId="8" borderId="13" xfId="0"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173" fontId="0" fillId="8" borderId="0" xfId="0" applyNumberFormat="1" applyFill="1" applyBorder="1" applyAlignment="1">
      <alignment horizontal="center"/>
    </xf>
    <xf numFmtId="173" fontId="0" fillId="8" borderId="10" xfId="0" applyNumberForma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62" fillId="8" borderId="0" xfId="0" applyFont="1" applyFill="1" applyBorder="1" applyAlignment="1">
      <alignment horizontal="center"/>
    </xf>
    <xf numFmtId="0" fontId="162" fillId="8" borderId="10" xfId="0" applyFont="1" applyFill="1" applyBorder="1" applyAlignment="1">
      <alignment horizontal="center"/>
    </xf>
    <xf numFmtId="0" fontId="17" fillId="7" borderId="14" xfId="0" applyFont="1" applyFill="1" applyBorder="1" applyAlignment="1">
      <alignment horizontal="center"/>
    </xf>
    <xf numFmtId="0" fontId="17" fillId="7" borderId="15" xfId="0" applyFont="1" applyFill="1" applyBorder="1" applyAlignment="1">
      <alignment horizontal="center"/>
    </xf>
    <xf numFmtId="0" fontId="17" fillId="7" borderId="6" xfId="0" applyFont="1" applyFill="1" applyBorder="1" applyAlignment="1">
      <alignment horizontal="center"/>
    </xf>
    <xf numFmtId="0" fontId="17" fillId="7" borderId="7" xfId="0" applyFont="1" applyFill="1" applyBorder="1" applyAlignment="1">
      <alignment horizontal="center"/>
    </xf>
    <xf numFmtId="0" fontId="17" fillId="7" borderId="8" xfId="0" applyFont="1" applyFill="1" applyBorder="1" applyAlignment="1">
      <alignment horizontal="center"/>
    </xf>
    <xf numFmtId="0" fontId="0" fillId="8" borderId="0" xfId="0" applyFill="1" applyBorder="1" applyAlignment="1">
      <alignment horizontal="center"/>
    </xf>
    <xf numFmtId="0" fontId="0" fillId="8" borderId="10" xfId="0" applyFill="1" applyBorder="1" applyAlignment="1">
      <alignment horizontal="center"/>
    </xf>
    <xf numFmtId="0" fontId="17" fillId="24" borderId="14" xfId="0" applyFont="1" applyFill="1" applyBorder="1" applyAlignment="1">
      <alignment horizontal="center"/>
    </xf>
    <xf numFmtId="0" fontId="17" fillId="24" borderId="15" xfId="0" applyFont="1" applyFill="1" applyBorder="1" applyAlignment="1">
      <alignment horizontal="center"/>
    </xf>
    <xf numFmtId="173" fontId="0" fillId="8" borderId="13" xfId="0" applyNumberFormat="1" applyFill="1" applyBorder="1" applyAlignment="1">
      <alignment horizontal="center"/>
    </xf>
    <xf numFmtId="0" fontId="5" fillId="8" borderId="13" xfId="0" applyFont="1" applyFill="1" applyBorder="1" applyAlignment="1">
      <alignment horizontal="center"/>
    </xf>
    <xf numFmtId="0" fontId="0" fillId="8" borderId="12" xfId="0" applyFill="1" applyBorder="1" applyAlignment="1">
      <alignment horizontal="center"/>
    </xf>
    <xf numFmtId="0" fontId="5" fillId="12" borderId="14" xfId="0" applyFont="1" applyFill="1" applyBorder="1" applyAlignment="1">
      <alignment horizontal="center" vertical="center"/>
    </xf>
    <xf numFmtId="0" fontId="5" fillId="12" borderId="1" xfId="0" applyFont="1" applyFill="1" applyBorder="1" applyAlignment="1">
      <alignment horizontal="center" vertical="center"/>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21" borderId="2" xfId="0" applyFont="1" applyFill="1" applyBorder="1" applyAlignment="1">
      <alignment horizontal="center" vertical="center"/>
    </xf>
    <xf numFmtId="0" fontId="5" fillId="21" borderId="4" xfId="0" applyFont="1" applyFill="1" applyBorder="1" applyAlignment="1">
      <alignment horizontal="center" vertical="center"/>
    </xf>
    <xf numFmtId="43" fontId="196" fillId="0" borderId="0" xfId="1" applyFont="1" applyFill="1" applyBorder="1" applyAlignment="1">
      <alignment horizontal="left" vertical="center"/>
    </xf>
    <xf numFmtId="43" fontId="23" fillId="0" borderId="0" xfId="0" quotePrefix="1" applyNumberFormat="1" applyFont="1" applyFill="1" applyAlignment="1">
      <alignment vertical="center"/>
    </xf>
    <xf numFmtId="43" fontId="196" fillId="0" borderId="0" xfId="1" quotePrefix="1" applyFont="1" applyFill="1" applyBorder="1" applyAlignment="1">
      <alignment vertical="center"/>
    </xf>
    <xf numFmtId="43" fontId="195" fillId="0" borderId="0" xfId="1" quotePrefix="1" applyFont="1" applyFill="1" applyBorder="1" applyAlignment="1">
      <alignment vertical="top"/>
    </xf>
    <xf numFmtId="174" fontId="23" fillId="0" borderId="0" xfId="0" quotePrefix="1" applyNumberFormat="1" applyFont="1" applyFill="1" applyBorder="1" applyAlignment="1">
      <alignment vertical="center"/>
    </xf>
    <xf numFmtId="9" fontId="7" fillId="0" borderId="0" xfId="2" applyFont="1" applyFill="1" applyBorder="1" applyAlignment="1">
      <alignment vertical="center"/>
    </xf>
    <xf numFmtId="43" fontId="7" fillId="0" borderId="0" xfId="0" applyNumberFormat="1" applyFont="1" applyFill="1" applyBorder="1" applyAlignment="1">
      <alignment vertical="center"/>
    </xf>
    <xf numFmtId="43" fontId="2" fillId="0" borderId="0" xfId="1" applyFont="1" applyFill="1" applyAlignment="1">
      <alignment vertical="center"/>
    </xf>
    <xf numFmtId="171" fontId="1" fillId="0" borderId="0" xfId="0" applyNumberFormat="1" applyFont="1" applyFill="1" applyBorder="1" applyAlignment="1">
      <alignment vertical="center"/>
    </xf>
    <xf numFmtId="43" fontId="1" fillId="0" borderId="0" xfId="1" applyFont="1" applyFill="1" applyBorder="1" applyAlignment="1">
      <alignment vertical="center"/>
    </xf>
    <xf numFmtId="43" fontId="8" fillId="0" borderId="0" xfId="1" applyFont="1" applyFill="1" applyBorder="1" applyAlignment="1">
      <alignment vertical="center"/>
    </xf>
    <xf numFmtId="43" fontId="195" fillId="0" borderId="0" xfId="1" applyFont="1" applyFill="1" applyBorder="1" applyAlignment="1">
      <alignment vertical="center"/>
    </xf>
    <xf numFmtId="43" fontId="0" fillId="0" borderId="0" xfId="0" applyNumberFormat="1" applyFont="1" applyFill="1" applyAlignment="1">
      <alignment vertical="center"/>
    </xf>
    <xf numFmtId="0" fontId="0" fillId="0" borderId="0" xfId="0" applyFont="1" applyFill="1" applyAlignment="1">
      <alignment vertical="center"/>
    </xf>
    <xf numFmtId="175" fontId="2" fillId="0" borderId="0" xfId="1" applyNumberFormat="1" applyFont="1" applyFill="1" applyAlignment="1">
      <alignment vertical="center"/>
    </xf>
    <xf numFmtId="43" fontId="23" fillId="0" borderId="0" xfId="0" applyNumberFormat="1" applyFont="1" applyFill="1" applyAlignment="1">
      <alignment vertical="center"/>
    </xf>
    <xf numFmtId="43" fontId="7" fillId="0" borderId="0" xfId="1" applyFont="1" applyFill="1" applyBorder="1" applyAlignment="1">
      <alignment vertical="center"/>
    </xf>
    <xf numFmtId="43" fontId="7" fillId="0" borderId="0" xfId="1" quotePrefix="1" applyFont="1" applyFill="1" applyBorder="1" applyAlignment="1">
      <alignment vertical="center"/>
    </xf>
  </cellXfs>
  <cellStyles count="4111">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8" xfId="4075" xr:uid="{00000000-0005-0000-0000-000048090000}"/>
    <cellStyle name="Comma 69" xfId="4087" xr:uid="{00000000-0005-0000-0000-000049090000}"/>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1" xfId="4100" xr:uid="{00000000-0005-0000-0000-000050090000}"/>
    <cellStyle name="Comma 72" xfId="4104" xr:uid="{00000000-0005-0000-0000-000051090000}"/>
    <cellStyle name="Comma 73" xfId="91" xr:uid="{00000000-0005-0000-0000-000052090000}"/>
    <cellStyle name="Comma 74" xfId="4110" xr:uid="{00000000-0005-0000-0000-000053090000}"/>
    <cellStyle name="Comma 75" xfId="4109" xr:uid="{00000000-0005-0000-0000-000054090000}"/>
    <cellStyle name="Comma 8" xfId="237" xr:uid="{00000000-0005-0000-0000-000055090000}"/>
    <cellStyle name="Comma 8 2" xfId="312" xr:uid="{00000000-0005-0000-0000-000056090000}"/>
    <cellStyle name="Comma 8 2 2" xfId="3083" xr:uid="{00000000-0005-0000-0000-000057090000}"/>
    <cellStyle name="Comma 8 3" xfId="1217" xr:uid="{00000000-0005-0000-0000-000058090000}"/>
    <cellStyle name="Comma 8 4" xfId="3082" xr:uid="{00000000-0005-0000-0000-000059090000}"/>
    <cellStyle name="Comma 8 5" xfId="4078" xr:uid="{00000000-0005-0000-0000-00005A090000}"/>
    <cellStyle name="Comma 8 6" xfId="4089" xr:uid="{00000000-0005-0000-0000-00005B090000}"/>
    <cellStyle name="Comma 8 7" xfId="4095" xr:uid="{00000000-0005-0000-0000-00005C090000}"/>
    <cellStyle name="Comma 8 8" xfId="4102" xr:uid="{00000000-0005-0000-0000-00005D090000}"/>
    <cellStyle name="Comma 9" xfId="227" xr:uid="{00000000-0005-0000-0000-00005E090000}"/>
    <cellStyle name="Comma 9 2" xfId="313" xr:uid="{00000000-0005-0000-0000-00005F090000}"/>
    <cellStyle name="Comma 9 3" xfId="1218" xr:uid="{00000000-0005-0000-0000-000060090000}"/>
    <cellStyle name="comma zerodec" xfId="95" xr:uid="{00000000-0005-0000-0000-000061090000}"/>
    <cellStyle name="comma zerodec 2" xfId="166" xr:uid="{00000000-0005-0000-0000-000062090000}"/>
    <cellStyle name="comma zerodec 2 2" xfId="3084" xr:uid="{00000000-0005-0000-0000-000063090000}"/>
    <cellStyle name="comma zerodec 3" xfId="3085" xr:uid="{00000000-0005-0000-0000-000064090000}"/>
    <cellStyle name="comma zerodec 4" xfId="3086" xr:uid="{00000000-0005-0000-0000-000065090000}"/>
    <cellStyle name="Curren - Style3" xfId="314" xr:uid="{00000000-0005-0000-0000-000066090000}"/>
    <cellStyle name="Curren - Style4" xfId="315" xr:uid="{00000000-0005-0000-0000-000067090000}"/>
    <cellStyle name="Currency 2" xfId="1222" xr:uid="{00000000-0005-0000-0000-000068090000}"/>
    <cellStyle name="Currency1" xfId="96" xr:uid="{00000000-0005-0000-0000-000069090000}"/>
    <cellStyle name="Currency1 2" xfId="167" xr:uid="{00000000-0005-0000-0000-00006A090000}"/>
    <cellStyle name="Days" xfId="3087" xr:uid="{00000000-0005-0000-0000-00006B090000}"/>
    <cellStyle name="Dollar (zero dec)" xfId="97" xr:uid="{00000000-0005-0000-0000-00006C090000}"/>
    <cellStyle name="Dollar (zero dec) 2" xfId="168" xr:uid="{00000000-0005-0000-0000-00006D090000}"/>
    <cellStyle name="Emphasis 1" xfId="1225" xr:uid="{00000000-0005-0000-0000-00006E090000}"/>
    <cellStyle name="Emphasis 2" xfId="1226" xr:uid="{00000000-0005-0000-0000-00006F090000}"/>
    <cellStyle name="Emphasis 3" xfId="1227" xr:uid="{00000000-0005-0000-0000-000070090000}"/>
    <cellStyle name="Explanatory Text 10" xfId="3088" xr:uid="{00000000-0005-0000-0000-000071090000}"/>
    <cellStyle name="Explanatory Text 11" xfId="3089" xr:uid="{00000000-0005-0000-0000-000072090000}"/>
    <cellStyle name="Explanatory Text 12" xfId="3090" xr:uid="{00000000-0005-0000-0000-000073090000}"/>
    <cellStyle name="Explanatory Text 13" xfId="3091" xr:uid="{00000000-0005-0000-0000-000074090000}"/>
    <cellStyle name="Explanatory Text 14" xfId="3092" xr:uid="{00000000-0005-0000-0000-000075090000}"/>
    <cellStyle name="Explanatory Text 15" xfId="3093" xr:uid="{00000000-0005-0000-0000-000076090000}"/>
    <cellStyle name="Explanatory Text 16" xfId="98" xr:uid="{00000000-0005-0000-0000-000077090000}"/>
    <cellStyle name="Explanatory Text 2" xfId="99" xr:uid="{00000000-0005-0000-0000-000078090000}"/>
    <cellStyle name="Explanatory Text 2 10" xfId="3095" xr:uid="{00000000-0005-0000-0000-000079090000}"/>
    <cellStyle name="Explanatory Text 2 11" xfId="3096" xr:uid="{00000000-0005-0000-0000-00007A090000}"/>
    <cellStyle name="Explanatory Text 2 12" xfId="3094" xr:uid="{00000000-0005-0000-0000-00007B090000}"/>
    <cellStyle name="Explanatory Text 2 2" xfId="1228" xr:uid="{00000000-0005-0000-0000-00007C090000}"/>
    <cellStyle name="Explanatory Text 2 2 2" xfId="3097" xr:uid="{00000000-0005-0000-0000-00007D090000}"/>
    <cellStyle name="Explanatory Text 2 3" xfId="3098" xr:uid="{00000000-0005-0000-0000-00007E090000}"/>
    <cellStyle name="Explanatory Text 2 4" xfId="3099" xr:uid="{00000000-0005-0000-0000-00007F090000}"/>
    <cellStyle name="Explanatory Text 2 5" xfId="3100" xr:uid="{00000000-0005-0000-0000-000080090000}"/>
    <cellStyle name="Explanatory Text 2 6" xfId="3101" xr:uid="{00000000-0005-0000-0000-000081090000}"/>
    <cellStyle name="Explanatory Text 2 7" xfId="3102" xr:uid="{00000000-0005-0000-0000-000082090000}"/>
    <cellStyle name="Explanatory Text 2 8" xfId="3103" xr:uid="{00000000-0005-0000-0000-000083090000}"/>
    <cellStyle name="Explanatory Text 2 9" xfId="3104" xr:uid="{00000000-0005-0000-0000-000084090000}"/>
    <cellStyle name="Explanatory Text 3" xfId="100" xr:uid="{00000000-0005-0000-0000-000085090000}"/>
    <cellStyle name="Explanatory Text 3 10" xfId="3106" xr:uid="{00000000-0005-0000-0000-000086090000}"/>
    <cellStyle name="Explanatory Text 3 11" xfId="3107" xr:uid="{00000000-0005-0000-0000-000087090000}"/>
    <cellStyle name="Explanatory Text 3 12" xfId="3105" xr:uid="{00000000-0005-0000-0000-000088090000}"/>
    <cellStyle name="Explanatory Text 3 2" xfId="3108" xr:uid="{00000000-0005-0000-0000-000089090000}"/>
    <cellStyle name="Explanatory Text 3 3" xfId="3109" xr:uid="{00000000-0005-0000-0000-00008A090000}"/>
    <cellStyle name="Explanatory Text 3 4" xfId="3110" xr:uid="{00000000-0005-0000-0000-00008B090000}"/>
    <cellStyle name="Explanatory Text 3 5" xfId="3111" xr:uid="{00000000-0005-0000-0000-00008C090000}"/>
    <cellStyle name="Explanatory Text 3 6" xfId="3112" xr:uid="{00000000-0005-0000-0000-00008D090000}"/>
    <cellStyle name="Explanatory Text 3 7" xfId="3113" xr:uid="{00000000-0005-0000-0000-00008E090000}"/>
    <cellStyle name="Explanatory Text 3 8" xfId="3114" xr:uid="{00000000-0005-0000-0000-00008F090000}"/>
    <cellStyle name="Explanatory Text 3 9" xfId="3115" xr:uid="{00000000-0005-0000-0000-000090090000}"/>
    <cellStyle name="Explanatory Text 4" xfId="3116" xr:uid="{00000000-0005-0000-0000-000091090000}"/>
    <cellStyle name="Explanatory Text 4 10" xfId="3117" xr:uid="{00000000-0005-0000-0000-000092090000}"/>
    <cellStyle name="Explanatory Text 4 11" xfId="3118" xr:uid="{00000000-0005-0000-0000-000093090000}"/>
    <cellStyle name="Explanatory Text 4 2" xfId="3119" xr:uid="{00000000-0005-0000-0000-000094090000}"/>
    <cellStyle name="Explanatory Text 4 3" xfId="3120" xr:uid="{00000000-0005-0000-0000-000095090000}"/>
    <cellStyle name="Explanatory Text 4 4" xfId="3121" xr:uid="{00000000-0005-0000-0000-000096090000}"/>
    <cellStyle name="Explanatory Text 4 5" xfId="3122" xr:uid="{00000000-0005-0000-0000-000097090000}"/>
    <cellStyle name="Explanatory Text 4 6" xfId="3123" xr:uid="{00000000-0005-0000-0000-000098090000}"/>
    <cellStyle name="Explanatory Text 4 7" xfId="3124" xr:uid="{00000000-0005-0000-0000-000099090000}"/>
    <cellStyle name="Explanatory Text 4 8" xfId="3125" xr:uid="{00000000-0005-0000-0000-00009A090000}"/>
    <cellStyle name="Explanatory Text 4 9" xfId="3126" xr:uid="{00000000-0005-0000-0000-00009B090000}"/>
    <cellStyle name="Explanatory Text 5" xfId="3127" xr:uid="{00000000-0005-0000-0000-00009C090000}"/>
    <cellStyle name="Explanatory Text 5 10" xfId="3128" xr:uid="{00000000-0005-0000-0000-00009D090000}"/>
    <cellStyle name="Explanatory Text 5 11" xfId="3129" xr:uid="{00000000-0005-0000-0000-00009E090000}"/>
    <cellStyle name="Explanatory Text 5 2" xfId="3130" xr:uid="{00000000-0005-0000-0000-00009F090000}"/>
    <cellStyle name="Explanatory Text 5 3" xfId="3131" xr:uid="{00000000-0005-0000-0000-0000A0090000}"/>
    <cellStyle name="Explanatory Text 5 4" xfId="3132" xr:uid="{00000000-0005-0000-0000-0000A1090000}"/>
    <cellStyle name="Explanatory Text 5 5" xfId="3133" xr:uid="{00000000-0005-0000-0000-0000A2090000}"/>
    <cellStyle name="Explanatory Text 5 6" xfId="3134" xr:uid="{00000000-0005-0000-0000-0000A3090000}"/>
    <cellStyle name="Explanatory Text 5 7" xfId="3135" xr:uid="{00000000-0005-0000-0000-0000A4090000}"/>
    <cellStyle name="Explanatory Text 5 8" xfId="3136" xr:uid="{00000000-0005-0000-0000-0000A5090000}"/>
    <cellStyle name="Explanatory Text 5 9" xfId="3137" xr:uid="{00000000-0005-0000-0000-0000A6090000}"/>
    <cellStyle name="Explanatory Text 6" xfId="3138" xr:uid="{00000000-0005-0000-0000-0000A7090000}"/>
    <cellStyle name="Explanatory Text 7" xfId="3139" xr:uid="{00000000-0005-0000-0000-0000A8090000}"/>
    <cellStyle name="Explanatory Text 8" xfId="3140" xr:uid="{00000000-0005-0000-0000-0000A9090000}"/>
    <cellStyle name="Explanatory Text 9" xfId="3141" xr:uid="{00000000-0005-0000-0000-0000AA090000}"/>
    <cellStyle name="Good 10" xfId="3142" xr:uid="{00000000-0005-0000-0000-0000AB090000}"/>
    <cellStyle name="Good 11" xfId="3143" xr:uid="{00000000-0005-0000-0000-0000AC090000}"/>
    <cellStyle name="Good 12" xfId="3144" xr:uid="{00000000-0005-0000-0000-0000AD090000}"/>
    <cellStyle name="Good 13" xfId="3145" xr:uid="{00000000-0005-0000-0000-0000AE090000}"/>
    <cellStyle name="Good 14" xfId="3146" xr:uid="{00000000-0005-0000-0000-0000AF090000}"/>
    <cellStyle name="Good 15" xfId="3147" xr:uid="{00000000-0005-0000-0000-0000B0090000}"/>
    <cellStyle name="Good 16" xfId="101" xr:uid="{00000000-0005-0000-0000-0000B1090000}"/>
    <cellStyle name="Good 2" xfId="102" xr:uid="{00000000-0005-0000-0000-0000B2090000}"/>
    <cellStyle name="Good 2 10" xfId="3149" xr:uid="{00000000-0005-0000-0000-0000B3090000}"/>
    <cellStyle name="Good 2 11" xfId="3150" xr:uid="{00000000-0005-0000-0000-0000B4090000}"/>
    <cellStyle name="Good 2 12" xfId="3148" xr:uid="{00000000-0005-0000-0000-0000B5090000}"/>
    <cellStyle name="Good 2 2" xfId="1230" xr:uid="{00000000-0005-0000-0000-0000B6090000}"/>
    <cellStyle name="Good 2 2 2" xfId="3151" xr:uid="{00000000-0005-0000-0000-0000B7090000}"/>
    <cellStyle name="Good 2 3" xfId="3152" xr:uid="{00000000-0005-0000-0000-0000B8090000}"/>
    <cellStyle name="Good 2 4" xfId="3153" xr:uid="{00000000-0005-0000-0000-0000B9090000}"/>
    <cellStyle name="Good 2 5" xfId="3154" xr:uid="{00000000-0005-0000-0000-0000BA090000}"/>
    <cellStyle name="Good 2 6" xfId="3155" xr:uid="{00000000-0005-0000-0000-0000BB090000}"/>
    <cellStyle name="Good 2 7" xfId="3156" xr:uid="{00000000-0005-0000-0000-0000BC090000}"/>
    <cellStyle name="Good 2 8" xfId="3157" xr:uid="{00000000-0005-0000-0000-0000BD090000}"/>
    <cellStyle name="Good 2 9" xfId="3158" xr:uid="{00000000-0005-0000-0000-0000BE090000}"/>
    <cellStyle name="Good 3" xfId="103" xr:uid="{00000000-0005-0000-0000-0000BF090000}"/>
    <cellStyle name="Good 3 10" xfId="3160" xr:uid="{00000000-0005-0000-0000-0000C0090000}"/>
    <cellStyle name="Good 3 11" xfId="3161" xr:uid="{00000000-0005-0000-0000-0000C1090000}"/>
    <cellStyle name="Good 3 12" xfId="3159" xr:uid="{00000000-0005-0000-0000-0000C2090000}"/>
    <cellStyle name="Good 3 2" xfId="3162" xr:uid="{00000000-0005-0000-0000-0000C3090000}"/>
    <cellStyle name="Good 3 3" xfId="3163" xr:uid="{00000000-0005-0000-0000-0000C4090000}"/>
    <cellStyle name="Good 3 4" xfId="3164" xr:uid="{00000000-0005-0000-0000-0000C5090000}"/>
    <cellStyle name="Good 3 5" xfId="3165" xr:uid="{00000000-0005-0000-0000-0000C6090000}"/>
    <cellStyle name="Good 3 6" xfId="3166" xr:uid="{00000000-0005-0000-0000-0000C7090000}"/>
    <cellStyle name="Good 3 7" xfId="3167" xr:uid="{00000000-0005-0000-0000-0000C8090000}"/>
    <cellStyle name="Good 3 8" xfId="3168" xr:uid="{00000000-0005-0000-0000-0000C9090000}"/>
    <cellStyle name="Good 3 9" xfId="3169" xr:uid="{00000000-0005-0000-0000-0000CA090000}"/>
    <cellStyle name="Good 4" xfId="1232" xr:uid="{00000000-0005-0000-0000-0000CB090000}"/>
    <cellStyle name="Good 4 10" xfId="3171" xr:uid="{00000000-0005-0000-0000-0000CC090000}"/>
    <cellStyle name="Good 4 11" xfId="3172" xr:uid="{00000000-0005-0000-0000-0000CD090000}"/>
    <cellStyle name="Good 4 12" xfId="3170" xr:uid="{00000000-0005-0000-0000-0000CE090000}"/>
    <cellStyle name="Good 4 2" xfId="3173" xr:uid="{00000000-0005-0000-0000-0000CF090000}"/>
    <cellStyle name="Good 4 3" xfId="3174" xr:uid="{00000000-0005-0000-0000-0000D0090000}"/>
    <cellStyle name="Good 4 4" xfId="3175" xr:uid="{00000000-0005-0000-0000-0000D1090000}"/>
    <cellStyle name="Good 4 5" xfId="3176" xr:uid="{00000000-0005-0000-0000-0000D2090000}"/>
    <cellStyle name="Good 4 6" xfId="3177" xr:uid="{00000000-0005-0000-0000-0000D3090000}"/>
    <cellStyle name="Good 4 7" xfId="3178" xr:uid="{00000000-0005-0000-0000-0000D4090000}"/>
    <cellStyle name="Good 4 8" xfId="3179" xr:uid="{00000000-0005-0000-0000-0000D5090000}"/>
    <cellStyle name="Good 4 9" xfId="3180" xr:uid="{00000000-0005-0000-0000-0000D6090000}"/>
    <cellStyle name="Good 5" xfId="3181" xr:uid="{00000000-0005-0000-0000-0000D7090000}"/>
    <cellStyle name="Good 5 10" xfId="3182" xr:uid="{00000000-0005-0000-0000-0000D8090000}"/>
    <cellStyle name="Good 5 11" xfId="3183" xr:uid="{00000000-0005-0000-0000-0000D9090000}"/>
    <cellStyle name="Good 5 2" xfId="3184" xr:uid="{00000000-0005-0000-0000-0000DA090000}"/>
    <cellStyle name="Good 5 3" xfId="3185" xr:uid="{00000000-0005-0000-0000-0000DB090000}"/>
    <cellStyle name="Good 5 4" xfId="3186" xr:uid="{00000000-0005-0000-0000-0000DC090000}"/>
    <cellStyle name="Good 5 5" xfId="3187" xr:uid="{00000000-0005-0000-0000-0000DD090000}"/>
    <cellStyle name="Good 5 6" xfId="3188" xr:uid="{00000000-0005-0000-0000-0000DE090000}"/>
    <cellStyle name="Good 5 7" xfId="3189" xr:uid="{00000000-0005-0000-0000-0000DF090000}"/>
    <cellStyle name="Good 5 8" xfId="3190" xr:uid="{00000000-0005-0000-0000-0000E0090000}"/>
    <cellStyle name="Good 5 9" xfId="3191" xr:uid="{00000000-0005-0000-0000-0000E1090000}"/>
    <cellStyle name="Good 6" xfId="3192" xr:uid="{00000000-0005-0000-0000-0000E2090000}"/>
    <cellStyle name="Good 7" xfId="3193" xr:uid="{00000000-0005-0000-0000-0000E3090000}"/>
    <cellStyle name="Good 8" xfId="3194" xr:uid="{00000000-0005-0000-0000-0000E4090000}"/>
    <cellStyle name="Good 9" xfId="3195" xr:uid="{00000000-0005-0000-0000-0000E5090000}"/>
    <cellStyle name="Grey" xfId="316" xr:uid="{00000000-0005-0000-0000-0000E6090000}"/>
    <cellStyle name="Head1" xfId="3196" xr:uid="{00000000-0005-0000-0000-0000E7090000}"/>
    <cellStyle name="Head2" xfId="3197" xr:uid="{00000000-0005-0000-0000-0000E8090000}"/>
    <cellStyle name="Header1" xfId="104" xr:uid="{00000000-0005-0000-0000-0000E9090000}"/>
    <cellStyle name="Header2" xfId="105" xr:uid="{00000000-0005-0000-0000-0000EA090000}"/>
    <cellStyle name="Heading" xfId="3198" xr:uid="{00000000-0005-0000-0000-0000EB090000}"/>
    <cellStyle name="Heading 1 10" xfId="3199" xr:uid="{00000000-0005-0000-0000-0000EC090000}"/>
    <cellStyle name="Heading 1 11" xfId="3200" xr:uid="{00000000-0005-0000-0000-0000ED090000}"/>
    <cellStyle name="Heading 1 12" xfId="3201" xr:uid="{00000000-0005-0000-0000-0000EE090000}"/>
    <cellStyle name="Heading 1 13" xfId="3202" xr:uid="{00000000-0005-0000-0000-0000EF090000}"/>
    <cellStyle name="Heading 1 14" xfId="3203" xr:uid="{00000000-0005-0000-0000-0000F0090000}"/>
    <cellStyle name="Heading 1 15" xfId="3204" xr:uid="{00000000-0005-0000-0000-0000F1090000}"/>
    <cellStyle name="Heading 1 16" xfId="106" xr:uid="{00000000-0005-0000-0000-0000F2090000}"/>
    <cellStyle name="Heading 1 2" xfId="107" xr:uid="{00000000-0005-0000-0000-0000F3090000}"/>
    <cellStyle name="Heading 1 2 10" xfId="3206" xr:uid="{00000000-0005-0000-0000-0000F4090000}"/>
    <cellStyle name="Heading 1 2 11" xfId="3207" xr:uid="{00000000-0005-0000-0000-0000F5090000}"/>
    <cellStyle name="Heading 1 2 12" xfId="3205" xr:uid="{00000000-0005-0000-0000-0000F6090000}"/>
    <cellStyle name="Heading 1 2 2" xfId="1236" xr:uid="{00000000-0005-0000-0000-0000F7090000}"/>
    <cellStyle name="Heading 1 2 2 2" xfId="3208" xr:uid="{00000000-0005-0000-0000-0000F8090000}"/>
    <cellStyle name="Heading 1 2 3" xfId="3209" xr:uid="{00000000-0005-0000-0000-0000F9090000}"/>
    <cellStyle name="Heading 1 2 4" xfId="3210" xr:uid="{00000000-0005-0000-0000-0000FA090000}"/>
    <cellStyle name="Heading 1 2 5" xfId="3211" xr:uid="{00000000-0005-0000-0000-0000FB090000}"/>
    <cellStyle name="Heading 1 2 6" xfId="3212" xr:uid="{00000000-0005-0000-0000-0000FC090000}"/>
    <cellStyle name="Heading 1 2 7" xfId="3213" xr:uid="{00000000-0005-0000-0000-0000FD090000}"/>
    <cellStyle name="Heading 1 2 8" xfId="3214" xr:uid="{00000000-0005-0000-0000-0000FE090000}"/>
    <cellStyle name="Heading 1 2 9" xfId="3215" xr:uid="{00000000-0005-0000-0000-0000FF090000}"/>
    <cellStyle name="Heading 1 3" xfId="108" xr:uid="{00000000-0005-0000-0000-0000000A0000}"/>
    <cellStyle name="Heading 1 3 10" xfId="3217" xr:uid="{00000000-0005-0000-0000-0000010A0000}"/>
    <cellStyle name="Heading 1 3 11" xfId="3218" xr:uid="{00000000-0005-0000-0000-0000020A0000}"/>
    <cellStyle name="Heading 1 3 12" xfId="3216" xr:uid="{00000000-0005-0000-0000-0000030A0000}"/>
    <cellStyle name="Heading 1 3 2" xfId="3219" xr:uid="{00000000-0005-0000-0000-0000040A0000}"/>
    <cellStyle name="Heading 1 3 3" xfId="3220" xr:uid="{00000000-0005-0000-0000-0000050A0000}"/>
    <cellStyle name="Heading 1 3 4" xfId="3221" xr:uid="{00000000-0005-0000-0000-0000060A0000}"/>
    <cellStyle name="Heading 1 3 5" xfId="3222" xr:uid="{00000000-0005-0000-0000-0000070A0000}"/>
    <cellStyle name="Heading 1 3 6" xfId="3223" xr:uid="{00000000-0005-0000-0000-0000080A0000}"/>
    <cellStyle name="Heading 1 3 7" xfId="3224" xr:uid="{00000000-0005-0000-0000-0000090A0000}"/>
    <cellStyle name="Heading 1 3 8" xfId="3225" xr:uid="{00000000-0005-0000-0000-00000A0A0000}"/>
    <cellStyle name="Heading 1 3 9" xfId="3226" xr:uid="{00000000-0005-0000-0000-00000B0A0000}"/>
    <cellStyle name="Heading 1 4" xfId="1238" xr:uid="{00000000-0005-0000-0000-00000C0A0000}"/>
    <cellStyle name="Heading 1 4 10" xfId="3228" xr:uid="{00000000-0005-0000-0000-00000D0A0000}"/>
    <cellStyle name="Heading 1 4 11" xfId="3229" xr:uid="{00000000-0005-0000-0000-00000E0A0000}"/>
    <cellStyle name="Heading 1 4 12" xfId="3227" xr:uid="{00000000-0005-0000-0000-00000F0A0000}"/>
    <cellStyle name="Heading 1 4 2" xfId="3230" xr:uid="{00000000-0005-0000-0000-0000100A0000}"/>
    <cellStyle name="Heading 1 4 3" xfId="3231" xr:uid="{00000000-0005-0000-0000-0000110A0000}"/>
    <cellStyle name="Heading 1 4 4" xfId="3232" xr:uid="{00000000-0005-0000-0000-0000120A0000}"/>
    <cellStyle name="Heading 1 4 5" xfId="3233" xr:uid="{00000000-0005-0000-0000-0000130A0000}"/>
    <cellStyle name="Heading 1 4 6" xfId="3234" xr:uid="{00000000-0005-0000-0000-0000140A0000}"/>
    <cellStyle name="Heading 1 4 7" xfId="3235" xr:uid="{00000000-0005-0000-0000-0000150A0000}"/>
    <cellStyle name="Heading 1 4 8" xfId="3236" xr:uid="{00000000-0005-0000-0000-0000160A0000}"/>
    <cellStyle name="Heading 1 4 9" xfId="3237" xr:uid="{00000000-0005-0000-0000-0000170A0000}"/>
    <cellStyle name="Heading 1 5" xfId="3238" xr:uid="{00000000-0005-0000-0000-0000180A0000}"/>
    <cellStyle name="Heading 1 5 10" xfId="3239" xr:uid="{00000000-0005-0000-0000-0000190A0000}"/>
    <cellStyle name="Heading 1 5 11" xfId="3240" xr:uid="{00000000-0005-0000-0000-00001A0A0000}"/>
    <cellStyle name="Heading 1 5 2" xfId="3241" xr:uid="{00000000-0005-0000-0000-00001B0A0000}"/>
    <cellStyle name="Heading 1 5 3" xfId="3242" xr:uid="{00000000-0005-0000-0000-00001C0A0000}"/>
    <cellStyle name="Heading 1 5 4" xfId="3243" xr:uid="{00000000-0005-0000-0000-00001D0A0000}"/>
    <cellStyle name="Heading 1 5 5" xfId="3244" xr:uid="{00000000-0005-0000-0000-00001E0A0000}"/>
    <cellStyle name="Heading 1 5 6" xfId="3245" xr:uid="{00000000-0005-0000-0000-00001F0A0000}"/>
    <cellStyle name="Heading 1 5 7" xfId="3246" xr:uid="{00000000-0005-0000-0000-0000200A0000}"/>
    <cellStyle name="Heading 1 5 8" xfId="3247" xr:uid="{00000000-0005-0000-0000-0000210A0000}"/>
    <cellStyle name="Heading 1 5 9" xfId="3248" xr:uid="{00000000-0005-0000-0000-0000220A0000}"/>
    <cellStyle name="Heading 1 6" xfId="3249" xr:uid="{00000000-0005-0000-0000-0000230A0000}"/>
    <cellStyle name="Heading 1 7" xfId="3250" xr:uid="{00000000-0005-0000-0000-0000240A0000}"/>
    <cellStyle name="Heading 1 8" xfId="3251" xr:uid="{00000000-0005-0000-0000-0000250A0000}"/>
    <cellStyle name="Heading 1 9" xfId="3252" xr:uid="{00000000-0005-0000-0000-0000260A0000}"/>
    <cellStyle name="Heading 2 10" xfId="3253" xr:uid="{00000000-0005-0000-0000-0000270A0000}"/>
    <cellStyle name="Heading 2 11" xfId="3254" xr:uid="{00000000-0005-0000-0000-0000280A0000}"/>
    <cellStyle name="Heading 2 12" xfId="3255" xr:uid="{00000000-0005-0000-0000-0000290A0000}"/>
    <cellStyle name="Heading 2 13" xfId="3256" xr:uid="{00000000-0005-0000-0000-00002A0A0000}"/>
    <cellStyle name="Heading 2 14" xfId="3257" xr:uid="{00000000-0005-0000-0000-00002B0A0000}"/>
    <cellStyle name="Heading 2 15" xfId="3258" xr:uid="{00000000-0005-0000-0000-00002C0A0000}"/>
    <cellStyle name="Heading 2 16" xfId="109" xr:uid="{00000000-0005-0000-0000-00002D0A0000}"/>
    <cellStyle name="Heading 2 2" xfId="110" xr:uid="{00000000-0005-0000-0000-00002E0A0000}"/>
    <cellStyle name="Heading 2 2 10" xfId="3260" xr:uid="{00000000-0005-0000-0000-00002F0A0000}"/>
    <cellStyle name="Heading 2 2 11" xfId="3261" xr:uid="{00000000-0005-0000-0000-0000300A0000}"/>
    <cellStyle name="Heading 2 2 12" xfId="3259" xr:uid="{00000000-0005-0000-0000-0000310A0000}"/>
    <cellStyle name="Heading 2 2 2" xfId="1239" xr:uid="{00000000-0005-0000-0000-0000320A0000}"/>
    <cellStyle name="Heading 2 2 2 2" xfId="3262" xr:uid="{00000000-0005-0000-0000-0000330A0000}"/>
    <cellStyle name="Heading 2 2 3" xfId="3263" xr:uid="{00000000-0005-0000-0000-0000340A0000}"/>
    <cellStyle name="Heading 2 2 4" xfId="3264" xr:uid="{00000000-0005-0000-0000-0000350A0000}"/>
    <cellStyle name="Heading 2 2 5" xfId="3265" xr:uid="{00000000-0005-0000-0000-0000360A0000}"/>
    <cellStyle name="Heading 2 2 6" xfId="3266" xr:uid="{00000000-0005-0000-0000-0000370A0000}"/>
    <cellStyle name="Heading 2 2 7" xfId="3267" xr:uid="{00000000-0005-0000-0000-0000380A0000}"/>
    <cellStyle name="Heading 2 2 8" xfId="3268" xr:uid="{00000000-0005-0000-0000-0000390A0000}"/>
    <cellStyle name="Heading 2 2 9" xfId="3269" xr:uid="{00000000-0005-0000-0000-00003A0A0000}"/>
    <cellStyle name="Heading 2 3" xfId="111" xr:uid="{00000000-0005-0000-0000-00003B0A0000}"/>
    <cellStyle name="Heading 2 3 10" xfId="3271" xr:uid="{00000000-0005-0000-0000-00003C0A0000}"/>
    <cellStyle name="Heading 2 3 11" xfId="3272" xr:uid="{00000000-0005-0000-0000-00003D0A0000}"/>
    <cellStyle name="Heading 2 3 12" xfId="3270" xr:uid="{00000000-0005-0000-0000-00003E0A0000}"/>
    <cellStyle name="Heading 2 3 2" xfId="3273" xr:uid="{00000000-0005-0000-0000-00003F0A0000}"/>
    <cellStyle name="Heading 2 3 3" xfId="3274" xr:uid="{00000000-0005-0000-0000-0000400A0000}"/>
    <cellStyle name="Heading 2 3 4" xfId="3275" xr:uid="{00000000-0005-0000-0000-0000410A0000}"/>
    <cellStyle name="Heading 2 3 5" xfId="3276" xr:uid="{00000000-0005-0000-0000-0000420A0000}"/>
    <cellStyle name="Heading 2 3 6" xfId="3277" xr:uid="{00000000-0005-0000-0000-0000430A0000}"/>
    <cellStyle name="Heading 2 3 7" xfId="3278" xr:uid="{00000000-0005-0000-0000-0000440A0000}"/>
    <cellStyle name="Heading 2 3 8" xfId="3279" xr:uid="{00000000-0005-0000-0000-0000450A0000}"/>
    <cellStyle name="Heading 2 3 9" xfId="3280" xr:uid="{00000000-0005-0000-0000-0000460A0000}"/>
    <cellStyle name="Heading 2 4" xfId="1241" xr:uid="{00000000-0005-0000-0000-0000470A0000}"/>
    <cellStyle name="Heading 2 4 10" xfId="3282" xr:uid="{00000000-0005-0000-0000-0000480A0000}"/>
    <cellStyle name="Heading 2 4 11" xfId="3283" xr:uid="{00000000-0005-0000-0000-0000490A0000}"/>
    <cellStyle name="Heading 2 4 12" xfId="3281" xr:uid="{00000000-0005-0000-0000-00004A0A0000}"/>
    <cellStyle name="Heading 2 4 2" xfId="3284" xr:uid="{00000000-0005-0000-0000-00004B0A0000}"/>
    <cellStyle name="Heading 2 4 3" xfId="3285" xr:uid="{00000000-0005-0000-0000-00004C0A0000}"/>
    <cellStyle name="Heading 2 4 4" xfId="3286" xr:uid="{00000000-0005-0000-0000-00004D0A0000}"/>
    <cellStyle name="Heading 2 4 5" xfId="3287" xr:uid="{00000000-0005-0000-0000-00004E0A0000}"/>
    <cellStyle name="Heading 2 4 6" xfId="3288" xr:uid="{00000000-0005-0000-0000-00004F0A0000}"/>
    <cellStyle name="Heading 2 4 7" xfId="3289" xr:uid="{00000000-0005-0000-0000-0000500A0000}"/>
    <cellStyle name="Heading 2 4 8" xfId="3290" xr:uid="{00000000-0005-0000-0000-0000510A0000}"/>
    <cellStyle name="Heading 2 4 9" xfId="3291" xr:uid="{00000000-0005-0000-0000-0000520A0000}"/>
    <cellStyle name="Heading 2 5" xfId="3292" xr:uid="{00000000-0005-0000-0000-0000530A0000}"/>
    <cellStyle name="Heading 2 5 10" xfId="3293" xr:uid="{00000000-0005-0000-0000-0000540A0000}"/>
    <cellStyle name="Heading 2 5 11" xfId="3294" xr:uid="{00000000-0005-0000-0000-0000550A0000}"/>
    <cellStyle name="Heading 2 5 2" xfId="3295" xr:uid="{00000000-0005-0000-0000-0000560A0000}"/>
    <cellStyle name="Heading 2 5 3" xfId="3296" xr:uid="{00000000-0005-0000-0000-0000570A0000}"/>
    <cellStyle name="Heading 2 5 4" xfId="3297" xr:uid="{00000000-0005-0000-0000-0000580A0000}"/>
    <cellStyle name="Heading 2 5 5" xfId="3298" xr:uid="{00000000-0005-0000-0000-0000590A0000}"/>
    <cellStyle name="Heading 2 5 6" xfId="3299" xr:uid="{00000000-0005-0000-0000-00005A0A0000}"/>
    <cellStyle name="Heading 2 5 7" xfId="3300" xr:uid="{00000000-0005-0000-0000-00005B0A0000}"/>
    <cellStyle name="Heading 2 5 8" xfId="3301" xr:uid="{00000000-0005-0000-0000-00005C0A0000}"/>
    <cellStyle name="Heading 2 5 9" xfId="3302" xr:uid="{00000000-0005-0000-0000-00005D0A0000}"/>
    <cellStyle name="Heading 2 6" xfId="3303" xr:uid="{00000000-0005-0000-0000-00005E0A0000}"/>
    <cellStyle name="Heading 2 7" xfId="3304" xr:uid="{00000000-0005-0000-0000-00005F0A0000}"/>
    <cellStyle name="Heading 2 8" xfId="3305" xr:uid="{00000000-0005-0000-0000-0000600A0000}"/>
    <cellStyle name="Heading 2 9" xfId="3306" xr:uid="{00000000-0005-0000-0000-0000610A0000}"/>
    <cellStyle name="Heading 3 10" xfId="3307" xr:uid="{00000000-0005-0000-0000-0000620A0000}"/>
    <cellStyle name="Heading 3 11" xfId="3308" xr:uid="{00000000-0005-0000-0000-0000630A0000}"/>
    <cellStyle name="Heading 3 12" xfId="3309" xr:uid="{00000000-0005-0000-0000-0000640A0000}"/>
    <cellStyle name="Heading 3 13" xfId="3310" xr:uid="{00000000-0005-0000-0000-0000650A0000}"/>
    <cellStyle name="Heading 3 14" xfId="3311" xr:uid="{00000000-0005-0000-0000-0000660A0000}"/>
    <cellStyle name="Heading 3 15" xfId="3312" xr:uid="{00000000-0005-0000-0000-0000670A0000}"/>
    <cellStyle name="Heading 3 16" xfId="112" xr:uid="{00000000-0005-0000-0000-0000680A0000}"/>
    <cellStyle name="Heading 3 2" xfId="113" xr:uid="{00000000-0005-0000-0000-0000690A0000}"/>
    <cellStyle name="Heading 3 2 10" xfId="3314" xr:uid="{00000000-0005-0000-0000-00006A0A0000}"/>
    <cellStyle name="Heading 3 2 11" xfId="3315" xr:uid="{00000000-0005-0000-0000-00006B0A0000}"/>
    <cellStyle name="Heading 3 2 12" xfId="3313" xr:uid="{00000000-0005-0000-0000-00006C0A0000}"/>
    <cellStyle name="Heading 3 2 2" xfId="1242" xr:uid="{00000000-0005-0000-0000-00006D0A0000}"/>
    <cellStyle name="Heading 3 2 2 2" xfId="3316" xr:uid="{00000000-0005-0000-0000-00006E0A0000}"/>
    <cellStyle name="Heading 3 2 3" xfId="3317" xr:uid="{00000000-0005-0000-0000-00006F0A0000}"/>
    <cellStyle name="Heading 3 2 4" xfId="3318" xr:uid="{00000000-0005-0000-0000-0000700A0000}"/>
    <cellStyle name="Heading 3 2 5" xfId="3319" xr:uid="{00000000-0005-0000-0000-0000710A0000}"/>
    <cellStyle name="Heading 3 2 6" xfId="3320" xr:uid="{00000000-0005-0000-0000-0000720A0000}"/>
    <cellStyle name="Heading 3 2 7" xfId="3321" xr:uid="{00000000-0005-0000-0000-0000730A0000}"/>
    <cellStyle name="Heading 3 2 8" xfId="3322" xr:uid="{00000000-0005-0000-0000-0000740A0000}"/>
    <cellStyle name="Heading 3 2 9" xfId="3323" xr:uid="{00000000-0005-0000-0000-0000750A0000}"/>
    <cellStyle name="Heading 3 3" xfId="114" xr:uid="{00000000-0005-0000-0000-0000760A0000}"/>
    <cellStyle name="Heading 3 3 10" xfId="3325" xr:uid="{00000000-0005-0000-0000-0000770A0000}"/>
    <cellStyle name="Heading 3 3 11" xfId="3326" xr:uid="{00000000-0005-0000-0000-0000780A0000}"/>
    <cellStyle name="Heading 3 3 12" xfId="3324" xr:uid="{00000000-0005-0000-0000-0000790A0000}"/>
    <cellStyle name="Heading 3 3 2" xfId="3327" xr:uid="{00000000-0005-0000-0000-00007A0A0000}"/>
    <cellStyle name="Heading 3 3 3" xfId="3328" xr:uid="{00000000-0005-0000-0000-00007B0A0000}"/>
    <cellStyle name="Heading 3 3 4" xfId="3329" xr:uid="{00000000-0005-0000-0000-00007C0A0000}"/>
    <cellStyle name="Heading 3 3 5" xfId="3330" xr:uid="{00000000-0005-0000-0000-00007D0A0000}"/>
    <cellStyle name="Heading 3 3 6" xfId="3331" xr:uid="{00000000-0005-0000-0000-00007E0A0000}"/>
    <cellStyle name="Heading 3 3 7" xfId="3332" xr:uid="{00000000-0005-0000-0000-00007F0A0000}"/>
    <cellStyle name="Heading 3 3 8" xfId="3333" xr:uid="{00000000-0005-0000-0000-0000800A0000}"/>
    <cellStyle name="Heading 3 3 9" xfId="3334" xr:uid="{00000000-0005-0000-0000-0000810A0000}"/>
    <cellStyle name="Heading 3 4" xfId="1244" xr:uid="{00000000-0005-0000-0000-0000820A0000}"/>
    <cellStyle name="Heading 3 4 10" xfId="3336" xr:uid="{00000000-0005-0000-0000-0000830A0000}"/>
    <cellStyle name="Heading 3 4 11" xfId="3337" xr:uid="{00000000-0005-0000-0000-0000840A0000}"/>
    <cellStyle name="Heading 3 4 12" xfId="3335" xr:uid="{00000000-0005-0000-0000-0000850A0000}"/>
    <cellStyle name="Heading 3 4 2" xfId="3338" xr:uid="{00000000-0005-0000-0000-0000860A0000}"/>
    <cellStyle name="Heading 3 4 3" xfId="3339" xr:uid="{00000000-0005-0000-0000-0000870A0000}"/>
    <cellStyle name="Heading 3 4 4" xfId="3340" xr:uid="{00000000-0005-0000-0000-0000880A0000}"/>
    <cellStyle name="Heading 3 4 5" xfId="3341" xr:uid="{00000000-0005-0000-0000-0000890A0000}"/>
    <cellStyle name="Heading 3 4 6" xfId="3342" xr:uid="{00000000-0005-0000-0000-00008A0A0000}"/>
    <cellStyle name="Heading 3 4 7" xfId="3343" xr:uid="{00000000-0005-0000-0000-00008B0A0000}"/>
    <cellStyle name="Heading 3 4 8" xfId="3344" xr:uid="{00000000-0005-0000-0000-00008C0A0000}"/>
    <cellStyle name="Heading 3 4 9" xfId="3345" xr:uid="{00000000-0005-0000-0000-00008D0A0000}"/>
    <cellStyle name="Heading 3 5" xfId="3346" xr:uid="{00000000-0005-0000-0000-00008E0A0000}"/>
    <cellStyle name="Heading 3 5 10" xfId="3347" xr:uid="{00000000-0005-0000-0000-00008F0A0000}"/>
    <cellStyle name="Heading 3 5 11" xfId="3348" xr:uid="{00000000-0005-0000-0000-0000900A0000}"/>
    <cellStyle name="Heading 3 5 2" xfId="3349" xr:uid="{00000000-0005-0000-0000-0000910A0000}"/>
    <cellStyle name="Heading 3 5 3" xfId="3350" xr:uid="{00000000-0005-0000-0000-0000920A0000}"/>
    <cellStyle name="Heading 3 5 4" xfId="3351" xr:uid="{00000000-0005-0000-0000-0000930A0000}"/>
    <cellStyle name="Heading 3 5 5" xfId="3352" xr:uid="{00000000-0005-0000-0000-0000940A0000}"/>
    <cellStyle name="Heading 3 5 6" xfId="3353" xr:uid="{00000000-0005-0000-0000-0000950A0000}"/>
    <cellStyle name="Heading 3 5 7" xfId="3354" xr:uid="{00000000-0005-0000-0000-0000960A0000}"/>
    <cellStyle name="Heading 3 5 8" xfId="3355" xr:uid="{00000000-0005-0000-0000-0000970A0000}"/>
    <cellStyle name="Heading 3 5 9" xfId="3356" xr:uid="{00000000-0005-0000-0000-0000980A0000}"/>
    <cellStyle name="Heading 3 6" xfId="3357" xr:uid="{00000000-0005-0000-0000-0000990A0000}"/>
    <cellStyle name="Heading 3 7" xfId="3358" xr:uid="{00000000-0005-0000-0000-00009A0A0000}"/>
    <cellStyle name="Heading 3 8" xfId="3359" xr:uid="{00000000-0005-0000-0000-00009B0A0000}"/>
    <cellStyle name="Heading 3 9" xfId="3360" xr:uid="{00000000-0005-0000-0000-00009C0A0000}"/>
    <cellStyle name="Heading 4 10" xfId="3361" xr:uid="{00000000-0005-0000-0000-00009D0A0000}"/>
    <cellStyle name="Heading 4 11" xfId="3362" xr:uid="{00000000-0005-0000-0000-00009E0A0000}"/>
    <cellStyle name="Heading 4 12" xfId="3363" xr:uid="{00000000-0005-0000-0000-00009F0A0000}"/>
    <cellStyle name="Heading 4 13" xfId="3364" xr:uid="{00000000-0005-0000-0000-0000A00A0000}"/>
    <cellStyle name="Heading 4 14" xfId="3365" xr:uid="{00000000-0005-0000-0000-0000A10A0000}"/>
    <cellStyle name="Heading 4 15" xfId="3366" xr:uid="{00000000-0005-0000-0000-0000A20A0000}"/>
    <cellStyle name="Heading 4 16" xfId="115" xr:uid="{00000000-0005-0000-0000-0000A30A0000}"/>
    <cellStyle name="Heading 4 2" xfId="116" xr:uid="{00000000-0005-0000-0000-0000A40A0000}"/>
    <cellStyle name="Heading 4 2 10" xfId="3368" xr:uid="{00000000-0005-0000-0000-0000A50A0000}"/>
    <cellStyle name="Heading 4 2 11" xfId="3369" xr:uid="{00000000-0005-0000-0000-0000A60A0000}"/>
    <cellStyle name="Heading 4 2 12" xfId="3367" xr:uid="{00000000-0005-0000-0000-0000A70A0000}"/>
    <cellStyle name="Heading 4 2 2" xfId="1245" xr:uid="{00000000-0005-0000-0000-0000A80A0000}"/>
    <cellStyle name="Heading 4 2 2 2" xfId="3370" xr:uid="{00000000-0005-0000-0000-0000A90A0000}"/>
    <cellStyle name="Heading 4 2 3" xfId="3371" xr:uid="{00000000-0005-0000-0000-0000AA0A0000}"/>
    <cellStyle name="Heading 4 2 4" xfId="3372" xr:uid="{00000000-0005-0000-0000-0000AB0A0000}"/>
    <cellStyle name="Heading 4 2 5" xfId="3373" xr:uid="{00000000-0005-0000-0000-0000AC0A0000}"/>
    <cellStyle name="Heading 4 2 6" xfId="3374" xr:uid="{00000000-0005-0000-0000-0000AD0A0000}"/>
    <cellStyle name="Heading 4 2 7" xfId="3375" xr:uid="{00000000-0005-0000-0000-0000AE0A0000}"/>
    <cellStyle name="Heading 4 2 8" xfId="3376" xr:uid="{00000000-0005-0000-0000-0000AF0A0000}"/>
    <cellStyle name="Heading 4 2 9" xfId="3377" xr:uid="{00000000-0005-0000-0000-0000B00A0000}"/>
    <cellStyle name="Heading 4 3" xfId="117" xr:uid="{00000000-0005-0000-0000-0000B10A0000}"/>
    <cellStyle name="Heading 4 3 10" xfId="3379" xr:uid="{00000000-0005-0000-0000-0000B20A0000}"/>
    <cellStyle name="Heading 4 3 11" xfId="3380" xr:uid="{00000000-0005-0000-0000-0000B30A0000}"/>
    <cellStyle name="Heading 4 3 12" xfId="3378" xr:uid="{00000000-0005-0000-0000-0000B40A0000}"/>
    <cellStyle name="Heading 4 3 2" xfId="3381" xr:uid="{00000000-0005-0000-0000-0000B50A0000}"/>
    <cellStyle name="Heading 4 3 3" xfId="3382" xr:uid="{00000000-0005-0000-0000-0000B60A0000}"/>
    <cellStyle name="Heading 4 3 4" xfId="3383" xr:uid="{00000000-0005-0000-0000-0000B70A0000}"/>
    <cellStyle name="Heading 4 3 5" xfId="3384" xr:uid="{00000000-0005-0000-0000-0000B80A0000}"/>
    <cellStyle name="Heading 4 3 6" xfId="3385" xr:uid="{00000000-0005-0000-0000-0000B90A0000}"/>
    <cellStyle name="Heading 4 3 7" xfId="3386" xr:uid="{00000000-0005-0000-0000-0000BA0A0000}"/>
    <cellStyle name="Heading 4 3 8" xfId="3387" xr:uid="{00000000-0005-0000-0000-0000BB0A0000}"/>
    <cellStyle name="Heading 4 3 9" xfId="3388" xr:uid="{00000000-0005-0000-0000-0000BC0A0000}"/>
    <cellStyle name="Heading 4 4" xfId="1247" xr:uid="{00000000-0005-0000-0000-0000BD0A0000}"/>
    <cellStyle name="Heading 4 4 10" xfId="3390" xr:uid="{00000000-0005-0000-0000-0000BE0A0000}"/>
    <cellStyle name="Heading 4 4 11" xfId="3391" xr:uid="{00000000-0005-0000-0000-0000BF0A0000}"/>
    <cellStyle name="Heading 4 4 12" xfId="3389" xr:uid="{00000000-0005-0000-0000-0000C00A0000}"/>
    <cellStyle name="Heading 4 4 2" xfId="3392" xr:uid="{00000000-0005-0000-0000-0000C10A0000}"/>
    <cellStyle name="Heading 4 4 3" xfId="3393" xr:uid="{00000000-0005-0000-0000-0000C20A0000}"/>
    <cellStyle name="Heading 4 4 4" xfId="3394" xr:uid="{00000000-0005-0000-0000-0000C30A0000}"/>
    <cellStyle name="Heading 4 4 5" xfId="3395" xr:uid="{00000000-0005-0000-0000-0000C40A0000}"/>
    <cellStyle name="Heading 4 4 6" xfId="3396" xr:uid="{00000000-0005-0000-0000-0000C50A0000}"/>
    <cellStyle name="Heading 4 4 7" xfId="3397" xr:uid="{00000000-0005-0000-0000-0000C60A0000}"/>
    <cellStyle name="Heading 4 4 8" xfId="3398" xr:uid="{00000000-0005-0000-0000-0000C70A0000}"/>
    <cellStyle name="Heading 4 4 9" xfId="3399" xr:uid="{00000000-0005-0000-0000-0000C80A0000}"/>
    <cellStyle name="Heading 4 5" xfId="3400" xr:uid="{00000000-0005-0000-0000-0000C90A0000}"/>
    <cellStyle name="Heading 4 5 10" xfId="3401" xr:uid="{00000000-0005-0000-0000-0000CA0A0000}"/>
    <cellStyle name="Heading 4 5 11" xfId="3402" xr:uid="{00000000-0005-0000-0000-0000CB0A0000}"/>
    <cellStyle name="Heading 4 5 2" xfId="3403" xr:uid="{00000000-0005-0000-0000-0000CC0A0000}"/>
    <cellStyle name="Heading 4 5 3" xfId="3404" xr:uid="{00000000-0005-0000-0000-0000CD0A0000}"/>
    <cellStyle name="Heading 4 5 4" xfId="3405" xr:uid="{00000000-0005-0000-0000-0000CE0A0000}"/>
    <cellStyle name="Heading 4 5 5" xfId="3406" xr:uid="{00000000-0005-0000-0000-0000CF0A0000}"/>
    <cellStyle name="Heading 4 5 6" xfId="3407" xr:uid="{00000000-0005-0000-0000-0000D00A0000}"/>
    <cellStyle name="Heading 4 5 7" xfId="3408" xr:uid="{00000000-0005-0000-0000-0000D10A0000}"/>
    <cellStyle name="Heading 4 5 8" xfId="3409" xr:uid="{00000000-0005-0000-0000-0000D20A0000}"/>
    <cellStyle name="Heading 4 5 9" xfId="3410" xr:uid="{00000000-0005-0000-0000-0000D30A0000}"/>
    <cellStyle name="Heading 4 6" xfId="3411" xr:uid="{00000000-0005-0000-0000-0000D40A0000}"/>
    <cellStyle name="Heading 4 7" xfId="3412" xr:uid="{00000000-0005-0000-0000-0000D50A0000}"/>
    <cellStyle name="Heading 4 8" xfId="3413" xr:uid="{00000000-0005-0000-0000-0000D60A0000}"/>
    <cellStyle name="Heading 4 9" xfId="3414" xr:uid="{00000000-0005-0000-0000-0000D70A0000}"/>
    <cellStyle name="Hyperlink 10" xfId="317" xr:uid="{00000000-0005-0000-0000-0000D80A0000}"/>
    <cellStyle name="Hyperlink 11" xfId="318" xr:uid="{00000000-0005-0000-0000-0000D90A0000}"/>
    <cellStyle name="Hyperlink 12" xfId="319" xr:uid="{00000000-0005-0000-0000-0000DA0A0000}"/>
    <cellStyle name="Hyperlink 13" xfId="320" xr:uid="{00000000-0005-0000-0000-0000DB0A0000}"/>
    <cellStyle name="Hyperlink 14" xfId="321" xr:uid="{00000000-0005-0000-0000-0000DC0A0000}"/>
    <cellStyle name="Hyperlink 15" xfId="322" xr:uid="{00000000-0005-0000-0000-0000DD0A0000}"/>
    <cellStyle name="Hyperlink 15 2" xfId="1253" xr:uid="{00000000-0005-0000-0000-0000DE0A0000}"/>
    <cellStyle name="Hyperlink 16" xfId="1254" xr:uid="{00000000-0005-0000-0000-0000DF0A0000}"/>
    <cellStyle name="Hyperlink 17" xfId="1255" xr:uid="{00000000-0005-0000-0000-0000E00A0000}"/>
    <cellStyle name="Hyperlink 2" xfId="323" xr:uid="{00000000-0005-0000-0000-0000E10A0000}"/>
    <cellStyle name="Hyperlink 2 2" xfId="3415" xr:uid="{00000000-0005-0000-0000-0000E20A0000}"/>
    <cellStyle name="Hyperlink 3" xfId="324" xr:uid="{00000000-0005-0000-0000-0000E30A0000}"/>
    <cellStyle name="Hyperlink 4" xfId="325" xr:uid="{00000000-0005-0000-0000-0000E40A0000}"/>
    <cellStyle name="Hyperlink 5" xfId="326" xr:uid="{00000000-0005-0000-0000-0000E50A0000}"/>
    <cellStyle name="Hyperlink 6" xfId="327" xr:uid="{00000000-0005-0000-0000-0000E60A0000}"/>
    <cellStyle name="Hyperlink 7" xfId="328" xr:uid="{00000000-0005-0000-0000-0000E70A0000}"/>
    <cellStyle name="Hyperlink 8" xfId="329" xr:uid="{00000000-0005-0000-0000-0000E80A0000}"/>
    <cellStyle name="Hyperlink 9" xfId="330" xr:uid="{00000000-0005-0000-0000-0000E90A0000}"/>
    <cellStyle name="Input [yellow]" xfId="331" xr:uid="{00000000-0005-0000-0000-0000EA0A0000}"/>
    <cellStyle name="Input 10" xfId="1265" xr:uid="{00000000-0005-0000-0000-0000EB0A0000}"/>
    <cellStyle name="Input 10 2" xfId="3416" xr:uid="{00000000-0005-0000-0000-0000EC0A0000}"/>
    <cellStyle name="Input 100" xfId="1266" xr:uid="{00000000-0005-0000-0000-0000ED0A0000}"/>
    <cellStyle name="Input 101" xfId="1267" xr:uid="{00000000-0005-0000-0000-0000EE0A0000}"/>
    <cellStyle name="Input 102" xfId="1268" xr:uid="{00000000-0005-0000-0000-0000EF0A0000}"/>
    <cellStyle name="Input 103" xfId="1269" xr:uid="{00000000-0005-0000-0000-0000F00A0000}"/>
    <cellStyle name="Input 104" xfId="1270" xr:uid="{00000000-0005-0000-0000-0000F10A0000}"/>
    <cellStyle name="Input 105" xfId="1271" xr:uid="{00000000-0005-0000-0000-0000F20A0000}"/>
    <cellStyle name="Input 106" xfId="1272" xr:uid="{00000000-0005-0000-0000-0000F30A0000}"/>
    <cellStyle name="Input 107" xfId="1273" xr:uid="{00000000-0005-0000-0000-0000F40A0000}"/>
    <cellStyle name="Input 108" xfId="118" xr:uid="{00000000-0005-0000-0000-0000F50A0000}"/>
    <cellStyle name="Input 11" xfId="1274" xr:uid="{00000000-0005-0000-0000-0000F60A0000}"/>
    <cellStyle name="Input 11 2" xfId="3417" xr:uid="{00000000-0005-0000-0000-0000F70A0000}"/>
    <cellStyle name="Input 12" xfId="1275" xr:uid="{00000000-0005-0000-0000-0000F80A0000}"/>
    <cellStyle name="Input 12 2" xfId="3418" xr:uid="{00000000-0005-0000-0000-0000F90A0000}"/>
    <cellStyle name="Input 13" xfId="1276" xr:uid="{00000000-0005-0000-0000-0000FA0A0000}"/>
    <cellStyle name="Input 13 2" xfId="3419" xr:uid="{00000000-0005-0000-0000-0000FB0A0000}"/>
    <cellStyle name="Input 14" xfId="1277" xr:uid="{00000000-0005-0000-0000-0000FC0A0000}"/>
    <cellStyle name="Input 14 2" xfId="3420" xr:uid="{00000000-0005-0000-0000-0000FD0A0000}"/>
    <cellStyle name="Input 15" xfId="1278" xr:uid="{00000000-0005-0000-0000-0000FE0A0000}"/>
    <cellStyle name="Input 15 2" xfId="3421" xr:uid="{00000000-0005-0000-0000-0000FF0A0000}"/>
    <cellStyle name="Input 16" xfId="1279" xr:uid="{00000000-0005-0000-0000-0000000B0000}"/>
    <cellStyle name="Input 17" xfId="1280" xr:uid="{00000000-0005-0000-0000-0000010B0000}"/>
    <cellStyle name="Input 18" xfId="1281" xr:uid="{00000000-0005-0000-0000-0000020B0000}"/>
    <cellStyle name="Input 19" xfId="1282" xr:uid="{00000000-0005-0000-0000-0000030B0000}"/>
    <cellStyle name="Input 2" xfId="119" xr:uid="{00000000-0005-0000-0000-0000040B0000}"/>
    <cellStyle name="Input 2 10" xfId="3423" xr:uid="{00000000-0005-0000-0000-0000050B0000}"/>
    <cellStyle name="Input 2 11" xfId="3424" xr:uid="{00000000-0005-0000-0000-0000060B0000}"/>
    <cellStyle name="Input 2 12" xfId="3422" xr:uid="{00000000-0005-0000-0000-0000070B0000}"/>
    <cellStyle name="Input 2 2" xfId="1283" xr:uid="{00000000-0005-0000-0000-0000080B0000}"/>
    <cellStyle name="Input 2 2 2" xfId="3425" xr:uid="{00000000-0005-0000-0000-0000090B0000}"/>
    <cellStyle name="Input 2 3" xfId="3426" xr:uid="{00000000-0005-0000-0000-00000A0B0000}"/>
    <cellStyle name="Input 2 4" xfId="3427" xr:uid="{00000000-0005-0000-0000-00000B0B0000}"/>
    <cellStyle name="Input 2 5" xfId="3428" xr:uid="{00000000-0005-0000-0000-00000C0B0000}"/>
    <cellStyle name="Input 2 6" xfId="3429" xr:uid="{00000000-0005-0000-0000-00000D0B0000}"/>
    <cellStyle name="Input 2 7" xfId="3430" xr:uid="{00000000-0005-0000-0000-00000E0B0000}"/>
    <cellStyle name="Input 2 8" xfId="3431" xr:uid="{00000000-0005-0000-0000-00000F0B0000}"/>
    <cellStyle name="Input 2 9" xfId="3432" xr:uid="{00000000-0005-0000-0000-0000100B0000}"/>
    <cellStyle name="Input 20" xfId="1284" xr:uid="{00000000-0005-0000-0000-0000110B0000}"/>
    <cellStyle name="Input 21" xfId="1285" xr:uid="{00000000-0005-0000-0000-0000120B0000}"/>
    <cellStyle name="Input 22" xfId="1286" xr:uid="{00000000-0005-0000-0000-0000130B0000}"/>
    <cellStyle name="Input 23" xfId="1287" xr:uid="{00000000-0005-0000-0000-0000140B0000}"/>
    <cellStyle name="Input 24" xfId="1288" xr:uid="{00000000-0005-0000-0000-0000150B0000}"/>
    <cellStyle name="Input 25" xfId="1289" xr:uid="{00000000-0005-0000-0000-0000160B0000}"/>
    <cellStyle name="Input 26" xfId="1290" xr:uid="{00000000-0005-0000-0000-0000170B0000}"/>
    <cellStyle name="Input 27" xfId="1291" xr:uid="{00000000-0005-0000-0000-0000180B0000}"/>
    <cellStyle name="Input 28" xfId="1292" xr:uid="{00000000-0005-0000-0000-0000190B0000}"/>
    <cellStyle name="Input 29" xfId="1293" xr:uid="{00000000-0005-0000-0000-00001A0B0000}"/>
    <cellStyle name="Input 3" xfId="120" xr:uid="{00000000-0005-0000-0000-00001B0B0000}"/>
    <cellStyle name="Input 3 10" xfId="3434" xr:uid="{00000000-0005-0000-0000-00001C0B0000}"/>
    <cellStyle name="Input 3 11" xfId="3435" xr:uid="{00000000-0005-0000-0000-00001D0B0000}"/>
    <cellStyle name="Input 3 12" xfId="3433" xr:uid="{00000000-0005-0000-0000-00001E0B0000}"/>
    <cellStyle name="Input 3 2" xfId="1294" xr:uid="{00000000-0005-0000-0000-00001F0B0000}"/>
    <cellStyle name="Input 3 2 2" xfId="3436" xr:uid="{00000000-0005-0000-0000-0000200B0000}"/>
    <cellStyle name="Input 3 3" xfId="3437" xr:uid="{00000000-0005-0000-0000-0000210B0000}"/>
    <cellStyle name="Input 3 4" xfId="3438" xr:uid="{00000000-0005-0000-0000-0000220B0000}"/>
    <cellStyle name="Input 3 5" xfId="3439" xr:uid="{00000000-0005-0000-0000-0000230B0000}"/>
    <cellStyle name="Input 3 6" xfId="3440" xr:uid="{00000000-0005-0000-0000-0000240B0000}"/>
    <cellStyle name="Input 3 7" xfId="3441" xr:uid="{00000000-0005-0000-0000-0000250B0000}"/>
    <cellStyle name="Input 3 8" xfId="3442" xr:uid="{00000000-0005-0000-0000-0000260B0000}"/>
    <cellStyle name="Input 3 9" xfId="3443" xr:uid="{00000000-0005-0000-0000-0000270B0000}"/>
    <cellStyle name="Input 30" xfId="1295" xr:uid="{00000000-0005-0000-0000-0000280B0000}"/>
    <cellStyle name="Input 31" xfId="1296" xr:uid="{00000000-0005-0000-0000-0000290B0000}"/>
    <cellStyle name="Input 32" xfId="1297" xr:uid="{00000000-0005-0000-0000-00002A0B0000}"/>
    <cellStyle name="Input 33" xfId="1298" xr:uid="{00000000-0005-0000-0000-00002B0B0000}"/>
    <cellStyle name="Input 34" xfId="1299" xr:uid="{00000000-0005-0000-0000-00002C0B0000}"/>
    <cellStyle name="Input 35" xfId="1300" xr:uid="{00000000-0005-0000-0000-00002D0B0000}"/>
    <cellStyle name="Input 36" xfId="1301" xr:uid="{00000000-0005-0000-0000-00002E0B0000}"/>
    <cellStyle name="Input 37" xfId="1302" xr:uid="{00000000-0005-0000-0000-00002F0B0000}"/>
    <cellStyle name="Input 38" xfId="1303" xr:uid="{00000000-0005-0000-0000-0000300B0000}"/>
    <cellStyle name="Input 39" xfId="1304" xr:uid="{00000000-0005-0000-0000-0000310B0000}"/>
    <cellStyle name="Input 4" xfId="1305" xr:uid="{00000000-0005-0000-0000-0000320B0000}"/>
    <cellStyle name="Input 4 10" xfId="3445" xr:uid="{00000000-0005-0000-0000-0000330B0000}"/>
    <cellStyle name="Input 4 11" xfId="3446" xr:uid="{00000000-0005-0000-0000-0000340B0000}"/>
    <cellStyle name="Input 4 12" xfId="3444" xr:uid="{00000000-0005-0000-0000-0000350B0000}"/>
    <cellStyle name="Input 4 2" xfId="3447" xr:uid="{00000000-0005-0000-0000-0000360B0000}"/>
    <cellStyle name="Input 4 3" xfId="3448" xr:uid="{00000000-0005-0000-0000-0000370B0000}"/>
    <cellStyle name="Input 4 4" xfId="3449" xr:uid="{00000000-0005-0000-0000-0000380B0000}"/>
    <cellStyle name="Input 4 5" xfId="3450" xr:uid="{00000000-0005-0000-0000-0000390B0000}"/>
    <cellStyle name="Input 4 6" xfId="3451" xr:uid="{00000000-0005-0000-0000-00003A0B0000}"/>
    <cellStyle name="Input 4 7" xfId="3452" xr:uid="{00000000-0005-0000-0000-00003B0B0000}"/>
    <cellStyle name="Input 4 8" xfId="3453" xr:uid="{00000000-0005-0000-0000-00003C0B0000}"/>
    <cellStyle name="Input 4 9" xfId="3454" xr:uid="{00000000-0005-0000-0000-00003D0B0000}"/>
    <cellStyle name="Input 40" xfId="1306" xr:uid="{00000000-0005-0000-0000-00003E0B0000}"/>
    <cellStyle name="Input 41" xfId="1307" xr:uid="{00000000-0005-0000-0000-00003F0B0000}"/>
    <cellStyle name="Input 42" xfId="1308" xr:uid="{00000000-0005-0000-0000-0000400B0000}"/>
    <cellStyle name="Input 43" xfId="1309" xr:uid="{00000000-0005-0000-0000-0000410B0000}"/>
    <cellStyle name="Input 44" xfId="1310" xr:uid="{00000000-0005-0000-0000-0000420B0000}"/>
    <cellStyle name="Input 45" xfId="1311" xr:uid="{00000000-0005-0000-0000-0000430B0000}"/>
    <cellStyle name="Input 46" xfId="1312" xr:uid="{00000000-0005-0000-0000-0000440B0000}"/>
    <cellStyle name="Input 47" xfId="1313" xr:uid="{00000000-0005-0000-0000-0000450B0000}"/>
    <cellStyle name="Input 48" xfId="1314" xr:uid="{00000000-0005-0000-0000-0000460B0000}"/>
    <cellStyle name="Input 49" xfId="1315" xr:uid="{00000000-0005-0000-0000-0000470B0000}"/>
    <cellStyle name="Input 5" xfId="1316" xr:uid="{00000000-0005-0000-0000-0000480B0000}"/>
    <cellStyle name="Input 5 10" xfId="3456" xr:uid="{00000000-0005-0000-0000-0000490B0000}"/>
    <cellStyle name="Input 5 11" xfId="3457" xr:uid="{00000000-0005-0000-0000-00004A0B0000}"/>
    <cellStyle name="Input 5 12" xfId="3455" xr:uid="{00000000-0005-0000-0000-00004B0B0000}"/>
    <cellStyle name="Input 5 2" xfId="3458" xr:uid="{00000000-0005-0000-0000-00004C0B0000}"/>
    <cellStyle name="Input 5 3" xfId="3459" xr:uid="{00000000-0005-0000-0000-00004D0B0000}"/>
    <cellStyle name="Input 5 4" xfId="3460" xr:uid="{00000000-0005-0000-0000-00004E0B0000}"/>
    <cellStyle name="Input 5 5" xfId="3461" xr:uid="{00000000-0005-0000-0000-00004F0B0000}"/>
    <cellStyle name="Input 5 6" xfId="3462" xr:uid="{00000000-0005-0000-0000-0000500B0000}"/>
    <cellStyle name="Input 5 7" xfId="3463" xr:uid="{00000000-0005-0000-0000-0000510B0000}"/>
    <cellStyle name="Input 5 8" xfId="3464" xr:uid="{00000000-0005-0000-0000-0000520B0000}"/>
    <cellStyle name="Input 5 9" xfId="3465" xr:uid="{00000000-0005-0000-0000-0000530B0000}"/>
    <cellStyle name="Input 50" xfId="1317" xr:uid="{00000000-0005-0000-0000-0000540B0000}"/>
    <cellStyle name="Input 51" xfId="1318" xr:uid="{00000000-0005-0000-0000-0000550B0000}"/>
    <cellStyle name="Input 52" xfId="1319" xr:uid="{00000000-0005-0000-0000-0000560B0000}"/>
    <cellStyle name="Input 53" xfId="1320" xr:uid="{00000000-0005-0000-0000-0000570B0000}"/>
    <cellStyle name="Input 54" xfId="1321" xr:uid="{00000000-0005-0000-0000-0000580B0000}"/>
    <cellStyle name="Input 55" xfId="1322" xr:uid="{00000000-0005-0000-0000-0000590B0000}"/>
    <cellStyle name="Input 56" xfId="1323" xr:uid="{00000000-0005-0000-0000-00005A0B0000}"/>
    <cellStyle name="Input 57" xfId="1324" xr:uid="{00000000-0005-0000-0000-00005B0B0000}"/>
    <cellStyle name="Input 58" xfId="1325" xr:uid="{00000000-0005-0000-0000-00005C0B0000}"/>
    <cellStyle name="Input 59" xfId="1326" xr:uid="{00000000-0005-0000-0000-00005D0B0000}"/>
    <cellStyle name="Input 6" xfId="1327" xr:uid="{00000000-0005-0000-0000-00005E0B0000}"/>
    <cellStyle name="Input 6 2" xfId="3466" xr:uid="{00000000-0005-0000-0000-00005F0B0000}"/>
    <cellStyle name="Input 60" xfId="1328" xr:uid="{00000000-0005-0000-0000-0000600B0000}"/>
    <cellStyle name="Input 61" xfId="1329" xr:uid="{00000000-0005-0000-0000-0000610B0000}"/>
    <cellStyle name="Input 62" xfId="1330" xr:uid="{00000000-0005-0000-0000-0000620B0000}"/>
    <cellStyle name="Input 63" xfId="1331" xr:uid="{00000000-0005-0000-0000-0000630B0000}"/>
    <cellStyle name="Input 64" xfId="1332" xr:uid="{00000000-0005-0000-0000-0000640B0000}"/>
    <cellStyle name="Input 65" xfId="1333" xr:uid="{00000000-0005-0000-0000-0000650B0000}"/>
    <cellStyle name="Input 66" xfId="1334" xr:uid="{00000000-0005-0000-0000-0000660B0000}"/>
    <cellStyle name="Input 67" xfId="1335" xr:uid="{00000000-0005-0000-0000-0000670B0000}"/>
    <cellStyle name="Input 68" xfId="1336" xr:uid="{00000000-0005-0000-0000-0000680B0000}"/>
    <cellStyle name="Input 69" xfId="1337" xr:uid="{00000000-0005-0000-0000-0000690B0000}"/>
    <cellStyle name="Input 7" xfId="1338" xr:uid="{00000000-0005-0000-0000-00006A0B0000}"/>
    <cellStyle name="Input 7 2" xfId="3467" xr:uid="{00000000-0005-0000-0000-00006B0B0000}"/>
    <cellStyle name="Input 70" xfId="1339" xr:uid="{00000000-0005-0000-0000-00006C0B0000}"/>
    <cellStyle name="Input 71" xfId="1340" xr:uid="{00000000-0005-0000-0000-00006D0B0000}"/>
    <cellStyle name="Input 72" xfId="1341" xr:uid="{00000000-0005-0000-0000-00006E0B0000}"/>
    <cellStyle name="Input 73" xfId="1342" xr:uid="{00000000-0005-0000-0000-00006F0B0000}"/>
    <cellStyle name="Input 74" xfId="1343" xr:uid="{00000000-0005-0000-0000-0000700B0000}"/>
    <cellStyle name="Input 75" xfId="1344" xr:uid="{00000000-0005-0000-0000-0000710B0000}"/>
    <cellStyle name="Input 76" xfId="1345" xr:uid="{00000000-0005-0000-0000-0000720B0000}"/>
    <cellStyle name="Input 77" xfId="1346" xr:uid="{00000000-0005-0000-0000-0000730B0000}"/>
    <cellStyle name="Input 78" xfId="1347" xr:uid="{00000000-0005-0000-0000-0000740B0000}"/>
    <cellStyle name="Input 79" xfId="1348" xr:uid="{00000000-0005-0000-0000-0000750B0000}"/>
    <cellStyle name="Input 8" xfId="1349" xr:uid="{00000000-0005-0000-0000-0000760B0000}"/>
    <cellStyle name="Input 8 2" xfId="3468" xr:uid="{00000000-0005-0000-0000-0000770B0000}"/>
    <cellStyle name="Input 80" xfId="1350" xr:uid="{00000000-0005-0000-0000-0000780B0000}"/>
    <cellStyle name="Input 81" xfId="1351" xr:uid="{00000000-0005-0000-0000-0000790B0000}"/>
    <cellStyle name="Input 82" xfId="1352" xr:uid="{00000000-0005-0000-0000-00007A0B0000}"/>
    <cellStyle name="Input 83" xfId="1353" xr:uid="{00000000-0005-0000-0000-00007B0B0000}"/>
    <cellStyle name="Input 84" xfId="1354" xr:uid="{00000000-0005-0000-0000-00007C0B0000}"/>
    <cellStyle name="Input 85" xfId="1355" xr:uid="{00000000-0005-0000-0000-00007D0B0000}"/>
    <cellStyle name="Input 86" xfId="1356" xr:uid="{00000000-0005-0000-0000-00007E0B0000}"/>
    <cellStyle name="Input 87" xfId="1357" xr:uid="{00000000-0005-0000-0000-00007F0B0000}"/>
    <cellStyle name="Input 88" xfId="1358" xr:uid="{00000000-0005-0000-0000-0000800B0000}"/>
    <cellStyle name="Input 89" xfId="1359" xr:uid="{00000000-0005-0000-0000-0000810B0000}"/>
    <cellStyle name="Input 9" xfId="1360" xr:uid="{00000000-0005-0000-0000-0000820B0000}"/>
    <cellStyle name="Input 9 2" xfId="3469" xr:uid="{00000000-0005-0000-0000-0000830B0000}"/>
    <cellStyle name="Input 90" xfId="1361" xr:uid="{00000000-0005-0000-0000-0000840B0000}"/>
    <cellStyle name="Input 91" xfId="1362" xr:uid="{00000000-0005-0000-0000-0000850B0000}"/>
    <cellStyle name="Input 92" xfId="1363" xr:uid="{00000000-0005-0000-0000-0000860B0000}"/>
    <cellStyle name="Input 93" xfId="1364" xr:uid="{00000000-0005-0000-0000-0000870B0000}"/>
    <cellStyle name="Input 94" xfId="1365" xr:uid="{00000000-0005-0000-0000-0000880B0000}"/>
    <cellStyle name="Input 95" xfId="1366" xr:uid="{00000000-0005-0000-0000-0000890B0000}"/>
    <cellStyle name="Input 96" xfId="1367" xr:uid="{00000000-0005-0000-0000-00008A0B0000}"/>
    <cellStyle name="Input 97" xfId="1368" xr:uid="{00000000-0005-0000-0000-00008B0B0000}"/>
    <cellStyle name="Input 98" xfId="1369" xr:uid="{00000000-0005-0000-0000-00008C0B0000}"/>
    <cellStyle name="Input 99" xfId="1370" xr:uid="{00000000-0005-0000-0000-00008D0B0000}"/>
    <cellStyle name="Komma [0]_Blad1" xfId="232" xr:uid="{00000000-0005-0000-0000-00008E0B0000}"/>
    <cellStyle name="Komma_Blad1" xfId="228" xr:uid="{00000000-0005-0000-0000-00008F0B0000}"/>
    <cellStyle name="Linked Cell 10" xfId="3470" xr:uid="{00000000-0005-0000-0000-0000900B0000}"/>
    <cellStyle name="Linked Cell 11" xfId="3471" xr:uid="{00000000-0005-0000-0000-0000910B0000}"/>
    <cellStyle name="Linked Cell 12" xfId="3472" xr:uid="{00000000-0005-0000-0000-0000920B0000}"/>
    <cellStyle name="Linked Cell 13" xfId="3473" xr:uid="{00000000-0005-0000-0000-0000930B0000}"/>
    <cellStyle name="Linked Cell 14" xfId="3474" xr:uid="{00000000-0005-0000-0000-0000940B0000}"/>
    <cellStyle name="Linked Cell 15" xfId="3475" xr:uid="{00000000-0005-0000-0000-0000950B0000}"/>
    <cellStyle name="Linked Cell 16" xfId="121" xr:uid="{00000000-0005-0000-0000-0000960B0000}"/>
    <cellStyle name="Linked Cell 2" xfId="122" xr:uid="{00000000-0005-0000-0000-0000970B0000}"/>
    <cellStyle name="Linked Cell 2 10" xfId="3477" xr:uid="{00000000-0005-0000-0000-0000980B0000}"/>
    <cellStyle name="Linked Cell 2 11" xfId="3478" xr:uid="{00000000-0005-0000-0000-0000990B0000}"/>
    <cellStyle name="Linked Cell 2 12" xfId="3476" xr:uid="{00000000-0005-0000-0000-00009A0B0000}"/>
    <cellStyle name="Linked Cell 2 2" xfId="1371" xr:uid="{00000000-0005-0000-0000-00009B0B0000}"/>
    <cellStyle name="Linked Cell 2 2 2" xfId="3479" xr:uid="{00000000-0005-0000-0000-00009C0B0000}"/>
    <cellStyle name="Linked Cell 2 3" xfId="3480" xr:uid="{00000000-0005-0000-0000-00009D0B0000}"/>
    <cellStyle name="Linked Cell 2 4" xfId="3481" xr:uid="{00000000-0005-0000-0000-00009E0B0000}"/>
    <cellStyle name="Linked Cell 2 5" xfId="3482" xr:uid="{00000000-0005-0000-0000-00009F0B0000}"/>
    <cellStyle name="Linked Cell 2 6" xfId="3483" xr:uid="{00000000-0005-0000-0000-0000A00B0000}"/>
    <cellStyle name="Linked Cell 2 7" xfId="3484" xr:uid="{00000000-0005-0000-0000-0000A10B0000}"/>
    <cellStyle name="Linked Cell 2 8" xfId="3485" xr:uid="{00000000-0005-0000-0000-0000A20B0000}"/>
    <cellStyle name="Linked Cell 2 9" xfId="3486" xr:uid="{00000000-0005-0000-0000-0000A30B0000}"/>
    <cellStyle name="Linked Cell 3" xfId="123" xr:uid="{00000000-0005-0000-0000-0000A40B0000}"/>
    <cellStyle name="Linked Cell 3 10" xfId="3488" xr:uid="{00000000-0005-0000-0000-0000A50B0000}"/>
    <cellStyle name="Linked Cell 3 11" xfId="3489" xr:uid="{00000000-0005-0000-0000-0000A60B0000}"/>
    <cellStyle name="Linked Cell 3 12" xfId="3487" xr:uid="{00000000-0005-0000-0000-0000A70B0000}"/>
    <cellStyle name="Linked Cell 3 2" xfId="3490" xr:uid="{00000000-0005-0000-0000-0000A80B0000}"/>
    <cellStyle name="Linked Cell 3 3" xfId="3491" xr:uid="{00000000-0005-0000-0000-0000A90B0000}"/>
    <cellStyle name="Linked Cell 3 4" xfId="3492" xr:uid="{00000000-0005-0000-0000-0000AA0B0000}"/>
    <cellStyle name="Linked Cell 3 5" xfId="3493" xr:uid="{00000000-0005-0000-0000-0000AB0B0000}"/>
    <cellStyle name="Linked Cell 3 6" xfId="3494" xr:uid="{00000000-0005-0000-0000-0000AC0B0000}"/>
    <cellStyle name="Linked Cell 3 7" xfId="3495" xr:uid="{00000000-0005-0000-0000-0000AD0B0000}"/>
    <cellStyle name="Linked Cell 3 8" xfId="3496" xr:uid="{00000000-0005-0000-0000-0000AE0B0000}"/>
    <cellStyle name="Linked Cell 3 9" xfId="3497" xr:uid="{00000000-0005-0000-0000-0000AF0B0000}"/>
    <cellStyle name="Linked Cell 4" xfId="1373" xr:uid="{00000000-0005-0000-0000-0000B00B0000}"/>
    <cellStyle name="Linked Cell 4 10" xfId="3499" xr:uid="{00000000-0005-0000-0000-0000B10B0000}"/>
    <cellStyle name="Linked Cell 4 11" xfId="3500" xr:uid="{00000000-0005-0000-0000-0000B20B0000}"/>
    <cellStyle name="Linked Cell 4 12" xfId="3498" xr:uid="{00000000-0005-0000-0000-0000B30B0000}"/>
    <cellStyle name="Linked Cell 4 2" xfId="3501" xr:uid="{00000000-0005-0000-0000-0000B40B0000}"/>
    <cellStyle name="Linked Cell 4 3" xfId="3502" xr:uid="{00000000-0005-0000-0000-0000B50B0000}"/>
    <cellStyle name="Linked Cell 4 4" xfId="3503" xr:uid="{00000000-0005-0000-0000-0000B60B0000}"/>
    <cellStyle name="Linked Cell 4 5" xfId="3504" xr:uid="{00000000-0005-0000-0000-0000B70B0000}"/>
    <cellStyle name="Linked Cell 4 6" xfId="3505" xr:uid="{00000000-0005-0000-0000-0000B80B0000}"/>
    <cellStyle name="Linked Cell 4 7" xfId="3506" xr:uid="{00000000-0005-0000-0000-0000B90B0000}"/>
    <cellStyle name="Linked Cell 4 8" xfId="3507" xr:uid="{00000000-0005-0000-0000-0000BA0B0000}"/>
    <cellStyle name="Linked Cell 4 9" xfId="3508" xr:uid="{00000000-0005-0000-0000-0000BB0B0000}"/>
    <cellStyle name="Linked Cell 5" xfId="3509" xr:uid="{00000000-0005-0000-0000-0000BC0B0000}"/>
    <cellStyle name="Linked Cell 5 10" xfId="3510" xr:uid="{00000000-0005-0000-0000-0000BD0B0000}"/>
    <cellStyle name="Linked Cell 5 11" xfId="3511" xr:uid="{00000000-0005-0000-0000-0000BE0B0000}"/>
    <cellStyle name="Linked Cell 5 2" xfId="3512" xr:uid="{00000000-0005-0000-0000-0000BF0B0000}"/>
    <cellStyle name="Linked Cell 5 3" xfId="3513" xr:uid="{00000000-0005-0000-0000-0000C00B0000}"/>
    <cellStyle name="Linked Cell 5 4" xfId="3514" xr:uid="{00000000-0005-0000-0000-0000C10B0000}"/>
    <cellStyle name="Linked Cell 5 5" xfId="3515" xr:uid="{00000000-0005-0000-0000-0000C20B0000}"/>
    <cellStyle name="Linked Cell 5 6" xfId="3516" xr:uid="{00000000-0005-0000-0000-0000C30B0000}"/>
    <cellStyle name="Linked Cell 5 7" xfId="3517" xr:uid="{00000000-0005-0000-0000-0000C40B0000}"/>
    <cellStyle name="Linked Cell 5 8" xfId="3518" xr:uid="{00000000-0005-0000-0000-0000C50B0000}"/>
    <cellStyle name="Linked Cell 5 9" xfId="3519" xr:uid="{00000000-0005-0000-0000-0000C60B0000}"/>
    <cellStyle name="Linked Cell 6" xfId="3520" xr:uid="{00000000-0005-0000-0000-0000C70B0000}"/>
    <cellStyle name="Linked Cell 7" xfId="3521" xr:uid="{00000000-0005-0000-0000-0000C80B0000}"/>
    <cellStyle name="Linked Cell 8" xfId="3522" xr:uid="{00000000-0005-0000-0000-0000C90B0000}"/>
    <cellStyle name="Linked Cell 9" xfId="3523" xr:uid="{00000000-0005-0000-0000-0000CA0B0000}"/>
    <cellStyle name="Milliers [0]_AR1194" xfId="332" xr:uid="{00000000-0005-0000-0000-0000CC0B0000}"/>
    <cellStyle name="Milliers_AR1194" xfId="333" xr:uid="{00000000-0005-0000-0000-0000CD0B0000}"/>
    <cellStyle name="Monétaire [0]_AR1194" xfId="334" xr:uid="{00000000-0005-0000-0000-0000CE0B0000}"/>
    <cellStyle name="Monétaire_AR1194" xfId="335" xr:uid="{00000000-0005-0000-0000-0000CF0B0000}"/>
    <cellStyle name="month" xfId="3525" xr:uid="{00000000-0005-0000-0000-0000D00B0000}"/>
    <cellStyle name="ɱ" xfId="3524" xr:uid="{00000000-0005-0000-0000-0000CB0B0000}"/>
    <cellStyle name="Neutral 10" xfId="3526" xr:uid="{00000000-0005-0000-0000-0000D10B0000}"/>
    <cellStyle name="Neutral 11" xfId="3527" xr:uid="{00000000-0005-0000-0000-0000D20B0000}"/>
    <cellStyle name="Neutral 12" xfId="3528" xr:uid="{00000000-0005-0000-0000-0000D30B0000}"/>
    <cellStyle name="Neutral 13" xfId="3529" xr:uid="{00000000-0005-0000-0000-0000D40B0000}"/>
    <cellStyle name="Neutral 14" xfId="3530" xr:uid="{00000000-0005-0000-0000-0000D50B0000}"/>
    <cellStyle name="Neutral 15" xfId="3531" xr:uid="{00000000-0005-0000-0000-0000D60B0000}"/>
    <cellStyle name="Neutral 16" xfId="124" xr:uid="{00000000-0005-0000-0000-0000D70B0000}"/>
    <cellStyle name="Neutral 2" xfId="125" xr:uid="{00000000-0005-0000-0000-0000D80B0000}"/>
    <cellStyle name="Neutral 2 10" xfId="3533" xr:uid="{00000000-0005-0000-0000-0000D90B0000}"/>
    <cellStyle name="Neutral 2 11" xfId="3534" xr:uid="{00000000-0005-0000-0000-0000DA0B0000}"/>
    <cellStyle name="Neutral 2 12" xfId="3532" xr:uid="{00000000-0005-0000-0000-0000DB0B0000}"/>
    <cellStyle name="Neutral 2 2" xfId="1378" xr:uid="{00000000-0005-0000-0000-0000DC0B0000}"/>
    <cellStyle name="Neutral 2 2 2" xfId="3535" xr:uid="{00000000-0005-0000-0000-0000DD0B0000}"/>
    <cellStyle name="Neutral 2 3" xfId="3536" xr:uid="{00000000-0005-0000-0000-0000DE0B0000}"/>
    <cellStyle name="Neutral 2 4" xfId="3537" xr:uid="{00000000-0005-0000-0000-0000DF0B0000}"/>
    <cellStyle name="Neutral 2 5" xfId="3538" xr:uid="{00000000-0005-0000-0000-0000E00B0000}"/>
    <cellStyle name="Neutral 2 6" xfId="3539" xr:uid="{00000000-0005-0000-0000-0000E10B0000}"/>
    <cellStyle name="Neutral 2 7" xfId="3540" xr:uid="{00000000-0005-0000-0000-0000E20B0000}"/>
    <cellStyle name="Neutral 2 8" xfId="3541" xr:uid="{00000000-0005-0000-0000-0000E30B0000}"/>
    <cellStyle name="Neutral 2 9" xfId="3542" xr:uid="{00000000-0005-0000-0000-0000E40B0000}"/>
    <cellStyle name="Neutral 3" xfId="126" xr:uid="{00000000-0005-0000-0000-0000E50B0000}"/>
    <cellStyle name="Neutral 3 10" xfId="3544" xr:uid="{00000000-0005-0000-0000-0000E60B0000}"/>
    <cellStyle name="Neutral 3 11" xfId="3545" xr:uid="{00000000-0005-0000-0000-0000E70B0000}"/>
    <cellStyle name="Neutral 3 12" xfId="3543" xr:uid="{00000000-0005-0000-0000-0000E80B0000}"/>
    <cellStyle name="Neutral 3 2" xfId="3546" xr:uid="{00000000-0005-0000-0000-0000E90B0000}"/>
    <cellStyle name="Neutral 3 3" xfId="3547" xr:uid="{00000000-0005-0000-0000-0000EA0B0000}"/>
    <cellStyle name="Neutral 3 4" xfId="3548" xr:uid="{00000000-0005-0000-0000-0000EB0B0000}"/>
    <cellStyle name="Neutral 3 5" xfId="3549" xr:uid="{00000000-0005-0000-0000-0000EC0B0000}"/>
    <cellStyle name="Neutral 3 6" xfId="3550" xr:uid="{00000000-0005-0000-0000-0000ED0B0000}"/>
    <cellStyle name="Neutral 3 7" xfId="3551" xr:uid="{00000000-0005-0000-0000-0000EE0B0000}"/>
    <cellStyle name="Neutral 3 8" xfId="3552" xr:uid="{00000000-0005-0000-0000-0000EF0B0000}"/>
    <cellStyle name="Neutral 3 9" xfId="3553" xr:uid="{00000000-0005-0000-0000-0000F00B0000}"/>
    <cellStyle name="Neutral 4" xfId="1380" xr:uid="{00000000-0005-0000-0000-0000F10B0000}"/>
    <cellStyle name="Neutral 4 10" xfId="3555" xr:uid="{00000000-0005-0000-0000-0000F20B0000}"/>
    <cellStyle name="Neutral 4 11" xfId="3556" xr:uid="{00000000-0005-0000-0000-0000F30B0000}"/>
    <cellStyle name="Neutral 4 12" xfId="3554" xr:uid="{00000000-0005-0000-0000-0000F40B0000}"/>
    <cellStyle name="Neutral 4 2" xfId="3557" xr:uid="{00000000-0005-0000-0000-0000F50B0000}"/>
    <cellStyle name="Neutral 4 3" xfId="3558" xr:uid="{00000000-0005-0000-0000-0000F60B0000}"/>
    <cellStyle name="Neutral 4 4" xfId="3559" xr:uid="{00000000-0005-0000-0000-0000F70B0000}"/>
    <cellStyle name="Neutral 4 5" xfId="3560" xr:uid="{00000000-0005-0000-0000-0000F80B0000}"/>
    <cellStyle name="Neutral 4 6" xfId="3561" xr:uid="{00000000-0005-0000-0000-0000F90B0000}"/>
    <cellStyle name="Neutral 4 7" xfId="3562" xr:uid="{00000000-0005-0000-0000-0000FA0B0000}"/>
    <cellStyle name="Neutral 4 8" xfId="3563" xr:uid="{00000000-0005-0000-0000-0000FB0B0000}"/>
    <cellStyle name="Neutral 4 9" xfId="3564" xr:uid="{00000000-0005-0000-0000-0000FC0B0000}"/>
    <cellStyle name="Neutral 5" xfId="3565" xr:uid="{00000000-0005-0000-0000-0000FD0B0000}"/>
    <cellStyle name="Neutral 5 10" xfId="3566" xr:uid="{00000000-0005-0000-0000-0000FE0B0000}"/>
    <cellStyle name="Neutral 5 11" xfId="3567" xr:uid="{00000000-0005-0000-0000-0000FF0B0000}"/>
    <cellStyle name="Neutral 5 2" xfId="3568" xr:uid="{00000000-0005-0000-0000-0000000C0000}"/>
    <cellStyle name="Neutral 5 3" xfId="3569" xr:uid="{00000000-0005-0000-0000-0000010C0000}"/>
    <cellStyle name="Neutral 5 4" xfId="3570" xr:uid="{00000000-0005-0000-0000-0000020C0000}"/>
    <cellStyle name="Neutral 5 5" xfId="3571" xr:uid="{00000000-0005-0000-0000-0000030C0000}"/>
    <cellStyle name="Neutral 5 6" xfId="3572" xr:uid="{00000000-0005-0000-0000-0000040C0000}"/>
    <cellStyle name="Neutral 5 7" xfId="3573" xr:uid="{00000000-0005-0000-0000-0000050C0000}"/>
    <cellStyle name="Neutral 5 8" xfId="3574" xr:uid="{00000000-0005-0000-0000-0000060C0000}"/>
    <cellStyle name="Neutral 5 9" xfId="3575" xr:uid="{00000000-0005-0000-0000-0000070C0000}"/>
    <cellStyle name="Neutral 6" xfId="3576" xr:uid="{00000000-0005-0000-0000-0000080C0000}"/>
    <cellStyle name="Neutral 7" xfId="3577" xr:uid="{00000000-0005-0000-0000-0000090C0000}"/>
    <cellStyle name="Neutral 8" xfId="3578" xr:uid="{00000000-0005-0000-0000-00000A0C0000}"/>
    <cellStyle name="Neutral 9" xfId="3579" xr:uid="{00000000-0005-0000-0000-00000B0C0000}"/>
    <cellStyle name="no dec" xfId="336" xr:uid="{00000000-0005-0000-0000-00000C0C0000}"/>
    <cellStyle name="Normal" xfId="0" builtinId="0"/>
    <cellStyle name="Normal - Style1" xfId="127" xr:uid="{00000000-0005-0000-0000-00000E0C0000}"/>
    <cellStyle name="Normal - Style5" xfId="337" xr:uid="{00000000-0005-0000-0000-00000F0C0000}"/>
    <cellStyle name="Normal 10" xfId="169" xr:uid="{00000000-0005-0000-0000-0000100C0000}"/>
    <cellStyle name="Normal 10 2" xfId="338" xr:uid="{00000000-0005-0000-0000-0000110C0000}"/>
    <cellStyle name="Normal 100" xfId="1385" xr:uid="{00000000-0005-0000-0000-0000120C0000}"/>
    <cellStyle name="Normal 101" xfId="1386" xr:uid="{00000000-0005-0000-0000-0000130C0000}"/>
    <cellStyle name="Normal 102" xfId="1387" xr:uid="{00000000-0005-0000-0000-0000140C0000}"/>
    <cellStyle name="Normal 103" xfId="1388" xr:uid="{00000000-0005-0000-0000-0000150C0000}"/>
    <cellStyle name="Normal 104" xfId="1389" xr:uid="{00000000-0005-0000-0000-0000160C0000}"/>
    <cellStyle name="Normal 105" xfId="1390" xr:uid="{00000000-0005-0000-0000-0000170C0000}"/>
    <cellStyle name="Normal 106" xfId="1391" xr:uid="{00000000-0005-0000-0000-0000180C0000}"/>
    <cellStyle name="Normal 107" xfId="1392" xr:uid="{00000000-0005-0000-0000-0000190C0000}"/>
    <cellStyle name="Normal 108" xfId="1393" xr:uid="{00000000-0005-0000-0000-00001A0C0000}"/>
    <cellStyle name="Normal 109" xfId="1394" xr:uid="{00000000-0005-0000-0000-00001B0C0000}"/>
    <cellStyle name="Normal 11" xfId="174" xr:uid="{00000000-0005-0000-0000-00001C0C0000}"/>
    <cellStyle name="Normal 11 2" xfId="223" xr:uid="{00000000-0005-0000-0000-00001D0C0000}"/>
    <cellStyle name="Normal 110" xfId="1396" xr:uid="{00000000-0005-0000-0000-00001E0C0000}"/>
    <cellStyle name="Normal 111" xfId="1397" xr:uid="{00000000-0005-0000-0000-00001F0C0000}"/>
    <cellStyle name="Normal 112" xfId="1398" xr:uid="{00000000-0005-0000-0000-0000200C0000}"/>
    <cellStyle name="Normal 113" xfId="1399" xr:uid="{00000000-0005-0000-0000-0000210C0000}"/>
    <cellStyle name="Normal 114" xfId="1400" xr:uid="{00000000-0005-0000-0000-0000220C0000}"/>
    <cellStyle name="Normal 115" xfId="1401" xr:uid="{00000000-0005-0000-0000-0000230C0000}"/>
    <cellStyle name="Normal 116" xfId="1402" xr:uid="{00000000-0005-0000-0000-0000240C0000}"/>
    <cellStyle name="Normal 117" xfId="1403" xr:uid="{00000000-0005-0000-0000-0000250C0000}"/>
    <cellStyle name="Normal 118" xfId="1404" xr:uid="{00000000-0005-0000-0000-0000260C0000}"/>
    <cellStyle name="Normal 119" xfId="1405" xr:uid="{00000000-0005-0000-0000-0000270C0000}"/>
    <cellStyle name="Normal 12" xfId="214" xr:uid="{00000000-0005-0000-0000-0000280C0000}"/>
    <cellStyle name="Normal 12 2" xfId="229" xr:uid="{00000000-0005-0000-0000-0000290C0000}"/>
    <cellStyle name="Normal 12 3" xfId="339" xr:uid="{00000000-0005-0000-0000-00002A0C0000}"/>
    <cellStyle name="Normal 120" xfId="1407" xr:uid="{00000000-0005-0000-0000-00002B0C0000}"/>
    <cellStyle name="Normal 120 2" xfId="1408" xr:uid="{00000000-0005-0000-0000-00002C0C0000}"/>
    <cellStyle name="Normal 121" xfId="1409" xr:uid="{00000000-0005-0000-0000-00002D0C0000}"/>
    <cellStyle name="Normal 122" xfId="1410" xr:uid="{00000000-0005-0000-0000-00002E0C0000}"/>
    <cellStyle name="Normal 123" xfId="1411" xr:uid="{00000000-0005-0000-0000-00002F0C0000}"/>
    <cellStyle name="Normal 124" xfId="1412" xr:uid="{00000000-0005-0000-0000-0000300C0000}"/>
    <cellStyle name="Normal 125" xfId="1413" xr:uid="{00000000-0005-0000-0000-0000310C0000}"/>
    <cellStyle name="Normal 126" xfId="1414" xr:uid="{00000000-0005-0000-0000-0000320C0000}"/>
    <cellStyle name="Normal 127" xfId="1415" xr:uid="{00000000-0005-0000-0000-0000330C0000}"/>
    <cellStyle name="Normal 128" xfId="1416" xr:uid="{00000000-0005-0000-0000-0000340C0000}"/>
    <cellStyle name="Normal 129" xfId="1417" xr:uid="{00000000-0005-0000-0000-0000350C0000}"/>
    <cellStyle name="Normal 13" xfId="215" xr:uid="{00000000-0005-0000-0000-0000360C0000}"/>
    <cellStyle name="Normal 13 2" xfId="230" xr:uid="{00000000-0005-0000-0000-0000370C0000}"/>
    <cellStyle name="Normal 13 2 2" xfId="3580" xr:uid="{00000000-0005-0000-0000-0000380C0000}"/>
    <cellStyle name="Normal 13 3" xfId="340" xr:uid="{00000000-0005-0000-0000-0000390C0000}"/>
    <cellStyle name="Normal 13 3 2" xfId="3581" xr:uid="{00000000-0005-0000-0000-00003A0C0000}"/>
    <cellStyle name="Normal 130" xfId="1419" xr:uid="{00000000-0005-0000-0000-00003B0C0000}"/>
    <cellStyle name="Normal 131" xfId="1420" xr:uid="{00000000-0005-0000-0000-00003C0C0000}"/>
    <cellStyle name="Normal 132" xfId="1421" xr:uid="{00000000-0005-0000-0000-00003D0C0000}"/>
    <cellStyle name="Normal 133" xfId="1422" xr:uid="{00000000-0005-0000-0000-00003E0C0000}"/>
    <cellStyle name="Normal 134" xfId="1423" xr:uid="{00000000-0005-0000-0000-00003F0C0000}"/>
    <cellStyle name="Normal 135" xfId="1424" xr:uid="{00000000-0005-0000-0000-0000400C0000}"/>
    <cellStyle name="Normal 136" xfId="1425" xr:uid="{00000000-0005-0000-0000-0000410C0000}"/>
    <cellStyle name="Normal 137" xfId="1426" xr:uid="{00000000-0005-0000-0000-0000420C0000}"/>
    <cellStyle name="Normal 138" xfId="1427" xr:uid="{00000000-0005-0000-0000-0000430C0000}"/>
    <cellStyle name="Normal 139" xfId="1428" xr:uid="{00000000-0005-0000-0000-0000440C0000}"/>
    <cellStyle name="Normal 14" xfId="216" xr:uid="{00000000-0005-0000-0000-0000450C0000}"/>
    <cellStyle name="Normal 14 2" xfId="234" xr:uid="{00000000-0005-0000-0000-0000460C0000}"/>
    <cellStyle name="Normal 14 2 2" xfId="3583" xr:uid="{00000000-0005-0000-0000-0000470C0000}"/>
    <cellStyle name="Normal 14 3" xfId="341" xr:uid="{00000000-0005-0000-0000-0000480C0000}"/>
    <cellStyle name="Normal 14 3 2" xfId="3584" xr:uid="{00000000-0005-0000-0000-0000490C0000}"/>
    <cellStyle name="Normal 14 4" xfId="3582" xr:uid="{00000000-0005-0000-0000-00004A0C0000}"/>
    <cellStyle name="Normal 14 5" xfId="4079" xr:uid="{00000000-0005-0000-0000-00004B0C0000}"/>
    <cellStyle name="Normal 14 6" xfId="4090" xr:uid="{00000000-0005-0000-0000-00004C0C0000}"/>
    <cellStyle name="Normal 14 7" xfId="4096" xr:uid="{00000000-0005-0000-0000-00004D0C0000}"/>
    <cellStyle name="Normal 14 8" xfId="4103" xr:uid="{00000000-0005-0000-0000-00004E0C0000}"/>
    <cellStyle name="Normal 140" xfId="1430" xr:uid="{00000000-0005-0000-0000-00004F0C0000}"/>
    <cellStyle name="Normal 141" xfId="1431" xr:uid="{00000000-0005-0000-0000-0000500C0000}"/>
    <cellStyle name="Normal 142" xfId="1432" xr:uid="{00000000-0005-0000-0000-0000510C0000}"/>
    <cellStyle name="Normal 143" xfId="1433" xr:uid="{00000000-0005-0000-0000-0000520C0000}"/>
    <cellStyle name="Normal 144" xfId="1434" xr:uid="{00000000-0005-0000-0000-0000530C0000}"/>
    <cellStyle name="Normal 145" xfId="1435" xr:uid="{00000000-0005-0000-0000-0000540C0000}"/>
    <cellStyle name="Normal 146" xfId="1436" xr:uid="{00000000-0005-0000-0000-0000550C0000}"/>
    <cellStyle name="Normal 147" xfId="1437" xr:uid="{00000000-0005-0000-0000-0000560C0000}"/>
    <cellStyle name="Normal 148" xfId="1438" xr:uid="{00000000-0005-0000-0000-0000570C0000}"/>
    <cellStyle name="Normal 149" xfId="1439" xr:uid="{00000000-0005-0000-0000-0000580C0000}"/>
    <cellStyle name="Normal 15" xfId="220" xr:uid="{00000000-0005-0000-0000-0000590C0000}"/>
    <cellStyle name="Normal 15 2" xfId="238" xr:uid="{00000000-0005-0000-0000-00005A0C0000}"/>
    <cellStyle name="Normal 15 2 2" xfId="3585" xr:uid="{00000000-0005-0000-0000-00005B0C0000}"/>
    <cellStyle name="Normal 150" xfId="1441" xr:uid="{00000000-0005-0000-0000-00005C0C0000}"/>
    <cellStyle name="Normal 151" xfId="1442" xr:uid="{00000000-0005-0000-0000-00005D0C0000}"/>
    <cellStyle name="Normal 152" xfId="1443" xr:uid="{00000000-0005-0000-0000-00005E0C0000}"/>
    <cellStyle name="Normal 153" xfId="1444" xr:uid="{00000000-0005-0000-0000-00005F0C0000}"/>
    <cellStyle name="Normal 154" xfId="1445" xr:uid="{00000000-0005-0000-0000-0000600C0000}"/>
    <cellStyle name="Normal 155" xfId="1446" xr:uid="{00000000-0005-0000-0000-0000610C0000}"/>
    <cellStyle name="Normal 156" xfId="1447" xr:uid="{00000000-0005-0000-0000-0000620C0000}"/>
    <cellStyle name="Normal 157" xfId="1448" xr:uid="{00000000-0005-0000-0000-0000630C0000}"/>
    <cellStyle name="Normal 158" xfId="1449" xr:uid="{00000000-0005-0000-0000-0000640C0000}"/>
    <cellStyle name="Normal 159" xfId="1450" xr:uid="{00000000-0005-0000-0000-0000650C0000}"/>
    <cellStyle name="Normal 16" xfId="221" xr:uid="{00000000-0005-0000-0000-0000660C0000}"/>
    <cellStyle name="Normal 16 2" xfId="239" xr:uid="{00000000-0005-0000-0000-0000670C0000}"/>
    <cellStyle name="Normal 16 2 2" xfId="3586" xr:uid="{00000000-0005-0000-0000-0000680C0000}"/>
    <cellStyle name="Normal 16 3" xfId="342" xr:uid="{00000000-0005-0000-0000-0000690C0000}"/>
    <cellStyle name="Normal 160" xfId="1452" xr:uid="{00000000-0005-0000-0000-00006A0C0000}"/>
    <cellStyle name="Normal 161" xfId="1453" xr:uid="{00000000-0005-0000-0000-00006B0C0000}"/>
    <cellStyle name="Normal 162" xfId="1454" xr:uid="{00000000-0005-0000-0000-00006C0C0000}"/>
    <cellStyle name="Normal 163" xfId="1455" xr:uid="{00000000-0005-0000-0000-00006D0C0000}"/>
    <cellStyle name="Normal 164" xfId="1456" xr:uid="{00000000-0005-0000-0000-00006E0C0000}"/>
    <cellStyle name="Normal 165" xfId="1457" xr:uid="{00000000-0005-0000-0000-00006F0C0000}"/>
    <cellStyle name="Normal 166" xfId="1458" xr:uid="{00000000-0005-0000-0000-0000700C0000}"/>
    <cellStyle name="Normal 167" xfId="1459" xr:uid="{00000000-0005-0000-0000-0000710C0000}"/>
    <cellStyle name="Normal 168" xfId="1460" xr:uid="{00000000-0005-0000-0000-0000720C0000}"/>
    <cellStyle name="Normal 169" xfId="1461" xr:uid="{00000000-0005-0000-0000-0000730C0000}"/>
    <cellStyle name="Normal 17" xfId="222" xr:uid="{00000000-0005-0000-0000-0000740C0000}"/>
    <cellStyle name="Normal 17 2" xfId="343" xr:uid="{00000000-0005-0000-0000-0000750C0000}"/>
    <cellStyle name="Normal 17 2 2" xfId="3588" xr:uid="{00000000-0005-0000-0000-0000760C0000}"/>
    <cellStyle name="Normal 17 3" xfId="3587" xr:uid="{00000000-0005-0000-0000-0000770C0000}"/>
    <cellStyle name="Normal 17 4" xfId="4076" xr:uid="{00000000-0005-0000-0000-0000780C0000}"/>
    <cellStyle name="Normal 17 5" xfId="4088" xr:uid="{00000000-0005-0000-0000-0000790C0000}"/>
    <cellStyle name="Normal 17 6" xfId="4094" xr:uid="{00000000-0005-0000-0000-00007A0C0000}"/>
    <cellStyle name="Normal 17 7" xfId="4101" xr:uid="{00000000-0005-0000-0000-00007B0C0000}"/>
    <cellStyle name="Normal 170" xfId="1463" xr:uid="{00000000-0005-0000-0000-00007C0C0000}"/>
    <cellStyle name="Normal 171" xfId="1464" xr:uid="{00000000-0005-0000-0000-00007D0C0000}"/>
    <cellStyle name="Normal 172" xfId="1465" xr:uid="{00000000-0005-0000-0000-00007E0C0000}"/>
    <cellStyle name="Normal 173" xfId="1466" xr:uid="{00000000-0005-0000-0000-00007F0C0000}"/>
    <cellStyle name="Normal 174" xfId="1467" xr:uid="{00000000-0005-0000-0000-0000800C0000}"/>
    <cellStyle name="Normal 175" xfId="1468" xr:uid="{00000000-0005-0000-0000-0000810C0000}"/>
    <cellStyle name="Normal 176" xfId="1469" xr:uid="{00000000-0005-0000-0000-0000820C0000}"/>
    <cellStyle name="Normal 177" xfId="1470" xr:uid="{00000000-0005-0000-0000-0000830C0000}"/>
    <cellStyle name="Normal 178" xfId="1471" xr:uid="{00000000-0005-0000-0000-0000840C0000}"/>
    <cellStyle name="Normal 179" xfId="1472" xr:uid="{00000000-0005-0000-0000-0000850C0000}"/>
    <cellStyle name="Normal 18" xfId="233" xr:uid="{00000000-0005-0000-0000-0000860C0000}"/>
    <cellStyle name="Normal 18 2" xfId="344" xr:uid="{00000000-0005-0000-0000-0000870C0000}"/>
    <cellStyle name="Normal 18 2 2" xfId="3590" xr:uid="{00000000-0005-0000-0000-0000880C0000}"/>
    <cellStyle name="Normal 18 3" xfId="3589" xr:uid="{00000000-0005-0000-0000-0000890C0000}"/>
    <cellStyle name="Normal 180" xfId="1474" xr:uid="{00000000-0005-0000-0000-00008A0C0000}"/>
    <cellStyle name="Normal 181" xfId="1475" xr:uid="{00000000-0005-0000-0000-00008B0C0000}"/>
    <cellStyle name="Normal 182" xfId="1476" xr:uid="{00000000-0005-0000-0000-00008C0C0000}"/>
    <cellStyle name="Normal 183" xfId="1477" xr:uid="{00000000-0005-0000-0000-00008D0C0000}"/>
    <cellStyle name="Normal 184" xfId="1478" xr:uid="{00000000-0005-0000-0000-00008E0C0000}"/>
    <cellStyle name="Normal 185" xfId="1479" xr:uid="{00000000-0005-0000-0000-00008F0C0000}"/>
    <cellStyle name="Normal 186" xfId="1480" xr:uid="{00000000-0005-0000-0000-0000900C0000}"/>
    <cellStyle name="Normal 187" xfId="1481" xr:uid="{00000000-0005-0000-0000-0000910C0000}"/>
    <cellStyle name="Normal 188" xfId="1482" xr:uid="{00000000-0005-0000-0000-0000920C0000}"/>
    <cellStyle name="Normal 189" xfId="1483" xr:uid="{00000000-0005-0000-0000-0000930C0000}"/>
    <cellStyle name="Normal 19" xfId="236" xr:uid="{00000000-0005-0000-0000-0000940C0000}"/>
    <cellStyle name="Normal 19 2" xfId="345" xr:uid="{00000000-0005-0000-0000-0000950C0000}"/>
    <cellStyle name="Normal 19 2 2" xfId="3592" xr:uid="{00000000-0005-0000-0000-0000960C0000}"/>
    <cellStyle name="Normal 19 3" xfId="3591" xr:uid="{00000000-0005-0000-0000-0000970C0000}"/>
    <cellStyle name="Normal 190" xfId="1485" xr:uid="{00000000-0005-0000-0000-0000980C0000}"/>
    <cellStyle name="Normal 191" xfId="1486" xr:uid="{00000000-0005-0000-0000-0000990C0000}"/>
    <cellStyle name="Normal 192" xfId="1487" xr:uid="{00000000-0005-0000-0000-00009A0C0000}"/>
    <cellStyle name="Normal 193" xfId="1488" xr:uid="{00000000-0005-0000-0000-00009B0C0000}"/>
    <cellStyle name="Normal 194" xfId="1489" xr:uid="{00000000-0005-0000-0000-00009C0C0000}"/>
    <cellStyle name="Normal 195" xfId="1490" xr:uid="{00000000-0005-0000-0000-00009D0C0000}"/>
    <cellStyle name="Normal 196" xfId="1491" xr:uid="{00000000-0005-0000-0000-00009E0C0000}"/>
    <cellStyle name="Normal 197" xfId="1492" xr:uid="{00000000-0005-0000-0000-00009F0C0000}"/>
    <cellStyle name="Normal 198" xfId="1493" xr:uid="{00000000-0005-0000-0000-0000A00C0000}"/>
    <cellStyle name="Normal 199" xfId="1494" xr:uid="{00000000-0005-0000-0000-0000A10C0000}"/>
    <cellStyle name="Normal 2" xfId="5" xr:uid="{00000000-0005-0000-0000-0000A20C0000}"/>
    <cellStyle name="Normal 2 2" xfId="129" xr:uid="{00000000-0005-0000-0000-0000A30C0000}"/>
    <cellStyle name="Normal 2 2 2" xfId="1497" xr:uid="{00000000-0005-0000-0000-0000A40C0000}"/>
    <cellStyle name="Normal 2 2 2 2" xfId="3594" xr:uid="{00000000-0005-0000-0000-0000A50C0000}"/>
    <cellStyle name="Normal 2 2 3" xfId="3593" xr:uid="{00000000-0005-0000-0000-0000A60C0000}"/>
    <cellStyle name="Normal 2 3" xfId="130" xr:uid="{00000000-0005-0000-0000-0000A70C0000}"/>
    <cellStyle name="Normal 2 3 2" xfId="1498" xr:uid="{00000000-0005-0000-0000-0000A80C0000}"/>
    <cellStyle name="Normal 2 3 2 2" xfId="3595" xr:uid="{00000000-0005-0000-0000-0000A90C0000}"/>
    <cellStyle name="Normal 2 4" xfId="162" xr:uid="{00000000-0005-0000-0000-0000AA0C0000}"/>
    <cellStyle name="Normal 2 4 2" xfId="1499" xr:uid="{00000000-0005-0000-0000-0000AB0C0000}"/>
    <cellStyle name="Normal 2 4 3" xfId="3596" xr:uid="{00000000-0005-0000-0000-0000AC0C0000}"/>
    <cellStyle name="Normal 2 5" xfId="240" xr:uid="{00000000-0005-0000-0000-0000AD0C0000}"/>
    <cellStyle name="Normal 2 5 2" xfId="1500" xr:uid="{00000000-0005-0000-0000-0000AE0C0000}"/>
    <cellStyle name="Normal 2 5 3" xfId="3597" xr:uid="{00000000-0005-0000-0000-0000AF0C0000}"/>
    <cellStyle name="Normal 2 6" xfId="1501" xr:uid="{00000000-0005-0000-0000-0000B00C0000}"/>
    <cellStyle name="Normal 2 6 2" xfId="3598" xr:uid="{00000000-0005-0000-0000-0000B10C0000}"/>
    <cellStyle name="Normal 2 7" xfId="1502" xr:uid="{00000000-0005-0000-0000-0000B20C0000}"/>
    <cellStyle name="Normal 2 7 2" xfId="3599" xr:uid="{00000000-0005-0000-0000-0000B30C0000}"/>
    <cellStyle name="Normal 2 8" xfId="3600" xr:uid="{00000000-0005-0000-0000-0000B40C0000}"/>
    <cellStyle name="Normal 2 9" xfId="128" xr:uid="{00000000-0005-0000-0000-0000B50C0000}"/>
    <cellStyle name="Normal 20" xfId="256" xr:uid="{00000000-0005-0000-0000-0000B60C0000}"/>
    <cellStyle name="Normal 20 2" xfId="346" xr:uid="{00000000-0005-0000-0000-0000B70C0000}"/>
    <cellStyle name="Normal 20 2 2" xfId="3602" xr:uid="{00000000-0005-0000-0000-0000B80C0000}"/>
    <cellStyle name="Normal 20 3" xfId="3601" xr:uid="{00000000-0005-0000-0000-0000B90C0000}"/>
    <cellStyle name="Normal 200" xfId="1504" xr:uid="{00000000-0005-0000-0000-0000BA0C0000}"/>
    <cellStyle name="Normal 201" xfId="1505" xr:uid="{00000000-0005-0000-0000-0000BB0C0000}"/>
    <cellStyle name="Normal 202" xfId="1506" xr:uid="{00000000-0005-0000-0000-0000BC0C0000}"/>
    <cellStyle name="Normal 203" xfId="1507" xr:uid="{00000000-0005-0000-0000-0000BD0C0000}"/>
    <cellStyle name="Normal 204" xfId="1508" xr:uid="{00000000-0005-0000-0000-0000BE0C0000}"/>
    <cellStyle name="Normal 205" xfId="1509" xr:uid="{00000000-0005-0000-0000-0000BF0C0000}"/>
    <cellStyle name="Normal 206" xfId="1510" xr:uid="{00000000-0005-0000-0000-0000C00C0000}"/>
    <cellStyle name="Normal 207" xfId="1511" xr:uid="{00000000-0005-0000-0000-0000C10C0000}"/>
    <cellStyle name="Normal 208" xfId="1512" xr:uid="{00000000-0005-0000-0000-0000C20C0000}"/>
    <cellStyle name="Normal 209" xfId="1513" xr:uid="{00000000-0005-0000-0000-0000C30C0000}"/>
    <cellStyle name="Normal 21" xfId="347" xr:uid="{00000000-0005-0000-0000-0000C40C0000}"/>
    <cellStyle name="Normal 21 2" xfId="3603" xr:uid="{00000000-0005-0000-0000-0000C50C0000}"/>
    <cellStyle name="Normal 210" xfId="1515" xr:uid="{00000000-0005-0000-0000-0000C60C0000}"/>
    <cellStyle name="Normal 211" xfId="1516" xr:uid="{00000000-0005-0000-0000-0000C70C0000}"/>
    <cellStyle name="Normal 212" xfId="1517" xr:uid="{00000000-0005-0000-0000-0000C80C0000}"/>
    <cellStyle name="Normal 213" xfId="1518" xr:uid="{00000000-0005-0000-0000-0000C90C0000}"/>
    <cellStyle name="Normal 214" xfId="1519" xr:uid="{00000000-0005-0000-0000-0000CA0C0000}"/>
    <cellStyle name="Normal 215" xfId="1520" xr:uid="{00000000-0005-0000-0000-0000CB0C0000}"/>
    <cellStyle name="Normal 216" xfId="1521" xr:uid="{00000000-0005-0000-0000-0000CC0C0000}"/>
    <cellStyle name="Normal 217" xfId="1522" xr:uid="{00000000-0005-0000-0000-0000CD0C0000}"/>
    <cellStyle name="Normal 218" xfId="1523" xr:uid="{00000000-0005-0000-0000-0000CE0C0000}"/>
    <cellStyle name="Normal 219" xfId="1524" xr:uid="{00000000-0005-0000-0000-0000CF0C0000}"/>
    <cellStyle name="Normal 22" xfId="348" xr:uid="{00000000-0005-0000-0000-0000D00C0000}"/>
    <cellStyle name="Normal 22 2" xfId="3604" xr:uid="{00000000-0005-0000-0000-0000D10C0000}"/>
    <cellStyle name="Normal 220" xfId="1526" xr:uid="{00000000-0005-0000-0000-0000D20C0000}"/>
    <cellStyle name="Normal 221" xfId="1527" xr:uid="{00000000-0005-0000-0000-0000D30C0000}"/>
    <cellStyle name="Normal 222" xfId="1528" xr:uid="{00000000-0005-0000-0000-0000D40C0000}"/>
    <cellStyle name="Normal 223" xfId="1529" xr:uid="{00000000-0005-0000-0000-0000D50C0000}"/>
    <cellStyle name="Normal 224" xfId="1530" xr:uid="{00000000-0005-0000-0000-0000D60C0000}"/>
    <cellStyle name="Normal 225" xfId="1531" xr:uid="{00000000-0005-0000-0000-0000D70C0000}"/>
    <cellStyle name="Normal 226" xfId="1532" xr:uid="{00000000-0005-0000-0000-0000D80C0000}"/>
    <cellStyle name="Normal 227" xfId="1533" xr:uid="{00000000-0005-0000-0000-0000D90C0000}"/>
    <cellStyle name="Normal 228" xfId="1534" xr:uid="{00000000-0005-0000-0000-0000DA0C0000}"/>
    <cellStyle name="Normal 229" xfId="1535" xr:uid="{00000000-0005-0000-0000-0000DB0C0000}"/>
    <cellStyle name="Normal 23" xfId="349" xr:uid="{00000000-0005-0000-0000-0000DC0C0000}"/>
    <cellStyle name="Normal 23 2" xfId="3605" xr:uid="{00000000-0005-0000-0000-0000DD0C0000}"/>
    <cellStyle name="Normal 230" xfId="1537" xr:uid="{00000000-0005-0000-0000-0000DE0C0000}"/>
    <cellStyle name="Normal 231" xfId="1538" xr:uid="{00000000-0005-0000-0000-0000DF0C0000}"/>
    <cellStyle name="Normal 232" xfId="1539" xr:uid="{00000000-0005-0000-0000-0000E00C0000}"/>
    <cellStyle name="Normal 233" xfId="1540" xr:uid="{00000000-0005-0000-0000-0000E10C0000}"/>
    <cellStyle name="Normal 234" xfId="1541" xr:uid="{00000000-0005-0000-0000-0000E20C0000}"/>
    <cellStyle name="Normal 235" xfId="1542" xr:uid="{00000000-0005-0000-0000-0000E30C0000}"/>
    <cellStyle name="Normal 236" xfId="1543" xr:uid="{00000000-0005-0000-0000-0000E40C0000}"/>
    <cellStyle name="Normal 237" xfId="1544" xr:uid="{00000000-0005-0000-0000-0000E50C0000}"/>
    <cellStyle name="Normal 238" xfId="1545" xr:uid="{00000000-0005-0000-0000-0000E60C0000}"/>
    <cellStyle name="Normal 239" xfId="440" xr:uid="{00000000-0005-0000-0000-0000E70C0000}"/>
    <cellStyle name="Normal 24" xfId="350" xr:uid="{00000000-0005-0000-0000-0000E80C0000}"/>
    <cellStyle name="Normal 24 2" xfId="3606" xr:uid="{00000000-0005-0000-0000-0000E90C0000}"/>
    <cellStyle name="Normal 240" xfId="1777" xr:uid="{00000000-0005-0000-0000-0000EA0C0000}"/>
    <cellStyle name="Normal 241" xfId="2933" xr:uid="{00000000-0005-0000-0000-0000EB0C0000}"/>
    <cellStyle name="Normal 242" xfId="4060" xr:uid="{00000000-0005-0000-0000-0000EC0C0000}"/>
    <cellStyle name="Normal 243" xfId="4072" xr:uid="{00000000-0005-0000-0000-0000ED0C0000}"/>
    <cellStyle name="Normal 244" xfId="4074" xr:uid="{00000000-0005-0000-0000-0000EE0C0000}"/>
    <cellStyle name="Normal 245" xfId="4086" xr:uid="{00000000-0005-0000-0000-0000EF0C0000}"/>
    <cellStyle name="Normal 246" xfId="4092" xr:uid="{00000000-0005-0000-0000-0000F00C0000}"/>
    <cellStyle name="Normal 247" xfId="4099" xr:uid="{00000000-0005-0000-0000-0000F10C0000}"/>
    <cellStyle name="Normal 248" xfId="4105" xr:uid="{00000000-0005-0000-0000-0000F20C0000}"/>
    <cellStyle name="Normal 249" xfId="7" xr:uid="{00000000-0005-0000-0000-0000F30C0000}"/>
    <cellStyle name="Normal 25" xfId="351" xr:uid="{00000000-0005-0000-0000-0000F40C0000}"/>
    <cellStyle name="Normal 25 2" xfId="1547" xr:uid="{00000000-0005-0000-0000-0000F50C0000}"/>
    <cellStyle name="Normal 25 3" xfId="3607" xr:uid="{00000000-0005-0000-0000-0000F60C0000}"/>
    <cellStyle name="Normal 26" xfId="352" xr:uid="{00000000-0005-0000-0000-0000F70C0000}"/>
    <cellStyle name="Normal 26 2" xfId="1548" xr:uid="{00000000-0005-0000-0000-0000F80C0000}"/>
    <cellStyle name="Normal 26 3" xfId="3608" xr:uid="{00000000-0005-0000-0000-0000F90C0000}"/>
    <cellStyle name="Normal 27" xfId="353" xr:uid="{00000000-0005-0000-0000-0000FA0C0000}"/>
    <cellStyle name="Normal 27 2" xfId="3609" xr:uid="{00000000-0005-0000-0000-0000FB0C0000}"/>
    <cellStyle name="Normal 28" xfId="354" xr:uid="{00000000-0005-0000-0000-0000FC0C0000}"/>
    <cellStyle name="Normal 28 2" xfId="3610" xr:uid="{00000000-0005-0000-0000-0000FD0C0000}"/>
    <cellStyle name="Normal 29" xfId="355" xr:uid="{00000000-0005-0000-0000-0000FE0C0000}"/>
    <cellStyle name="Normal 29 2" xfId="3611" xr:uid="{00000000-0005-0000-0000-0000FF0C0000}"/>
    <cellStyle name="Normal 3" xfId="131" xr:uid="{00000000-0005-0000-0000-0000000D0000}"/>
    <cellStyle name="Normal 3 10" xfId="3612" xr:uid="{00000000-0005-0000-0000-0000010D0000}"/>
    <cellStyle name="Normal 3 11" xfId="3613" xr:uid="{00000000-0005-0000-0000-0000020D0000}"/>
    <cellStyle name="Normal 3 2" xfId="132" xr:uid="{00000000-0005-0000-0000-0000030D0000}"/>
    <cellStyle name="Normal 3 2 2" xfId="242" xr:uid="{00000000-0005-0000-0000-0000040D0000}"/>
    <cellStyle name="Normal 3 2 2 2" xfId="357" xr:uid="{00000000-0005-0000-0000-0000050D0000}"/>
    <cellStyle name="Normal 3 2 2 3" xfId="3615" xr:uid="{00000000-0005-0000-0000-0000060D0000}"/>
    <cellStyle name="Normal 3 2 3" xfId="356" xr:uid="{00000000-0005-0000-0000-0000070D0000}"/>
    <cellStyle name="Normal 3 2 4" xfId="3614" xr:uid="{00000000-0005-0000-0000-0000080D0000}"/>
    <cellStyle name="Normal 3 3" xfId="163" xr:uid="{00000000-0005-0000-0000-0000090D0000}"/>
    <cellStyle name="Normal 3 3 2" xfId="3616" xr:uid="{00000000-0005-0000-0000-00000A0D0000}"/>
    <cellStyle name="Normal 3 4" xfId="241" xr:uid="{00000000-0005-0000-0000-00000B0D0000}"/>
    <cellStyle name="Normal 3 4 2" xfId="3617" xr:uid="{00000000-0005-0000-0000-00000C0D0000}"/>
    <cellStyle name="Normal 3 5" xfId="1552" xr:uid="{00000000-0005-0000-0000-00000D0D0000}"/>
    <cellStyle name="Normal 3 5 2" xfId="3618" xr:uid="{00000000-0005-0000-0000-00000E0D0000}"/>
    <cellStyle name="Normal 3 6" xfId="3619" xr:uid="{00000000-0005-0000-0000-00000F0D0000}"/>
    <cellStyle name="Normal 3 7" xfId="3620" xr:uid="{00000000-0005-0000-0000-0000100D0000}"/>
    <cellStyle name="Normal 3 8" xfId="3621" xr:uid="{00000000-0005-0000-0000-0000110D0000}"/>
    <cellStyle name="Normal 3 9" xfId="3622" xr:uid="{00000000-0005-0000-0000-0000120D0000}"/>
    <cellStyle name="Normal 30" xfId="358" xr:uid="{00000000-0005-0000-0000-0000130D0000}"/>
    <cellStyle name="Normal 30 2" xfId="3623" xr:uid="{00000000-0005-0000-0000-0000140D0000}"/>
    <cellStyle name="Normal 31" xfId="359" xr:uid="{00000000-0005-0000-0000-0000150D0000}"/>
    <cellStyle name="Normal 31 2" xfId="3625" xr:uid="{00000000-0005-0000-0000-0000160D0000}"/>
    <cellStyle name="Normal 31 2 2" xfId="4085" xr:uid="{00000000-0005-0000-0000-0000170D0000}"/>
    <cellStyle name="Normal 31 2 2 2 2" xfId="4098" xr:uid="{00000000-0005-0000-0000-0000180D0000}"/>
    <cellStyle name="Normal 31 2 2 2 2 2" xfId="4107" xr:uid="{00000000-0005-0000-0000-0000190D0000}"/>
    <cellStyle name="Normal 31 2 3" xfId="4091" xr:uid="{00000000-0005-0000-0000-00001A0D0000}"/>
    <cellStyle name="Normal 31 2 4" xfId="4097" xr:uid="{00000000-0005-0000-0000-00001B0D0000}"/>
    <cellStyle name="Normal 31 2 5" xfId="4106" xr:uid="{00000000-0005-0000-0000-00001C0D0000}"/>
    <cellStyle name="Normal 31 3" xfId="3624" xr:uid="{00000000-0005-0000-0000-00001D0D0000}"/>
    <cellStyle name="Normal 32" xfId="360" xr:uid="{00000000-0005-0000-0000-00001E0D0000}"/>
    <cellStyle name="Normal 33" xfId="361" xr:uid="{00000000-0005-0000-0000-00001F0D0000}"/>
    <cellStyle name="Normal 34" xfId="362" xr:uid="{00000000-0005-0000-0000-0000200D0000}"/>
    <cellStyle name="Normal 35" xfId="363" xr:uid="{00000000-0005-0000-0000-0000210D0000}"/>
    <cellStyle name="Normal 36" xfId="364" xr:uid="{00000000-0005-0000-0000-0000220D0000}"/>
    <cellStyle name="Normal 37" xfId="365" xr:uid="{00000000-0005-0000-0000-0000230D0000}"/>
    <cellStyle name="Normal 38" xfId="366" xr:uid="{00000000-0005-0000-0000-0000240D0000}"/>
    <cellStyle name="Normal 39" xfId="367" xr:uid="{00000000-0005-0000-0000-0000250D0000}"/>
    <cellStyle name="Normal 399" xfId="3" xr:uid="{00000000-0005-0000-0000-0000260D0000}"/>
    <cellStyle name="Normal 4" xfId="160" xr:uid="{00000000-0005-0000-0000-0000270D0000}"/>
    <cellStyle name="Normal 4 10" xfId="3627" xr:uid="{00000000-0005-0000-0000-0000280D0000}"/>
    <cellStyle name="Normal 4 11" xfId="3628" xr:uid="{00000000-0005-0000-0000-0000290D0000}"/>
    <cellStyle name="Normal 4 12" xfId="3629" xr:uid="{00000000-0005-0000-0000-00002A0D0000}"/>
    <cellStyle name="Normal 4 13" xfId="3626" xr:uid="{00000000-0005-0000-0000-00002B0D0000}"/>
    <cellStyle name="Normal 4 2" xfId="219" xr:uid="{00000000-0005-0000-0000-00002C0D0000}"/>
    <cellStyle name="Normal 4 2 2" xfId="3631" xr:uid="{00000000-0005-0000-0000-00002D0D0000}"/>
    <cellStyle name="Normal 4 2 3" xfId="3632" xr:uid="{00000000-0005-0000-0000-00002E0D0000}"/>
    <cellStyle name="Normal 4 2 4" xfId="3630" xr:uid="{00000000-0005-0000-0000-00002F0D0000}"/>
    <cellStyle name="Normal 4 3" xfId="368" xr:uid="{00000000-0005-0000-0000-0000300D0000}"/>
    <cellStyle name="Normal 4 3 2" xfId="3633" xr:uid="{00000000-0005-0000-0000-0000310D0000}"/>
    <cellStyle name="Normal 4 4" xfId="3634" xr:uid="{00000000-0005-0000-0000-0000320D0000}"/>
    <cellStyle name="Normal 4 5" xfId="3635" xr:uid="{00000000-0005-0000-0000-0000330D0000}"/>
    <cellStyle name="Normal 4 6" xfId="3636" xr:uid="{00000000-0005-0000-0000-0000340D0000}"/>
    <cellStyle name="Normal 4 7" xfId="3637" xr:uid="{00000000-0005-0000-0000-0000350D0000}"/>
    <cellStyle name="Normal 4 8" xfId="3638" xr:uid="{00000000-0005-0000-0000-0000360D0000}"/>
    <cellStyle name="Normal 4 9" xfId="3639" xr:uid="{00000000-0005-0000-0000-0000370D0000}"/>
    <cellStyle name="Normal 40" xfId="369" xr:uid="{00000000-0005-0000-0000-0000380D0000}"/>
    <cellStyle name="Normal 41" xfId="370" xr:uid="{00000000-0005-0000-0000-0000390D0000}"/>
    <cellStyle name="Normal 42" xfId="371" xr:uid="{00000000-0005-0000-0000-00003A0D0000}"/>
    <cellStyle name="Normal 43" xfId="372" xr:uid="{00000000-0005-0000-0000-00003B0D0000}"/>
    <cellStyle name="Normal 44" xfId="373" xr:uid="{00000000-0005-0000-0000-00003C0D0000}"/>
    <cellStyle name="Normal 45" xfId="374" xr:uid="{00000000-0005-0000-0000-00003D0D0000}"/>
    <cellStyle name="Normal 46" xfId="375" xr:uid="{00000000-0005-0000-0000-00003E0D0000}"/>
    <cellStyle name="Normal 47" xfId="376" xr:uid="{00000000-0005-0000-0000-00003F0D0000}"/>
    <cellStyle name="Normal 48" xfId="377" xr:uid="{00000000-0005-0000-0000-0000400D0000}"/>
    <cellStyle name="Normal 49" xfId="378" xr:uid="{00000000-0005-0000-0000-0000410D0000}"/>
    <cellStyle name="Normal 5" xfId="170" xr:uid="{00000000-0005-0000-0000-0000420D0000}"/>
    <cellStyle name="Normal 5 10" xfId="3640" xr:uid="{00000000-0005-0000-0000-0000430D0000}"/>
    <cellStyle name="Normal 5 11" xfId="3641" xr:uid="{00000000-0005-0000-0000-0000440D0000}"/>
    <cellStyle name="Normal 5 12" xfId="3642" xr:uid="{00000000-0005-0000-0000-0000450D0000}"/>
    <cellStyle name="Normal 5 2" xfId="244" xr:uid="{00000000-0005-0000-0000-0000460D0000}"/>
    <cellStyle name="Normal 5 2 2" xfId="380" xr:uid="{00000000-0005-0000-0000-0000470D0000}"/>
    <cellStyle name="Normal 5 3" xfId="243" xr:uid="{00000000-0005-0000-0000-0000480D0000}"/>
    <cellStyle name="Normal 5 3 2" xfId="3643" xr:uid="{00000000-0005-0000-0000-0000490D0000}"/>
    <cellStyle name="Normal 5 4" xfId="379" xr:uid="{00000000-0005-0000-0000-00004A0D0000}"/>
    <cellStyle name="Normal 5 4 2" xfId="3644" xr:uid="{00000000-0005-0000-0000-00004B0D0000}"/>
    <cellStyle name="Normal 5 5" xfId="1576" xr:uid="{00000000-0005-0000-0000-00004C0D0000}"/>
    <cellStyle name="Normal 5 5 2" xfId="3645" xr:uid="{00000000-0005-0000-0000-00004D0D0000}"/>
    <cellStyle name="Normal 5 6" xfId="3646" xr:uid="{00000000-0005-0000-0000-00004E0D0000}"/>
    <cellStyle name="Normal 5 7" xfId="3647" xr:uid="{00000000-0005-0000-0000-00004F0D0000}"/>
    <cellStyle name="Normal 5 8" xfId="3648" xr:uid="{00000000-0005-0000-0000-0000500D0000}"/>
    <cellStyle name="Normal 5 9" xfId="3649" xr:uid="{00000000-0005-0000-0000-0000510D0000}"/>
    <cellStyle name="Normal 5_Assumption of Load SCOD_data updated_22 Jun 2010_send out" xfId="3650" xr:uid="{00000000-0005-0000-0000-0000520D0000}"/>
    <cellStyle name="Normal 50" xfId="381" xr:uid="{00000000-0005-0000-0000-0000530D0000}"/>
    <cellStyle name="Normal 51" xfId="382" xr:uid="{00000000-0005-0000-0000-0000540D0000}"/>
    <cellStyle name="Normal 52" xfId="383" xr:uid="{00000000-0005-0000-0000-0000550D0000}"/>
    <cellStyle name="Normal 53" xfId="384" xr:uid="{00000000-0005-0000-0000-0000560D0000}"/>
    <cellStyle name="Normal 54" xfId="385" xr:uid="{00000000-0005-0000-0000-0000570D0000}"/>
    <cellStyle name="Normal 55" xfId="386" xr:uid="{00000000-0005-0000-0000-0000580D0000}"/>
    <cellStyle name="Normal 56" xfId="387" xr:uid="{00000000-0005-0000-0000-0000590D0000}"/>
    <cellStyle name="Normal 57" xfId="388" xr:uid="{00000000-0005-0000-0000-00005A0D0000}"/>
    <cellStyle name="Normal 58" xfId="389" xr:uid="{00000000-0005-0000-0000-00005B0D0000}"/>
    <cellStyle name="Normal 59" xfId="390" xr:uid="{00000000-0005-0000-0000-00005C0D0000}"/>
    <cellStyle name="Normal 6" xfId="161" xr:uid="{00000000-0005-0000-0000-00005D0D0000}"/>
    <cellStyle name="Normal 6 10" xfId="3651" xr:uid="{00000000-0005-0000-0000-00005E0D0000}"/>
    <cellStyle name="Normal 6 11" xfId="3652" xr:uid="{00000000-0005-0000-0000-00005F0D0000}"/>
    <cellStyle name="Normal 6 2" xfId="246" xr:uid="{00000000-0005-0000-0000-0000600D0000}"/>
    <cellStyle name="Normal 6 2 2" xfId="1590" xr:uid="{00000000-0005-0000-0000-0000610D0000}"/>
    <cellStyle name="Normal 6 2 2 2" xfId="3653" xr:uid="{00000000-0005-0000-0000-0000620D0000}"/>
    <cellStyle name="Normal 6 2 3" xfId="1589" xr:uid="{00000000-0005-0000-0000-0000630D0000}"/>
    <cellStyle name="Normal 6 3" xfId="245" xr:uid="{00000000-0005-0000-0000-0000640D0000}"/>
    <cellStyle name="Normal 6 3 2" xfId="3654" xr:uid="{00000000-0005-0000-0000-0000650D0000}"/>
    <cellStyle name="Normal 6 4" xfId="391" xr:uid="{00000000-0005-0000-0000-0000660D0000}"/>
    <cellStyle name="Normal 6 4 2" xfId="3655" xr:uid="{00000000-0005-0000-0000-0000670D0000}"/>
    <cellStyle name="Normal 6 5" xfId="3656" xr:uid="{00000000-0005-0000-0000-0000680D0000}"/>
    <cellStyle name="Normal 6 6" xfId="3657" xr:uid="{00000000-0005-0000-0000-0000690D0000}"/>
    <cellStyle name="Normal 6 7" xfId="3658" xr:uid="{00000000-0005-0000-0000-00006A0D0000}"/>
    <cellStyle name="Normal 6 8" xfId="3659" xr:uid="{00000000-0005-0000-0000-00006B0D0000}"/>
    <cellStyle name="Normal 6 9" xfId="3660" xr:uid="{00000000-0005-0000-0000-00006C0D0000}"/>
    <cellStyle name="Normal 60" xfId="392" xr:uid="{00000000-0005-0000-0000-00006D0D0000}"/>
    <cellStyle name="Normal 61" xfId="393" xr:uid="{00000000-0005-0000-0000-00006E0D0000}"/>
    <cellStyle name="Normal 62" xfId="394" xr:uid="{00000000-0005-0000-0000-00006F0D0000}"/>
    <cellStyle name="Normal 63" xfId="395" xr:uid="{00000000-0005-0000-0000-0000700D0000}"/>
    <cellStyle name="Normal 64" xfId="396" xr:uid="{00000000-0005-0000-0000-0000710D0000}"/>
    <cellStyle name="Normal 65" xfId="397" xr:uid="{00000000-0005-0000-0000-0000720D0000}"/>
    <cellStyle name="Normal 66" xfId="398" xr:uid="{00000000-0005-0000-0000-0000730D0000}"/>
    <cellStyle name="Normal 67" xfId="399" xr:uid="{00000000-0005-0000-0000-0000740D0000}"/>
    <cellStyle name="Normal 68" xfId="400" xr:uid="{00000000-0005-0000-0000-0000750D0000}"/>
    <cellStyle name="Normal 69" xfId="401" xr:uid="{00000000-0005-0000-0000-0000760D0000}"/>
    <cellStyle name="Normal 7" xfId="164" xr:uid="{00000000-0005-0000-0000-0000770D0000}"/>
    <cellStyle name="Normal 7 10" xfId="3661" xr:uid="{00000000-0005-0000-0000-0000780D0000}"/>
    <cellStyle name="Normal 7 11" xfId="3662" xr:uid="{00000000-0005-0000-0000-0000790D0000}"/>
    <cellStyle name="Normal 7 2" xfId="248" xr:uid="{00000000-0005-0000-0000-00007A0D0000}"/>
    <cellStyle name="Normal 7 2 2" xfId="1602" xr:uid="{00000000-0005-0000-0000-00007B0D0000}"/>
    <cellStyle name="Normal 7 2 2 2" xfId="3663" xr:uid="{00000000-0005-0000-0000-00007C0D0000}"/>
    <cellStyle name="Normal 7 3" xfId="247" xr:uid="{00000000-0005-0000-0000-00007D0D0000}"/>
    <cellStyle name="Normal 7 3 2" xfId="3664" xr:uid="{00000000-0005-0000-0000-00007E0D0000}"/>
    <cellStyle name="Normal 7 4" xfId="402" xr:uid="{00000000-0005-0000-0000-00007F0D0000}"/>
    <cellStyle name="Normal 7 4 2" xfId="3665" xr:uid="{00000000-0005-0000-0000-0000800D0000}"/>
    <cellStyle name="Normal 7 5" xfId="3666" xr:uid="{00000000-0005-0000-0000-0000810D0000}"/>
    <cellStyle name="Normal 7 6" xfId="3667" xr:uid="{00000000-0005-0000-0000-0000820D0000}"/>
    <cellStyle name="Normal 7 7" xfId="3668" xr:uid="{00000000-0005-0000-0000-0000830D0000}"/>
    <cellStyle name="Normal 7 8" xfId="3669" xr:uid="{00000000-0005-0000-0000-0000840D0000}"/>
    <cellStyle name="Normal 7 9" xfId="3670" xr:uid="{00000000-0005-0000-0000-0000850D0000}"/>
    <cellStyle name="Normal 70" xfId="403" xr:uid="{00000000-0005-0000-0000-0000860D0000}"/>
    <cellStyle name="Normal 71" xfId="404" xr:uid="{00000000-0005-0000-0000-0000870D0000}"/>
    <cellStyle name="Normal 72" xfId="405" xr:uid="{00000000-0005-0000-0000-0000880D0000}"/>
    <cellStyle name="Normal 73" xfId="406" xr:uid="{00000000-0005-0000-0000-0000890D0000}"/>
    <cellStyle name="Normal 74" xfId="407" xr:uid="{00000000-0005-0000-0000-00008A0D0000}"/>
    <cellStyle name="Normal 75" xfId="408" xr:uid="{00000000-0005-0000-0000-00008B0D0000}"/>
    <cellStyle name="Normal 76" xfId="409" xr:uid="{00000000-0005-0000-0000-00008C0D0000}"/>
    <cellStyle name="Normal 77" xfId="410" xr:uid="{00000000-0005-0000-0000-00008D0D0000}"/>
    <cellStyle name="Normal 78" xfId="411" xr:uid="{00000000-0005-0000-0000-00008E0D0000}"/>
    <cellStyle name="Normal 79" xfId="412" xr:uid="{00000000-0005-0000-0000-00008F0D0000}"/>
    <cellStyle name="Normal 8" xfId="172" xr:uid="{00000000-0005-0000-0000-0000900D0000}"/>
    <cellStyle name="Normal 8 10" xfId="1614" xr:uid="{00000000-0005-0000-0000-0000910D0000}"/>
    <cellStyle name="Normal 8 11" xfId="1615" xr:uid="{00000000-0005-0000-0000-0000920D0000}"/>
    <cellStyle name="Normal 8 12" xfId="1616" xr:uid="{00000000-0005-0000-0000-0000930D0000}"/>
    <cellStyle name="Normal 8 13" xfId="1617" xr:uid="{00000000-0005-0000-0000-0000940D0000}"/>
    <cellStyle name="Normal 8 14" xfId="1618" xr:uid="{00000000-0005-0000-0000-0000950D0000}"/>
    <cellStyle name="Normal 8 15" xfId="1619" xr:uid="{00000000-0005-0000-0000-0000960D0000}"/>
    <cellStyle name="Normal 8 16" xfId="1620" xr:uid="{00000000-0005-0000-0000-0000970D0000}"/>
    <cellStyle name="Normal 8 17" xfId="1621" xr:uid="{00000000-0005-0000-0000-0000980D0000}"/>
    <cellStyle name="Normal 8 18" xfId="1622" xr:uid="{00000000-0005-0000-0000-0000990D0000}"/>
    <cellStyle name="Normal 8 19" xfId="1623" xr:uid="{00000000-0005-0000-0000-00009A0D0000}"/>
    <cellStyle name="Normal 8 2" xfId="249" xr:uid="{00000000-0005-0000-0000-00009B0D0000}"/>
    <cellStyle name="Normal 8 2 2" xfId="414" xr:uid="{00000000-0005-0000-0000-00009C0D0000}"/>
    <cellStyle name="Normal 8 2 2 2" xfId="1625" xr:uid="{00000000-0005-0000-0000-00009D0D0000}"/>
    <cellStyle name="Normal 8 2 3" xfId="1624" xr:uid="{00000000-0005-0000-0000-00009E0D0000}"/>
    <cellStyle name="Normal 8 20" xfId="1626" xr:uid="{00000000-0005-0000-0000-00009F0D0000}"/>
    <cellStyle name="Normal 8 21" xfId="1627" xr:uid="{00000000-0005-0000-0000-0000A00D0000}"/>
    <cellStyle name="Normal 8 22" xfId="1628" xr:uid="{00000000-0005-0000-0000-0000A10D0000}"/>
    <cellStyle name="Normal 8 23" xfId="1629" xr:uid="{00000000-0005-0000-0000-0000A20D0000}"/>
    <cellStyle name="Normal 8 3" xfId="413" xr:uid="{00000000-0005-0000-0000-0000A30D0000}"/>
    <cellStyle name="Normal 8 3 2" xfId="1630" xr:uid="{00000000-0005-0000-0000-0000A40D0000}"/>
    <cellStyle name="Normal 8 4" xfId="1631" xr:uid="{00000000-0005-0000-0000-0000A50D0000}"/>
    <cellStyle name="Normal 8 5" xfId="1632" xr:uid="{00000000-0005-0000-0000-0000A60D0000}"/>
    <cellStyle name="Normal 8 6" xfId="1633" xr:uid="{00000000-0005-0000-0000-0000A70D0000}"/>
    <cellStyle name="Normal 8 7" xfId="1634" xr:uid="{00000000-0005-0000-0000-0000A80D0000}"/>
    <cellStyle name="Normal 8 8" xfId="1635" xr:uid="{00000000-0005-0000-0000-0000A90D0000}"/>
    <cellStyle name="Normal 8 9" xfId="1636" xr:uid="{00000000-0005-0000-0000-0000AA0D0000}"/>
    <cellStyle name="Normal 80" xfId="415" xr:uid="{00000000-0005-0000-0000-0000AB0D0000}"/>
    <cellStyle name="Normal 81" xfId="416" xr:uid="{00000000-0005-0000-0000-0000AC0D0000}"/>
    <cellStyle name="Normal 82" xfId="417" xr:uid="{00000000-0005-0000-0000-0000AD0D0000}"/>
    <cellStyle name="Normal 83" xfId="418" xr:uid="{00000000-0005-0000-0000-0000AE0D0000}"/>
    <cellStyle name="Normal 84" xfId="419" xr:uid="{00000000-0005-0000-0000-0000AF0D0000}"/>
    <cellStyle name="Normal 85" xfId="420" xr:uid="{00000000-0005-0000-0000-0000B00D0000}"/>
    <cellStyle name="Normal 85 2" xfId="1642" xr:uid="{00000000-0005-0000-0000-0000B10D0000}"/>
    <cellStyle name="Normal 86" xfId="421" xr:uid="{00000000-0005-0000-0000-0000B20D0000}"/>
    <cellStyle name="Normal 87" xfId="422" xr:uid="{00000000-0005-0000-0000-0000B30D0000}"/>
    <cellStyle name="Normal 88" xfId="423" xr:uid="{00000000-0005-0000-0000-0000B40D0000}"/>
    <cellStyle name="Normal 88 2" xfId="424" xr:uid="{00000000-0005-0000-0000-0000B50D0000}"/>
    <cellStyle name="Normal 89" xfId="260" xr:uid="{00000000-0005-0000-0000-0000B60D0000}"/>
    <cellStyle name="Normal 89 2" xfId="1647" xr:uid="{00000000-0005-0000-0000-0000B70D0000}"/>
    <cellStyle name="Normal 9" xfId="173" xr:uid="{00000000-0005-0000-0000-0000B80D0000}"/>
    <cellStyle name="Normal 9 2" xfId="251" xr:uid="{00000000-0005-0000-0000-0000B90D0000}"/>
    <cellStyle name="Normal 9 3" xfId="250" xr:uid="{00000000-0005-0000-0000-0000BA0D0000}"/>
    <cellStyle name="Normal 90" xfId="436" xr:uid="{00000000-0005-0000-0000-0000BB0D0000}"/>
    <cellStyle name="Normal 90 2" xfId="1649" xr:uid="{00000000-0005-0000-0000-0000BC0D0000}"/>
    <cellStyle name="Normal 91" xfId="437" xr:uid="{00000000-0005-0000-0000-0000BD0D0000}"/>
    <cellStyle name="Normal 91 2" xfId="1650" xr:uid="{00000000-0005-0000-0000-0000BE0D0000}"/>
    <cellStyle name="Normal 92" xfId="438" xr:uid="{00000000-0005-0000-0000-0000BF0D0000}"/>
    <cellStyle name="Normal 92 2" xfId="1651" xr:uid="{00000000-0005-0000-0000-0000C00D0000}"/>
    <cellStyle name="Normal 93" xfId="439" xr:uid="{00000000-0005-0000-0000-0000C10D0000}"/>
    <cellStyle name="Normal 93 2" xfId="1652" xr:uid="{00000000-0005-0000-0000-0000C20D0000}"/>
    <cellStyle name="Normal 94" xfId="1653" xr:uid="{00000000-0005-0000-0000-0000C30D0000}"/>
    <cellStyle name="Normal 95" xfId="1654" xr:uid="{00000000-0005-0000-0000-0000C40D0000}"/>
    <cellStyle name="Normal 96" xfId="1655" xr:uid="{00000000-0005-0000-0000-0000C50D0000}"/>
    <cellStyle name="Normal 96 2" xfId="1656" xr:uid="{00000000-0005-0000-0000-0000C60D0000}"/>
    <cellStyle name="Normal 97" xfId="1657" xr:uid="{00000000-0005-0000-0000-0000C70D0000}"/>
    <cellStyle name="Normal 98" xfId="1658" xr:uid="{00000000-0005-0000-0000-0000C80D0000}"/>
    <cellStyle name="Normal 99" xfId="1659" xr:uid="{00000000-0005-0000-0000-0000C90D0000}"/>
    <cellStyle name="Note 10" xfId="3671" xr:uid="{00000000-0005-0000-0000-0000CA0D0000}"/>
    <cellStyle name="Note 11" xfId="3672" xr:uid="{00000000-0005-0000-0000-0000CB0D0000}"/>
    <cellStyle name="Note 12" xfId="3673" xr:uid="{00000000-0005-0000-0000-0000CC0D0000}"/>
    <cellStyle name="Note 13" xfId="3674" xr:uid="{00000000-0005-0000-0000-0000CD0D0000}"/>
    <cellStyle name="Note 14" xfId="3675" xr:uid="{00000000-0005-0000-0000-0000CE0D0000}"/>
    <cellStyle name="Note 15" xfId="3676" xr:uid="{00000000-0005-0000-0000-0000CF0D0000}"/>
    <cellStyle name="Note 16" xfId="133" xr:uid="{00000000-0005-0000-0000-0000D00D0000}"/>
    <cellStyle name="Note 2" xfId="134" xr:uid="{00000000-0005-0000-0000-0000D10D0000}"/>
    <cellStyle name="Note 2 10" xfId="3678" xr:uid="{00000000-0005-0000-0000-0000D20D0000}"/>
    <cellStyle name="Note 2 11" xfId="3679" xr:uid="{00000000-0005-0000-0000-0000D30D0000}"/>
    <cellStyle name="Note 2 12" xfId="3677" xr:uid="{00000000-0005-0000-0000-0000D40D0000}"/>
    <cellStyle name="Note 2 2" xfId="1662" xr:uid="{00000000-0005-0000-0000-0000D50D0000}"/>
    <cellStyle name="Note 2 2 2" xfId="3680" xr:uid="{00000000-0005-0000-0000-0000D60D0000}"/>
    <cellStyle name="Note 2 3" xfId="3681" xr:uid="{00000000-0005-0000-0000-0000D70D0000}"/>
    <cellStyle name="Note 2 4" xfId="3682" xr:uid="{00000000-0005-0000-0000-0000D80D0000}"/>
    <cellStyle name="Note 2 5" xfId="3683" xr:uid="{00000000-0005-0000-0000-0000D90D0000}"/>
    <cellStyle name="Note 2 6" xfId="3684" xr:uid="{00000000-0005-0000-0000-0000DA0D0000}"/>
    <cellStyle name="Note 2 7" xfId="3685" xr:uid="{00000000-0005-0000-0000-0000DB0D0000}"/>
    <cellStyle name="Note 2 8" xfId="3686" xr:uid="{00000000-0005-0000-0000-0000DC0D0000}"/>
    <cellStyle name="Note 2 9" xfId="3687" xr:uid="{00000000-0005-0000-0000-0000DD0D0000}"/>
    <cellStyle name="Note 3" xfId="135" xr:uid="{00000000-0005-0000-0000-0000DE0D0000}"/>
    <cellStyle name="Note 3 10" xfId="3689" xr:uid="{00000000-0005-0000-0000-0000DF0D0000}"/>
    <cellStyle name="Note 3 11" xfId="3690" xr:uid="{00000000-0005-0000-0000-0000E00D0000}"/>
    <cellStyle name="Note 3 12" xfId="3688" xr:uid="{00000000-0005-0000-0000-0000E10D0000}"/>
    <cellStyle name="Note 3 2" xfId="3691" xr:uid="{00000000-0005-0000-0000-0000E20D0000}"/>
    <cellStyle name="Note 3 3" xfId="3692" xr:uid="{00000000-0005-0000-0000-0000E30D0000}"/>
    <cellStyle name="Note 3 4" xfId="3693" xr:uid="{00000000-0005-0000-0000-0000E40D0000}"/>
    <cellStyle name="Note 3 5" xfId="3694" xr:uid="{00000000-0005-0000-0000-0000E50D0000}"/>
    <cellStyle name="Note 3 6" xfId="3695" xr:uid="{00000000-0005-0000-0000-0000E60D0000}"/>
    <cellStyle name="Note 3 7" xfId="3696" xr:uid="{00000000-0005-0000-0000-0000E70D0000}"/>
    <cellStyle name="Note 3 8" xfId="3697" xr:uid="{00000000-0005-0000-0000-0000E80D0000}"/>
    <cellStyle name="Note 3 9" xfId="3698" xr:uid="{00000000-0005-0000-0000-0000E90D0000}"/>
    <cellStyle name="Note 4" xfId="1664" xr:uid="{00000000-0005-0000-0000-0000EA0D0000}"/>
    <cellStyle name="Note 4 10" xfId="3700" xr:uid="{00000000-0005-0000-0000-0000EB0D0000}"/>
    <cellStyle name="Note 4 11" xfId="3701" xr:uid="{00000000-0005-0000-0000-0000EC0D0000}"/>
    <cellStyle name="Note 4 12" xfId="3699" xr:uid="{00000000-0005-0000-0000-0000ED0D0000}"/>
    <cellStyle name="Note 4 2" xfId="3702" xr:uid="{00000000-0005-0000-0000-0000EE0D0000}"/>
    <cellStyle name="Note 4 3" xfId="3703" xr:uid="{00000000-0005-0000-0000-0000EF0D0000}"/>
    <cellStyle name="Note 4 4" xfId="3704" xr:uid="{00000000-0005-0000-0000-0000F00D0000}"/>
    <cellStyle name="Note 4 5" xfId="3705" xr:uid="{00000000-0005-0000-0000-0000F10D0000}"/>
    <cellStyle name="Note 4 6" xfId="3706" xr:uid="{00000000-0005-0000-0000-0000F20D0000}"/>
    <cellStyle name="Note 4 7" xfId="3707" xr:uid="{00000000-0005-0000-0000-0000F30D0000}"/>
    <cellStyle name="Note 4 8" xfId="3708" xr:uid="{00000000-0005-0000-0000-0000F40D0000}"/>
    <cellStyle name="Note 4 9" xfId="3709" xr:uid="{00000000-0005-0000-0000-0000F50D0000}"/>
    <cellStyle name="Note 5" xfId="3710" xr:uid="{00000000-0005-0000-0000-0000F60D0000}"/>
    <cellStyle name="Note 5 10" xfId="3711" xr:uid="{00000000-0005-0000-0000-0000F70D0000}"/>
    <cellStyle name="Note 5 11" xfId="3712" xr:uid="{00000000-0005-0000-0000-0000F80D0000}"/>
    <cellStyle name="Note 5 2" xfId="3713" xr:uid="{00000000-0005-0000-0000-0000F90D0000}"/>
    <cellStyle name="Note 5 3" xfId="3714" xr:uid="{00000000-0005-0000-0000-0000FA0D0000}"/>
    <cellStyle name="Note 5 4" xfId="3715" xr:uid="{00000000-0005-0000-0000-0000FB0D0000}"/>
    <cellStyle name="Note 5 5" xfId="3716" xr:uid="{00000000-0005-0000-0000-0000FC0D0000}"/>
    <cellStyle name="Note 5 6" xfId="3717" xr:uid="{00000000-0005-0000-0000-0000FD0D0000}"/>
    <cellStyle name="Note 5 7" xfId="3718" xr:uid="{00000000-0005-0000-0000-0000FE0D0000}"/>
    <cellStyle name="Note 5 8" xfId="3719" xr:uid="{00000000-0005-0000-0000-0000FF0D0000}"/>
    <cellStyle name="Note 5 9" xfId="3720" xr:uid="{00000000-0005-0000-0000-0000000E0000}"/>
    <cellStyle name="Note 6" xfId="3721" xr:uid="{00000000-0005-0000-0000-0000010E0000}"/>
    <cellStyle name="Note 7" xfId="3722" xr:uid="{00000000-0005-0000-0000-0000020E0000}"/>
    <cellStyle name="Note 8" xfId="3723" xr:uid="{00000000-0005-0000-0000-0000030E0000}"/>
    <cellStyle name="Note 9" xfId="3724" xr:uid="{00000000-0005-0000-0000-0000040E0000}"/>
    <cellStyle name="Output 10" xfId="3725" xr:uid="{00000000-0005-0000-0000-0000050E0000}"/>
    <cellStyle name="Output 11" xfId="3726" xr:uid="{00000000-0005-0000-0000-0000060E0000}"/>
    <cellStyle name="Output 12" xfId="3727" xr:uid="{00000000-0005-0000-0000-0000070E0000}"/>
    <cellStyle name="Output 13" xfId="3728" xr:uid="{00000000-0005-0000-0000-0000080E0000}"/>
    <cellStyle name="Output 14" xfId="3729" xr:uid="{00000000-0005-0000-0000-0000090E0000}"/>
    <cellStyle name="Output 15" xfId="3730" xr:uid="{00000000-0005-0000-0000-00000A0E0000}"/>
    <cellStyle name="Output 16" xfId="136" xr:uid="{00000000-0005-0000-0000-00000B0E0000}"/>
    <cellStyle name="Output 2" xfId="137" xr:uid="{00000000-0005-0000-0000-00000C0E0000}"/>
    <cellStyle name="Output 2 10" xfId="3732" xr:uid="{00000000-0005-0000-0000-00000D0E0000}"/>
    <cellStyle name="Output 2 11" xfId="3733" xr:uid="{00000000-0005-0000-0000-00000E0E0000}"/>
    <cellStyle name="Output 2 12" xfId="3731" xr:uid="{00000000-0005-0000-0000-00000F0E0000}"/>
    <cellStyle name="Output 2 2" xfId="1665" xr:uid="{00000000-0005-0000-0000-0000100E0000}"/>
    <cellStyle name="Output 2 2 2" xfId="3734" xr:uid="{00000000-0005-0000-0000-0000110E0000}"/>
    <cellStyle name="Output 2 3" xfId="3735" xr:uid="{00000000-0005-0000-0000-0000120E0000}"/>
    <cellStyle name="Output 2 4" xfId="3736" xr:uid="{00000000-0005-0000-0000-0000130E0000}"/>
    <cellStyle name="Output 2 5" xfId="3737" xr:uid="{00000000-0005-0000-0000-0000140E0000}"/>
    <cellStyle name="Output 2 6" xfId="3738" xr:uid="{00000000-0005-0000-0000-0000150E0000}"/>
    <cellStyle name="Output 2 7" xfId="3739" xr:uid="{00000000-0005-0000-0000-0000160E0000}"/>
    <cellStyle name="Output 2 8" xfId="3740" xr:uid="{00000000-0005-0000-0000-0000170E0000}"/>
    <cellStyle name="Output 2 9" xfId="3741" xr:uid="{00000000-0005-0000-0000-0000180E0000}"/>
    <cellStyle name="Output 3" xfId="138" xr:uid="{00000000-0005-0000-0000-0000190E0000}"/>
    <cellStyle name="Output 3 10" xfId="3743" xr:uid="{00000000-0005-0000-0000-00001A0E0000}"/>
    <cellStyle name="Output 3 11" xfId="3744" xr:uid="{00000000-0005-0000-0000-00001B0E0000}"/>
    <cellStyle name="Output 3 12" xfId="3742" xr:uid="{00000000-0005-0000-0000-00001C0E0000}"/>
    <cellStyle name="Output 3 2" xfId="3745" xr:uid="{00000000-0005-0000-0000-00001D0E0000}"/>
    <cellStyle name="Output 3 3" xfId="3746" xr:uid="{00000000-0005-0000-0000-00001E0E0000}"/>
    <cellStyle name="Output 3 4" xfId="3747" xr:uid="{00000000-0005-0000-0000-00001F0E0000}"/>
    <cellStyle name="Output 3 5" xfId="3748" xr:uid="{00000000-0005-0000-0000-0000200E0000}"/>
    <cellStyle name="Output 3 6" xfId="3749" xr:uid="{00000000-0005-0000-0000-0000210E0000}"/>
    <cellStyle name="Output 3 7" xfId="3750" xr:uid="{00000000-0005-0000-0000-0000220E0000}"/>
    <cellStyle name="Output 3 8" xfId="3751" xr:uid="{00000000-0005-0000-0000-0000230E0000}"/>
    <cellStyle name="Output 3 9" xfId="3752" xr:uid="{00000000-0005-0000-0000-0000240E0000}"/>
    <cellStyle name="Output 4" xfId="1667" xr:uid="{00000000-0005-0000-0000-0000250E0000}"/>
    <cellStyle name="Output 4 10" xfId="3754" xr:uid="{00000000-0005-0000-0000-0000260E0000}"/>
    <cellStyle name="Output 4 11" xfId="3755" xr:uid="{00000000-0005-0000-0000-0000270E0000}"/>
    <cellStyle name="Output 4 12" xfId="3753" xr:uid="{00000000-0005-0000-0000-0000280E0000}"/>
    <cellStyle name="Output 4 2" xfId="3756" xr:uid="{00000000-0005-0000-0000-0000290E0000}"/>
    <cellStyle name="Output 4 3" xfId="3757" xr:uid="{00000000-0005-0000-0000-00002A0E0000}"/>
    <cellStyle name="Output 4 4" xfId="3758" xr:uid="{00000000-0005-0000-0000-00002B0E0000}"/>
    <cellStyle name="Output 4 5" xfId="3759" xr:uid="{00000000-0005-0000-0000-00002C0E0000}"/>
    <cellStyle name="Output 4 6" xfId="3760" xr:uid="{00000000-0005-0000-0000-00002D0E0000}"/>
    <cellStyle name="Output 4 7" xfId="3761" xr:uid="{00000000-0005-0000-0000-00002E0E0000}"/>
    <cellStyle name="Output 4 8" xfId="3762" xr:uid="{00000000-0005-0000-0000-00002F0E0000}"/>
    <cellStyle name="Output 4 9" xfId="3763" xr:uid="{00000000-0005-0000-0000-0000300E0000}"/>
    <cellStyle name="Output 5" xfId="3764" xr:uid="{00000000-0005-0000-0000-0000310E0000}"/>
    <cellStyle name="Output 5 10" xfId="3765" xr:uid="{00000000-0005-0000-0000-0000320E0000}"/>
    <cellStyle name="Output 5 11" xfId="3766" xr:uid="{00000000-0005-0000-0000-0000330E0000}"/>
    <cellStyle name="Output 5 2" xfId="3767" xr:uid="{00000000-0005-0000-0000-0000340E0000}"/>
    <cellStyle name="Output 5 3" xfId="3768" xr:uid="{00000000-0005-0000-0000-0000350E0000}"/>
    <cellStyle name="Output 5 4" xfId="3769" xr:uid="{00000000-0005-0000-0000-0000360E0000}"/>
    <cellStyle name="Output 5 5" xfId="3770" xr:uid="{00000000-0005-0000-0000-0000370E0000}"/>
    <cellStyle name="Output 5 6" xfId="3771" xr:uid="{00000000-0005-0000-0000-0000380E0000}"/>
    <cellStyle name="Output 5 7" xfId="3772" xr:uid="{00000000-0005-0000-0000-0000390E0000}"/>
    <cellStyle name="Output 5 8" xfId="3773" xr:uid="{00000000-0005-0000-0000-00003A0E0000}"/>
    <cellStyle name="Output 5 9" xfId="3774" xr:uid="{00000000-0005-0000-0000-00003B0E0000}"/>
    <cellStyle name="Output 6" xfId="3775" xr:uid="{00000000-0005-0000-0000-00003C0E0000}"/>
    <cellStyle name="Output 7" xfId="3776" xr:uid="{00000000-0005-0000-0000-00003D0E0000}"/>
    <cellStyle name="Output 8" xfId="3777" xr:uid="{00000000-0005-0000-0000-00003E0E0000}"/>
    <cellStyle name="Output 9" xfId="3778" xr:uid="{00000000-0005-0000-0000-00003F0E0000}"/>
    <cellStyle name="PATHEnvVariable֌_x0008_e4" xfId="3779" xr:uid="{00000000-0005-0000-0000-0000400E0000}"/>
    <cellStyle name="Percent" xfId="2" builtinId="5"/>
    <cellStyle name="Percent [2]" xfId="425" xr:uid="{00000000-0005-0000-0000-0000420E0000}"/>
    <cellStyle name="Percent 2" xfId="171" xr:uid="{00000000-0005-0000-0000-0000430E0000}"/>
    <cellStyle name="Percent 2 2" xfId="252" xr:uid="{00000000-0005-0000-0000-0000440E0000}"/>
    <cellStyle name="Percent 2 2 2" xfId="1671" xr:uid="{00000000-0005-0000-0000-0000450E0000}"/>
    <cellStyle name="Percent 2 2 3" xfId="3780" xr:uid="{00000000-0005-0000-0000-0000460E0000}"/>
    <cellStyle name="Percent 2 3" xfId="426" xr:uid="{00000000-0005-0000-0000-0000470E0000}"/>
    <cellStyle name="Percent 3" xfId="253" xr:uid="{00000000-0005-0000-0000-0000480E0000}"/>
    <cellStyle name="Percent 3 2" xfId="428" xr:uid="{00000000-0005-0000-0000-0000490E0000}"/>
    <cellStyle name="Percent 3 3" xfId="427" xr:uid="{00000000-0005-0000-0000-00004A0E0000}"/>
    <cellStyle name="Percent 3 3 2" xfId="1674" xr:uid="{00000000-0005-0000-0000-00004B0E0000}"/>
    <cellStyle name="Percent 3 4" xfId="3781" xr:uid="{00000000-0005-0000-0000-00004C0E0000}"/>
    <cellStyle name="Percent 4" xfId="254" xr:uid="{00000000-0005-0000-0000-00004D0E0000}"/>
    <cellStyle name="Percent 4 2" xfId="429" xr:uid="{00000000-0005-0000-0000-00004E0E0000}"/>
    <cellStyle name="Percent 4 3" xfId="1675" xr:uid="{00000000-0005-0000-0000-00004F0E0000}"/>
    <cellStyle name="Percent 4 4" xfId="3782" xr:uid="{00000000-0005-0000-0000-0000500E0000}"/>
    <cellStyle name="Percent 5" xfId="255" xr:uid="{00000000-0005-0000-0000-0000510E0000}"/>
    <cellStyle name="Percent 5 2" xfId="1676" xr:uid="{00000000-0005-0000-0000-0000520E0000}"/>
    <cellStyle name="Percent 6" xfId="1677" xr:uid="{00000000-0005-0000-0000-0000530E0000}"/>
    <cellStyle name="Percent 6 2" xfId="3783" xr:uid="{00000000-0005-0000-0000-0000540E0000}"/>
    <cellStyle name="Percent 7" xfId="1668" xr:uid="{00000000-0005-0000-0000-0000550E0000}"/>
    <cellStyle name="Percent 8" xfId="2818" xr:uid="{00000000-0005-0000-0000-0000560E0000}"/>
    <cellStyle name="PERCENTAGE" xfId="430" xr:uid="{00000000-0005-0000-0000-0000570E0000}"/>
    <cellStyle name="ProjectPDP" xfId="3784" xr:uid="{00000000-0005-0000-0000-0000580E0000}"/>
    <cellStyle name="Quantity" xfId="431" xr:uid="{00000000-0005-0000-0000-0000590E0000}"/>
    <cellStyle name="report" xfId="3785" xr:uid="{00000000-0005-0000-0000-00005A0E0000}"/>
    <cellStyle name="SAPBEXaggData" xfId="139" xr:uid="{00000000-0005-0000-0000-00005B0E0000}"/>
    <cellStyle name="SAPBEXaggData 2" xfId="175" xr:uid="{00000000-0005-0000-0000-00005C0E0000}"/>
    <cellStyle name="SAPBEXaggData 2 2" xfId="1681" xr:uid="{00000000-0005-0000-0000-00005D0E0000}"/>
    <cellStyle name="SAPBEXaggDataEmph" xfId="176" xr:uid="{00000000-0005-0000-0000-00005E0E0000}"/>
    <cellStyle name="SAPBEXaggDataEmph 2" xfId="1683" xr:uid="{00000000-0005-0000-0000-00005F0E0000}"/>
    <cellStyle name="SAPBEXaggDataEmph 3" xfId="1682" xr:uid="{00000000-0005-0000-0000-0000600E0000}"/>
    <cellStyle name="SAPBEXaggItem" xfId="140" xr:uid="{00000000-0005-0000-0000-0000610E0000}"/>
    <cellStyle name="SAPBEXaggItem 2" xfId="177" xr:uid="{00000000-0005-0000-0000-0000620E0000}"/>
    <cellStyle name="SAPBEXaggItem 3" xfId="1686" xr:uid="{00000000-0005-0000-0000-0000630E0000}"/>
    <cellStyle name="SAPBEXaggItemX" xfId="178" xr:uid="{00000000-0005-0000-0000-0000640E0000}"/>
    <cellStyle name="SAPBEXaggItemX 2" xfId="1688" xr:uid="{00000000-0005-0000-0000-0000650E0000}"/>
    <cellStyle name="SAPBEXaggItemX 3" xfId="1687" xr:uid="{00000000-0005-0000-0000-0000660E0000}"/>
    <cellStyle name="SAPBEXchaText" xfId="141" xr:uid="{00000000-0005-0000-0000-0000670E0000}"/>
    <cellStyle name="SAPBEXchaText 2" xfId="179" xr:uid="{00000000-0005-0000-0000-0000680E0000}"/>
    <cellStyle name="SAPBEXchaText 3" xfId="1691" xr:uid="{00000000-0005-0000-0000-0000690E0000}"/>
    <cellStyle name="SAPBEXchaText 3 2" xfId="3786" xr:uid="{00000000-0005-0000-0000-00006A0E0000}"/>
    <cellStyle name="SAPBEXchaText 4" xfId="3787" xr:uid="{00000000-0005-0000-0000-00006B0E0000}"/>
    <cellStyle name="SAPBEXchaText 5" xfId="3788" xr:uid="{00000000-0005-0000-0000-00006C0E0000}"/>
    <cellStyle name="SAPBEXchaText 6" xfId="3789" xr:uid="{00000000-0005-0000-0000-00006D0E0000}"/>
    <cellStyle name="SAPBEXchaText 7" xfId="3790" xr:uid="{00000000-0005-0000-0000-00006E0E0000}"/>
    <cellStyle name="SAPBEXchaText 8" xfId="3791" xr:uid="{00000000-0005-0000-0000-00006F0E0000}"/>
    <cellStyle name="SAPBEXexcBad7" xfId="180" xr:uid="{00000000-0005-0000-0000-0000700E0000}"/>
    <cellStyle name="SAPBEXexcBad7 2" xfId="1693" xr:uid="{00000000-0005-0000-0000-0000710E0000}"/>
    <cellStyle name="SAPBEXexcBad7 3" xfId="1692" xr:uid="{00000000-0005-0000-0000-0000720E0000}"/>
    <cellStyle name="SAPBEXexcBad8" xfId="181" xr:uid="{00000000-0005-0000-0000-0000730E0000}"/>
    <cellStyle name="SAPBEXexcBad8 2" xfId="1695" xr:uid="{00000000-0005-0000-0000-0000740E0000}"/>
    <cellStyle name="SAPBEXexcBad8 3" xfId="1694" xr:uid="{00000000-0005-0000-0000-0000750E0000}"/>
    <cellStyle name="SAPBEXexcBad9" xfId="182" xr:uid="{00000000-0005-0000-0000-0000760E0000}"/>
    <cellStyle name="SAPBEXexcBad9 2" xfId="1697" xr:uid="{00000000-0005-0000-0000-0000770E0000}"/>
    <cellStyle name="SAPBEXexcBad9 3" xfId="1696" xr:uid="{00000000-0005-0000-0000-0000780E0000}"/>
    <cellStyle name="SAPBEXexcCritical4" xfId="183" xr:uid="{00000000-0005-0000-0000-0000790E0000}"/>
    <cellStyle name="SAPBEXexcCritical4 2" xfId="1699" xr:uid="{00000000-0005-0000-0000-00007A0E0000}"/>
    <cellStyle name="SAPBEXexcCritical4 3" xfId="1698" xr:uid="{00000000-0005-0000-0000-00007B0E0000}"/>
    <cellStyle name="SAPBEXexcCritical5" xfId="184" xr:uid="{00000000-0005-0000-0000-00007C0E0000}"/>
    <cellStyle name="SAPBEXexcCritical5 2" xfId="1701" xr:uid="{00000000-0005-0000-0000-00007D0E0000}"/>
    <cellStyle name="SAPBEXexcCritical5 3" xfId="1700" xr:uid="{00000000-0005-0000-0000-00007E0E0000}"/>
    <cellStyle name="SAPBEXexcCritical6" xfId="185" xr:uid="{00000000-0005-0000-0000-00007F0E0000}"/>
    <cellStyle name="SAPBEXexcCritical6 2" xfId="1703" xr:uid="{00000000-0005-0000-0000-0000800E0000}"/>
    <cellStyle name="SAPBEXexcCritical6 3" xfId="1702" xr:uid="{00000000-0005-0000-0000-0000810E0000}"/>
    <cellStyle name="SAPBEXexcGood1" xfId="186" xr:uid="{00000000-0005-0000-0000-0000820E0000}"/>
    <cellStyle name="SAPBEXexcGood1 2" xfId="1705" xr:uid="{00000000-0005-0000-0000-0000830E0000}"/>
    <cellStyle name="SAPBEXexcGood1 3" xfId="1704" xr:uid="{00000000-0005-0000-0000-0000840E0000}"/>
    <cellStyle name="SAPBEXexcGood2" xfId="187" xr:uid="{00000000-0005-0000-0000-0000850E0000}"/>
    <cellStyle name="SAPBEXexcGood2 2" xfId="1707" xr:uid="{00000000-0005-0000-0000-0000860E0000}"/>
    <cellStyle name="SAPBEXexcGood2 3" xfId="1706" xr:uid="{00000000-0005-0000-0000-0000870E0000}"/>
    <cellStyle name="SAPBEXexcGood3" xfId="188" xr:uid="{00000000-0005-0000-0000-0000880E0000}"/>
    <cellStyle name="SAPBEXexcGood3 2" xfId="1709" xr:uid="{00000000-0005-0000-0000-0000890E0000}"/>
    <cellStyle name="SAPBEXexcGood3 3" xfId="1708" xr:uid="{00000000-0005-0000-0000-00008A0E0000}"/>
    <cellStyle name="SAPBEXfilterDrill" xfId="189" xr:uid="{00000000-0005-0000-0000-00008B0E0000}"/>
    <cellStyle name="SAPBEXfilterDrill 2" xfId="1711" xr:uid="{00000000-0005-0000-0000-00008C0E0000}"/>
    <cellStyle name="SAPBEXfilterDrill 3" xfId="1710" xr:uid="{00000000-0005-0000-0000-00008D0E0000}"/>
    <cellStyle name="SAPBEXfilterItem" xfId="190" xr:uid="{00000000-0005-0000-0000-00008E0E0000}"/>
    <cellStyle name="SAPBEXfilterItem 2" xfId="1713" xr:uid="{00000000-0005-0000-0000-00008F0E0000}"/>
    <cellStyle name="SAPBEXfilterItem 3" xfId="1712" xr:uid="{00000000-0005-0000-0000-0000900E0000}"/>
    <cellStyle name="SAPBEXfilterText" xfId="191" xr:uid="{00000000-0005-0000-0000-0000910E0000}"/>
    <cellStyle name="SAPBEXfilterText 2" xfId="1715" xr:uid="{00000000-0005-0000-0000-0000920E0000}"/>
    <cellStyle name="SAPBEXfilterText 2 2" xfId="3792" xr:uid="{00000000-0005-0000-0000-0000930E0000}"/>
    <cellStyle name="SAPBEXfilterText 3" xfId="3793" xr:uid="{00000000-0005-0000-0000-0000940E0000}"/>
    <cellStyle name="SAPBEXfilterText 4" xfId="3794" xr:uid="{00000000-0005-0000-0000-0000950E0000}"/>
    <cellStyle name="SAPBEXformats" xfId="142" xr:uid="{00000000-0005-0000-0000-0000960E0000}"/>
    <cellStyle name="SAPBEXformats 2" xfId="192" xr:uid="{00000000-0005-0000-0000-0000970E0000}"/>
    <cellStyle name="SAPBEXformats 2 2" xfId="1717" xr:uid="{00000000-0005-0000-0000-0000980E0000}"/>
    <cellStyle name="SAPBEXformats 3" xfId="3795" xr:uid="{00000000-0005-0000-0000-0000990E0000}"/>
    <cellStyle name="SAPBEXformats 4" xfId="3796" xr:uid="{00000000-0005-0000-0000-00009A0E0000}"/>
    <cellStyle name="SAPBEXformats 5" xfId="3797" xr:uid="{00000000-0005-0000-0000-00009B0E0000}"/>
    <cellStyle name="SAPBEXformats 6" xfId="3798" xr:uid="{00000000-0005-0000-0000-00009C0E0000}"/>
    <cellStyle name="SAPBEXformats 7" xfId="3799" xr:uid="{00000000-0005-0000-0000-00009D0E0000}"/>
    <cellStyle name="SAPBEXformats 8" xfId="3800" xr:uid="{00000000-0005-0000-0000-00009E0E0000}"/>
    <cellStyle name="SAPBEXheaderItem" xfId="193" xr:uid="{00000000-0005-0000-0000-00009F0E0000}"/>
    <cellStyle name="SAPBEXheaderItem 2" xfId="1719" xr:uid="{00000000-0005-0000-0000-0000A00E0000}"/>
    <cellStyle name="SAPBEXheaderItem 2 2" xfId="3801" xr:uid="{00000000-0005-0000-0000-0000A10E0000}"/>
    <cellStyle name="SAPBEXheaderItem 3" xfId="1718" xr:uid="{00000000-0005-0000-0000-0000A20E0000}"/>
    <cellStyle name="SAPBEXheaderItem 3 2" xfId="3802" xr:uid="{00000000-0005-0000-0000-0000A30E0000}"/>
    <cellStyle name="SAPBEXheaderItem 4" xfId="3803" xr:uid="{00000000-0005-0000-0000-0000A40E0000}"/>
    <cellStyle name="SAPBEXheaderItem 5" xfId="3804" xr:uid="{00000000-0005-0000-0000-0000A50E0000}"/>
    <cellStyle name="SAPBEXheaderItem 6" xfId="3805" xr:uid="{00000000-0005-0000-0000-0000A60E0000}"/>
    <cellStyle name="SAPBEXheaderItem 7" xfId="3806" xr:uid="{00000000-0005-0000-0000-0000A70E0000}"/>
    <cellStyle name="SAPBEXheaderItem 8" xfId="3807" xr:uid="{00000000-0005-0000-0000-0000A80E0000}"/>
    <cellStyle name="SAPBEXheaderText" xfId="194" xr:uid="{00000000-0005-0000-0000-0000A90E0000}"/>
    <cellStyle name="SAPBEXheaderText 2" xfId="1721" xr:uid="{00000000-0005-0000-0000-0000AA0E0000}"/>
    <cellStyle name="SAPBEXheaderText 2 2" xfId="3808" xr:uid="{00000000-0005-0000-0000-0000AB0E0000}"/>
    <cellStyle name="SAPBEXheaderText 3" xfId="1720" xr:uid="{00000000-0005-0000-0000-0000AC0E0000}"/>
    <cellStyle name="SAPBEXheaderText 3 2" xfId="3809" xr:uid="{00000000-0005-0000-0000-0000AD0E0000}"/>
    <cellStyle name="SAPBEXheaderText 4" xfId="3810" xr:uid="{00000000-0005-0000-0000-0000AE0E0000}"/>
    <cellStyle name="SAPBEXheaderText 5" xfId="3811" xr:uid="{00000000-0005-0000-0000-0000AF0E0000}"/>
    <cellStyle name="SAPBEXheaderText 6" xfId="3812" xr:uid="{00000000-0005-0000-0000-0000B00E0000}"/>
    <cellStyle name="SAPBEXheaderText 7" xfId="3813" xr:uid="{00000000-0005-0000-0000-0000B10E0000}"/>
    <cellStyle name="SAPBEXheaderText 8" xfId="3814" xr:uid="{00000000-0005-0000-0000-0000B20E0000}"/>
    <cellStyle name="SAPBEXHLevel0" xfId="195" xr:uid="{00000000-0005-0000-0000-0000B30E0000}"/>
    <cellStyle name="SAPBEXHLevel0 2" xfId="1723" xr:uid="{00000000-0005-0000-0000-0000B40E0000}"/>
    <cellStyle name="SAPBEXHLevel0 2 2" xfId="3815" xr:uid="{00000000-0005-0000-0000-0000B50E0000}"/>
    <cellStyle name="SAPBEXHLevel0 3" xfId="1722" xr:uid="{00000000-0005-0000-0000-0000B60E0000}"/>
    <cellStyle name="SAPBEXHLevel0 3 2" xfId="3816" xr:uid="{00000000-0005-0000-0000-0000B70E0000}"/>
    <cellStyle name="SAPBEXHLevel0 4" xfId="3817" xr:uid="{00000000-0005-0000-0000-0000B80E0000}"/>
    <cellStyle name="SAPBEXHLevel0 5" xfId="3818" xr:uid="{00000000-0005-0000-0000-0000B90E0000}"/>
    <cellStyle name="SAPBEXHLevel0 6" xfId="3819" xr:uid="{00000000-0005-0000-0000-0000BA0E0000}"/>
    <cellStyle name="SAPBEXHLevel0 7" xfId="3820" xr:uid="{00000000-0005-0000-0000-0000BB0E0000}"/>
    <cellStyle name="SAPBEXHLevel0 8" xfId="3821" xr:uid="{00000000-0005-0000-0000-0000BC0E0000}"/>
    <cellStyle name="SAPBEXHLevel0X" xfId="196" xr:uid="{00000000-0005-0000-0000-0000BD0E0000}"/>
    <cellStyle name="SAPBEXHLevel0X 2" xfId="1725" xr:uid="{00000000-0005-0000-0000-0000BE0E0000}"/>
    <cellStyle name="SAPBEXHLevel0X 2 2" xfId="3822" xr:uid="{00000000-0005-0000-0000-0000BF0E0000}"/>
    <cellStyle name="SAPBEXHLevel0X 3" xfId="1724" xr:uid="{00000000-0005-0000-0000-0000C00E0000}"/>
    <cellStyle name="SAPBEXHLevel0X 3 2" xfId="3823" xr:uid="{00000000-0005-0000-0000-0000C10E0000}"/>
    <cellStyle name="SAPBEXHLevel0X 4" xfId="3824" xr:uid="{00000000-0005-0000-0000-0000C20E0000}"/>
    <cellStyle name="SAPBEXHLevel0X 5" xfId="3825" xr:uid="{00000000-0005-0000-0000-0000C30E0000}"/>
    <cellStyle name="SAPBEXHLevel0X 6" xfId="3826" xr:uid="{00000000-0005-0000-0000-0000C40E0000}"/>
    <cellStyle name="SAPBEXHLevel0X 7" xfId="3827" xr:uid="{00000000-0005-0000-0000-0000C50E0000}"/>
    <cellStyle name="SAPBEXHLevel0X 8" xfId="3828" xr:uid="{00000000-0005-0000-0000-0000C60E0000}"/>
    <cellStyle name="SAPBEXHLevel1" xfId="197" xr:uid="{00000000-0005-0000-0000-0000C70E0000}"/>
    <cellStyle name="SAPBEXHLevel1 2" xfId="1727" xr:uid="{00000000-0005-0000-0000-0000C80E0000}"/>
    <cellStyle name="SAPBEXHLevel1 2 2" xfId="3829" xr:uid="{00000000-0005-0000-0000-0000C90E0000}"/>
    <cellStyle name="SAPBEXHLevel1 3" xfId="1726" xr:uid="{00000000-0005-0000-0000-0000CA0E0000}"/>
    <cellStyle name="SAPBEXHLevel1 3 2" xfId="3830" xr:uid="{00000000-0005-0000-0000-0000CB0E0000}"/>
    <cellStyle name="SAPBEXHLevel1 4" xfId="3831" xr:uid="{00000000-0005-0000-0000-0000CC0E0000}"/>
    <cellStyle name="SAPBEXHLevel1 5" xfId="3832" xr:uid="{00000000-0005-0000-0000-0000CD0E0000}"/>
    <cellStyle name="SAPBEXHLevel1 6" xfId="3833" xr:uid="{00000000-0005-0000-0000-0000CE0E0000}"/>
    <cellStyle name="SAPBEXHLevel1 7" xfId="3834" xr:uid="{00000000-0005-0000-0000-0000CF0E0000}"/>
    <cellStyle name="SAPBEXHLevel1 8" xfId="3835" xr:uid="{00000000-0005-0000-0000-0000D00E0000}"/>
    <cellStyle name="SAPBEXHLevel1X" xfId="198" xr:uid="{00000000-0005-0000-0000-0000D10E0000}"/>
    <cellStyle name="SAPBEXHLevel1X 2" xfId="1729" xr:uid="{00000000-0005-0000-0000-0000D20E0000}"/>
    <cellStyle name="SAPBEXHLevel1X 2 2" xfId="3836" xr:uid="{00000000-0005-0000-0000-0000D30E0000}"/>
    <cellStyle name="SAPBEXHLevel1X 3" xfId="1728" xr:uid="{00000000-0005-0000-0000-0000D40E0000}"/>
    <cellStyle name="SAPBEXHLevel1X 3 2" xfId="3837" xr:uid="{00000000-0005-0000-0000-0000D50E0000}"/>
    <cellStyle name="SAPBEXHLevel1X 4" xfId="3838" xr:uid="{00000000-0005-0000-0000-0000D60E0000}"/>
    <cellStyle name="SAPBEXHLevel1X 5" xfId="3839" xr:uid="{00000000-0005-0000-0000-0000D70E0000}"/>
    <cellStyle name="SAPBEXHLevel1X 6" xfId="3840" xr:uid="{00000000-0005-0000-0000-0000D80E0000}"/>
    <cellStyle name="SAPBEXHLevel1X 7" xfId="3841" xr:uid="{00000000-0005-0000-0000-0000D90E0000}"/>
    <cellStyle name="SAPBEXHLevel1X 8" xfId="3842" xr:uid="{00000000-0005-0000-0000-0000DA0E0000}"/>
    <cellStyle name="SAPBEXHLevel2" xfId="199" xr:uid="{00000000-0005-0000-0000-0000DB0E0000}"/>
    <cellStyle name="SAPBEXHLevel2 2" xfId="1731" xr:uid="{00000000-0005-0000-0000-0000DC0E0000}"/>
    <cellStyle name="SAPBEXHLevel2 2 2" xfId="3843" xr:uid="{00000000-0005-0000-0000-0000DD0E0000}"/>
    <cellStyle name="SAPBEXHLevel2 3" xfId="1730" xr:uid="{00000000-0005-0000-0000-0000DE0E0000}"/>
    <cellStyle name="SAPBEXHLevel2 3 2" xfId="3844" xr:uid="{00000000-0005-0000-0000-0000DF0E0000}"/>
    <cellStyle name="SAPBEXHLevel2 4" xfId="3845" xr:uid="{00000000-0005-0000-0000-0000E00E0000}"/>
    <cellStyle name="SAPBEXHLevel2 5" xfId="3846" xr:uid="{00000000-0005-0000-0000-0000E10E0000}"/>
    <cellStyle name="SAPBEXHLevel2 6" xfId="3847" xr:uid="{00000000-0005-0000-0000-0000E20E0000}"/>
    <cellStyle name="SAPBEXHLevel2 7" xfId="3848" xr:uid="{00000000-0005-0000-0000-0000E30E0000}"/>
    <cellStyle name="SAPBEXHLevel2 8" xfId="3849" xr:uid="{00000000-0005-0000-0000-0000E40E0000}"/>
    <cellStyle name="SAPBEXHLevel2X" xfId="200" xr:uid="{00000000-0005-0000-0000-0000E50E0000}"/>
    <cellStyle name="SAPBEXHLevel2X 2" xfId="1733" xr:uid="{00000000-0005-0000-0000-0000E60E0000}"/>
    <cellStyle name="SAPBEXHLevel2X 2 2" xfId="3850" xr:uid="{00000000-0005-0000-0000-0000E70E0000}"/>
    <cellStyle name="SAPBEXHLevel2X 3" xfId="1732" xr:uid="{00000000-0005-0000-0000-0000E80E0000}"/>
    <cellStyle name="SAPBEXHLevel2X 3 2" xfId="3851" xr:uid="{00000000-0005-0000-0000-0000E90E0000}"/>
    <cellStyle name="SAPBEXHLevel2X 4" xfId="3852" xr:uid="{00000000-0005-0000-0000-0000EA0E0000}"/>
    <cellStyle name="SAPBEXHLevel2X 5" xfId="3853" xr:uid="{00000000-0005-0000-0000-0000EB0E0000}"/>
    <cellStyle name="SAPBEXHLevel2X 6" xfId="3854" xr:uid="{00000000-0005-0000-0000-0000EC0E0000}"/>
    <cellStyle name="SAPBEXHLevel2X 7" xfId="3855" xr:uid="{00000000-0005-0000-0000-0000ED0E0000}"/>
    <cellStyle name="SAPBEXHLevel2X 8" xfId="3856" xr:uid="{00000000-0005-0000-0000-0000EE0E0000}"/>
    <cellStyle name="SAPBEXHLevel3" xfId="201" xr:uid="{00000000-0005-0000-0000-0000EF0E0000}"/>
    <cellStyle name="SAPBEXHLevel3 2" xfId="1735" xr:uid="{00000000-0005-0000-0000-0000F00E0000}"/>
    <cellStyle name="SAPBEXHLevel3 2 2" xfId="3857" xr:uid="{00000000-0005-0000-0000-0000F10E0000}"/>
    <cellStyle name="SAPBEXHLevel3 3" xfId="1734" xr:uid="{00000000-0005-0000-0000-0000F20E0000}"/>
    <cellStyle name="SAPBEXHLevel3 3 2" xfId="3858" xr:uid="{00000000-0005-0000-0000-0000F30E0000}"/>
    <cellStyle name="SAPBEXHLevel3 4" xfId="3859" xr:uid="{00000000-0005-0000-0000-0000F40E0000}"/>
    <cellStyle name="SAPBEXHLevel3 5" xfId="3860" xr:uid="{00000000-0005-0000-0000-0000F50E0000}"/>
    <cellStyle name="SAPBEXHLevel3 6" xfId="3861" xr:uid="{00000000-0005-0000-0000-0000F60E0000}"/>
    <cellStyle name="SAPBEXHLevel3 7" xfId="3862" xr:uid="{00000000-0005-0000-0000-0000F70E0000}"/>
    <cellStyle name="SAPBEXHLevel3 8" xfId="3863" xr:uid="{00000000-0005-0000-0000-0000F80E0000}"/>
    <cellStyle name="SAPBEXHLevel3X" xfId="202" xr:uid="{00000000-0005-0000-0000-0000F90E0000}"/>
    <cellStyle name="SAPBEXHLevel3X 2" xfId="1737" xr:uid="{00000000-0005-0000-0000-0000FA0E0000}"/>
    <cellStyle name="SAPBEXHLevel3X 2 2" xfId="3864" xr:uid="{00000000-0005-0000-0000-0000FB0E0000}"/>
    <cellStyle name="SAPBEXHLevel3X 3" xfId="1736" xr:uid="{00000000-0005-0000-0000-0000FC0E0000}"/>
    <cellStyle name="SAPBEXHLevel3X 3 2" xfId="3865" xr:uid="{00000000-0005-0000-0000-0000FD0E0000}"/>
    <cellStyle name="SAPBEXHLevel3X 4" xfId="3866" xr:uid="{00000000-0005-0000-0000-0000FE0E0000}"/>
    <cellStyle name="SAPBEXHLevel3X 5" xfId="3867" xr:uid="{00000000-0005-0000-0000-0000FF0E0000}"/>
    <cellStyle name="SAPBEXHLevel3X 6" xfId="3868" xr:uid="{00000000-0005-0000-0000-0000000F0000}"/>
    <cellStyle name="SAPBEXHLevel3X 7" xfId="3869" xr:uid="{00000000-0005-0000-0000-0000010F0000}"/>
    <cellStyle name="SAPBEXHLevel3X 8" xfId="3870" xr:uid="{00000000-0005-0000-0000-0000020F0000}"/>
    <cellStyle name="SAPBEXinputData" xfId="1738" xr:uid="{00000000-0005-0000-0000-0000030F0000}"/>
    <cellStyle name="SAPBEXItemHeader" xfId="1739" xr:uid="{00000000-0005-0000-0000-0000040F0000}"/>
    <cellStyle name="SAPBEXresData" xfId="203" xr:uid="{00000000-0005-0000-0000-0000050F0000}"/>
    <cellStyle name="SAPBEXresData 2" xfId="1741" xr:uid="{00000000-0005-0000-0000-0000060F0000}"/>
    <cellStyle name="SAPBEXresData 3" xfId="1740" xr:uid="{00000000-0005-0000-0000-0000070F0000}"/>
    <cellStyle name="SAPBEXresDataEmph" xfId="204" xr:uid="{00000000-0005-0000-0000-0000080F0000}"/>
    <cellStyle name="SAPBEXresDataEmph 2" xfId="1743" xr:uid="{00000000-0005-0000-0000-0000090F0000}"/>
    <cellStyle name="SAPBEXresDataEmph 3" xfId="1742" xr:uid="{00000000-0005-0000-0000-00000A0F0000}"/>
    <cellStyle name="SAPBEXresItem" xfId="205" xr:uid="{00000000-0005-0000-0000-00000B0F0000}"/>
    <cellStyle name="SAPBEXresItem 2" xfId="1745" xr:uid="{00000000-0005-0000-0000-00000C0F0000}"/>
    <cellStyle name="SAPBEXresItem 3" xfId="1744" xr:uid="{00000000-0005-0000-0000-00000D0F0000}"/>
    <cellStyle name="SAPBEXresItemX" xfId="206" xr:uid="{00000000-0005-0000-0000-00000E0F0000}"/>
    <cellStyle name="SAPBEXresItemX 2" xfId="1747" xr:uid="{00000000-0005-0000-0000-00000F0F0000}"/>
    <cellStyle name="SAPBEXresItemX 3" xfId="1746" xr:uid="{00000000-0005-0000-0000-0000100F0000}"/>
    <cellStyle name="SAPBEXstdData" xfId="143" xr:uid="{00000000-0005-0000-0000-0000110F0000}"/>
    <cellStyle name="SAPBEXstdData 2" xfId="207" xr:uid="{00000000-0005-0000-0000-0000120F0000}"/>
    <cellStyle name="SAPBEXstdData 2 2" xfId="432" xr:uid="{00000000-0005-0000-0000-0000130F0000}"/>
    <cellStyle name="SAPBEXstdData 3" xfId="1750" xr:uid="{00000000-0005-0000-0000-0000140F0000}"/>
    <cellStyle name="SAPBEXstdDataEmph" xfId="208" xr:uid="{00000000-0005-0000-0000-0000150F0000}"/>
    <cellStyle name="SAPBEXstdDataEmph 2" xfId="1752" xr:uid="{00000000-0005-0000-0000-0000160F0000}"/>
    <cellStyle name="SAPBEXstdDataEmph 3" xfId="1751" xr:uid="{00000000-0005-0000-0000-0000170F0000}"/>
    <cellStyle name="SAPBEXstdItem" xfId="144" xr:uid="{00000000-0005-0000-0000-0000180F0000}"/>
    <cellStyle name="SAPBEXstdItem 2" xfId="209" xr:uid="{00000000-0005-0000-0000-0000190F0000}"/>
    <cellStyle name="SAPBEXstdItem 2 2" xfId="433" xr:uid="{00000000-0005-0000-0000-00001A0F0000}"/>
    <cellStyle name="SAPBEXstdItem 3" xfId="1755" xr:uid="{00000000-0005-0000-0000-00001B0F0000}"/>
    <cellStyle name="SAPBEXstdItem 3 2" xfId="3871" xr:uid="{00000000-0005-0000-0000-00001C0F0000}"/>
    <cellStyle name="SAPBEXstdItem 4" xfId="3872" xr:uid="{00000000-0005-0000-0000-00001D0F0000}"/>
    <cellStyle name="SAPBEXstdItem 5" xfId="3873" xr:uid="{00000000-0005-0000-0000-00001E0F0000}"/>
    <cellStyle name="SAPBEXstdItem 6" xfId="3874" xr:uid="{00000000-0005-0000-0000-00001F0F0000}"/>
    <cellStyle name="SAPBEXstdItem 7" xfId="3875" xr:uid="{00000000-0005-0000-0000-0000200F0000}"/>
    <cellStyle name="SAPBEXstdItem 8" xfId="3876" xr:uid="{00000000-0005-0000-0000-0000210F0000}"/>
    <cellStyle name="SAPBEXstdItemX" xfId="210" xr:uid="{00000000-0005-0000-0000-0000220F0000}"/>
    <cellStyle name="SAPBEXstdItemX 2" xfId="434" xr:uid="{00000000-0005-0000-0000-0000230F0000}"/>
    <cellStyle name="SAPBEXstdItemX 2 2" xfId="1757" xr:uid="{00000000-0005-0000-0000-0000240F0000}"/>
    <cellStyle name="SAPBEXstdItemX 3" xfId="1758" xr:uid="{00000000-0005-0000-0000-0000250F0000}"/>
    <cellStyle name="SAPBEXstdItemX 3 2" xfId="3877" xr:uid="{00000000-0005-0000-0000-0000260F0000}"/>
    <cellStyle name="SAPBEXstdItemX 4" xfId="3878" xr:uid="{00000000-0005-0000-0000-0000270F0000}"/>
    <cellStyle name="SAPBEXstdItemX 5" xfId="3879" xr:uid="{00000000-0005-0000-0000-0000280F0000}"/>
    <cellStyle name="SAPBEXstdItemX 6" xfId="3880" xr:uid="{00000000-0005-0000-0000-0000290F0000}"/>
    <cellStyle name="SAPBEXstdItemX 7" xfId="3881" xr:uid="{00000000-0005-0000-0000-00002A0F0000}"/>
    <cellStyle name="SAPBEXstdItemX 8" xfId="3882" xr:uid="{00000000-0005-0000-0000-00002B0F0000}"/>
    <cellStyle name="SAPBEXtitle" xfId="211" xr:uid="{00000000-0005-0000-0000-00002C0F0000}"/>
    <cellStyle name="SAPBEXtitle 2" xfId="435" xr:uid="{00000000-0005-0000-0000-00002D0F0000}"/>
    <cellStyle name="SAPBEXtitle 2 2" xfId="1760" xr:uid="{00000000-0005-0000-0000-00002E0F0000}"/>
    <cellStyle name="SAPBEXtitle 3" xfId="1761" xr:uid="{00000000-0005-0000-0000-00002F0F0000}"/>
    <cellStyle name="SAPBEXtitle 3 2" xfId="3883" xr:uid="{00000000-0005-0000-0000-0000300F0000}"/>
    <cellStyle name="SAPBEXtitle 4" xfId="3884" xr:uid="{00000000-0005-0000-0000-0000310F0000}"/>
    <cellStyle name="SAPBEXunassignedItem" xfId="1762" xr:uid="{00000000-0005-0000-0000-0000320F0000}"/>
    <cellStyle name="SAPBEXundefined" xfId="212" xr:uid="{00000000-0005-0000-0000-0000330F0000}"/>
    <cellStyle name="SAPBEXundefined 2" xfId="1764" xr:uid="{00000000-0005-0000-0000-0000340F0000}"/>
    <cellStyle name="SAPBEXundefined 3" xfId="1763" xr:uid="{00000000-0005-0000-0000-0000350F0000}"/>
    <cellStyle name="Sheet Title" xfId="1765" xr:uid="{00000000-0005-0000-0000-0000360F0000}"/>
    <cellStyle name="Standaard_Blad1" xfId="257" xr:uid="{00000000-0005-0000-0000-0000370F0000}"/>
    <cellStyle name="Title 10" xfId="3885" xr:uid="{00000000-0005-0000-0000-0000380F0000}"/>
    <cellStyle name="Title 11" xfId="3886" xr:uid="{00000000-0005-0000-0000-0000390F0000}"/>
    <cellStyle name="Title 12" xfId="3887" xr:uid="{00000000-0005-0000-0000-00003A0F0000}"/>
    <cellStyle name="Title 13" xfId="3888" xr:uid="{00000000-0005-0000-0000-00003B0F0000}"/>
    <cellStyle name="Title 14" xfId="3889" xr:uid="{00000000-0005-0000-0000-00003C0F0000}"/>
    <cellStyle name="Title 15" xfId="3890" xr:uid="{00000000-0005-0000-0000-00003D0F0000}"/>
    <cellStyle name="Title 16" xfId="145" xr:uid="{00000000-0005-0000-0000-00003E0F0000}"/>
    <cellStyle name="Title 2" xfId="146" xr:uid="{00000000-0005-0000-0000-00003F0F0000}"/>
    <cellStyle name="Title 2 10" xfId="3892" xr:uid="{00000000-0005-0000-0000-0000400F0000}"/>
    <cellStyle name="Title 2 11" xfId="3893" xr:uid="{00000000-0005-0000-0000-0000410F0000}"/>
    <cellStyle name="Title 2 12" xfId="3891" xr:uid="{00000000-0005-0000-0000-0000420F0000}"/>
    <cellStyle name="Title 2 2" xfId="1766" xr:uid="{00000000-0005-0000-0000-0000430F0000}"/>
    <cellStyle name="Title 2 2 2" xfId="3894" xr:uid="{00000000-0005-0000-0000-0000440F0000}"/>
    <cellStyle name="Title 2 3" xfId="3895" xr:uid="{00000000-0005-0000-0000-0000450F0000}"/>
    <cellStyle name="Title 2 4" xfId="3896" xr:uid="{00000000-0005-0000-0000-0000460F0000}"/>
    <cellStyle name="Title 2 5" xfId="3897" xr:uid="{00000000-0005-0000-0000-0000470F0000}"/>
    <cellStyle name="Title 2 6" xfId="3898" xr:uid="{00000000-0005-0000-0000-0000480F0000}"/>
    <cellStyle name="Title 2 7" xfId="3899" xr:uid="{00000000-0005-0000-0000-0000490F0000}"/>
    <cellStyle name="Title 2 8" xfId="3900" xr:uid="{00000000-0005-0000-0000-00004A0F0000}"/>
    <cellStyle name="Title 2 9" xfId="3901" xr:uid="{00000000-0005-0000-0000-00004B0F0000}"/>
    <cellStyle name="Title 3" xfId="147" xr:uid="{00000000-0005-0000-0000-00004C0F0000}"/>
    <cellStyle name="Title 3 10" xfId="3903" xr:uid="{00000000-0005-0000-0000-00004D0F0000}"/>
    <cellStyle name="Title 3 11" xfId="3904" xr:uid="{00000000-0005-0000-0000-00004E0F0000}"/>
    <cellStyle name="Title 3 12" xfId="3902" xr:uid="{00000000-0005-0000-0000-00004F0F0000}"/>
    <cellStyle name="Title 3 2" xfId="3905" xr:uid="{00000000-0005-0000-0000-0000500F0000}"/>
    <cellStyle name="Title 3 3" xfId="3906" xr:uid="{00000000-0005-0000-0000-0000510F0000}"/>
    <cellStyle name="Title 3 4" xfId="3907" xr:uid="{00000000-0005-0000-0000-0000520F0000}"/>
    <cellStyle name="Title 3 5" xfId="3908" xr:uid="{00000000-0005-0000-0000-0000530F0000}"/>
    <cellStyle name="Title 3 6" xfId="3909" xr:uid="{00000000-0005-0000-0000-0000540F0000}"/>
    <cellStyle name="Title 3 7" xfId="3910" xr:uid="{00000000-0005-0000-0000-0000550F0000}"/>
    <cellStyle name="Title 3 8" xfId="3911" xr:uid="{00000000-0005-0000-0000-0000560F0000}"/>
    <cellStyle name="Title 3 9" xfId="3912" xr:uid="{00000000-0005-0000-0000-0000570F0000}"/>
    <cellStyle name="Title 4" xfId="3913" xr:uid="{00000000-0005-0000-0000-0000580F0000}"/>
    <cellStyle name="Title 4 10" xfId="3914" xr:uid="{00000000-0005-0000-0000-0000590F0000}"/>
    <cellStyle name="Title 4 11" xfId="3915" xr:uid="{00000000-0005-0000-0000-00005A0F0000}"/>
    <cellStyle name="Title 4 2" xfId="3916" xr:uid="{00000000-0005-0000-0000-00005B0F0000}"/>
    <cellStyle name="Title 4 3" xfId="3917" xr:uid="{00000000-0005-0000-0000-00005C0F0000}"/>
    <cellStyle name="Title 4 4" xfId="3918" xr:uid="{00000000-0005-0000-0000-00005D0F0000}"/>
    <cellStyle name="Title 4 5" xfId="3919" xr:uid="{00000000-0005-0000-0000-00005E0F0000}"/>
    <cellStyle name="Title 4 6" xfId="3920" xr:uid="{00000000-0005-0000-0000-00005F0F0000}"/>
    <cellStyle name="Title 4 7" xfId="3921" xr:uid="{00000000-0005-0000-0000-0000600F0000}"/>
    <cellStyle name="Title 4 8" xfId="3922" xr:uid="{00000000-0005-0000-0000-0000610F0000}"/>
    <cellStyle name="Title 4 9" xfId="3923" xr:uid="{00000000-0005-0000-0000-0000620F0000}"/>
    <cellStyle name="Title 5" xfId="3924" xr:uid="{00000000-0005-0000-0000-0000630F0000}"/>
    <cellStyle name="Title 5 10" xfId="3925" xr:uid="{00000000-0005-0000-0000-0000640F0000}"/>
    <cellStyle name="Title 5 11" xfId="3926" xr:uid="{00000000-0005-0000-0000-0000650F0000}"/>
    <cellStyle name="Title 5 2" xfId="3927" xr:uid="{00000000-0005-0000-0000-0000660F0000}"/>
    <cellStyle name="Title 5 3" xfId="3928" xr:uid="{00000000-0005-0000-0000-0000670F0000}"/>
    <cellStyle name="Title 5 4" xfId="3929" xr:uid="{00000000-0005-0000-0000-0000680F0000}"/>
    <cellStyle name="Title 5 5" xfId="3930" xr:uid="{00000000-0005-0000-0000-0000690F0000}"/>
    <cellStyle name="Title 5 6" xfId="3931" xr:uid="{00000000-0005-0000-0000-00006A0F0000}"/>
    <cellStyle name="Title 5 7" xfId="3932" xr:uid="{00000000-0005-0000-0000-00006B0F0000}"/>
    <cellStyle name="Title 5 8" xfId="3933" xr:uid="{00000000-0005-0000-0000-00006C0F0000}"/>
    <cellStyle name="Title 5 9" xfId="3934" xr:uid="{00000000-0005-0000-0000-00006D0F0000}"/>
    <cellStyle name="Title 6" xfId="3935" xr:uid="{00000000-0005-0000-0000-00006E0F0000}"/>
    <cellStyle name="Title 7" xfId="3936" xr:uid="{00000000-0005-0000-0000-00006F0F0000}"/>
    <cellStyle name="Title 8" xfId="3937" xr:uid="{00000000-0005-0000-0000-0000700F0000}"/>
    <cellStyle name="Title 9" xfId="3938" xr:uid="{00000000-0005-0000-0000-0000710F0000}"/>
    <cellStyle name="Total 10" xfId="3939" xr:uid="{00000000-0005-0000-0000-0000720F0000}"/>
    <cellStyle name="Total 11" xfId="3940" xr:uid="{00000000-0005-0000-0000-0000730F0000}"/>
    <cellStyle name="Total 12" xfId="3941" xr:uid="{00000000-0005-0000-0000-0000740F0000}"/>
    <cellStyle name="Total 13" xfId="3942" xr:uid="{00000000-0005-0000-0000-0000750F0000}"/>
    <cellStyle name="Total 14" xfId="3943" xr:uid="{00000000-0005-0000-0000-0000760F0000}"/>
    <cellStyle name="Total 15" xfId="3944" xr:uid="{00000000-0005-0000-0000-0000770F0000}"/>
    <cellStyle name="Total 16" xfId="148" xr:uid="{00000000-0005-0000-0000-0000780F0000}"/>
    <cellStyle name="Total 2" xfId="149" xr:uid="{00000000-0005-0000-0000-0000790F0000}"/>
    <cellStyle name="Total 2 10" xfId="3946" xr:uid="{00000000-0005-0000-0000-00007A0F0000}"/>
    <cellStyle name="Total 2 11" xfId="3947" xr:uid="{00000000-0005-0000-0000-00007B0F0000}"/>
    <cellStyle name="Total 2 12" xfId="3945" xr:uid="{00000000-0005-0000-0000-00007C0F0000}"/>
    <cellStyle name="Total 2 2" xfId="1768" xr:uid="{00000000-0005-0000-0000-00007D0F0000}"/>
    <cellStyle name="Total 2 2 2" xfId="3948" xr:uid="{00000000-0005-0000-0000-00007E0F0000}"/>
    <cellStyle name="Total 2 3" xfId="3949" xr:uid="{00000000-0005-0000-0000-00007F0F0000}"/>
    <cellStyle name="Total 2 4" xfId="3950" xr:uid="{00000000-0005-0000-0000-0000800F0000}"/>
    <cellStyle name="Total 2 5" xfId="3951" xr:uid="{00000000-0005-0000-0000-0000810F0000}"/>
    <cellStyle name="Total 2 6" xfId="3952" xr:uid="{00000000-0005-0000-0000-0000820F0000}"/>
    <cellStyle name="Total 2 7" xfId="3953" xr:uid="{00000000-0005-0000-0000-0000830F0000}"/>
    <cellStyle name="Total 2 8" xfId="3954" xr:uid="{00000000-0005-0000-0000-0000840F0000}"/>
    <cellStyle name="Total 2 9" xfId="3955" xr:uid="{00000000-0005-0000-0000-0000850F0000}"/>
    <cellStyle name="Total 3" xfId="150" xr:uid="{00000000-0005-0000-0000-0000860F0000}"/>
    <cellStyle name="Total 3 10" xfId="3957" xr:uid="{00000000-0005-0000-0000-0000870F0000}"/>
    <cellStyle name="Total 3 11" xfId="3958" xr:uid="{00000000-0005-0000-0000-0000880F0000}"/>
    <cellStyle name="Total 3 12" xfId="3956" xr:uid="{00000000-0005-0000-0000-0000890F0000}"/>
    <cellStyle name="Total 3 2" xfId="1769" xr:uid="{00000000-0005-0000-0000-00008A0F0000}"/>
    <cellStyle name="Total 3 2 2" xfId="3959" xr:uid="{00000000-0005-0000-0000-00008B0F0000}"/>
    <cellStyle name="Total 3 3" xfId="3960" xr:uid="{00000000-0005-0000-0000-00008C0F0000}"/>
    <cellStyle name="Total 3 4" xfId="3961" xr:uid="{00000000-0005-0000-0000-00008D0F0000}"/>
    <cellStyle name="Total 3 5" xfId="3962" xr:uid="{00000000-0005-0000-0000-00008E0F0000}"/>
    <cellStyle name="Total 3 6" xfId="3963" xr:uid="{00000000-0005-0000-0000-00008F0F0000}"/>
    <cellStyle name="Total 3 7" xfId="3964" xr:uid="{00000000-0005-0000-0000-0000900F0000}"/>
    <cellStyle name="Total 3 8" xfId="3965" xr:uid="{00000000-0005-0000-0000-0000910F0000}"/>
    <cellStyle name="Total 3 9" xfId="3966" xr:uid="{00000000-0005-0000-0000-0000920F0000}"/>
    <cellStyle name="Total 4" xfId="1770" xr:uid="{00000000-0005-0000-0000-0000930F0000}"/>
    <cellStyle name="Total 4 10" xfId="3968" xr:uid="{00000000-0005-0000-0000-0000940F0000}"/>
    <cellStyle name="Total 4 11" xfId="3969" xr:uid="{00000000-0005-0000-0000-0000950F0000}"/>
    <cellStyle name="Total 4 12" xfId="3967" xr:uid="{00000000-0005-0000-0000-0000960F0000}"/>
    <cellStyle name="Total 4 2" xfId="3970" xr:uid="{00000000-0005-0000-0000-0000970F0000}"/>
    <cellStyle name="Total 4 3" xfId="3971" xr:uid="{00000000-0005-0000-0000-0000980F0000}"/>
    <cellStyle name="Total 4 4" xfId="3972" xr:uid="{00000000-0005-0000-0000-0000990F0000}"/>
    <cellStyle name="Total 4 5" xfId="3973" xr:uid="{00000000-0005-0000-0000-00009A0F0000}"/>
    <cellStyle name="Total 4 6" xfId="3974" xr:uid="{00000000-0005-0000-0000-00009B0F0000}"/>
    <cellStyle name="Total 4 7" xfId="3975" xr:uid="{00000000-0005-0000-0000-00009C0F0000}"/>
    <cellStyle name="Total 4 8" xfId="3976" xr:uid="{00000000-0005-0000-0000-00009D0F0000}"/>
    <cellStyle name="Total 4 9" xfId="3977" xr:uid="{00000000-0005-0000-0000-00009E0F0000}"/>
    <cellStyle name="Total 5" xfId="3978" xr:uid="{00000000-0005-0000-0000-00009F0F0000}"/>
    <cellStyle name="Total 5 10" xfId="3979" xr:uid="{00000000-0005-0000-0000-0000A00F0000}"/>
    <cellStyle name="Total 5 11" xfId="3980" xr:uid="{00000000-0005-0000-0000-0000A10F0000}"/>
    <cellStyle name="Total 5 2" xfId="3981" xr:uid="{00000000-0005-0000-0000-0000A20F0000}"/>
    <cellStyle name="Total 5 3" xfId="3982" xr:uid="{00000000-0005-0000-0000-0000A30F0000}"/>
    <cellStyle name="Total 5 4" xfId="3983" xr:uid="{00000000-0005-0000-0000-0000A40F0000}"/>
    <cellStyle name="Total 5 5" xfId="3984" xr:uid="{00000000-0005-0000-0000-0000A50F0000}"/>
    <cellStyle name="Total 5 6" xfId="3985" xr:uid="{00000000-0005-0000-0000-0000A60F0000}"/>
    <cellStyle name="Total 5 7" xfId="3986" xr:uid="{00000000-0005-0000-0000-0000A70F0000}"/>
    <cellStyle name="Total 5 8" xfId="3987" xr:uid="{00000000-0005-0000-0000-0000A80F0000}"/>
    <cellStyle name="Total 5 9" xfId="3988" xr:uid="{00000000-0005-0000-0000-0000A90F0000}"/>
    <cellStyle name="Total 6" xfId="3989" xr:uid="{00000000-0005-0000-0000-0000AA0F0000}"/>
    <cellStyle name="Total 7" xfId="3990" xr:uid="{00000000-0005-0000-0000-0000AB0F0000}"/>
    <cellStyle name="Total 8" xfId="3991" xr:uid="{00000000-0005-0000-0000-0000AC0F0000}"/>
    <cellStyle name="Total 9" xfId="3992" xr:uid="{00000000-0005-0000-0000-0000AD0F0000}"/>
    <cellStyle name="Valuta [0]_Blad1" xfId="258" xr:uid="{00000000-0005-0000-0000-0000AE0F0000}"/>
    <cellStyle name="Valuta_Blad1" xfId="259" xr:uid="{00000000-0005-0000-0000-0000AF0F0000}"/>
    <cellStyle name="Warning Text 10" xfId="3993" xr:uid="{00000000-0005-0000-0000-0000B00F0000}"/>
    <cellStyle name="Warning Text 11" xfId="3994" xr:uid="{00000000-0005-0000-0000-0000B10F0000}"/>
    <cellStyle name="Warning Text 12" xfId="3995" xr:uid="{00000000-0005-0000-0000-0000B20F0000}"/>
    <cellStyle name="Warning Text 13" xfId="3996" xr:uid="{00000000-0005-0000-0000-0000B30F0000}"/>
    <cellStyle name="Warning Text 14" xfId="3997" xr:uid="{00000000-0005-0000-0000-0000B40F0000}"/>
    <cellStyle name="Warning Text 15" xfId="3998" xr:uid="{00000000-0005-0000-0000-0000B50F0000}"/>
    <cellStyle name="Warning Text 16" xfId="151" xr:uid="{00000000-0005-0000-0000-0000B60F0000}"/>
    <cellStyle name="Warning Text 2" xfId="152" xr:uid="{00000000-0005-0000-0000-0000B70F0000}"/>
    <cellStyle name="Warning Text 2 10" xfId="4000" xr:uid="{00000000-0005-0000-0000-0000B80F0000}"/>
    <cellStyle name="Warning Text 2 11" xfId="4001" xr:uid="{00000000-0005-0000-0000-0000B90F0000}"/>
    <cellStyle name="Warning Text 2 12" xfId="3999" xr:uid="{00000000-0005-0000-0000-0000BA0F0000}"/>
    <cellStyle name="Warning Text 2 2" xfId="1771" xr:uid="{00000000-0005-0000-0000-0000BB0F0000}"/>
    <cellStyle name="Warning Text 2 2 2" xfId="4002" xr:uid="{00000000-0005-0000-0000-0000BC0F0000}"/>
    <cellStyle name="Warning Text 2 3" xfId="4003" xr:uid="{00000000-0005-0000-0000-0000BD0F0000}"/>
    <cellStyle name="Warning Text 2 4" xfId="4004" xr:uid="{00000000-0005-0000-0000-0000BE0F0000}"/>
    <cellStyle name="Warning Text 2 5" xfId="4005" xr:uid="{00000000-0005-0000-0000-0000BF0F0000}"/>
    <cellStyle name="Warning Text 2 6" xfId="4006" xr:uid="{00000000-0005-0000-0000-0000C00F0000}"/>
    <cellStyle name="Warning Text 2 7" xfId="4007" xr:uid="{00000000-0005-0000-0000-0000C10F0000}"/>
    <cellStyle name="Warning Text 2 8" xfId="4008" xr:uid="{00000000-0005-0000-0000-0000C20F0000}"/>
    <cellStyle name="Warning Text 2 9" xfId="4009" xr:uid="{00000000-0005-0000-0000-0000C30F0000}"/>
    <cellStyle name="Warning Text 3" xfId="153" xr:uid="{00000000-0005-0000-0000-0000C40F0000}"/>
    <cellStyle name="Warning Text 3 10" xfId="4011" xr:uid="{00000000-0005-0000-0000-0000C50F0000}"/>
    <cellStyle name="Warning Text 3 11" xfId="4012" xr:uid="{00000000-0005-0000-0000-0000C60F0000}"/>
    <cellStyle name="Warning Text 3 12" xfId="4010" xr:uid="{00000000-0005-0000-0000-0000C70F0000}"/>
    <cellStyle name="Warning Text 3 2" xfId="1772" xr:uid="{00000000-0005-0000-0000-0000C80F0000}"/>
    <cellStyle name="Warning Text 3 2 2" xfId="4013" xr:uid="{00000000-0005-0000-0000-0000C90F0000}"/>
    <cellStyle name="Warning Text 3 3" xfId="4014" xr:uid="{00000000-0005-0000-0000-0000CA0F0000}"/>
    <cellStyle name="Warning Text 3 4" xfId="4015" xr:uid="{00000000-0005-0000-0000-0000CB0F0000}"/>
    <cellStyle name="Warning Text 3 5" xfId="4016" xr:uid="{00000000-0005-0000-0000-0000CC0F0000}"/>
    <cellStyle name="Warning Text 3 6" xfId="4017" xr:uid="{00000000-0005-0000-0000-0000CD0F0000}"/>
    <cellStyle name="Warning Text 3 7" xfId="4018" xr:uid="{00000000-0005-0000-0000-0000CE0F0000}"/>
    <cellStyle name="Warning Text 3 8" xfId="4019" xr:uid="{00000000-0005-0000-0000-0000CF0F0000}"/>
    <cellStyle name="Warning Text 3 9" xfId="4020" xr:uid="{00000000-0005-0000-0000-0000D00F0000}"/>
    <cellStyle name="Warning Text 4" xfId="1773" xr:uid="{00000000-0005-0000-0000-0000D10F0000}"/>
    <cellStyle name="Warning Text 4 10" xfId="4022" xr:uid="{00000000-0005-0000-0000-0000D20F0000}"/>
    <cellStyle name="Warning Text 4 11" xfId="4023" xr:uid="{00000000-0005-0000-0000-0000D30F0000}"/>
    <cellStyle name="Warning Text 4 12" xfId="4021" xr:uid="{00000000-0005-0000-0000-0000D40F0000}"/>
    <cellStyle name="Warning Text 4 2" xfId="4024" xr:uid="{00000000-0005-0000-0000-0000D50F0000}"/>
    <cellStyle name="Warning Text 4 3" xfId="4025" xr:uid="{00000000-0005-0000-0000-0000D60F0000}"/>
    <cellStyle name="Warning Text 4 4" xfId="4026" xr:uid="{00000000-0005-0000-0000-0000D70F0000}"/>
    <cellStyle name="Warning Text 4 5" xfId="4027" xr:uid="{00000000-0005-0000-0000-0000D80F0000}"/>
    <cellStyle name="Warning Text 4 6" xfId="4028" xr:uid="{00000000-0005-0000-0000-0000D90F0000}"/>
    <cellStyle name="Warning Text 4 7" xfId="4029" xr:uid="{00000000-0005-0000-0000-0000DA0F0000}"/>
    <cellStyle name="Warning Text 4 8" xfId="4030" xr:uid="{00000000-0005-0000-0000-0000DB0F0000}"/>
    <cellStyle name="Warning Text 4 9" xfId="4031" xr:uid="{00000000-0005-0000-0000-0000DC0F0000}"/>
    <cellStyle name="Warning Text 5" xfId="4032" xr:uid="{00000000-0005-0000-0000-0000DD0F0000}"/>
    <cellStyle name="Warning Text 5 10" xfId="4033" xr:uid="{00000000-0005-0000-0000-0000DE0F0000}"/>
    <cellStyle name="Warning Text 5 11" xfId="4034" xr:uid="{00000000-0005-0000-0000-0000DF0F0000}"/>
    <cellStyle name="Warning Text 5 2" xfId="4035" xr:uid="{00000000-0005-0000-0000-0000E00F0000}"/>
    <cellStyle name="Warning Text 5 3" xfId="4036" xr:uid="{00000000-0005-0000-0000-0000E10F0000}"/>
    <cellStyle name="Warning Text 5 4" xfId="4037" xr:uid="{00000000-0005-0000-0000-0000E20F0000}"/>
    <cellStyle name="Warning Text 5 5" xfId="4038" xr:uid="{00000000-0005-0000-0000-0000E30F0000}"/>
    <cellStyle name="Warning Text 5 6" xfId="4039" xr:uid="{00000000-0005-0000-0000-0000E40F0000}"/>
    <cellStyle name="Warning Text 5 7" xfId="4040" xr:uid="{00000000-0005-0000-0000-0000E50F0000}"/>
    <cellStyle name="Warning Text 5 8" xfId="4041" xr:uid="{00000000-0005-0000-0000-0000E60F0000}"/>
    <cellStyle name="Warning Text 5 9" xfId="4042" xr:uid="{00000000-0005-0000-0000-0000E70F0000}"/>
    <cellStyle name="Warning Text 6" xfId="4043" xr:uid="{00000000-0005-0000-0000-0000E80F0000}"/>
    <cellStyle name="Warning Text 7" xfId="4044" xr:uid="{00000000-0005-0000-0000-0000E90F0000}"/>
    <cellStyle name="Warning Text 8" xfId="4045" xr:uid="{00000000-0005-0000-0000-0000EA0F0000}"/>
    <cellStyle name="Warning Text 9" xfId="4046" xr:uid="{00000000-0005-0000-0000-0000EB0F0000}"/>
    <cellStyle name="Year" xfId="4047" xr:uid="{00000000-0005-0000-0000-0000EC0F0000}"/>
    <cellStyle name="การคำนวณ" xfId="4052" xr:uid="{00000000-0005-0000-0000-0000ED0F0000}"/>
    <cellStyle name="ข้อความเตือน" xfId="4053" xr:uid="{00000000-0005-0000-0000-0000EE0F0000}"/>
    <cellStyle name="ข้อความอธิบาย" xfId="4054" xr:uid="{00000000-0005-0000-0000-0000EF0F0000}"/>
    <cellStyle name="เครื่องหมายจุลภาค [0]_FEB00" xfId="4080" xr:uid="{00000000-0005-0000-0000-0000F00F0000}"/>
    <cellStyle name="เครื่องหมายจุลภาค_FEB00" xfId="4081" xr:uid="{00000000-0005-0000-0000-0000F10F0000}"/>
    <cellStyle name="เครื่องหมายสกุลเงิน [0]_FEB00" xfId="4082" xr:uid="{00000000-0005-0000-0000-0000F20F0000}"/>
    <cellStyle name="เครื่องหมายสกุลเงิน_FEB00" xfId="4083" xr:uid="{00000000-0005-0000-0000-0000F30F0000}"/>
    <cellStyle name="ชื่อเรื่อง" xfId="4055" xr:uid="{00000000-0005-0000-0000-0000F40F0000}"/>
    <cellStyle name="เซลล์ตรวจสอบ" xfId="4048" xr:uid="{00000000-0005-0000-0000-0000F50F0000}"/>
    <cellStyle name="เซลล์ที่มีการเชื่อมโยง" xfId="4049" xr:uid="{00000000-0005-0000-0000-0000F60F0000}"/>
    <cellStyle name="ดี" xfId="4056" xr:uid="{00000000-0005-0000-0000-0000F70F0000}"/>
    <cellStyle name="น้บะภฒ_95" xfId="154" xr:uid="{00000000-0005-0000-0000-0000F80F0000}"/>
    <cellStyle name="ปกติ_C04AUG42" xfId="4084" xr:uid="{00000000-0005-0000-0000-0000F90F0000}"/>
    <cellStyle name="ป้อนค่า" xfId="4057" xr:uid="{00000000-0005-0000-0000-0000FA0F0000}"/>
    <cellStyle name="ปานกลาง" xfId="4058" xr:uid="{00000000-0005-0000-0000-0000FB0F0000}"/>
    <cellStyle name="ผลรวม" xfId="4059" xr:uid="{00000000-0005-0000-0000-0000FC0F0000}"/>
    <cellStyle name="แย่" xfId="4050" xr:uid="{00000000-0005-0000-0000-0000FD0F0000}"/>
    <cellStyle name="ฤธถ [0]_95" xfId="155" xr:uid="{00000000-0005-0000-0000-0000FE0F0000}"/>
    <cellStyle name="ฤธถ_95" xfId="156" xr:uid="{00000000-0005-0000-0000-0000FF0F0000}"/>
    <cellStyle name="ล๋ศญ [0]_95" xfId="157" xr:uid="{00000000-0005-0000-0000-000000100000}"/>
    <cellStyle name="ล๋ศญ_95" xfId="158" xr:uid="{00000000-0005-0000-0000-000001100000}"/>
    <cellStyle name="วฅมุ_4ฟ๙ฝวภ๛" xfId="159" xr:uid="{00000000-0005-0000-0000-000002100000}"/>
    <cellStyle name="ส่วนที่ถูกเน้น1" xfId="4061" xr:uid="{00000000-0005-0000-0000-000003100000}"/>
    <cellStyle name="ส่วนที่ถูกเน้น2" xfId="4062" xr:uid="{00000000-0005-0000-0000-000004100000}"/>
    <cellStyle name="ส่วนที่ถูกเน้น3" xfId="4063" xr:uid="{00000000-0005-0000-0000-000005100000}"/>
    <cellStyle name="ส่วนที่ถูกเน้น4" xfId="4064" xr:uid="{00000000-0005-0000-0000-000006100000}"/>
    <cellStyle name="ส่วนที่ถูกเน้น5" xfId="4065" xr:uid="{00000000-0005-0000-0000-000007100000}"/>
    <cellStyle name="ส่วนที่ถูกเน้น6" xfId="4066" xr:uid="{00000000-0005-0000-0000-000008100000}"/>
    <cellStyle name="แสดงผล" xfId="4051" xr:uid="{00000000-0005-0000-0000-000009100000}"/>
    <cellStyle name="หมายเหตุ" xfId="4067" xr:uid="{00000000-0005-0000-0000-00000A100000}"/>
    <cellStyle name="หัวเรื่อง 1" xfId="4068" xr:uid="{00000000-0005-0000-0000-00000B100000}"/>
    <cellStyle name="หัวเรื่อง 2" xfId="4069" xr:uid="{00000000-0005-0000-0000-00000C100000}"/>
    <cellStyle name="หัวเรื่อง 3" xfId="4070" xr:uid="{00000000-0005-0000-0000-00000D100000}"/>
    <cellStyle name="หัวเรื่อง 4" xfId="4071" xr:uid="{00000000-0005-0000-0000-00000E100000}"/>
  </cellStyles>
  <dxfs count="1">
    <dxf>
      <font>
        <color rgb="FF9C0006"/>
      </font>
      <fill>
        <patternFill>
          <bgColor rgb="FFFFC7CE"/>
        </patternFill>
      </fill>
    </dxf>
  </dxfs>
  <tableStyles count="0" defaultTableStyle="TableStyleMedium2" defaultPivotStyle="PivotStyleLight16"/>
  <colors>
    <mruColors>
      <color rgb="FF0000FF"/>
      <color rgb="FFE265FF"/>
      <color rgb="FFFFA7FF"/>
      <color rgb="FFCCFFFF"/>
      <color rgb="FFFFE5FF"/>
      <color rgb="FF8ADFF6"/>
      <color rgb="FF93FFFF"/>
      <color rgb="FFFFCCFF"/>
      <color rgb="FF40CCF2"/>
      <color rgb="FF67D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TH"/>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monthly'!$A$41</c:f>
              <c:strCache>
                <c:ptCount val="1"/>
                <c:pt idx="0">
                  <c:v>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TH"/>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monthly'!$R$41:$AC$41</c:f>
              <c:numCache>
                <c:formatCode>_-* #,##0_-;\-* #,##0_-;_-* "-"??_-;_-@_-</c:formatCode>
                <c:ptCount val="12"/>
                <c:pt idx="0">
                  <c:v>34.759662528000007</c:v>
                </c:pt>
                <c:pt idx="1">
                  <c:v>57.883348200000015</c:v>
                </c:pt>
                <c:pt idx="2">
                  <c:v>60.457428200000066</c:v>
                </c:pt>
                <c:pt idx="3">
                  <c:v>47.349966310734715</c:v>
                </c:pt>
                <c:pt idx="4">
                  <c:v>-22.810595059265296</c:v>
                </c:pt>
                <c:pt idx="5">
                  <c:v>24.669749150734702</c:v>
                </c:pt>
                <c:pt idx="6">
                  <c:v>13.254623120734699</c:v>
                </c:pt>
                <c:pt idx="7">
                  <c:v>4.0542579919886492</c:v>
                </c:pt>
                <c:pt idx="8">
                  <c:v>0.15243431051520417</c:v>
                </c:pt>
                <c:pt idx="9">
                  <c:v>16.339856115687581</c:v>
                </c:pt>
                <c:pt idx="10">
                  <c:v>10.349832458531225</c:v>
                </c:pt>
                <c:pt idx="11">
                  <c:v>1.4592172691642844</c:v>
                </c:pt>
              </c:numCache>
            </c:numRef>
          </c:val>
          <c:extLst>
            <c:ext xmlns:c16="http://schemas.microsoft.com/office/drawing/2014/chart" uri="{C3380CC4-5D6E-409C-BE32-E72D297353CC}">
              <c16:uniqueId val="{00000000-1B8A-47D3-BB35-46E1F02FFA23}"/>
            </c:ext>
          </c:extLst>
        </c:ser>
        <c:ser>
          <c:idx val="1"/>
          <c:order val="1"/>
          <c:tx>
            <c:strRef>
              <c:f>'LR monthly'!$A$42</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TH"/>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monthly'!$R$42:$AC$42</c:f>
              <c:numCache>
                <c:formatCode>_-* #,##0_-;\-* #,##0_-;_-* "-"??_-;_-@_-</c:formatCode>
                <c:ptCount val="12"/>
                <c:pt idx="0">
                  <c:v>44</c:v>
                </c:pt>
                <c:pt idx="1">
                  <c:v>44</c:v>
                </c:pt>
                <c:pt idx="2">
                  <c:v>29</c:v>
                </c:pt>
                <c:pt idx="3">
                  <c:v>26</c:v>
                </c:pt>
                <c:pt idx="4">
                  <c:v>88</c:v>
                </c:pt>
                <c:pt idx="5">
                  <c:v>44</c:v>
                </c:pt>
                <c:pt idx="6">
                  <c:v>44</c:v>
                </c:pt>
                <c:pt idx="7">
                  <c:v>44</c:v>
                </c:pt>
                <c:pt idx="8">
                  <c:v>44</c:v>
                </c:pt>
                <c:pt idx="9">
                  <c:v>37.168999999999997</c:v>
                </c:pt>
                <c:pt idx="10">
                  <c:v>44</c:v>
                </c:pt>
                <c:pt idx="11">
                  <c:v>44</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monthly'!$A$43:$C$43</c:f>
              <c:strCache>
                <c:ptCount val="3"/>
                <c:pt idx="0">
                  <c:v>LR by Legal </c:v>
                </c:pt>
              </c:strCache>
            </c:strRef>
          </c:tx>
          <c:spPr>
            <a:ln w="28575" cap="rnd">
              <a:solidFill>
                <a:srgbClr val="C00000"/>
              </a:solidFill>
              <a:round/>
            </a:ln>
            <a:effectLst/>
          </c:spPr>
          <c:marker>
            <c:symbol val="none"/>
          </c:marker>
          <c:dLbls>
            <c:delete val="1"/>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monthly'!$R$43:$AC$43</c:f>
              <c:numCache>
                <c:formatCode>General</c:formatCode>
                <c:ptCount val="12"/>
                <c:pt idx="0">
                  <c:v>19</c:v>
                </c:pt>
                <c:pt idx="1">
                  <c:v>19</c:v>
                </c:pt>
                <c:pt idx="2">
                  <c:v>19</c:v>
                </c:pt>
                <c:pt idx="3">
                  <c:v>19</c:v>
                </c:pt>
                <c:pt idx="4">
                  <c:v>19</c:v>
                </c:pt>
                <c:pt idx="5">
                  <c:v>19</c:v>
                </c:pt>
                <c:pt idx="6">
                  <c:v>19</c:v>
                </c:pt>
                <c:pt idx="7">
                  <c:v>19</c:v>
                </c:pt>
                <c:pt idx="8">
                  <c:v>19</c:v>
                </c:pt>
                <c:pt idx="9">
                  <c:v>19</c:v>
                </c:pt>
                <c:pt idx="10">
                  <c:v>19</c:v>
                </c:pt>
                <c:pt idx="11">
                  <c:v>19</c:v>
                </c:pt>
              </c:numCache>
            </c:numRef>
          </c:val>
          <c:smooth val="0"/>
          <c:extLst>
            <c:ext xmlns:c16="http://schemas.microsoft.com/office/drawing/2014/chart" uri="{C3380CC4-5D6E-409C-BE32-E72D297353CC}">
              <c16:uniqueId val="{00000002-1B8A-47D3-BB35-46E1F02FFA23}"/>
            </c:ext>
          </c:extLst>
        </c:ser>
        <c:ser>
          <c:idx val="3"/>
          <c:order val="3"/>
          <c:tx>
            <c:strRef>
              <c:f>'LR monthly'!$A$44:$C$44</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monthly'!$R$44:$AC$44</c:f>
              <c:numCache>
                <c:formatCode>General</c:formatCode>
                <c:ptCount val="12"/>
                <c:pt idx="0">
                  <c:v>36</c:v>
                </c:pt>
                <c:pt idx="1">
                  <c:v>36</c:v>
                </c:pt>
                <c:pt idx="2">
                  <c:v>36</c:v>
                </c:pt>
                <c:pt idx="3">
                  <c:v>36</c:v>
                </c:pt>
                <c:pt idx="4">
                  <c:v>36</c:v>
                </c:pt>
                <c:pt idx="5">
                  <c:v>36</c:v>
                </c:pt>
                <c:pt idx="6">
                  <c:v>36</c:v>
                </c:pt>
                <c:pt idx="7">
                  <c:v>36</c:v>
                </c:pt>
                <c:pt idx="8">
                  <c:v>36</c:v>
                </c:pt>
                <c:pt idx="9">
                  <c:v>36</c:v>
                </c:pt>
                <c:pt idx="10">
                  <c:v>36</c:v>
                </c:pt>
                <c:pt idx="11">
                  <c:v>36</c:v>
                </c:pt>
              </c:numCache>
            </c:numRef>
          </c:val>
          <c:smooth val="0"/>
          <c:extLst>
            <c:ext xmlns:c16="http://schemas.microsoft.com/office/drawing/2014/chart" uri="{C3380CC4-5D6E-409C-BE32-E72D297353CC}">
              <c16:uniqueId val="{00000003-1B8A-47D3-BB35-46E1F02FFA23}"/>
            </c:ext>
          </c:extLst>
        </c:ser>
        <c:ser>
          <c:idx val="4"/>
          <c:order val="4"/>
          <c:tx>
            <c:strRef>
              <c:f>'LR monthly'!$A$40</c:f>
              <c:strCache>
                <c:ptCount val="1"/>
                <c:pt idx="0">
                  <c:v>Total LR (GSP RY+MT+BRP)</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monthly'!$R$40:$AC$40</c:f>
              <c:numCache>
                <c:formatCode>_-* #,##0_-;\-* #,##0_-;_-* "-"??_-;_-@_-</c:formatCode>
                <c:ptCount val="12"/>
                <c:pt idx="0">
                  <c:v>78.759662528000007</c:v>
                </c:pt>
                <c:pt idx="1">
                  <c:v>101.88334820000001</c:v>
                </c:pt>
                <c:pt idx="2">
                  <c:v>89.457428200000066</c:v>
                </c:pt>
                <c:pt idx="3">
                  <c:v>73.349966310734715</c:v>
                </c:pt>
                <c:pt idx="4">
                  <c:v>65.189404940734704</c:v>
                </c:pt>
                <c:pt idx="5">
                  <c:v>68.669749150734702</c:v>
                </c:pt>
                <c:pt idx="6">
                  <c:v>57.254623120734699</c:v>
                </c:pt>
                <c:pt idx="7">
                  <c:v>48.054257991988649</c:v>
                </c:pt>
                <c:pt idx="8">
                  <c:v>44.152434310515204</c:v>
                </c:pt>
                <c:pt idx="9">
                  <c:v>53.508856115687578</c:v>
                </c:pt>
                <c:pt idx="10">
                  <c:v>54.349832458531225</c:v>
                </c:pt>
                <c:pt idx="11">
                  <c:v>45.459217269164284</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TH"/>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TH"/>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TH"/>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TH"/>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Ref>
          </c:cat>
          <c:val>
            <c:numRef>
              <c:f>'C3LPG'!$F$4:$V$4</c:f>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Ref>
          </c:cat>
          <c:val>
            <c:numRef>
              <c:f>'C3LPG'!$H$7:$V$7</c:f>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marker val="1"/>
        <c:smooth val="0"/>
        <c:axId val="482928624"/>
        <c:axId val="482928296"/>
      </c:lineChart>
      <c:cat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TH"/>
          </a:p>
        </c:txPr>
        <c:crossAx val="482928296"/>
        <c:crosses val="autoZero"/>
        <c:auto val="1"/>
        <c:lblAlgn val="ctr"/>
        <c:lblOffset val="100"/>
        <c:noMultiLvlLbl val="1"/>
      </c:cat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TH"/>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T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TH"/>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Ref>
          </c:cat>
          <c:val>
            <c:numRef>
              <c:f>'C3LPG'!$L$59:$X$59</c:f>
            </c:numRef>
          </c:val>
          <c:extLs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Ref>
          </c:cat>
          <c:val>
            <c:numRef>
              <c:f>'C3LPG'!$L$61:$X$61</c:f>
            </c:numRef>
          </c:val>
          <c:extLs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Ref>
          </c:cat>
          <c:val>
            <c:numRef>
              <c:f>'C3LPG'!$K$62:$X$62</c:f>
            </c:numRef>
          </c:val>
          <c:extLs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Ref>
          </c:cat>
          <c:val>
            <c:numRef>
              <c:f>'C3LPG'!$L$63:$X$63</c:f>
            </c:numRef>
          </c:val>
          <c:extLs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Ref>
          </c:cat>
          <c:val>
            <c:numRef>
              <c:f>'C3LPG'!$L$64:$X$64</c:f>
            </c:numRef>
          </c:val>
          <c:extLst>
            <c:ext xmlns:c16="http://schemas.microsoft.com/office/drawing/2014/chart" uri="{C3380CC4-5D6E-409C-BE32-E72D297353CC}">
              <c16:uniqueId val="{00000007-B86F-47CB-BC28-28DFEBACDBC2}"/>
            </c:ext>
          </c:extLst>
        </c:ser>
        <c:ser>
          <c:idx val="7"/>
          <c:order val="7"/>
          <c:tx>
            <c:v>ดึง import</c:v>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Ref>
          </c:cat>
          <c:val>
            <c:numRef>
              <c:f>'C3LPG'!$L$8:$X$8</c:f>
            </c:numRef>
          </c:val>
          <c:extLs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'C3LPG'!$L$178:$X$178</c:f>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TH"/>
          </a:p>
        </c:txPr>
        <c:crossAx val="941141288"/>
        <c:crosses val="autoZero"/>
        <c:auto val="1"/>
        <c:lblAlgn val="ctr"/>
        <c:lblOffset val="100"/>
        <c:noMultiLvlLbl val="1"/>
      </c:cat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TH"/>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TH"/>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T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TH"/>
        </a:p>
      </c:txPr>
    </c:title>
    <c:autoTitleDeleted val="0"/>
    <c:plotArea>
      <c:layout/>
      <c:lineChart>
        <c:grouping val="standard"/>
        <c:varyColors val="0"/>
        <c:ser>
          <c:idx val="6"/>
          <c:order val="0"/>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Ref>
          </c:cat>
          <c:val>
            <c:numRef>
              <c:f>'C3LPG'!$M$7:$X$7</c:f>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marker val="1"/>
        <c:smooth val="0"/>
        <c:axId val="941146208"/>
        <c:axId val="941141288"/>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TH"/>
          </a:p>
        </c:txPr>
        <c:crossAx val="941141288"/>
        <c:crosses val="autoZero"/>
        <c:auto val="1"/>
        <c:lblAlgn val="ctr"/>
        <c:lblOffset val="100"/>
        <c:noMultiLvlLbl val="1"/>
      </c:cat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TH"/>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274064</xdr:colOff>
      <xdr:row>45</xdr:row>
      <xdr:rowOff>59551</xdr:rowOff>
    </xdr:from>
    <xdr:to>
      <xdr:col>35</xdr:col>
      <xdr:colOff>186082</xdr:colOff>
      <xdr:row>71</xdr:row>
      <xdr:rowOff>152642</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60</xdr:col>
      <xdr:colOff>7262</xdr:colOff>
      <xdr:row>44</xdr:row>
      <xdr:rowOff>63508</xdr:rowOff>
    </xdr:from>
    <xdr:to>
      <xdr:col>71</xdr:col>
      <xdr:colOff>544445</xdr:colOff>
      <xdr:row>75</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70</xdr:col>
      <xdr:colOff>505036</xdr:colOff>
      <xdr:row>47</xdr:row>
      <xdr:rowOff>121796</xdr:rowOff>
    </xdr:from>
    <xdr:to>
      <xdr:col>82</xdr:col>
      <xdr:colOff>370098</xdr:colOff>
      <xdr:row>74</xdr:row>
      <xdr:rowOff>48771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59</xdr:col>
      <xdr:colOff>566145</xdr:colOff>
      <xdr:row>82</xdr:row>
      <xdr:rowOff>153012</xdr:rowOff>
    </xdr:from>
    <xdr:to>
      <xdr:col>71</xdr:col>
      <xdr:colOff>422972</xdr:colOff>
      <xdr:row>106</xdr:row>
      <xdr:rowOff>161056</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0</xdr:colOff>
      <xdr:row>187</xdr:row>
      <xdr:rowOff>0</xdr:rowOff>
    </xdr:from>
    <xdr:to>
      <xdr:col>47</xdr:col>
      <xdr:colOff>250697</xdr:colOff>
      <xdr:row>262</xdr:row>
      <xdr:rowOff>112851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21031200" y="27965400"/>
          <a:ext cx="12838095" cy="115428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ttgrp.sharepoint.com/pttgrp-fs01/nasdata2/F/D/D/C/C/C/C/C/G/C/Documents%20and%20Settings/Administrator/Application%20Data/Microsoft/Excel/G/A/EG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ttgrp.sharepoint.com/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pttgrp.sharepoint.com/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D44"/>
  <sheetViews>
    <sheetView zoomScale="108" zoomScaleNormal="70" workbookViewId="0">
      <pane xSplit="2" ySplit="6" topLeftCell="C7" activePane="bottomRight" state="frozen"/>
      <selection pane="topRight" activeCell="C1" sqref="C1"/>
      <selection pane="bottomLeft" activeCell="A7" sqref="A7"/>
      <selection pane="bottomRight" sqref="A1:XFD5"/>
    </sheetView>
  </sheetViews>
  <sheetFormatPr baseColWidth="10" defaultColWidth="8.83203125" defaultRowHeight="15"/>
  <cols>
    <col min="1" max="1" width="38.83203125" style="491" customWidth="1"/>
    <col min="3" max="3" width="10.33203125" customWidth="1"/>
    <col min="4" max="5" width="10.5" customWidth="1"/>
    <col min="6" max="19" width="10.5" bestFit="1" customWidth="1"/>
    <col min="20" max="20" width="10.5" style="3" bestFit="1" customWidth="1"/>
    <col min="21" max="21" width="10.5" style="3" customWidth="1"/>
    <col min="22" max="22" width="15.83203125" bestFit="1" customWidth="1"/>
  </cols>
  <sheetData>
    <row r="1" spans="1:28">
      <c r="A1" s="491" t="s">
        <v>213</v>
      </c>
      <c r="B1" s="2" t="s">
        <v>43</v>
      </c>
      <c r="C1" s="297">
        <v>200.00475408799599</v>
      </c>
      <c r="D1" s="297">
        <v>180.7371222570533</v>
      </c>
      <c r="E1" s="297">
        <v>202.46136608303385</v>
      </c>
      <c r="F1" s="297">
        <v>187.53</v>
      </c>
      <c r="G1" s="297">
        <v>203.11200000000002</v>
      </c>
      <c r="H1" s="297">
        <v>196.56</v>
      </c>
      <c r="I1" s="297">
        <v>150.69829090909093</v>
      </c>
      <c r="J1" s="297">
        <v>203.11200000000002</v>
      </c>
      <c r="K1" s="297">
        <v>184.72800000000001</v>
      </c>
      <c r="L1" s="297">
        <v>159.51758748120392</v>
      </c>
      <c r="M1" s="297">
        <v>197.83230445752736</v>
      </c>
      <c r="N1" s="297">
        <v>201.4497760022428</v>
      </c>
      <c r="O1" s="297">
        <v>204.88926380712081</v>
      </c>
      <c r="P1" s="297">
        <v>185.06127053546396</v>
      </c>
      <c r="Q1" s="297">
        <v>203.24626380712081</v>
      </c>
      <c r="R1" s="297">
        <v>196.68993271656853</v>
      </c>
      <c r="S1" s="297">
        <v>196.68993271656853</v>
      </c>
      <c r="T1" s="497"/>
      <c r="U1" s="497"/>
    </row>
    <row r="2" spans="1:28">
      <c r="A2" s="491" t="s">
        <v>175</v>
      </c>
      <c r="B2" s="2" t="s">
        <v>43</v>
      </c>
      <c r="C2" s="210">
        <f>C7-C1</f>
        <v>-0.99693893053157012</v>
      </c>
      <c r="D2" s="210">
        <f t="shared" ref="D2:Q2" si="0">D7-D1</f>
        <v>1.5036723472260292</v>
      </c>
      <c r="E2" s="210">
        <f t="shared" si="0"/>
        <v>1.4694360233963266</v>
      </c>
      <c r="F2" s="210">
        <f t="shared" si="0"/>
        <v>-3.1503056426332421</v>
      </c>
      <c r="G2" s="210">
        <f t="shared" si="0"/>
        <v>0.50199999999998113</v>
      </c>
      <c r="H2" s="210">
        <f t="shared" si="0"/>
        <v>0</v>
      </c>
      <c r="I2" s="210">
        <f t="shared" si="0"/>
        <v>4.7709090909080487E-2</v>
      </c>
      <c r="J2" s="210">
        <f t="shared" si="0"/>
        <v>0</v>
      </c>
      <c r="K2" s="210">
        <f t="shared" si="0"/>
        <v>-1.103999999999985</v>
      </c>
      <c r="L2" s="210">
        <f t="shared" si="0"/>
        <v>0</v>
      </c>
      <c r="M2" s="210">
        <f t="shared" si="0"/>
        <v>0</v>
      </c>
      <c r="N2" s="210">
        <f t="shared" si="0"/>
        <v>0</v>
      </c>
      <c r="O2" s="210">
        <f t="shared" si="0"/>
        <v>-16.586764227642249</v>
      </c>
      <c r="P2" s="210">
        <f t="shared" si="0"/>
        <v>-14.981593495934959</v>
      </c>
      <c r="Q2" s="210">
        <f t="shared" si="0"/>
        <v>-14.943764227642248</v>
      </c>
      <c r="R2" s="210">
        <f t="shared" ref="R2:S2" si="1">R7-R1</f>
        <v>-19.080243902439008</v>
      </c>
      <c r="S2" s="210">
        <f t="shared" si="1"/>
        <v>-13.159920941968011</v>
      </c>
      <c r="T2" s="640" t="s">
        <v>224</v>
      </c>
      <c r="U2" s="497"/>
      <c r="AB2" s="644" t="s">
        <v>222</v>
      </c>
    </row>
    <row r="3" spans="1:28">
      <c r="A3" s="491" t="s">
        <v>170</v>
      </c>
      <c r="B3" s="2" t="s">
        <v>43</v>
      </c>
      <c r="C3" s="297">
        <v>46.417000000000002</v>
      </c>
      <c r="D3" s="297">
        <v>44.466758620689653</v>
      </c>
      <c r="E3" s="297">
        <v>48.368068965517239</v>
      </c>
      <c r="F3" s="297">
        <v>45.692999999999998</v>
      </c>
      <c r="G3" s="297">
        <v>48.36</v>
      </c>
      <c r="H3" s="297">
        <v>46.8</v>
      </c>
      <c r="I3" s="297">
        <v>48.36</v>
      </c>
      <c r="J3" s="297">
        <v>48.36</v>
      </c>
      <c r="K3" s="297">
        <v>46.8</v>
      </c>
      <c r="L3" s="297">
        <v>46.692413793103455</v>
      </c>
      <c r="M3" s="297">
        <v>45.186206896551731</v>
      </c>
      <c r="N3" s="297">
        <v>47.526206896551727</v>
      </c>
      <c r="O3" s="297">
        <v>47.526206896551727</v>
      </c>
      <c r="P3" s="297">
        <v>42.926896551724141</v>
      </c>
      <c r="Q3" s="297">
        <v>47.526206896551727</v>
      </c>
      <c r="R3" s="297">
        <v>45.993103448275861</v>
      </c>
      <c r="S3" s="297">
        <v>45.993103448275861</v>
      </c>
    </row>
    <row r="4" spans="1:28">
      <c r="A4" s="491" t="s">
        <v>175</v>
      </c>
      <c r="B4" s="2" t="s">
        <v>43</v>
      </c>
      <c r="C4" s="210">
        <f>C9-C3</f>
        <v>-0.28151834684843635</v>
      </c>
      <c r="D4" s="210">
        <f t="shared" ref="D4:Q4" si="2">D9-D3</f>
        <v>-1.0419212381248784</v>
      </c>
      <c r="E4" s="210">
        <f t="shared" si="2"/>
        <v>1.4799310344827603</v>
      </c>
      <c r="F4" s="210">
        <f t="shared" si="2"/>
        <v>-0.23889655172413882</v>
      </c>
      <c r="G4" s="210">
        <f t="shared" si="2"/>
        <v>0.11599999999999966</v>
      </c>
      <c r="H4" s="210">
        <f t="shared" si="2"/>
        <v>0</v>
      </c>
      <c r="I4" s="210">
        <f t="shared" si="2"/>
        <v>0</v>
      </c>
      <c r="J4" s="210">
        <f t="shared" si="2"/>
        <v>0</v>
      </c>
      <c r="K4" s="210">
        <f t="shared" si="2"/>
        <v>0</v>
      </c>
      <c r="L4" s="210">
        <f t="shared" si="2"/>
        <v>0</v>
      </c>
      <c r="M4" s="210">
        <f t="shared" si="2"/>
        <v>0</v>
      </c>
      <c r="N4" s="210">
        <f t="shared" si="2"/>
        <v>0</v>
      </c>
      <c r="O4" s="210">
        <f t="shared" si="2"/>
        <v>0</v>
      </c>
      <c r="P4" s="210">
        <f t="shared" si="2"/>
        <v>0</v>
      </c>
      <c r="Q4" s="210">
        <f t="shared" si="2"/>
        <v>0</v>
      </c>
      <c r="R4" s="210">
        <f t="shared" ref="R4" si="3">R9-R3</f>
        <v>0</v>
      </c>
      <c r="S4" s="210">
        <f>S9-S3</f>
        <v>1.5331034482758668</v>
      </c>
      <c r="T4" s="622" t="s">
        <v>225</v>
      </c>
    </row>
    <row r="5" spans="1:28">
      <c r="A5" s="478"/>
      <c r="B5" s="212"/>
      <c r="C5" s="479">
        <v>31</v>
      </c>
      <c r="D5" s="550">
        <v>28</v>
      </c>
      <c r="E5" s="550">
        <v>31</v>
      </c>
      <c r="F5" s="550">
        <v>30</v>
      </c>
      <c r="G5" s="550">
        <v>31</v>
      </c>
      <c r="H5" s="550">
        <v>30</v>
      </c>
      <c r="I5" s="550">
        <v>31</v>
      </c>
      <c r="J5" s="550">
        <v>31</v>
      </c>
      <c r="K5" s="550">
        <v>30</v>
      </c>
      <c r="L5" s="550">
        <v>31</v>
      </c>
      <c r="M5" s="550">
        <v>30</v>
      </c>
      <c r="N5" s="550">
        <v>31</v>
      </c>
      <c r="O5" s="550">
        <v>31</v>
      </c>
      <c r="P5" s="550">
        <v>28</v>
      </c>
      <c r="Q5" s="550">
        <v>31</v>
      </c>
      <c r="R5" s="550">
        <v>30</v>
      </c>
      <c r="S5" s="550">
        <v>31</v>
      </c>
      <c r="T5" s="641" t="s">
        <v>223</v>
      </c>
      <c r="U5" s="498"/>
      <c r="V5" s="479"/>
    </row>
    <row r="6" spans="1:28">
      <c r="A6" s="480" t="s">
        <v>168</v>
      </c>
      <c r="B6" s="480" t="s">
        <v>72</v>
      </c>
      <c r="C6" s="481">
        <v>44198</v>
      </c>
      <c r="D6" s="481">
        <v>44229</v>
      </c>
      <c r="E6" s="481">
        <v>44257</v>
      </c>
      <c r="F6" s="481">
        <v>44288</v>
      </c>
      <c r="G6" s="481">
        <v>44318</v>
      </c>
      <c r="H6" s="481">
        <v>44349</v>
      </c>
      <c r="I6" s="482">
        <v>44379</v>
      </c>
      <c r="J6" s="482">
        <v>44410</v>
      </c>
      <c r="K6" s="482">
        <v>44441</v>
      </c>
      <c r="L6" s="482">
        <v>44471</v>
      </c>
      <c r="M6" s="482">
        <v>44502</v>
      </c>
      <c r="N6" s="482">
        <v>44532</v>
      </c>
      <c r="O6" s="482">
        <v>44563</v>
      </c>
      <c r="P6" s="482">
        <v>44594</v>
      </c>
      <c r="Q6" s="482">
        <v>44622</v>
      </c>
      <c r="R6" s="482">
        <v>44653</v>
      </c>
      <c r="S6" s="482">
        <v>44683</v>
      </c>
      <c r="T6" s="494"/>
      <c r="U6" s="494"/>
      <c r="V6" s="483" t="s">
        <v>125</v>
      </c>
    </row>
    <row r="7" spans="1:28">
      <c r="A7" s="484" t="s">
        <v>218</v>
      </c>
      <c r="B7" s="485" t="s">
        <v>43</v>
      </c>
      <c r="C7" s="492">
        <v>199.00781515746442</v>
      </c>
      <c r="D7" s="486">
        <v>182.24079460427933</v>
      </c>
      <c r="E7" s="486">
        <v>203.93080210643018</v>
      </c>
      <c r="F7" s="486">
        <v>184.37969435736676</v>
      </c>
      <c r="G7" s="486">
        <v>203.614</v>
      </c>
      <c r="H7" s="486">
        <v>196.56</v>
      </c>
      <c r="I7" s="486">
        <v>150.74600000000001</v>
      </c>
      <c r="J7" s="486">
        <v>203.11200000000002</v>
      </c>
      <c r="K7" s="486">
        <v>183.62400000000002</v>
      </c>
      <c r="L7" s="486">
        <v>159.51758748120392</v>
      </c>
      <c r="M7" s="486">
        <v>197.83230445752736</v>
      </c>
      <c r="N7" s="486">
        <v>201.4497760022428</v>
      </c>
      <c r="O7" s="486">
        <v>188.30249957947856</v>
      </c>
      <c r="P7" s="486">
        <v>170.079677039529</v>
      </c>
      <c r="Q7" s="486">
        <v>188.30249957947856</v>
      </c>
      <c r="R7" s="486">
        <v>177.60968881412953</v>
      </c>
      <c r="S7" s="486">
        <v>183.53001177460052</v>
      </c>
      <c r="T7" s="493"/>
      <c r="U7" s="639" t="s">
        <v>220</v>
      </c>
      <c r="V7" s="591">
        <f>SUM(C7:N7)</f>
        <v>2266.0147741665151</v>
      </c>
    </row>
    <row r="8" spans="1:28">
      <c r="A8" s="478" t="str">
        <f>A7</f>
        <v>Total C2 (Ability 6rev0_7May'21) (ฉบับแก้ไข)</v>
      </c>
      <c r="B8" s="485" t="s">
        <v>169</v>
      </c>
      <c r="C8" s="487">
        <f>C7/24/C5*1000</f>
        <v>267.48362252347368</v>
      </c>
      <c r="D8" s="487">
        <f t="shared" ref="D8:Q8" si="4">D7/24/D5*1000</f>
        <v>271.19165863732042</v>
      </c>
      <c r="E8" s="487">
        <f t="shared" si="4"/>
        <v>274.10054046563198</v>
      </c>
      <c r="F8" s="487">
        <f t="shared" si="4"/>
        <v>256.08290882967606</v>
      </c>
      <c r="G8" s="487">
        <f t="shared" si="4"/>
        <v>273.67473118279571</v>
      </c>
      <c r="H8" s="487">
        <f t="shared" si="4"/>
        <v>272.99999999999994</v>
      </c>
      <c r="I8" s="487">
        <f t="shared" si="4"/>
        <v>202.6155913978495</v>
      </c>
      <c r="J8" s="487">
        <f t="shared" si="4"/>
        <v>273</v>
      </c>
      <c r="K8" s="487">
        <f t="shared" si="4"/>
        <v>255.03333333333333</v>
      </c>
      <c r="L8" s="487">
        <f t="shared" si="4"/>
        <v>214.4053595177472</v>
      </c>
      <c r="M8" s="487">
        <f t="shared" si="4"/>
        <v>274.76708952434353</v>
      </c>
      <c r="N8" s="487">
        <f t="shared" si="4"/>
        <v>270.76582796000378</v>
      </c>
      <c r="O8" s="487">
        <f t="shared" si="4"/>
        <v>253.09475749929916</v>
      </c>
      <c r="P8" s="487">
        <f t="shared" si="4"/>
        <v>253.09475749929911</v>
      </c>
      <c r="Q8" s="487">
        <f t="shared" si="4"/>
        <v>253.09475749929916</v>
      </c>
      <c r="R8" s="487">
        <f t="shared" ref="R8" si="5">R7/24/R5*1000</f>
        <v>246.68012335295765</v>
      </c>
      <c r="S8" s="487">
        <f>S7/24/S5*1000</f>
        <v>246.68012335295768</v>
      </c>
      <c r="T8" s="615" t="s">
        <v>229</v>
      </c>
      <c r="U8" s="639"/>
      <c r="V8" s="592"/>
    </row>
    <row r="9" spans="1:28">
      <c r="A9" s="514" t="s">
        <v>170</v>
      </c>
      <c r="B9" s="485" t="s">
        <v>43</v>
      </c>
      <c r="C9" s="492">
        <v>46.135481653151565</v>
      </c>
      <c r="D9" s="492">
        <v>43.424837382564775</v>
      </c>
      <c r="E9" s="492">
        <v>49.847999999999999</v>
      </c>
      <c r="F9" s="492">
        <v>45.454103448275859</v>
      </c>
      <c r="G9" s="492">
        <v>48.475999999999999</v>
      </c>
      <c r="H9" s="492">
        <v>46.8</v>
      </c>
      <c r="I9" s="492">
        <v>48.36</v>
      </c>
      <c r="J9" s="492">
        <v>48.36</v>
      </c>
      <c r="K9" s="492">
        <v>46.8</v>
      </c>
      <c r="L9" s="492">
        <v>46.692413793103455</v>
      </c>
      <c r="M9" s="492">
        <v>45.186206896551731</v>
      </c>
      <c r="N9" s="492">
        <v>47.526206896551727</v>
      </c>
      <c r="O9" s="492">
        <v>47.526206896551727</v>
      </c>
      <c r="P9" s="492">
        <v>42.926896551724141</v>
      </c>
      <c r="Q9" s="492">
        <v>47.526206896551727</v>
      </c>
      <c r="R9" s="492">
        <v>45.993103448275861</v>
      </c>
      <c r="S9" s="492">
        <v>47.526206896551727</v>
      </c>
      <c r="T9" s="414"/>
      <c r="U9" s="639" t="s">
        <v>221</v>
      </c>
      <c r="V9" s="591">
        <f>SUM(C9:N9)</f>
        <v>563.06325007019916</v>
      </c>
    </row>
    <row r="10" spans="1:28">
      <c r="A10" s="478" t="s">
        <v>170</v>
      </c>
      <c r="B10" s="485" t="s">
        <v>169</v>
      </c>
      <c r="C10" s="488">
        <f>C9/24/C5*1000</f>
        <v>62.010055985418774</v>
      </c>
      <c r="D10" s="488">
        <f t="shared" ref="D10:Q10" si="6">D9/24/D5*1000</f>
        <v>64.620293724054733</v>
      </c>
      <c r="E10" s="488">
        <f t="shared" si="6"/>
        <v>67</v>
      </c>
      <c r="F10" s="488">
        <f t="shared" si="6"/>
        <v>63.130699233716477</v>
      </c>
      <c r="G10" s="488">
        <f t="shared" si="6"/>
        <v>65.15591397849461</v>
      </c>
      <c r="H10" s="488">
        <f t="shared" si="6"/>
        <v>65</v>
      </c>
      <c r="I10" s="488">
        <f t="shared" si="6"/>
        <v>65</v>
      </c>
      <c r="J10" s="488">
        <f t="shared" si="6"/>
        <v>65</v>
      </c>
      <c r="K10" s="488">
        <f t="shared" si="6"/>
        <v>65</v>
      </c>
      <c r="L10" s="488">
        <f t="shared" si="6"/>
        <v>62.758620689655181</v>
      </c>
      <c r="M10" s="488">
        <f t="shared" si="6"/>
        <v>62.758620689655181</v>
      </c>
      <c r="N10" s="488">
        <f t="shared" si="6"/>
        <v>63.879310344827594</v>
      </c>
      <c r="O10" s="488">
        <f t="shared" si="6"/>
        <v>63.879310344827594</v>
      </c>
      <c r="P10" s="488">
        <f t="shared" si="6"/>
        <v>63.879310344827594</v>
      </c>
      <c r="Q10" s="488">
        <f t="shared" si="6"/>
        <v>63.879310344827594</v>
      </c>
      <c r="R10" s="488">
        <f t="shared" ref="R10" si="7">R9/24/R5*1000</f>
        <v>63.87931034482758</v>
      </c>
      <c r="S10" s="488">
        <f>S9/24/S5*1000</f>
        <v>63.879310344827594</v>
      </c>
      <c r="T10" s="642" t="s">
        <v>230</v>
      </c>
      <c r="U10" s="499"/>
      <c r="V10" s="592"/>
    </row>
    <row r="11" spans="1:28">
      <c r="A11" s="478"/>
      <c r="B11" s="485"/>
      <c r="C11" s="488"/>
      <c r="D11" s="488"/>
      <c r="E11" s="488"/>
      <c r="F11" s="488"/>
      <c r="G11" s="488"/>
      <c r="H11" s="488"/>
      <c r="I11" s="488"/>
      <c r="J11" s="488"/>
      <c r="K11" s="488"/>
      <c r="L11" s="488"/>
      <c r="M11" s="488"/>
      <c r="N11" s="488"/>
      <c r="O11" s="488"/>
      <c r="P11" s="488"/>
      <c r="Q11" s="488"/>
      <c r="R11" s="488"/>
      <c r="S11" s="488"/>
      <c r="T11" s="645" t="s">
        <v>227</v>
      </c>
      <c r="U11" s="499"/>
      <c r="V11" s="592"/>
    </row>
    <row r="12" spans="1:28">
      <c r="A12" s="478" t="s">
        <v>171</v>
      </c>
      <c r="B12" s="485"/>
      <c r="C12" s="488"/>
      <c r="D12" s="488"/>
      <c r="E12" s="488"/>
      <c r="F12" s="488"/>
      <c r="G12" s="488"/>
      <c r="H12" s="488"/>
      <c r="I12" s="488"/>
      <c r="J12" s="488"/>
      <c r="K12" s="488"/>
      <c r="L12" s="488"/>
      <c r="M12" s="488"/>
      <c r="N12" s="488"/>
      <c r="O12" s="488"/>
      <c r="P12" s="488"/>
      <c r="Q12" s="488"/>
      <c r="R12" s="488"/>
      <c r="S12" s="488"/>
      <c r="T12" s="645" t="s">
        <v>226</v>
      </c>
      <c r="U12" s="499"/>
      <c r="V12" s="592"/>
    </row>
    <row r="13" spans="1:28">
      <c r="A13" s="478" t="s">
        <v>201</v>
      </c>
      <c r="B13" s="485" t="s">
        <v>169</v>
      </c>
      <c r="C13" s="488"/>
      <c r="D13" s="210">
        <v>260</v>
      </c>
      <c r="E13" s="210">
        <v>260</v>
      </c>
      <c r="F13" s="210">
        <v>260</v>
      </c>
      <c r="G13" s="210">
        <v>260</v>
      </c>
      <c r="H13" s="210">
        <v>260</v>
      </c>
      <c r="I13" s="210">
        <v>260</v>
      </c>
      <c r="J13" s="210">
        <v>260</v>
      </c>
      <c r="K13" s="210">
        <v>260</v>
      </c>
      <c r="L13" s="210">
        <v>260</v>
      </c>
      <c r="M13" s="210">
        <v>260</v>
      </c>
      <c r="N13" s="210">
        <v>260</v>
      </c>
      <c r="O13" s="210">
        <v>260</v>
      </c>
      <c r="P13" s="210">
        <v>260</v>
      </c>
      <c r="Q13" s="210">
        <v>260</v>
      </c>
      <c r="R13" s="210">
        <v>260</v>
      </c>
      <c r="S13" s="210">
        <v>260</v>
      </c>
      <c r="T13" s="646"/>
      <c r="U13" s="497"/>
      <c r="V13" s="592"/>
    </row>
    <row r="14" spans="1:28">
      <c r="A14" s="478" t="s">
        <v>207</v>
      </c>
      <c r="B14" s="485" t="s">
        <v>169</v>
      </c>
      <c r="C14" s="488"/>
      <c r="D14" s="210">
        <v>15</v>
      </c>
      <c r="E14" s="210">
        <v>15</v>
      </c>
      <c r="F14" s="210">
        <v>15</v>
      </c>
      <c r="G14" s="210">
        <v>15</v>
      </c>
      <c r="H14" s="210">
        <v>15</v>
      </c>
      <c r="I14" s="210">
        <v>15</v>
      </c>
      <c r="J14" s="210">
        <v>15</v>
      </c>
      <c r="K14" s="210">
        <v>15</v>
      </c>
      <c r="L14" s="210">
        <v>15</v>
      </c>
      <c r="M14" s="210">
        <v>15</v>
      </c>
      <c r="N14" s="210">
        <v>15</v>
      </c>
      <c r="O14" s="210">
        <v>15</v>
      </c>
      <c r="P14" s="210">
        <v>15</v>
      </c>
      <c r="Q14" s="210">
        <v>15</v>
      </c>
      <c r="R14" s="210">
        <v>15</v>
      </c>
      <c r="S14" s="210">
        <v>15</v>
      </c>
      <c r="T14" s="646"/>
      <c r="U14" s="497"/>
      <c r="V14" s="592"/>
    </row>
    <row r="15" spans="1:28">
      <c r="A15" s="478"/>
      <c r="B15" s="485"/>
      <c r="C15" s="488"/>
      <c r="D15" s="488"/>
      <c r="E15" s="488"/>
      <c r="F15" s="488"/>
      <c r="G15" s="488"/>
      <c r="H15" s="488"/>
      <c r="I15" s="488"/>
      <c r="J15" s="488"/>
      <c r="K15" s="488"/>
      <c r="L15" s="488"/>
      <c r="M15" s="488"/>
      <c r="N15" s="488"/>
      <c r="O15" s="488"/>
      <c r="P15" s="488"/>
      <c r="Q15" s="488"/>
      <c r="R15" s="488"/>
      <c r="S15" s="488"/>
      <c r="T15" s="645" t="s">
        <v>227</v>
      </c>
      <c r="U15" s="499"/>
      <c r="V15" s="592"/>
    </row>
    <row r="16" spans="1:28">
      <c r="A16" s="478" t="s">
        <v>200</v>
      </c>
      <c r="B16" s="485" t="s">
        <v>169</v>
      </c>
      <c r="C16" s="489"/>
      <c r="D16" s="489"/>
      <c r="E16" s="489">
        <f t="shared" ref="E16:P16" si="8">E8-275</f>
        <v>-0.89945953436802029</v>
      </c>
      <c r="F16" s="489">
        <f t="shared" si="8"/>
        <v>-18.917091170323943</v>
      </c>
      <c r="G16" s="489">
        <f t="shared" si="8"/>
        <v>-1.3252688172042895</v>
      </c>
      <c r="H16" s="489">
        <f t="shared" si="8"/>
        <v>-2.0000000000000568</v>
      </c>
      <c r="I16" s="489">
        <f t="shared" si="8"/>
        <v>-72.384408602150501</v>
      </c>
      <c r="J16" s="489">
        <f t="shared" si="8"/>
        <v>-2</v>
      </c>
      <c r="K16" s="489">
        <f t="shared" si="8"/>
        <v>-19.966666666666669</v>
      </c>
      <c r="L16" s="489">
        <f t="shared" si="8"/>
        <v>-60.5946404822528</v>
      </c>
      <c r="M16" s="489">
        <f t="shared" si="8"/>
        <v>-0.2329104756564675</v>
      </c>
      <c r="N16" s="489">
        <f t="shared" si="8"/>
        <v>-4.2341720399962242</v>
      </c>
      <c r="O16" s="489">
        <f t="shared" si="8"/>
        <v>-21.905242500700837</v>
      </c>
      <c r="P16" s="489">
        <f t="shared" si="8"/>
        <v>-21.905242500700894</v>
      </c>
      <c r="Q16" s="489">
        <f t="shared" ref="Q16:R16" si="9">Q8-275</f>
        <v>-21.905242500700837</v>
      </c>
      <c r="R16" s="489">
        <f t="shared" si="9"/>
        <v>-28.319876647042349</v>
      </c>
      <c r="S16" s="489">
        <f t="shared" ref="S16" si="10">S8-275</f>
        <v>-28.319876647042321</v>
      </c>
      <c r="T16" s="647"/>
      <c r="U16" s="500"/>
      <c r="V16" s="592"/>
    </row>
    <row r="17" spans="1:30">
      <c r="A17" s="478" t="s">
        <v>172</v>
      </c>
      <c r="B17" s="485"/>
      <c r="C17" s="212"/>
      <c r="D17" s="212"/>
      <c r="E17" s="407"/>
      <c r="F17" s="407"/>
      <c r="G17" s="407"/>
      <c r="H17" s="407"/>
      <c r="I17" s="407"/>
      <c r="J17" s="407"/>
      <c r="K17" s="407"/>
      <c r="L17" s="407"/>
      <c r="M17" s="407"/>
      <c r="N17" s="407"/>
      <c r="O17" s="407"/>
      <c r="P17" s="407"/>
      <c r="Q17" s="407"/>
      <c r="R17" s="407"/>
      <c r="S17" s="407"/>
      <c r="T17" s="645" t="s">
        <v>226</v>
      </c>
      <c r="U17" s="500"/>
      <c r="V17" s="592"/>
    </row>
    <row r="18" spans="1:30">
      <c r="A18" s="478" t="s">
        <v>0</v>
      </c>
      <c r="B18" s="485" t="s">
        <v>169</v>
      </c>
      <c r="C18" s="212"/>
      <c r="D18" s="489"/>
      <c r="E18" s="489">
        <f t="shared" ref="E18:P18" si="11">E13/(E13+E14)*E16</f>
        <v>-0.85039810522067372</v>
      </c>
      <c r="F18" s="489">
        <f t="shared" si="11"/>
        <v>-17.885249833760817</v>
      </c>
      <c r="G18" s="489">
        <f t="shared" si="11"/>
        <v>-1.2529814271749646</v>
      </c>
      <c r="H18" s="489">
        <f t="shared" si="11"/>
        <v>-1.8909090909091446</v>
      </c>
      <c r="I18" s="489">
        <f t="shared" si="11"/>
        <v>-68.436168132942285</v>
      </c>
      <c r="J18" s="489">
        <f t="shared" si="11"/>
        <v>-1.8909090909090909</v>
      </c>
      <c r="K18" s="489">
        <f t="shared" si="11"/>
        <v>-18.877575757575759</v>
      </c>
      <c r="L18" s="489">
        <f t="shared" si="11"/>
        <v>-57.28947827412992</v>
      </c>
      <c r="M18" s="489">
        <f t="shared" si="11"/>
        <v>-0.22020626789338746</v>
      </c>
      <c r="N18" s="489">
        <f t="shared" si="11"/>
        <v>-4.0032172014509753</v>
      </c>
      <c r="O18" s="489">
        <f t="shared" si="11"/>
        <v>-20.7104110915717</v>
      </c>
      <c r="P18" s="489">
        <f t="shared" si="11"/>
        <v>-20.710411091571753</v>
      </c>
      <c r="Q18" s="489">
        <f>Q13/(Q13+Q14)*Q16</f>
        <v>-20.7104110915717</v>
      </c>
      <c r="R18" s="489">
        <f>R13/(R13+R14)*R16</f>
        <v>-26.775156102658222</v>
      </c>
      <c r="S18" s="489">
        <f>S13/(S13+S14)*S16</f>
        <v>-26.775156102658194</v>
      </c>
      <c r="T18" s="647"/>
      <c r="U18" s="500"/>
      <c r="V18" s="592"/>
    </row>
    <row r="19" spans="1:30">
      <c r="A19" s="478" t="s">
        <v>118</v>
      </c>
      <c r="B19" s="485" t="s">
        <v>169</v>
      </c>
      <c r="C19" s="212"/>
      <c r="D19" s="489"/>
      <c r="E19" s="489">
        <f t="shared" ref="E19:P19" si="12">E14/(E13+E14)*E16</f>
        <v>-4.9061429147346555E-2</v>
      </c>
      <c r="F19" s="489">
        <f t="shared" si="12"/>
        <v>-1.031841336563124</v>
      </c>
      <c r="G19" s="489">
        <f t="shared" si="12"/>
        <v>-7.2287390029324883E-2</v>
      </c>
      <c r="H19" s="489">
        <f t="shared" si="12"/>
        <v>-0.10909090909091218</v>
      </c>
      <c r="I19" s="489">
        <f t="shared" si="12"/>
        <v>-3.9482404692082089</v>
      </c>
      <c r="J19" s="489">
        <f t="shared" si="12"/>
        <v>-0.10909090909090909</v>
      </c>
      <c r="K19" s="489">
        <f t="shared" si="12"/>
        <v>-1.0890909090909091</v>
      </c>
      <c r="L19" s="489">
        <f t="shared" si="12"/>
        <v>-3.30516220812288</v>
      </c>
      <c r="M19" s="489">
        <f t="shared" si="12"/>
        <v>-1.2704207763080044E-2</v>
      </c>
      <c r="N19" s="489">
        <f t="shared" si="12"/>
        <v>-0.23095483854524859</v>
      </c>
      <c r="O19" s="489">
        <f t="shared" si="12"/>
        <v>-1.1948314091291365</v>
      </c>
      <c r="P19" s="489">
        <f t="shared" si="12"/>
        <v>-1.1948314091291397</v>
      </c>
      <c r="Q19" s="489">
        <f>Q14/(Q13+Q14)*Q16</f>
        <v>-1.1948314091291365</v>
      </c>
      <c r="R19" s="489">
        <f>R14/(R13+R14)*R16</f>
        <v>-1.5447205443841281</v>
      </c>
      <c r="S19" s="489">
        <f>S14/(S13+S14)*S16</f>
        <v>-1.5447205443841265</v>
      </c>
      <c r="T19" s="647"/>
      <c r="U19" s="500"/>
      <c r="V19" s="592"/>
    </row>
    <row r="20" spans="1:30">
      <c r="A20" s="478"/>
      <c r="B20" s="485"/>
      <c r="C20" s="212"/>
      <c r="D20" s="212"/>
      <c r="E20" s="407"/>
      <c r="F20" s="407"/>
      <c r="G20" s="407"/>
      <c r="H20" s="407"/>
      <c r="I20" s="489"/>
      <c r="J20" s="489"/>
      <c r="K20" s="489"/>
      <c r="L20" s="489"/>
      <c r="M20" s="489"/>
      <c r="N20" s="489"/>
      <c r="O20" s="489"/>
      <c r="P20" s="489"/>
      <c r="Q20" s="489"/>
      <c r="R20" s="489"/>
      <c r="S20" s="489"/>
      <c r="T20" s="645" t="s">
        <v>227</v>
      </c>
      <c r="U20" s="500"/>
      <c r="V20" s="592"/>
    </row>
    <row r="21" spans="1:30">
      <c r="A21" s="480" t="s">
        <v>174</v>
      </c>
      <c r="B21" s="480" t="s">
        <v>72</v>
      </c>
      <c r="C21" s="481">
        <f t="shared" ref="C21:Q21" si="13">C6</f>
        <v>44198</v>
      </c>
      <c r="D21" s="481">
        <f t="shared" si="13"/>
        <v>44229</v>
      </c>
      <c r="E21" s="481">
        <f t="shared" si="13"/>
        <v>44257</v>
      </c>
      <c r="F21" s="481">
        <f t="shared" si="13"/>
        <v>44288</v>
      </c>
      <c r="G21" s="481">
        <f t="shared" si="13"/>
        <v>44318</v>
      </c>
      <c r="H21" s="481">
        <f t="shared" si="13"/>
        <v>44349</v>
      </c>
      <c r="I21" s="482">
        <f t="shared" si="13"/>
        <v>44379</v>
      </c>
      <c r="J21" s="482">
        <f t="shared" si="13"/>
        <v>44410</v>
      </c>
      <c r="K21" s="482">
        <f t="shared" si="13"/>
        <v>44441</v>
      </c>
      <c r="L21" s="482">
        <f t="shared" si="13"/>
        <v>44471</v>
      </c>
      <c r="M21" s="482">
        <f t="shared" si="13"/>
        <v>44502</v>
      </c>
      <c r="N21" s="482">
        <f t="shared" si="13"/>
        <v>44532</v>
      </c>
      <c r="O21" s="482">
        <f t="shared" si="13"/>
        <v>44563</v>
      </c>
      <c r="P21" s="482">
        <f t="shared" si="13"/>
        <v>44594</v>
      </c>
      <c r="Q21" s="482">
        <f t="shared" si="13"/>
        <v>44622</v>
      </c>
      <c r="R21" s="482">
        <f t="shared" ref="R21:S21" si="14">R6</f>
        <v>44653</v>
      </c>
      <c r="S21" s="482">
        <f t="shared" si="14"/>
        <v>44683</v>
      </c>
      <c r="T21" s="500"/>
      <c r="U21" s="500"/>
      <c r="V21" s="592"/>
    </row>
    <row r="22" spans="1:30" s="631" customFormat="1">
      <c r="A22" s="625" t="s">
        <v>206</v>
      </c>
      <c r="B22" s="626" t="s">
        <v>44</v>
      </c>
      <c r="C22" s="627">
        <v>0</v>
      </c>
      <c r="D22" s="627">
        <v>0</v>
      </c>
      <c r="E22" s="628">
        <v>5040</v>
      </c>
      <c r="F22" s="628">
        <v>5760</v>
      </c>
      <c r="G22" s="628">
        <v>11160</v>
      </c>
      <c r="H22" s="628">
        <v>11664</v>
      </c>
      <c r="I22" s="628">
        <v>11160</v>
      </c>
      <c r="J22" s="628">
        <v>11160</v>
      </c>
      <c r="K22" s="628">
        <v>10800</v>
      </c>
      <c r="L22" s="628">
        <v>11160</v>
      </c>
      <c r="M22" s="628">
        <v>10800</v>
      </c>
      <c r="N22" s="628">
        <v>11160</v>
      </c>
      <c r="O22" s="628">
        <v>11160</v>
      </c>
      <c r="P22" s="628">
        <v>10080</v>
      </c>
      <c r="Q22" s="628">
        <v>11160</v>
      </c>
      <c r="R22" s="628">
        <v>10800</v>
      </c>
      <c r="S22" s="628">
        <v>11160</v>
      </c>
      <c r="T22" s="629"/>
      <c r="U22" s="629"/>
      <c r="V22" s="630"/>
    </row>
    <row r="23" spans="1:30">
      <c r="A23" s="583" t="str">
        <f>A22</f>
        <v>SCG Demand (Updated on 31/3/64)</v>
      </c>
      <c r="B23" s="584" t="s">
        <v>43</v>
      </c>
      <c r="C23" s="587">
        <v>0</v>
      </c>
      <c r="D23" s="588">
        <v>0</v>
      </c>
      <c r="E23" s="588">
        <f>E22/1000</f>
        <v>5.04</v>
      </c>
      <c r="F23" s="588">
        <f t="shared" ref="F23:Q23" si="15">F22/1000</f>
        <v>5.76</v>
      </c>
      <c r="G23" s="588">
        <f t="shared" si="15"/>
        <v>11.16</v>
      </c>
      <c r="H23" s="588">
        <f t="shared" si="15"/>
        <v>11.664</v>
      </c>
      <c r="I23" s="588">
        <f t="shared" si="15"/>
        <v>11.16</v>
      </c>
      <c r="J23" s="588">
        <f t="shared" si="15"/>
        <v>11.16</v>
      </c>
      <c r="K23" s="588">
        <f t="shared" si="15"/>
        <v>10.8</v>
      </c>
      <c r="L23" s="588">
        <f t="shared" si="15"/>
        <v>11.16</v>
      </c>
      <c r="M23" s="588">
        <f t="shared" si="15"/>
        <v>10.8</v>
      </c>
      <c r="N23" s="588">
        <f t="shared" si="15"/>
        <v>11.16</v>
      </c>
      <c r="O23" s="588">
        <f t="shared" si="15"/>
        <v>11.16</v>
      </c>
      <c r="P23" s="588">
        <f t="shared" si="15"/>
        <v>10.08</v>
      </c>
      <c r="Q23" s="588">
        <f t="shared" si="15"/>
        <v>11.16</v>
      </c>
      <c r="R23" s="588">
        <f t="shared" ref="R23" si="16">R22/1000</f>
        <v>10.8</v>
      </c>
      <c r="S23" s="588">
        <f>S22/1000</f>
        <v>11.16</v>
      </c>
      <c r="T23" s="615" t="s">
        <v>228</v>
      </c>
      <c r="U23" s="500"/>
      <c r="V23" s="592"/>
      <c r="AD23" s="592" t="s">
        <v>215</v>
      </c>
    </row>
    <row r="24" spans="1:30">
      <c r="A24" s="583" t="str">
        <f>A23</f>
        <v>SCG Demand (Updated on 31/3/64)</v>
      </c>
      <c r="B24" s="584" t="s">
        <v>169</v>
      </c>
      <c r="C24" s="585">
        <f t="shared" ref="C24:Q24" si="17">C23/24/C5*1000</f>
        <v>0</v>
      </c>
      <c r="D24" s="586">
        <f t="shared" si="17"/>
        <v>0</v>
      </c>
      <c r="E24" s="586">
        <f t="shared" si="17"/>
        <v>6.774193548387097</v>
      </c>
      <c r="F24" s="586">
        <f t="shared" si="17"/>
        <v>8</v>
      </c>
      <c r="G24" s="586">
        <f t="shared" si="17"/>
        <v>15.000000000000002</v>
      </c>
      <c r="H24" s="607">
        <f t="shared" si="17"/>
        <v>16.2</v>
      </c>
      <c r="I24" s="607">
        <f t="shared" si="17"/>
        <v>15.000000000000002</v>
      </c>
      <c r="J24" s="586">
        <f t="shared" si="17"/>
        <v>15.000000000000002</v>
      </c>
      <c r="K24" s="586">
        <f t="shared" si="17"/>
        <v>15.000000000000002</v>
      </c>
      <c r="L24" s="586">
        <f t="shared" si="17"/>
        <v>15.000000000000002</v>
      </c>
      <c r="M24" s="586">
        <f t="shared" si="17"/>
        <v>15.000000000000002</v>
      </c>
      <c r="N24" s="586">
        <f t="shared" si="17"/>
        <v>15.000000000000002</v>
      </c>
      <c r="O24" s="586">
        <f t="shared" si="17"/>
        <v>15.000000000000002</v>
      </c>
      <c r="P24" s="586">
        <f t="shared" si="17"/>
        <v>15</v>
      </c>
      <c r="Q24" s="586">
        <f t="shared" si="17"/>
        <v>15.000000000000002</v>
      </c>
      <c r="R24" s="586">
        <f t="shared" ref="R24" si="18">R23/24/R5*1000</f>
        <v>15.000000000000002</v>
      </c>
      <c r="S24" s="586">
        <f>S23/24/S5*1000</f>
        <v>15.000000000000002</v>
      </c>
      <c r="T24" s="615" t="s">
        <v>231</v>
      </c>
      <c r="U24" s="500"/>
      <c r="AD24" s="592"/>
    </row>
    <row r="25" spans="1:30">
      <c r="A25" s="583" t="str">
        <f>A23</f>
        <v>SCG Demand (Updated on 31/3/64)</v>
      </c>
      <c r="B25" s="584" t="s">
        <v>184</v>
      </c>
      <c r="C25" s="585"/>
      <c r="D25" s="586">
        <f>D24*24</f>
        <v>0</v>
      </c>
      <c r="E25" s="579">
        <f t="shared" ref="E25:Q25" si="19">E24*24</f>
        <v>162.58064516129033</v>
      </c>
      <c r="F25" s="579">
        <f t="shared" si="19"/>
        <v>192</v>
      </c>
      <c r="G25" s="579">
        <f t="shared" si="19"/>
        <v>360.00000000000006</v>
      </c>
      <c r="H25" s="579">
        <f t="shared" si="19"/>
        <v>388.79999999999995</v>
      </c>
      <c r="I25" s="579">
        <f t="shared" si="19"/>
        <v>360.00000000000006</v>
      </c>
      <c r="J25" s="579">
        <f t="shared" si="19"/>
        <v>360.00000000000006</v>
      </c>
      <c r="K25" s="579">
        <f t="shared" si="19"/>
        <v>360.00000000000006</v>
      </c>
      <c r="L25" s="579">
        <f t="shared" si="19"/>
        <v>360.00000000000006</v>
      </c>
      <c r="M25" s="579">
        <f t="shared" si="19"/>
        <v>360.00000000000006</v>
      </c>
      <c r="N25" s="579">
        <f t="shared" si="19"/>
        <v>360.00000000000006</v>
      </c>
      <c r="O25" s="579">
        <f t="shared" si="19"/>
        <v>360.00000000000006</v>
      </c>
      <c r="P25" s="579">
        <f t="shared" si="19"/>
        <v>360</v>
      </c>
      <c r="Q25" s="579">
        <f t="shared" si="19"/>
        <v>360.00000000000006</v>
      </c>
      <c r="R25" s="579">
        <f t="shared" ref="R25" si="20">R24*24</f>
        <v>360.00000000000006</v>
      </c>
      <c r="S25" s="579">
        <f>S24*24</f>
        <v>360.00000000000006</v>
      </c>
      <c r="T25" s="615" t="s">
        <v>236</v>
      </c>
      <c r="U25" s="500"/>
      <c r="AD25" s="623">
        <f>SUM(C26:N26)</f>
        <v>93421.181887689498</v>
      </c>
    </row>
    <row r="26" spans="1:30" s="624" customFormat="1">
      <c r="A26" s="514" t="s">
        <v>176</v>
      </c>
      <c r="B26" s="619" t="s">
        <v>44</v>
      </c>
      <c r="C26" s="620"/>
      <c r="D26" s="621">
        <f>D28*24*D5</f>
        <v>0</v>
      </c>
      <c r="E26" s="621">
        <f t="shared" ref="E26:Q26" si="21">E28*24*E5</f>
        <v>5040</v>
      </c>
      <c r="F26" s="621">
        <f t="shared" si="21"/>
        <v>5760</v>
      </c>
      <c r="G26" s="621">
        <f t="shared" si="21"/>
        <v>11160.000000000002</v>
      </c>
      <c r="H26" s="621">
        <f t="shared" si="21"/>
        <v>11663.999999999998</v>
      </c>
      <c r="I26" s="621">
        <f t="shared" si="21"/>
        <v>8222.5090909090941</v>
      </c>
      <c r="J26" s="621">
        <f t="shared" si="21"/>
        <v>11078.836363636365</v>
      </c>
      <c r="K26" s="621">
        <f t="shared" si="21"/>
        <v>10015.854545454546</v>
      </c>
      <c r="L26" s="621">
        <f t="shared" si="21"/>
        <v>8700.9593171565793</v>
      </c>
      <c r="M26" s="621">
        <f t="shared" si="21"/>
        <v>10790.852970410582</v>
      </c>
      <c r="N26" s="621">
        <f t="shared" si="21"/>
        <v>10988.169600122337</v>
      </c>
      <c r="O26" s="621">
        <f t="shared" si="21"/>
        <v>10271.045431607925</v>
      </c>
      <c r="P26" s="621">
        <f t="shared" si="21"/>
        <v>9277.0732930652175</v>
      </c>
      <c r="Q26" s="621">
        <f t="shared" si="21"/>
        <v>10271.045431607925</v>
      </c>
      <c r="R26" s="621">
        <f t="shared" ref="R26" si="22">R28*24*R5</f>
        <v>9687.8012080434291</v>
      </c>
      <c r="S26" s="621">
        <f>S28*24*S5</f>
        <v>10010.727914978212</v>
      </c>
      <c r="T26" s="622" t="s">
        <v>235</v>
      </c>
      <c r="U26" s="622"/>
    </row>
    <row r="27" spans="1:30">
      <c r="A27" s="495" t="s">
        <v>176</v>
      </c>
      <c r="B27" s="584" t="s">
        <v>43</v>
      </c>
      <c r="C27" s="585"/>
      <c r="D27" s="586">
        <f>D26/10^3</f>
        <v>0</v>
      </c>
      <c r="E27" s="586">
        <f t="shared" ref="E27:Q27" si="23">E26/10^3</f>
        <v>5.04</v>
      </c>
      <c r="F27" s="586">
        <f t="shared" si="23"/>
        <v>5.76</v>
      </c>
      <c r="G27" s="586">
        <f t="shared" si="23"/>
        <v>11.160000000000002</v>
      </c>
      <c r="H27" s="586">
        <f t="shared" si="23"/>
        <v>11.663999999999998</v>
      </c>
      <c r="I27" s="586">
        <f t="shared" si="23"/>
        <v>8.2225090909090941</v>
      </c>
      <c r="J27" s="586">
        <f t="shared" si="23"/>
        <v>11.078836363636364</v>
      </c>
      <c r="K27" s="586">
        <f t="shared" si="23"/>
        <v>10.015854545454546</v>
      </c>
      <c r="L27" s="586">
        <f t="shared" si="23"/>
        <v>8.7009593171565793</v>
      </c>
      <c r="M27" s="586">
        <f t="shared" si="23"/>
        <v>10.790852970410581</v>
      </c>
      <c r="N27" s="586">
        <f t="shared" si="23"/>
        <v>10.988169600122337</v>
      </c>
      <c r="O27" s="586">
        <f t="shared" si="23"/>
        <v>10.271045431607925</v>
      </c>
      <c r="P27" s="586">
        <f t="shared" si="23"/>
        <v>9.277073293065218</v>
      </c>
      <c r="Q27" s="586">
        <f t="shared" si="23"/>
        <v>10.271045431607925</v>
      </c>
      <c r="R27" s="586">
        <f t="shared" ref="R27" si="24">R26/10^3</f>
        <v>9.6878012080434299</v>
      </c>
      <c r="S27" s="586">
        <f>S26/10^3</f>
        <v>10.010727914978212</v>
      </c>
      <c r="T27" s="615" t="s">
        <v>234</v>
      </c>
      <c r="U27" s="500"/>
      <c r="V27" s="592"/>
      <c r="AB27" s="643" t="s">
        <v>232</v>
      </c>
    </row>
    <row r="28" spans="1:30">
      <c r="A28" s="478" t="s">
        <v>176</v>
      </c>
      <c r="B28" s="490" t="s">
        <v>169</v>
      </c>
      <c r="C28" s="581"/>
      <c r="D28" s="582">
        <f>D24</f>
        <v>0</v>
      </c>
      <c r="E28" s="582">
        <f t="shared" ref="E28:H28" si="25">E24</f>
        <v>6.774193548387097</v>
      </c>
      <c r="F28" s="582">
        <f t="shared" si="25"/>
        <v>8</v>
      </c>
      <c r="G28" s="582">
        <f t="shared" si="25"/>
        <v>15.000000000000002</v>
      </c>
      <c r="H28" s="582">
        <f t="shared" si="25"/>
        <v>16.2</v>
      </c>
      <c r="I28" s="582">
        <f>I24+I19</f>
        <v>11.051759530791793</v>
      </c>
      <c r="J28" s="582">
        <f t="shared" ref="J28:Q28" si="26">J24+J19</f>
        <v>14.890909090909092</v>
      </c>
      <c r="K28" s="582">
        <f t="shared" si="26"/>
        <v>13.910909090909092</v>
      </c>
      <c r="L28" s="582">
        <f t="shared" si="26"/>
        <v>11.694837791877122</v>
      </c>
      <c r="M28" s="582">
        <f t="shared" si="26"/>
        <v>14.987295792236921</v>
      </c>
      <c r="N28" s="582">
        <f t="shared" si="26"/>
        <v>14.769045161454754</v>
      </c>
      <c r="O28" s="582">
        <f t="shared" si="26"/>
        <v>13.805168590870865</v>
      </c>
      <c r="P28" s="582">
        <f t="shared" si="26"/>
        <v>13.80516859087086</v>
      </c>
      <c r="Q28" s="582">
        <f t="shared" si="26"/>
        <v>13.805168590870865</v>
      </c>
      <c r="R28" s="582">
        <f t="shared" ref="R28" si="27">R24+R19</f>
        <v>13.455279455615873</v>
      </c>
      <c r="S28" s="582">
        <f>S24+S19</f>
        <v>13.455279455615875</v>
      </c>
      <c r="T28" s="615" t="s">
        <v>233</v>
      </c>
      <c r="U28" s="500"/>
      <c r="V28" s="592"/>
    </row>
    <row r="29" spans="1:30">
      <c r="A29" s="478" t="s">
        <v>176</v>
      </c>
      <c r="B29" s="490" t="s">
        <v>184</v>
      </c>
      <c r="C29" s="602">
        <f>C28*24</f>
        <v>0</v>
      </c>
      <c r="D29" s="602">
        <f>D28*24</f>
        <v>0</v>
      </c>
      <c r="E29" s="602">
        <f t="shared" ref="E29:R29" si="28">E28*24</f>
        <v>162.58064516129033</v>
      </c>
      <c r="F29" s="602">
        <f t="shared" si="28"/>
        <v>192</v>
      </c>
      <c r="G29" s="602">
        <f t="shared" si="28"/>
        <v>360.00000000000006</v>
      </c>
      <c r="H29" s="602">
        <f t="shared" si="28"/>
        <v>388.79999999999995</v>
      </c>
      <c r="I29" s="602">
        <f t="shared" si="28"/>
        <v>265.24222873900305</v>
      </c>
      <c r="J29" s="602">
        <f t="shared" si="28"/>
        <v>357.38181818181823</v>
      </c>
      <c r="K29" s="602">
        <f t="shared" si="28"/>
        <v>333.86181818181819</v>
      </c>
      <c r="L29" s="602">
        <f t="shared" si="28"/>
        <v>280.67610700505094</v>
      </c>
      <c r="M29" s="602">
        <f t="shared" si="28"/>
        <v>359.6950990136861</v>
      </c>
      <c r="N29" s="602">
        <f t="shared" si="28"/>
        <v>354.45708387491408</v>
      </c>
      <c r="O29" s="602">
        <f t="shared" si="28"/>
        <v>331.32404618090078</v>
      </c>
      <c r="P29" s="602">
        <f t="shared" si="28"/>
        <v>331.32404618090061</v>
      </c>
      <c r="Q29" s="602">
        <f t="shared" si="28"/>
        <v>331.32404618090078</v>
      </c>
      <c r="R29" s="602">
        <f t="shared" si="28"/>
        <v>322.92670693478095</v>
      </c>
      <c r="S29" s="602">
        <f>S28*24</f>
        <v>322.92670693478101</v>
      </c>
      <c r="T29" s="615" t="s">
        <v>237</v>
      </c>
      <c r="U29" s="500"/>
      <c r="V29" s="592"/>
    </row>
    <row r="30" spans="1:30">
      <c r="A30" s="478"/>
      <c r="B30" s="490"/>
      <c r="C30" s="581"/>
      <c r="D30" s="582"/>
      <c r="E30" s="582"/>
      <c r="F30" s="582"/>
      <c r="G30" s="582"/>
      <c r="H30" s="582"/>
      <c r="I30" s="582"/>
      <c r="J30" s="582"/>
      <c r="K30" s="582"/>
      <c r="L30" s="582"/>
      <c r="M30" s="582"/>
      <c r="N30" s="582"/>
      <c r="O30" s="582"/>
      <c r="P30" s="582"/>
      <c r="Q30" s="582"/>
      <c r="R30" s="582"/>
      <c r="S30" s="582"/>
      <c r="T30" s="500"/>
      <c r="U30" s="500"/>
      <c r="V30" s="592"/>
    </row>
    <row r="31" spans="1:30">
      <c r="A31" s="480" t="s">
        <v>173</v>
      </c>
      <c r="B31" s="480" t="s">
        <v>72</v>
      </c>
      <c r="C31" s="481">
        <f>C12</f>
        <v>0</v>
      </c>
      <c r="D31" s="481">
        <f>D6</f>
        <v>44229</v>
      </c>
      <c r="E31" s="481">
        <f t="shared" ref="E31:Q31" si="29">E6</f>
        <v>44257</v>
      </c>
      <c r="F31" s="481">
        <f t="shared" si="29"/>
        <v>44288</v>
      </c>
      <c r="G31" s="481">
        <f t="shared" si="29"/>
        <v>44318</v>
      </c>
      <c r="H31" s="481">
        <f t="shared" si="29"/>
        <v>44349</v>
      </c>
      <c r="I31" s="482">
        <f t="shared" si="29"/>
        <v>44379</v>
      </c>
      <c r="J31" s="482">
        <f t="shared" si="29"/>
        <v>44410</v>
      </c>
      <c r="K31" s="482">
        <f t="shared" si="29"/>
        <v>44441</v>
      </c>
      <c r="L31" s="482">
        <f t="shared" si="29"/>
        <v>44471</v>
      </c>
      <c r="M31" s="482">
        <f t="shared" si="29"/>
        <v>44502</v>
      </c>
      <c r="N31" s="482">
        <f t="shared" si="29"/>
        <v>44532</v>
      </c>
      <c r="O31" s="482">
        <f t="shared" si="29"/>
        <v>44563</v>
      </c>
      <c r="P31" s="482">
        <f t="shared" si="29"/>
        <v>44594</v>
      </c>
      <c r="Q31" s="482">
        <f t="shared" si="29"/>
        <v>44622</v>
      </c>
      <c r="R31" s="482">
        <f t="shared" ref="R31:S31" si="30">R6</f>
        <v>44653</v>
      </c>
      <c r="S31" s="482">
        <f t="shared" si="30"/>
        <v>44683</v>
      </c>
      <c r="T31" s="500"/>
      <c r="U31" s="500"/>
      <c r="V31" s="592"/>
    </row>
    <row r="32" spans="1:30">
      <c r="A32" s="589" t="s">
        <v>177</v>
      </c>
      <c r="B32" s="580" t="s">
        <v>44</v>
      </c>
      <c r="C32" s="603"/>
      <c r="D32" s="604">
        <f>D37*24*D5</f>
        <v>43424.83738256478</v>
      </c>
      <c r="E32" s="604">
        <f t="shared" ref="E32:Q32" si="31">E37*24*E5</f>
        <v>44808</v>
      </c>
      <c r="F32" s="604">
        <f t="shared" si="31"/>
        <v>39694.103448275862</v>
      </c>
      <c r="G32" s="604">
        <f t="shared" si="31"/>
        <v>37315.999999999993</v>
      </c>
      <c r="H32" s="604">
        <f t="shared" si="31"/>
        <v>35135.999999999993</v>
      </c>
      <c r="I32" s="604">
        <f t="shared" si="31"/>
        <v>40137.490909090906</v>
      </c>
      <c r="J32" s="604">
        <f t="shared" si="31"/>
        <v>37281.163636363635</v>
      </c>
      <c r="K32" s="604">
        <f t="shared" si="31"/>
        <v>36784.145454545447</v>
      </c>
      <c r="L32" s="604">
        <f t="shared" si="31"/>
        <v>37991.454475946877</v>
      </c>
      <c r="M32" s="604">
        <f t="shared" si="31"/>
        <v>34395.35392614115</v>
      </c>
      <c r="N32" s="604">
        <f t="shared" si="31"/>
        <v>36538.037296429393</v>
      </c>
      <c r="O32" s="604">
        <f t="shared" si="31"/>
        <v>37255.161464943812</v>
      </c>
      <c r="P32" s="604">
        <f t="shared" si="31"/>
        <v>33649.823258658929</v>
      </c>
      <c r="Q32" s="604">
        <f t="shared" si="31"/>
        <v>37255.161464943812</v>
      </c>
      <c r="R32" s="604">
        <f t="shared" ref="R32" si="32">R37*24*R5</f>
        <v>36305.302240232428</v>
      </c>
      <c r="S32" s="604">
        <f>S37*24*S5</f>
        <v>37515.47898157352</v>
      </c>
      <c r="T32" s="615" t="s">
        <v>238</v>
      </c>
      <c r="U32" s="500"/>
      <c r="V32" s="592"/>
    </row>
    <row r="33" spans="1:22">
      <c r="A33" s="589" t="s">
        <v>178</v>
      </c>
      <c r="B33" s="580" t="s">
        <v>44</v>
      </c>
      <c r="C33" s="603"/>
      <c r="D33" s="604">
        <f>D38*24*D5</f>
        <v>138815.95722171455</v>
      </c>
      <c r="E33" s="604">
        <f t="shared" ref="E33:Q33" si="33">E38*24*E5</f>
        <v>154082.8021064302</v>
      </c>
      <c r="F33" s="604">
        <f t="shared" si="33"/>
        <v>138925.59090909088</v>
      </c>
      <c r="G33" s="604">
        <f t="shared" si="33"/>
        <v>155138.00000000006</v>
      </c>
      <c r="H33" s="604">
        <f t="shared" si="33"/>
        <v>149759.99999999994</v>
      </c>
      <c r="I33" s="604">
        <f t="shared" si="33"/>
        <v>102386.00000000003</v>
      </c>
      <c r="J33" s="604">
        <f t="shared" si="33"/>
        <v>154752</v>
      </c>
      <c r="K33" s="604">
        <f t="shared" si="33"/>
        <v>136824</v>
      </c>
      <c r="L33" s="604">
        <f t="shared" si="33"/>
        <v>112825.17368810048</v>
      </c>
      <c r="M33" s="604">
        <f t="shared" si="33"/>
        <v>152646.09756097564</v>
      </c>
      <c r="N33" s="604">
        <f t="shared" si="33"/>
        <v>153923.56910569107</v>
      </c>
      <c r="O33" s="604">
        <f t="shared" si="33"/>
        <v>140776.29268292684</v>
      </c>
      <c r="P33" s="604">
        <f t="shared" si="33"/>
        <v>127152.78048780485</v>
      </c>
      <c r="Q33" s="604">
        <f t="shared" si="33"/>
        <v>140776.29268292684</v>
      </c>
      <c r="R33" s="604">
        <f t="shared" ref="R33" si="34">R38*24*R5</f>
        <v>131616.58536585365</v>
      </c>
      <c r="S33" s="604">
        <f>S38*24*S5</f>
        <v>136003.8048780488</v>
      </c>
      <c r="T33" s="615" t="s">
        <v>239</v>
      </c>
      <c r="U33" s="500"/>
      <c r="V33" s="592"/>
    </row>
    <row r="34" spans="1:22">
      <c r="A34" s="589" t="s">
        <v>204</v>
      </c>
      <c r="B34" s="606" t="s">
        <v>44</v>
      </c>
      <c r="C34" s="603"/>
      <c r="D34" s="604"/>
      <c r="E34" s="605">
        <f>E32+E33</f>
        <v>198890.8021064302</v>
      </c>
      <c r="F34" s="605">
        <f t="shared" ref="F34:Q34" si="35">F32+F33</f>
        <v>178619.69435736674</v>
      </c>
      <c r="G34" s="605">
        <f t="shared" si="35"/>
        <v>192454.00000000006</v>
      </c>
      <c r="H34" s="605">
        <f t="shared" si="35"/>
        <v>184895.99999999994</v>
      </c>
      <c r="I34" s="605">
        <f t="shared" si="35"/>
        <v>142523.49090909094</v>
      </c>
      <c r="J34" s="605">
        <f t="shared" si="35"/>
        <v>192033.16363636364</v>
      </c>
      <c r="K34" s="605">
        <f t="shared" si="35"/>
        <v>173608.14545454545</v>
      </c>
      <c r="L34" s="605">
        <f t="shared" si="35"/>
        <v>150816.62816404735</v>
      </c>
      <c r="M34" s="605">
        <f t="shared" si="35"/>
        <v>187041.45148711681</v>
      </c>
      <c r="N34" s="605">
        <f t="shared" si="35"/>
        <v>190461.60640212047</v>
      </c>
      <c r="O34" s="605">
        <f t="shared" si="35"/>
        <v>178031.45414787065</v>
      </c>
      <c r="P34" s="605">
        <f t="shared" si="35"/>
        <v>160802.60374646378</v>
      </c>
      <c r="Q34" s="605">
        <f t="shared" si="35"/>
        <v>178031.45414787065</v>
      </c>
      <c r="R34" s="605">
        <f t="shared" ref="R34" si="36">R32+R33</f>
        <v>167921.88760608609</v>
      </c>
      <c r="S34" s="605">
        <f>S32+S33</f>
        <v>173519.28385962232</v>
      </c>
      <c r="T34" s="615" t="s">
        <v>240</v>
      </c>
      <c r="U34" s="500"/>
      <c r="V34" s="592"/>
    </row>
    <row r="35" spans="1:22">
      <c r="A35" s="495" t="s">
        <v>177</v>
      </c>
      <c r="B35" s="584" t="s">
        <v>43</v>
      </c>
      <c r="C35" s="585"/>
      <c r="D35" s="590">
        <f t="shared" ref="D35:Q35" si="37">D32/1000</f>
        <v>43.424837382564782</v>
      </c>
      <c r="E35" s="590">
        <f t="shared" si="37"/>
        <v>44.808</v>
      </c>
      <c r="F35" s="590">
        <f t="shared" si="37"/>
        <v>39.694103448275861</v>
      </c>
      <c r="G35" s="590">
        <f t="shared" si="37"/>
        <v>37.315999999999995</v>
      </c>
      <c r="H35" s="590">
        <f t="shared" si="37"/>
        <v>35.135999999999996</v>
      </c>
      <c r="I35" s="590">
        <f t="shared" si="37"/>
        <v>40.137490909090907</v>
      </c>
      <c r="J35" s="590">
        <f t="shared" si="37"/>
        <v>37.281163636363637</v>
      </c>
      <c r="K35" s="590">
        <f t="shared" si="37"/>
        <v>36.784145454545445</v>
      </c>
      <c r="L35" s="590">
        <f t="shared" si="37"/>
        <v>37.991454475946874</v>
      </c>
      <c r="M35" s="590">
        <f t="shared" si="37"/>
        <v>34.395353926141148</v>
      </c>
      <c r="N35" s="590">
        <f t="shared" si="37"/>
        <v>36.538037296429394</v>
      </c>
      <c r="O35" s="590">
        <f t="shared" si="37"/>
        <v>37.255161464943811</v>
      </c>
      <c r="P35" s="590">
        <f t="shared" si="37"/>
        <v>33.649823258658927</v>
      </c>
      <c r="Q35" s="590">
        <f t="shared" si="37"/>
        <v>37.255161464943811</v>
      </c>
      <c r="R35" s="590">
        <f t="shared" ref="R35" si="38">R32/1000</f>
        <v>36.305302240232429</v>
      </c>
      <c r="S35" s="590">
        <f>S32/1000</f>
        <v>37.515478981573523</v>
      </c>
      <c r="T35" s="615" t="s">
        <v>241</v>
      </c>
      <c r="U35" s="500"/>
      <c r="V35" s="212"/>
    </row>
    <row r="36" spans="1:22">
      <c r="A36" s="495" t="s">
        <v>178</v>
      </c>
      <c r="B36" s="584" t="s">
        <v>43</v>
      </c>
      <c r="D36" s="579">
        <f t="shared" ref="D36:Q36" si="39">D33/1000</f>
        <v>138.81595722171454</v>
      </c>
      <c r="E36" s="579">
        <f t="shared" si="39"/>
        <v>154.08280210643019</v>
      </c>
      <c r="F36" s="579">
        <f t="shared" si="39"/>
        <v>138.92559090909089</v>
      </c>
      <c r="G36" s="579">
        <f t="shared" si="39"/>
        <v>155.13800000000006</v>
      </c>
      <c r="H36" s="579">
        <f t="shared" si="39"/>
        <v>149.75999999999993</v>
      </c>
      <c r="I36" s="579">
        <f t="shared" si="39"/>
        <v>102.38600000000002</v>
      </c>
      <c r="J36" s="579">
        <f t="shared" si="39"/>
        <v>154.75200000000001</v>
      </c>
      <c r="K36" s="579">
        <f t="shared" si="39"/>
        <v>136.82400000000001</v>
      </c>
      <c r="L36" s="579">
        <f t="shared" si="39"/>
        <v>112.82517368810048</v>
      </c>
      <c r="M36" s="579">
        <f t="shared" si="39"/>
        <v>152.64609756097565</v>
      </c>
      <c r="N36" s="579">
        <f t="shared" si="39"/>
        <v>153.92356910569109</v>
      </c>
      <c r="O36" s="579">
        <f t="shared" si="39"/>
        <v>140.77629268292685</v>
      </c>
      <c r="P36" s="579">
        <f t="shared" si="39"/>
        <v>127.15278048780485</v>
      </c>
      <c r="Q36" s="579">
        <f t="shared" si="39"/>
        <v>140.77629268292685</v>
      </c>
      <c r="R36" s="579">
        <f t="shared" ref="R36" si="40">R33/1000</f>
        <v>131.61658536585364</v>
      </c>
      <c r="S36" s="579">
        <f>S33/1000</f>
        <v>136.00380487804881</v>
      </c>
      <c r="T36" s="615" t="s">
        <v>242</v>
      </c>
      <c r="U36" s="500"/>
      <c r="V36" s="212"/>
    </row>
    <row r="37" spans="1:22">
      <c r="A37" s="589" t="s">
        <v>177</v>
      </c>
      <c r="B37" s="580" t="s">
        <v>169</v>
      </c>
      <c r="C37" s="496"/>
      <c r="D37" s="578">
        <f t="shared" ref="D37:Q37" si="41">D10-D28</f>
        <v>64.620293724054733</v>
      </c>
      <c r="E37" s="578">
        <f t="shared" si="41"/>
        <v>60.225806451612904</v>
      </c>
      <c r="F37" s="578">
        <f t="shared" si="41"/>
        <v>55.130699233716477</v>
      </c>
      <c r="G37" s="578">
        <f t="shared" si="41"/>
        <v>50.15591397849461</v>
      </c>
      <c r="H37" s="578">
        <f t="shared" si="41"/>
        <v>48.8</v>
      </c>
      <c r="I37" s="578">
        <f t="shared" si="41"/>
        <v>53.948240469208208</v>
      </c>
      <c r="J37" s="578">
        <f t="shared" si="41"/>
        <v>50.109090909090909</v>
      </c>
      <c r="K37" s="578">
        <f t="shared" si="41"/>
        <v>51.089090909090906</v>
      </c>
      <c r="L37" s="578">
        <f t="shared" si="41"/>
        <v>51.063782897778061</v>
      </c>
      <c r="M37" s="578">
        <f t="shared" si="41"/>
        <v>47.77132489741826</v>
      </c>
      <c r="N37" s="578">
        <f t="shared" si="41"/>
        <v>49.110265183372839</v>
      </c>
      <c r="O37" s="578">
        <f t="shared" si="41"/>
        <v>50.074141753956731</v>
      </c>
      <c r="P37" s="578">
        <f t="shared" si="41"/>
        <v>50.074141753956738</v>
      </c>
      <c r="Q37" s="578">
        <f t="shared" si="41"/>
        <v>50.074141753956731</v>
      </c>
      <c r="R37" s="578">
        <f t="shared" ref="R37" si="42">R10-R28</f>
        <v>50.424030889211707</v>
      </c>
      <c r="S37" s="578">
        <f>S10-S28</f>
        <v>50.424030889211721</v>
      </c>
      <c r="T37" s="615" t="s">
        <v>243</v>
      </c>
      <c r="U37" s="500"/>
      <c r="V37" s="212"/>
    </row>
    <row r="38" spans="1:22">
      <c r="A38" s="589" t="s">
        <v>178</v>
      </c>
      <c r="B38" s="580" t="s">
        <v>169</v>
      </c>
      <c r="C38" s="496"/>
      <c r="D38" s="578">
        <f>D8-D10</f>
        <v>206.57136491326568</v>
      </c>
      <c r="E38" s="578">
        <f t="shared" ref="E38:Q38" si="43">E8-E10</f>
        <v>207.10054046563198</v>
      </c>
      <c r="F38" s="578">
        <f t="shared" si="43"/>
        <v>192.95220959595957</v>
      </c>
      <c r="G38" s="578">
        <f t="shared" si="43"/>
        <v>208.51881720430111</v>
      </c>
      <c r="H38" s="578">
        <f t="shared" si="43"/>
        <v>207.99999999999994</v>
      </c>
      <c r="I38" s="578">
        <f t="shared" si="43"/>
        <v>137.6155913978495</v>
      </c>
      <c r="J38" s="578">
        <f t="shared" si="43"/>
        <v>208</v>
      </c>
      <c r="K38" s="578">
        <f t="shared" si="43"/>
        <v>190.03333333333333</v>
      </c>
      <c r="L38" s="578">
        <f t="shared" si="43"/>
        <v>151.64673882809203</v>
      </c>
      <c r="M38" s="578">
        <f t="shared" si="43"/>
        <v>212.00846883468836</v>
      </c>
      <c r="N38" s="578">
        <f t="shared" si="43"/>
        <v>206.88651761517619</v>
      </c>
      <c r="O38" s="578">
        <f t="shared" si="43"/>
        <v>189.21544715447158</v>
      </c>
      <c r="P38" s="578">
        <f t="shared" si="43"/>
        <v>189.21544715447152</v>
      </c>
      <c r="Q38" s="578">
        <f t="shared" si="43"/>
        <v>189.21544715447158</v>
      </c>
      <c r="R38" s="578">
        <f t="shared" ref="R38" si="44">R8-R10</f>
        <v>182.80081300813006</v>
      </c>
      <c r="S38" s="578">
        <f>S8-S10</f>
        <v>182.80081300813009</v>
      </c>
      <c r="T38" s="615" t="s">
        <v>244</v>
      </c>
      <c r="U38" s="500"/>
      <c r="V38" s="212"/>
    </row>
    <row r="39" spans="1:22">
      <c r="A39" s="583" t="s">
        <v>201</v>
      </c>
      <c r="B39" s="584" t="s">
        <v>169</v>
      </c>
      <c r="C39" s="585"/>
      <c r="D39" s="579">
        <f>D37+D38</f>
        <v>271.19165863732042</v>
      </c>
      <c r="E39" s="579">
        <f t="shared" ref="E39:P39" si="45">E37+E38</f>
        <v>267.3263469172449</v>
      </c>
      <c r="F39" s="579">
        <f t="shared" si="45"/>
        <v>248.08290882967606</v>
      </c>
      <c r="G39" s="579">
        <f t="shared" si="45"/>
        <v>258.67473118279571</v>
      </c>
      <c r="H39" s="579">
        <f t="shared" si="45"/>
        <v>256.79999999999995</v>
      </c>
      <c r="I39" s="579">
        <f t="shared" si="45"/>
        <v>191.5638318670577</v>
      </c>
      <c r="J39" s="579">
        <f t="shared" si="45"/>
        <v>258.10909090909092</v>
      </c>
      <c r="K39" s="579">
        <f t="shared" si="45"/>
        <v>241.12242424242424</v>
      </c>
      <c r="L39" s="579">
        <f t="shared" si="45"/>
        <v>202.71052172587008</v>
      </c>
      <c r="M39" s="579">
        <f t="shared" si="45"/>
        <v>259.77979373210661</v>
      </c>
      <c r="N39" s="579">
        <f t="shared" si="45"/>
        <v>255.99678279854902</v>
      </c>
      <c r="O39" s="579">
        <f t="shared" si="45"/>
        <v>239.2895889084283</v>
      </c>
      <c r="P39" s="579">
        <f t="shared" si="45"/>
        <v>239.28958890842824</v>
      </c>
      <c r="Q39" s="579">
        <f>Q37+Q38</f>
        <v>239.2895889084283</v>
      </c>
      <c r="R39" s="579">
        <f>R37+R38</f>
        <v>233.22484389734177</v>
      </c>
      <c r="S39" s="579">
        <f>S37+S38</f>
        <v>233.22484389734183</v>
      </c>
      <c r="T39" s="615" t="s">
        <v>245</v>
      </c>
      <c r="U39" s="500"/>
      <c r="V39" s="212"/>
    </row>
    <row r="40" spans="1:22">
      <c r="A40" s="583"/>
      <c r="B40" s="584"/>
      <c r="C40" s="585"/>
      <c r="D40" s="579"/>
      <c r="E40" s="579"/>
      <c r="F40" s="579"/>
      <c r="G40" s="579"/>
      <c r="H40" s="579"/>
      <c r="I40" s="579"/>
      <c r="J40" s="579"/>
      <c r="K40" s="579"/>
      <c r="L40" s="579"/>
      <c r="M40" s="579"/>
      <c r="N40" s="579"/>
      <c r="O40" s="579"/>
      <c r="P40" s="579"/>
      <c r="Q40" s="579"/>
      <c r="R40" s="579"/>
      <c r="S40" s="579"/>
      <c r="T40" s="645" t="s">
        <v>227</v>
      </c>
      <c r="U40" s="500"/>
      <c r="V40" s="212"/>
    </row>
    <row r="41" spans="1:22">
      <c r="A41" s="593" t="s">
        <v>202</v>
      </c>
      <c r="B41" s="594" t="s">
        <v>43</v>
      </c>
      <c r="C41" s="585"/>
      <c r="D41" s="586">
        <f>D7-D35-D36-D27</f>
        <v>0</v>
      </c>
      <c r="E41" s="586">
        <f t="shared" ref="E41:Q41" si="46">E7-E35-E36-E27</f>
        <v>-7.9936057773011271E-15</v>
      </c>
      <c r="F41" s="586">
        <f t="shared" si="46"/>
        <v>1.9539925233402755E-14</v>
      </c>
      <c r="G41" s="586">
        <f t="shared" si="46"/>
        <v>-6.2172489379008766E-14</v>
      </c>
      <c r="H41" s="586">
        <f t="shared" si="46"/>
        <v>7.460698725481052E-14</v>
      </c>
      <c r="I41" s="586">
        <f t="shared" si="46"/>
        <v>0</v>
      </c>
      <c r="J41" s="586">
        <f t="shared" si="46"/>
        <v>1.9539925233402755E-14</v>
      </c>
      <c r="K41" s="586">
        <f t="shared" si="46"/>
        <v>2.6645352591003757E-14</v>
      </c>
      <c r="L41" s="586">
        <f t="shared" si="46"/>
        <v>-1.9539925233402755E-14</v>
      </c>
      <c r="M41" s="586">
        <f t="shared" si="46"/>
        <v>-2.6645352591003757E-14</v>
      </c>
      <c r="N41" s="586">
        <f t="shared" si="46"/>
        <v>-1.7763568394002505E-14</v>
      </c>
      <c r="O41" s="586">
        <f t="shared" si="46"/>
        <v>-3.730349362740526E-14</v>
      </c>
      <c r="P41" s="586">
        <f t="shared" si="46"/>
        <v>0</v>
      </c>
      <c r="Q41" s="586">
        <f t="shared" si="46"/>
        <v>-3.730349362740526E-14</v>
      </c>
      <c r="R41" s="586">
        <f t="shared" ref="R41" si="47">R7-R35-R36-R27</f>
        <v>2.3092638912203256E-14</v>
      </c>
      <c r="S41" s="586">
        <f>S7-S35-S36-S27</f>
        <v>-2.1316282072803006E-14</v>
      </c>
      <c r="T41" s="615" t="s">
        <v>246</v>
      </c>
      <c r="U41" s="500"/>
      <c r="V41" s="212"/>
    </row>
    <row r="42" spans="1:22">
      <c r="A42" s="593" t="s">
        <v>203</v>
      </c>
      <c r="B42" s="594" t="s">
        <v>43</v>
      </c>
      <c r="C42" s="585"/>
      <c r="D42" s="586"/>
      <c r="E42" s="579">
        <f>E9-E27-E35</f>
        <v>0</v>
      </c>
      <c r="F42" s="579">
        <f t="shared" ref="F42:Q42" si="48">F9-F27-F35</f>
        <v>0</v>
      </c>
      <c r="G42" s="579">
        <f t="shared" si="48"/>
        <v>0</v>
      </c>
      <c r="H42" s="579">
        <f>H9-H27-H35</f>
        <v>0</v>
      </c>
      <c r="I42" s="579">
        <f t="shared" si="48"/>
        <v>0</v>
      </c>
      <c r="J42" s="579">
        <f t="shared" si="48"/>
        <v>0</v>
      </c>
      <c r="K42" s="579">
        <f t="shared" si="48"/>
        <v>0</v>
      </c>
      <c r="L42" s="579">
        <f t="shared" si="48"/>
        <v>0</v>
      </c>
      <c r="M42" s="579">
        <f t="shared" si="48"/>
        <v>0</v>
      </c>
      <c r="N42" s="579">
        <f t="shared" si="48"/>
        <v>0</v>
      </c>
      <c r="O42" s="579">
        <f t="shared" si="48"/>
        <v>0</v>
      </c>
      <c r="P42" s="579">
        <f t="shared" si="48"/>
        <v>0</v>
      </c>
      <c r="Q42" s="579">
        <f t="shared" si="48"/>
        <v>0</v>
      </c>
      <c r="R42" s="579">
        <f t="shared" ref="R42" si="49">R9-R27-R35</f>
        <v>0</v>
      </c>
      <c r="S42" s="579">
        <f>S9-S27-S35</f>
        <v>0</v>
      </c>
      <c r="T42" s="615" t="s">
        <v>247</v>
      </c>
      <c r="U42" s="500"/>
      <c r="V42" s="212"/>
    </row>
    <row r="43" spans="1:22">
      <c r="A43" s="583"/>
      <c r="B43" s="584"/>
      <c r="C43" s="585"/>
      <c r="D43" s="586"/>
      <c r="E43" s="579"/>
      <c r="F43" s="579"/>
      <c r="G43" s="579"/>
      <c r="H43" s="579"/>
      <c r="I43" s="579"/>
      <c r="J43" s="579"/>
      <c r="K43" s="579"/>
      <c r="L43" s="579"/>
      <c r="M43" s="579"/>
      <c r="N43" s="579"/>
      <c r="O43" s="579"/>
      <c r="P43" s="579"/>
      <c r="Q43" s="579"/>
      <c r="R43" s="579"/>
      <c r="S43" s="579"/>
      <c r="T43" s="500"/>
      <c r="U43" s="500"/>
      <c r="V43" s="212"/>
    </row>
    <row r="44" spans="1:22">
      <c r="A44" s="583"/>
      <c r="B44" s="584"/>
      <c r="C44" s="585"/>
      <c r="D44" s="586"/>
      <c r="E44" s="579"/>
      <c r="F44" s="579"/>
      <c r="G44" s="579"/>
      <c r="H44" s="579"/>
      <c r="I44" s="579"/>
      <c r="J44" s="579"/>
      <c r="K44" s="579"/>
      <c r="L44" s="579"/>
      <c r="M44" s="579"/>
      <c r="N44" s="579"/>
      <c r="O44" s="579"/>
      <c r="P44" s="579"/>
      <c r="Q44" s="579"/>
      <c r="R44" s="579"/>
      <c r="S44" s="579"/>
      <c r="T44" s="500"/>
      <c r="U44" s="500"/>
      <c r="V44" s="212"/>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U44"/>
  <sheetViews>
    <sheetView zoomScale="131" zoomScaleNormal="85" workbookViewId="0">
      <pane xSplit="2" ySplit="1" topLeftCell="Z2" activePane="bottomRight" state="frozen"/>
      <selection activeCell="AE71" sqref="AE71"/>
      <selection pane="topRight" activeCell="AE71" sqref="AE71"/>
      <selection pane="bottomLeft" activeCell="AE71" sqref="AE71"/>
      <selection pane="bottomRight" activeCell="O1" sqref="C1:O1048576"/>
    </sheetView>
  </sheetViews>
  <sheetFormatPr baseColWidth="10" defaultColWidth="8.5" defaultRowHeight="15"/>
  <cols>
    <col min="1" max="1" width="48.5" style="294" customWidth="1"/>
    <col min="2" max="2" width="8.5" style="32"/>
    <col min="3" max="15" width="9.1640625" style="294" hidden="1" customWidth="1"/>
    <col min="16" max="25" width="9.1640625" style="294" customWidth="1"/>
    <col min="26" max="32" width="8.5" style="294"/>
    <col min="33" max="33" width="9.1640625" style="294" bestFit="1" customWidth="1"/>
    <col min="34" max="34" width="8.5" style="294"/>
    <col min="35" max="35" width="9.1640625" style="294" bestFit="1" customWidth="1"/>
    <col min="36" max="16384" width="8.5" style="294"/>
  </cols>
  <sheetData>
    <row r="1" spans="1:40" s="275" customFormat="1" ht="16" thickBot="1">
      <c r="A1" s="272"/>
      <c r="B1" s="273" t="s">
        <v>72</v>
      </c>
      <c r="C1" s="274">
        <v>43801</v>
      </c>
      <c r="D1" s="274">
        <v>43832</v>
      </c>
      <c r="E1" s="274">
        <v>43863</v>
      </c>
      <c r="F1" s="274">
        <v>43892</v>
      </c>
      <c r="G1" s="274">
        <v>43923</v>
      </c>
      <c r="H1" s="274">
        <v>43953</v>
      </c>
      <c r="I1" s="274">
        <v>43984</v>
      </c>
      <c r="J1" s="274">
        <v>44014</v>
      </c>
      <c r="K1" s="274">
        <v>44045</v>
      </c>
      <c r="L1" s="274">
        <v>44076</v>
      </c>
      <c r="M1" s="274">
        <v>44106</v>
      </c>
      <c r="N1" s="274">
        <v>44137</v>
      </c>
      <c r="O1" s="274">
        <v>44167</v>
      </c>
      <c r="P1" s="274">
        <v>44198</v>
      </c>
      <c r="Q1" s="274">
        <v>44229</v>
      </c>
      <c r="R1" s="274">
        <v>44257</v>
      </c>
      <c r="S1" s="274">
        <v>44288</v>
      </c>
      <c r="T1" s="274">
        <v>44318</v>
      </c>
      <c r="U1" s="274">
        <v>44349</v>
      </c>
      <c r="V1" s="274">
        <v>44379</v>
      </c>
      <c r="W1" s="274">
        <v>44410</v>
      </c>
      <c r="X1" s="274">
        <v>44441</v>
      </c>
      <c r="Y1" s="274">
        <v>44471</v>
      </c>
      <c r="Z1" s="274">
        <v>44502</v>
      </c>
      <c r="AA1" s="274">
        <v>44532</v>
      </c>
      <c r="AB1" s="274">
        <v>44563</v>
      </c>
      <c r="AC1" s="274">
        <v>44594</v>
      </c>
      <c r="AD1" s="274">
        <v>44622</v>
      </c>
      <c r="AE1" s="274">
        <v>44653</v>
      </c>
      <c r="AF1" s="274">
        <v>44683</v>
      </c>
    </row>
    <row r="2" spans="1:40" s="275" customFormat="1">
      <c r="A2" s="276" t="s">
        <v>3</v>
      </c>
      <c r="B2" s="277"/>
      <c r="C2" s="278"/>
      <c r="D2" s="278"/>
    </row>
    <row r="3" spans="1:40" s="275" customFormat="1">
      <c r="A3" s="279" t="s">
        <v>89</v>
      </c>
      <c r="B3" s="280" t="s">
        <v>43</v>
      </c>
      <c r="C3" s="305">
        <f t="shared" ref="C3:T3" si="0">C4+C5+C6</f>
        <v>347.86</v>
      </c>
      <c r="D3" s="305">
        <f t="shared" si="0"/>
        <v>294.16699999999997</v>
      </c>
      <c r="E3" s="305">
        <f t="shared" si="0"/>
        <v>290.39999999999998</v>
      </c>
      <c r="F3" s="305">
        <f t="shared" si="0"/>
        <v>306.5</v>
      </c>
      <c r="G3" s="305">
        <f t="shared" si="0"/>
        <v>250.80099999999999</v>
      </c>
      <c r="H3" s="305">
        <f t="shared" si="0"/>
        <v>233</v>
      </c>
      <c r="I3" s="305">
        <f t="shared" si="0"/>
        <v>242.08</v>
      </c>
      <c r="J3" s="305">
        <f t="shared" si="0"/>
        <v>277.608</v>
      </c>
      <c r="K3" s="305">
        <f t="shared" si="0"/>
        <v>298.5</v>
      </c>
      <c r="L3" s="305">
        <f t="shared" si="0"/>
        <v>289</v>
      </c>
      <c r="M3" s="305">
        <f t="shared" si="0"/>
        <v>286.80200000000002</v>
      </c>
      <c r="N3" s="305">
        <f t="shared" si="0"/>
        <v>300.7</v>
      </c>
      <c r="O3" s="305">
        <f t="shared" si="0"/>
        <v>299.97700000000003</v>
      </c>
      <c r="P3" s="305">
        <f t="shared" si="0"/>
        <v>302.40185793868551</v>
      </c>
      <c r="Q3" s="305">
        <f t="shared" si="0"/>
        <v>308.34023227435034</v>
      </c>
      <c r="R3" s="305">
        <f t="shared" si="0"/>
        <v>322</v>
      </c>
      <c r="S3" s="305">
        <f t="shared" si="0"/>
        <v>296</v>
      </c>
      <c r="T3" s="305">
        <f t="shared" si="0"/>
        <v>324.8</v>
      </c>
      <c r="U3" s="305">
        <f t="shared" ref="U3:AB3" si="1">U4+U5+U6</f>
        <v>304.39553811073461</v>
      </c>
      <c r="V3" s="305">
        <f t="shared" si="1"/>
        <v>313.01</v>
      </c>
      <c r="W3" s="305">
        <f t="shared" si="1"/>
        <v>329.26</v>
      </c>
      <c r="X3" s="305">
        <f t="shared" si="1"/>
        <v>320.83999999999997</v>
      </c>
      <c r="Y3" s="305">
        <f t="shared" si="1"/>
        <v>305.34478840125394</v>
      </c>
      <c r="Z3" s="305">
        <f t="shared" si="1"/>
        <v>325.23456112852654</v>
      </c>
      <c r="AA3" s="305">
        <f t="shared" si="1"/>
        <v>317.94568965517243</v>
      </c>
      <c r="AB3" s="305">
        <f t="shared" si="1"/>
        <v>322.64568965517242</v>
      </c>
      <c r="AC3" s="305">
        <f t="shared" ref="AC3:AD3" si="2">AC4+AC5+AC6</f>
        <v>304.38965517241382</v>
      </c>
      <c r="AD3" s="305">
        <f t="shared" si="2"/>
        <v>319.64568965517242</v>
      </c>
      <c r="AE3" s="305">
        <f t="shared" ref="AE3" si="3">AE4+AE5+AE6</f>
        <v>310.56034482758628</v>
      </c>
      <c r="AF3" s="305">
        <f>AF4+AF5+AF6</f>
        <v>314.64568965517202</v>
      </c>
      <c r="AG3" s="648" t="s">
        <v>248</v>
      </c>
    </row>
    <row r="4" spans="1:40" s="275" customFormat="1">
      <c r="A4" s="281" t="s">
        <v>90</v>
      </c>
      <c r="B4" s="282" t="s">
        <v>43</v>
      </c>
      <c r="C4" s="306">
        <v>308.76</v>
      </c>
      <c r="D4" s="306">
        <f>'C3LPG'!M59</f>
        <v>274.16699999999997</v>
      </c>
      <c r="E4" s="306">
        <f>'C3LPG'!N59</f>
        <v>269</v>
      </c>
      <c r="F4" s="306">
        <f>'C3LPG'!O59</f>
        <v>299.5</v>
      </c>
      <c r="G4" s="306">
        <f>'C3LPG'!P59</f>
        <v>248.80099999999999</v>
      </c>
      <c r="H4" s="306">
        <f>'C3LPG'!Q59</f>
        <v>225</v>
      </c>
      <c r="I4" s="306">
        <f>'C3LPG'!R59</f>
        <v>238.5</v>
      </c>
      <c r="J4" s="306">
        <f>'C3LPG'!S59</f>
        <v>250.608</v>
      </c>
      <c r="K4" s="306">
        <f>'C3LPG'!T59</f>
        <v>270.3</v>
      </c>
      <c r="L4" s="306">
        <f>'C3LPG'!U59</f>
        <v>276</v>
      </c>
      <c r="M4" s="306">
        <f>'C3LPG'!V59</f>
        <v>279.80200000000002</v>
      </c>
      <c r="N4" s="306">
        <f>'C3LPG'!W59</f>
        <v>255.7</v>
      </c>
      <c r="O4" s="306">
        <f>'C3LPG'!X59</f>
        <v>267.7</v>
      </c>
      <c r="P4" s="306">
        <f>'C3LPG'!Y59</f>
        <v>277.40185793868551</v>
      </c>
      <c r="Q4" s="306">
        <f>'C3LPG'!Z59</f>
        <v>254.34023227435031</v>
      </c>
      <c r="R4" s="306">
        <f>'C3LPG'!AA59</f>
        <v>285</v>
      </c>
      <c r="S4" s="306">
        <f>'C3LPG'!AB59</f>
        <v>264.5</v>
      </c>
      <c r="T4" s="306">
        <f>'C3LPG'!AC59</f>
        <v>288.8</v>
      </c>
      <c r="U4" s="306">
        <f>'C3LPG'!AD59</f>
        <v>278.39553811073461</v>
      </c>
      <c r="V4" s="306">
        <f>'C3LPG'!AE59</f>
        <v>211.01</v>
      </c>
      <c r="W4" s="306">
        <f>'C3LPG'!AF59</f>
        <v>293.26</v>
      </c>
      <c r="X4" s="306">
        <f>'C3LPG'!AG59</f>
        <v>267.83999999999997</v>
      </c>
      <c r="Y4" s="306">
        <f>'C3LPG'!AH59</f>
        <v>255.34478840125394</v>
      </c>
      <c r="Z4" s="306">
        <f>'C3LPG'!AI59</f>
        <v>280.23456112852654</v>
      </c>
      <c r="AA4" s="306">
        <f>'C3LPG'!AJ59</f>
        <v>290.94568965517243</v>
      </c>
      <c r="AB4" s="306">
        <f>'C3LPG'!AK59</f>
        <v>281.64568965517242</v>
      </c>
      <c r="AC4" s="306">
        <f>'C3LPG'!AL59</f>
        <v>254.38965517241382</v>
      </c>
      <c r="AD4" s="306">
        <f>'C3LPG'!AM59</f>
        <v>281.64568965517242</v>
      </c>
      <c r="AE4" s="306">
        <f>'C3LPG'!AN59</f>
        <v>272.56034482758628</v>
      </c>
      <c r="AF4" s="306">
        <f>'C3LPG'!AO59</f>
        <v>281.64568965517202</v>
      </c>
      <c r="AG4" s="649" t="s">
        <v>251</v>
      </c>
      <c r="AN4" s="650"/>
    </row>
    <row r="5" spans="1:40" s="275" customFormat="1">
      <c r="A5" s="281" t="s">
        <v>91</v>
      </c>
      <c r="B5" s="282" t="s">
        <v>43</v>
      </c>
      <c r="C5" s="306">
        <v>25</v>
      </c>
      <c r="D5" s="306">
        <f>'C3LPG'!M61</f>
        <v>20</v>
      </c>
      <c r="E5" s="306">
        <f>'C3LPG'!N61</f>
        <v>18</v>
      </c>
      <c r="F5" s="306">
        <f>'C3LPG'!O61</f>
        <v>7</v>
      </c>
      <c r="G5" s="306">
        <f>'C3LPG'!P61</f>
        <v>2</v>
      </c>
      <c r="H5" s="306">
        <f>'C3LPG'!Q61</f>
        <v>6</v>
      </c>
      <c r="I5" s="306">
        <f>'C3LPG'!R61</f>
        <v>0</v>
      </c>
      <c r="J5" s="306">
        <f>'C3LPG'!S61</f>
        <v>4</v>
      </c>
      <c r="K5" s="306">
        <f>'C3LPG'!T61</f>
        <v>1.2</v>
      </c>
      <c r="L5" s="306">
        <f>'C3LPG'!U61</f>
        <v>0</v>
      </c>
      <c r="M5" s="306">
        <f>'C3LPG'!V61</f>
        <v>0</v>
      </c>
      <c r="N5" s="306">
        <f>'C3LPG'!W61</f>
        <v>13</v>
      </c>
      <c r="O5" s="306">
        <f>'C3LPG'!X61</f>
        <v>11.6</v>
      </c>
      <c r="P5" s="306">
        <f>'C3LPG'!Y61</f>
        <v>19</v>
      </c>
      <c r="Q5" s="306">
        <f>'C3LPG'!Z61</f>
        <v>15</v>
      </c>
      <c r="R5" s="306">
        <f>'C3LPG'!AA61</f>
        <v>0</v>
      </c>
      <c r="S5" s="306">
        <f>'C3LPG'!AB61</f>
        <v>2</v>
      </c>
      <c r="T5" s="306">
        <f>'C3LPG'!AC61</f>
        <v>0</v>
      </c>
      <c r="U5" s="306">
        <f>'C3LPG'!AD61</f>
        <v>0</v>
      </c>
      <c r="V5" s="306">
        <f>'C3LPG'!AE61</f>
        <v>0</v>
      </c>
      <c r="W5" s="306">
        <f>'C3LPG'!AF61</f>
        <v>0</v>
      </c>
      <c r="X5" s="306">
        <f>'C3LPG'!AG61</f>
        <v>0</v>
      </c>
      <c r="Y5" s="306">
        <f>'C3LPG'!AH61</f>
        <v>0</v>
      </c>
      <c r="Z5" s="306">
        <f>'C3LPG'!AI61</f>
        <v>0</v>
      </c>
      <c r="AA5" s="306">
        <f>'C3LPG'!AJ61</f>
        <v>0</v>
      </c>
      <c r="AB5" s="306">
        <f>'C3LPG'!AK61</f>
        <v>0</v>
      </c>
      <c r="AC5" s="306">
        <f>'C3LPG'!AL61</f>
        <v>0</v>
      </c>
      <c r="AD5" s="306">
        <f>'C3LPG'!AM61</f>
        <v>0</v>
      </c>
      <c r="AE5" s="306">
        <f>'C3LPG'!AN61</f>
        <v>0</v>
      </c>
      <c r="AF5" s="306">
        <f>'C3LPG'!AO61</f>
        <v>0</v>
      </c>
      <c r="AG5" s="649" t="s">
        <v>250</v>
      </c>
    </row>
    <row r="6" spans="1:40" s="275" customFormat="1">
      <c r="A6" s="281" t="s">
        <v>46</v>
      </c>
      <c r="B6" s="282" t="s">
        <v>43</v>
      </c>
      <c r="C6" s="306">
        <v>14.1</v>
      </c>
      <c r="D6" s="306">
        <f>'C3LPG'!M8</f>
        <v>0</v>
      </c>
      <c r="E6" s="306">
        <f>'C3LPG'!N8</f>
        <v>3.4</v>
      </c>
      <c r="F6" s="306">
        <f>'C3LPG'!O8</f>
        <v>0</v>
      </c>
      <c r="G6" s="306">
        <f>'C3LPG'!P8</f>
        <v>0</v>
      </c>
      <c r="H6" s="306">
        <f>'C3LPG'!Q8</f>
        <v>2</v>
      </c>
      <c r="I6" s="306">
        <f>'C3LPG'!R8</f>
        <v>3.58</v>
      </c>
      <c r="J6" s="306">
        <f>'C3LPG'!S8</f>
        <v>23</v>
      </c>
      <c r="K6" s="306">
        <f>'C3LPG'!T8</f>
        <v>27</v>
      </c>
      <c r="L6" s="306">
        <f>'C3LPG'!U8</f>
        <v>13</v>
      </c>
      <c r="M6" s="306">
        <f>'C3LPG'!V8</f>
        <v>7</v>
      </c>
      <c r="N6" s="306">
        <f>'C3LPG'!W8</f>
        <v>32</v>
      </c>
      <c r="O6" s="306">
        <f>'C3LPG'!X8</f>
        <v>20.677</v>
      </c>
      <c r="P6" s="306">
        <f>'C3LPG'!Y8</f>
        <v>6</v>
      </c>
      <c r="Q6" s="306">
        <f>'C3LPG'!Z8</f>
        <v>39</v>
      </c>
      <c r="R6" s="306">
        <f>'C3LPG'!AA8</f>
        <v>37</v>
      </c>
      <c r="S6" s="306">
        <f>'C3LPG'!AB8</f>
        <v>29.5</v>
      </c>
      <c r="T6" s="306">
        <f>'C3LPG'!AC8</f>
        <v>36</v>
      </c>
      <c r="U6" s="306">
        <f>'C3LPG'!AD8</f>
        <v>26</v>
      </c>
      <c r="V6" s="306">
        <f>'C3LPG'!AE8</f>
        <v>102</v>
      </c>
      <c r="W6" s="306">
        <f>'C3LPG'!AF8</f>
        <v>36</v>
      </c>
      <c r="X6" s="306">
        <f>'C3LPG'!AG8</f>
        <v>53</v>
      </c>
      <c r="Y6" s="306">
        <f>'C3LPG'!AH8</f>
        <v>50</v>
      </c>
      <c r="Z6" s="306">
        <f>'C3LPG'!AI8</f>
        <v>45</v>
      </c>
      <c r="AA6" s="306">
        <f>'C3LPG'!AJ8</f>
        <v>27</v>
      </c>
      <c r="AB6" s="306">
        <f>'C3LPG'!AK8</f>
        <v>41</v>
      </c>
      <c r="AC6" s="306">
        <f>'C3LPG'!AL8</f>
        <v>50</v>
      </c>
      <c r="AD6" s="306">
        <f>'C3LPG'!AM8</f>
        <v>38</v>
      </c>
      <c r="AE6" s="306">
        <f>'C3LPG'!AN8</f>
        <v>38</v>
      </c>
      <c r="AF6" s="306">
        <f>'C3LPG'!AO8</f>
        <v>33</v>
      </c>
      <c r="AG6" s="649" t="s">
        <v>249</v>
      </c>
    </row>
    <row r="7" spans="1:40" s="275" customFormat="1">
      <c r="A7" s="279" t="s">
        <v>6</v>
      </c>
      <c r="B7" s="280" t="s">
        <v>43</v>
      </c>
      <c r="C7" s="305">
        <f t="shared" ref="C7:AE7" si="4">+C8+C9+C13</f>
        <v>344.06112309999997</v>
      </c>
      <c r="D7" s="305">
        <f t="shared" si="4"/>
        <v>315.41329082000004</v>
      </c>
      <c r="E7" s="305">
        <f t="shared" si="4"/>
        <v>273.98145952999994</v>
      </c>
      <c r="F7" s="305">
        <f t="shared" si="4"/>
        <v>305.178</v>
      </c>
      <c r="G7" s="305">
        <f t="shared" si="4"/>
        <v>266.24</v>
      </c>
      <c r="H7" s="305">
        <f t="shared" si="4"/>
        <v>220.37659381</v>
      </c>
      <c r="I7" s="305">
        <f t="shared" si="4"/>
        <v>259.59017382000002</v>
      </c>
      <c r="J7" s="305">
        <f t="shared" si="4"/>
        <v>276.56</v>
      </c>
      <c r="K7" s="305">
        <f t="shared" si="4"/>
        <v>301.61236263736265</v>
      </c>
      <c r="L7" s="305">
        <f t="shared" si="4"/>
        <v>277.89999999999998</v>
      </c>
      <c r="M7" s="305">
        <f t="shared" si="4"/>
        <v>296.91999999999996</v>
      </c>
      <c r="N7" s="305">
        <f t="shared" si="4"/>
        <v>295.10240770999997</v>
      </c>
      <c r="O7" s="305">
        <f t="shared" si="4"/>
        <v>307.56399999999996</v>
      </c>
      <c r="P7" s="305">
        <f t="shared" si="4"/>
        <v>298.947</v>
      </c>
      <c r="Q7" s="305">
        <f t="shared" si="4"/>
        <v>302.78343945</v>
      </c>
      <c r="R7" s="305">
        <f t="shared" si="4"/>
        <v>326.94600000000003</v>
      </c>
      <c r="S7" s="305">
        <f t="shared" si="4"/>
        <v>296.59099999999995</v>
      </c>
      <c r="T7" s="305">
        <f t="shared" si="4"/>
        <v>342.22699999999998</v>
      </c>
      <c r="U7" s="305">
        <f t="shared" si="4"/>
        <v>317.90299999999996</v>
      </c>
      <c r="V7" s="305">
        <f t="shared" si="4"/>
        <v>305.07056137000001</v>
      </c>
      <c r="W7" s="305">
        <f t="shared" si="4"/>
        <v>331.67965578999997</v>
      </c>
      <c r="X7" s="305">
        <f t="shared" si="4"/>
        <v>321.15512603000002</v>
      </c>
      <c r="Y7" s="305">
        <f t="shared" si="4"/>
        <v>306.14515352999996</v>
      </c>
      <c r="Z7" s="305">
        <f t="shared" si="4"/>
        <v>325.73638481</v>
      </c>
      <c r="AA7" s="305">
        <f t="shared" si="4"/>
        <v>316.35826785</v>
      </c>
      <c r="AB7" s="305">
        <f t="shared" si="4"/>
        <v>322.40471331232879</v>
      </c>
      <c r="AC7" s="305">
        <f t="shared" si="4"/>
        <v>304.88027036178084</v>
      </c>
      <c r="AD7" s="305">
        <f t="shared" si="4"/>
        <v>319.39914868232881</v>
      </c>
      <c r="AE7" s="305">
        <f t="shared" si="4"/>
        <v>310.31380041547948</v>
      </c>
      <c r="AF7" s="305">
        <f>+AF8+AF9+AF13</f>
        <v>314.77859898232879</v>
      </c>
      <c r="AG7" s="648" t="s">
        <v>252</v>
      </c>
    </row>
    <row r="8" spans="1:40" s="275" customFormat="1">
      <c r="A8" s="281" t="s">
        <v>92</v>
      </c>
      <c r="B8" s="282" t="s">
        <v>43</v>
      </c>
      <c r="C8" s="306">
        <v>127.133</v>
      </c>
      <c r="D8" s="306">
        <f>'C3LPG'!M160</f>
        <v>109.81</v>
      </c>
      <c r="E8" s="306">
        <f>'C3LPG'!N160</f>
        <v>84.705999999999989</v>
      </c>
      <c r="F8" s="306">
        <f>'C3LPG'!O160</f>
        <v>119.328</v>
      </c>
      <c r="G8" s="306">
        <f>'C3LPG'!P160</f>
        <v>121.05</v>
      </c>
      <c r="H8" s="306">
        <f>'C3LPG'!Q160</f>
        <v>73.457999999999998</v>
      </c>
      <c r="I8" s="306">
        <f>'C3LPG'!R160</f>
        <v>99.144000000000005</v>
      </c>
      <c r="J8" s="306">
        <f>'C3LPG'!S160</f>
        <v>95.72999999999999</v>
      </c>
      <c r="K8" s="306">
        <f>'C3LPG'!T160</f>
        <v>108.71236263736263</v>
      </c>
      <c r="L8" s="306">
        <f>'C3LPG'!U160</f>
        <v>94.41</v>
      </c>
      <c r="M8" s="306">
        <f>'C3LPG'!V160</f>
        <v>97.06</v>
      </c>
      <c r="N8" s="306">
        <f>'C3LPG'!W160</f>
        <v>100.8</v>
      </c>
      <c r="O8" s="306">
        <f>'C3LPG'!X160</f>
        <v>112.874</v>
      </c>
      <c r="P8" s="306">
        <f>'C3LPG'!Y160</f>
        <v>114.867</v>
      </c>
      <c r="Q8" s="306">
        <f>'C3LPG'!Z160</f>
        <v>120.536</v>
      </c>
      <c r="R8" s="306">
        <f>'C3LPG'!AA160</f>
        <v>128.65600000000001</v>
      </c>
      <c r="S8" s="306">
        <f>'C3LPG'!AB160</f>
        <v>128.49099999999999</v>
      </c>
      <c r="T8" s="306">
        <f>'C3LPG'!AC160</f>
        <v>174.92699999999999</v>
      </c>
      <c r="U8" s="306">
        <f>'C3LPG'!AD160</f>
        <v>145.893</v>
      </c>
      <c r="V8" s="306">
        <f>'C3LPG'!AE160</f>
        <v>124.81700000000001</v>
      </c>
      <c r="W8" s="306">
        <f>'C3LPG'!AF160</f>
        <v>138.761</v>
      </c>
      <c r="X8" s="306">
        <f>'C3LPG'!AG160</f>
        <v>130.11700000000002</v>
      </c>
      <c r="Y8" s="306">
        <f>'C3LPG'!AH160</f>
        <v>113.414</v>
      </c>
      <c r="Z8" s="306">
        <f>'C3LPG'!AI160</f>
        <v>133.29500000000002</v>
      </c>
      <c r="AA8" s="306">
        <f>'C3LPG'!AJ160</f>
        <v>119.26600000000001</v>
      </c>
      <c r="AB8" s="306">
        <f>'C3LPG'!AK160</f>
        <v>125.89287671232877</v>
      </c>
      <c r="AC8" s="306">
        <f>'C3LPG'!AL160</f>
        <v>115.25808219178083</v>
      </c>
      <c r="AD8" s="306">
        <f>'C3LPG'!AM160</f>
        <v>125.89287671232877</v>
      </c>
      <c r="AE8" s="306">
        <f>'C3LPG'!AN160</f>
        <v>122.34794520547945</v>
      </c>
      <c r="AF8" s="306">
        <f>'C3LPG'!AO160</f>
        <v>125.89287671232877</v>
      </c>
      <c r="AG8" s="649" t="s">
        <v>253</v>
      </c>
    </row>
    <row r="9" spans="1:40" s="275" customFormat="1">
      <c r="A9" s="281" t="s">
        <v>93</v>
      </c>
      <c r="B9" s="282" t="s">
        <v>43</v>
      </c>
      <c r="C9" s="307">
        <f t="shared" ref="C9:M9" si="5">+C10+C11+C12</f>
        <v>216.92812309999997</v>
      </c>
      <c r="D9" s="307">
        <f t="shared" si="5"/>
        <v>205.60329082000001</v>
      </c>
      <c r="E9" s="307">
        <f t="shared" si="5"/>
        <v>195.24545953000001</v>
      </c>
      <c r="F9" s="307">
        <f t="shared" si="5"/>
        <v>180</v>
      </c>
      <c r="G9" s="307">
        <f t="shared" si="5"/>
        <v>145.19</v>
      </c>
      <c r="H9" s="307">
        <f t="shared" si="5"/>
        <v>146.91859381</v>
      </c>
      <c r="I9" s="307">
        <f t="shared" si="5"/>
        <v>160.44617381999998</v>
      </c>
      <c r="J9" s="307">
        <f t="shared" si="5"/>
        <v>180.83</v>
      </c>
      <c r="K9" s="307">
        <f t="shared" si="5"/>
        <v>192.9</v>
      </c>
      <c r="L9" s="307">
        <f t="shared" si="5"/>
        <v>188.49</v>
      </c>
      <c r="M9" s="307">
        <f t="shared" si="5"/>
        <v>199.85999999999999</v>
      </c>
      <c r="N9" s="307">
        <f t="shared" ref="N9:T9" si="6">+N10+N11+N12</f>
        <v>194.30240770999998</v>
      </c>
      <c r="O9" s="307">
        <f t="shared" si="6"/>
        <v>194.69</v>
      </c>
      <c r="P9" s="307">
        <f t="shared" si="6"/>
        <v>184.08</v>
      </c>
      <c r="Q9" s="307">
        <f t="shared" si="6"/>
        <v>182.24743945</v>
      </c>
      <c r="R9" s="307">
        <f t="shared" si="6"/>
        <v>198.29</v>
      </c>
      <c r="S9" s="307">
        <f t="shared" si="6"/>
        <v>168.09999999999997</v>
      </c>
      <c r="T9" s="307">
        <f t="shared" si="6"/>
        <v>170.29999999999995</v>
      </c>
      <c r="U9" s="307">
        <f t="shared" ref="U9:AB9" si="7">+U10+U11+U12</f>
        <v>172.00999999999996</v>
      </c>
      <c r="V9" s="307">
        <f t="shared" si="7"/>
        <v>180.25356137</v>
      </c>
      <c r="W9" s="307">
        <f t="shared" si="7"/>
        <v>192.91865579</v>
      </c>
      <c r="X9" s="307">
        <f t="shared" si="7"/>
        <v>191.03812603000003</v>
      </c>
      <c r="Y9" s="307">
        <f t="shared" si="7"/>
        <v>192.73115352999997</v>
      </c>
      <c r="Z9" s="307">
        <f t="shared" si="7"/>
        <v>192.44138480999999</v>
      </c>
      <c r="AA9" s="307">
        <f t="shared" si="7"/>
        <v>197.09226785000001</v>
      </c>
      <c r="AB9" s="307">
        <f t="shared" si="7"/>
        <v>196.51183660000001</v>
      </c>
      <c r="AC9" s="307">
        <f t="shared" ref="AC9:AD9" si="8">+AC10+AC11+AC12</f>
        <v>189.62218817000002</v>
      </c>
      <c r="AD9" s="307">
        <f t="shared" si="8"/>
        <v>193.50627197000003</v>
      </c>
      <c r="AE9" s="307">
        <f t="shared" ref="AE9" si="9">+AE10+AE11+AE12</f>
        <v>187.96585521</v>
      </c>
      <c r="AF9" s="307">
        <f>+AF10+AF11+AF12</f>
        <v>188.88572227</v>
      </c>
      <c r="AG9" s="648" t="s">
        <v>254</v>
      </c>
    </row>
    <row r="10" spans="1:40" s="275" customFormat="1">
      <c r="A10" s="283" t="s">
        <v>94</v>
      </c>
      <c r="B10" s="284" t="s">
        <v>43</v>
      </c>
      <c r="C10" s="306">
        <v>24.62</v>
      </c>
      <c r="D10" s="306">
        <f>'C3LPG'!M164</f>
        <v>22.66</v>
      </c>
      <c r="E10" s="306">
        <f>'C3LPG'!N164</f>
        <v>18.09</v>
      </c>
      <c r="F10" s="306">
        <f>'C3LPG'!O164</f>
        <v>17.23</v>
      </c>
      <c r="G10" s="306">
        <f>'C3LPG'!P164</f>
        <v>11.25</v>
      </c>
      <c r="H10" s="306">
        <f>'C3LPG'!Q164</f>
        <v>12.100000000000001</v>
      </c>
      <c r="I10" s="306">
        <f>'C3LPG'!R164</f>
        <v>17.88</v>
      </c>
      <c r="J10" s="306">
        <f>'C3LPG'!S164</f>
        <v>23.200000000000003</v>
      </c>
      <c r="K10" s="306">
        <f>'C3LPG'!T164</f>
        <v>31.1</v>
      </c>
      <c r="L10" s="306">
        <f>'C3LPG'!U164</f>
        <v>28.200000000000003</v>
      </c>
      <c r="M10" s="306">
        <f>'C3LPG'!V164</f>
        <v>31.5</v>
      </c>
      <c r="N10" s="306">
        <f>'C3LPG'!W164</f>
        <v>32.200000000000003</v>
      </c>
      <c r="O10" s="306">
        <f>'C3LPG'!X164</f>
        <v>30.77</v>
      </c>
      <c r="P10" s="306">
        <f>'C3LPG'!Y164</f>
        <v>26.55</v>
      </c>
      <c r="Q10" s="306">
        <f>'C3LPG'!Z164</f>
        <v>32.519999999999996</v>
      </c>
      <c r="R10" s="306">
        <f>'C3LPG'!AA164</f>
        <v>34.83</v>
      </c>
      <c r="S10" s="306">
        <f>'C3LPG'!AB164</f>
        <v>29.07</v>
      </c>
      <c r="T10" s="306">
        <f>'C3LPG'!AC164</f>
        <v>28.019999999999996</v>
      </c>
      <c r="U10" s="306">
        <f>'C3LPG'!AD164</f>
        <v>27.019999999999996</v>
      </c>
      <c r="V10" s="306">
        <f>'C3LPG'!AE164</f>
        <v>28.58</v>
      </c>
      <c r="W10" s="306">
        <f>'C3LPG'!AF164</f>
        <v>30.68</v>
      </c>
      <c r="X10" s="306">
        <f>'C3LPG'!AG164</f>
        <v>30.68</v>
      </c>
      <c r="Y10" s="306">
        <f>'C3LPG'!AH164</f>
        <v>30.68</v>
      </c>
      <c r="Z10" s="306">
        <f>'C3LPG'!AI164</f>
        <v>30.68</v>
      </c>
      <c r="AA10" s="306">
        <f>'C3LPG'!AJ164</f>
        <v>30.68</v>
      </c>
      <c r="AB10" s="306">
        <f>'C3LPG'!AK164</f>
        <v>30.68</v>
      </c>
      <c r="AC10" s="306">
        <f>'C3LPG'!AL164</f>
        <v>30.68</v>
      </c>
      <c r="AD10" s="306">
        <f>'C3LPG'!AM164</f>
        <v>30.68</v>
      </c>
      <c r="AE10" s="306">
        <f>'C3LPG'!AN164</f>
        <v>30.68</v>
      </c>
      <c r="AF10" s="306">
        <f>'C3LPG'!AO164</f>
        <v>30.68</v>
      </c>
      <c r="AG10" s="649" t="s">
        <v>255</v>
      </c>
    </row>
    <row r="11" spans="1:40" s="275" customFormat="1">
      <c r="A11" s="283" t="s">
        <v>95</v>
      </c>
      <c r="B11" s="284" t="s">
        <v>43</v>
      </c>
      <c r="C11" s="306">
        <v>191.20567744999997</v>
      </c>
      <c r="D11" s="306">
        <f>'C3LPG'!M165</f>
        <v>181.64329082</v>
      </c>
      <c r="E11" s="306">
        <f>'C3LPG'!N165</f>
        <v>175.59545953</v>
      </c>
      <c r="F11" s="306">
        <f>'C3LPG'!O165</f>
        <v>161.47</v>
      </c>
      <c r="G11" s="306">
        <f>'C3LPG'!P165</f>
        <v>132.49</v>
      </c>
      <c r="H11" s="306">
        <f>'C3LPG'!Q165</f>
        <v>133.46</v>
      </c>
      <c r="I11" s="306">
        <f>'C3LPG'!R165</f>
        <v>141.44</v>
      </c>
      <c r="J11" s="306">
        <f>'C3LPG'!S165</f>
        <v>156.22999999999999</v>
      </c>
      <c r="K11" s="306">
        <f>'C3LPG'!T165</f>
        <v>160.78</v>
      </c>
      <c r="L11" s="306">
        <f>'C3LPG'!U165</f>
        <v>158.84</v>
      </c>
      <c r="M11" s="306">
        <f>'C3LPG'!V165</f>
        <v>166.91</v>
      </c>
      <c r="N11" s="306">
        <f>'C3LPG'!W165</f>
        <v>160.70240770999999</v>
      </c>
      <c r="O11" s="306">
        <f>'C3LPG'!X165</f>
        <v>162.72</v>
      </c>
      <c r="P11" s="306">
        <f>'C3LPG'!Y165</f>
        <v>156.13</v>
      </c>
      <c r="Q11" s="306">
        <f>'C3LPG'!Z165</f>
        <v>148.42743945000001</v>
      </c>
      <c r="R11" s="306">
        <f>'C3LPG'!AA165</f>
        <v>162.11000000000001</v>
      </c>
      <c r="S11" s="306">
        <f>'C3LPG'!AB165</f>
        <v>137.82999999999998</v>
      </c>
      <c r="T11" s="306">
        <f>'C3LPG'!AC165</f>
        <v>140.82999999999998</v>
      </c>
      <c r="U11" s="306">
        <f>'C3LPG'!AD165</f>
        <v>143.88999999999999</v>
      </c>
      <c r="V11" s="306">
        <f>'C3LPG'!AE165</f>
        <v>150.47356137</v>
      </c>
      <c r="W11" s="306">
        <f>'C3LPG'!AF165</f>
        <v>160.83865578999999</v>
      </c>
      <c r="X11" s="306">
        <f>'C3LPG'!AG165</f>
        <v>158.95812603000002</v>
      </c>
      <c r="Y11" s="306">
        <f>'C3LPG'!AH165</f>
        <v>160.70115352999997</v>
      </c>
      <c r="Z11" s="306">
        <f>'C3LPG'!AI165</f>
        <v>160.56138480999999</v>
      </c>
      <c r="AA11" s="306">
        <f>'C3LPG'!AJ165</f>
        <v>165.26226785</v>
      </c>
      <c r="AB11" s="306">
        <f>'C3LPG'!AK165</f>
        <v>164.8318366</v>
      </c>
      <c r="AC11" s="306">
        <f>'C3LPG'!AL165</f>
        <v>157.89218817</v>
      </c>
      <c r="AD11" s="306">
        <f>'C3LPG'!AM165</f>
        <v>161.77627197000001</v>
      </c>
      <c r="AE11" s="306">
        <f>'C3LPG'!AN165</f>
        <v>156.28585520999999</v>
      </c>
      <c r="AF11" s="306">
        <f>'C3LPG'!AO165</f>
        <v>157.00572227000001</v>
      </c>
      <c r="AG11" s="649" t="s">
        <v>256</v>
      </c>
    </row>
    <row r="12" spans="1:40" s="275" customFormat="1">
      <c r="A12" s="283" t="s">
        <v>96</v>
      </c>
      <c r="B12" s="284" t="s">
        <v>43</v>
      </c>
      <c r="C12" s="306">
        <v>1.1024456499999999</v>
      </c>
      <c r="D12" s="306">
        <f>'C3LPG'!M166</f>
        <v>1.3</v>
      </c>
      <c r="E12" s="306">
        <f>'C3LPG'!N166</f>
        <v>1.56</v>
      </c>
      <c r="F12" s="306">
        <f>'C3LPG'!O166</f>
        <v>1.3</v>
      </c>
      <c r="G12" s="306">
        <f>'C3LPG'!P166</f>
        <v>1.45</v>
      </c>
      <c r="H12" s="306">
        <f>'C3LPG'!Q166</f>
        <v>1.3585938099999999</v>
      </c>
      <c r="I12" s="306">
        <f>'C3LPG'!R166</f>
        <v>1.12617382</v>
      </c>
      <c r="J12" s="306">
        <f>'C3LPG'!S166</f>
        <v>1.4</v>
      </c>
      <c r="K12" s="306">
        <f>'C3LPG'!T166</f>
        <v>1.02</v>
      </c>
      <c r="L12" s="306">
        <f>'C3LPG'!U166</f>
        <v>1.45</v>
      </c>
      <c r="M12" s="306">
        <f>'C3LPG'!V166</f>
        <v>1.4500000000000002</v>
      </c>
      <c r="N12" s="306">
        <f>'C3LPG'!W166</f>
        <v>1.4</v>
      </c>
      <c r="O12" s="306">
        <f>'C3LPG'!X166</f>
        <v>1.2</v>
      </c>
      <c r="P12" s="306">
        <f>'C3LPG'!Y166</f>
        <v>1.4</v>
      </c>
      <c r="Q12" s="306">
        <f>'C3LPG'!Z166</f>
        <v>1.2999999999999998</v>
      </c>
      <c r="R12" s="306">
        <f>'C3LPG'!AA166</f>
        <v>1.35</v>
      </c>
      <c r="S12" s="306">
        <f>'C3LPG'!AB166</f>
        <v>1.2</v>
      </c>
      <c r="T12" s="306">
        <f>'C3LPG'!AC166</f>
        <v>1.45</v>
      </c>
      <c r="U12" s="306">
        <f>'C3LPG'!AD166</f>
        <v>1.1000000000000001</v>
      </c>
      <c r="V12" s="306">
        <f>'C3LPG'!AE166</f>
        <v>1.2</v>
      </c>
      <c r="W12" s="306">
        <f>'C3LPG'!AF166</f>
        <v>1.4</v>
      </c>
      <c r="X12" s="306">
        <f>'C3LPG'!AG166</f>
        <v>1.4</v>
      </c>
      <c r="Y12" s="306">
        <f>'C3LPG'!AH166</f>
        <v>1.35</v>
      </c>
      <c r="Z12" s="306">
        <f>'C3LPG'!AI166</f>
        <v>1.2</v>
      </c>
      <c r="AA12" s="306">
        <f>'C3LPG'!AJ166</f>
        <v>1.1499999999999999</v>
      </c>
      <c r="AB12" s="306">
        <f>'C3LPG'!AK166</f>
        <v>1</v>
      </c>
      <c r="AC12" s="306">
        <f>'C3LPG'!AL166</f>
        <v>1.05</v>
      </c>
      <c r="AD12" s="306">
        <f>'C3LPG'!AM166</f>
        <v>1.05</v>
      </c>
      <c r="AE12" s="306">
        <f>'C3LPG'!AN166</f>
        <v>1</v>
      </c>
      <c r="AF12" s="306">
        <f>'C3LPG'!AO166</f>
        <v>1.2</v>
      </c>
      <c r="AG12" s="649" t="s">
        <v>257</v>
      </c>
    </row>
    <row r="13" spans="1:40" s="275" customFormat="1">
      <c r="A13" s="281" t="s">
        <v>97</v>
      </c>
      <c r="B13" s="282" t="s">
        <v>43</v>
      </c>
      <c r="C13" s="306"/>
      <c r="D13" s="306">
        <f>'C3LPG'!M9</f>
        <v>0</v>
      </c>
      <c r="E13" s="306">
        <f>'C3LPG'!N9</f>
        <v>-5.97</v>
      </c>
      <c r="F13" s="306">
        <f>'C3LPG'!O9</f>
        <v>5.85</v>
      </c>
      <c r="G13" s="306">
        <f>'C3LPG'!P9</f>
        <v>0</v>
      </c>
      <c r="H13" s="306">
        <f>'C3LPG'!Q9</f>
        <v>0</v>
      </c>
      <c r="I13" s="306">
        <f>'C3LPG'!R9</f>
        <v>0</v>
      </c>
      <c r="J13" s="306">
        <f>'C3LPG'!S9</f>
        <v>0</v>
      </c>
      <c r="K13" s="306">
        <f>'C3LPG'!T9</f>
        <v>0</v>
      </c>
      <c r="L13" s="306">
        <f>'C3LPG'!U9</f>
        <v>-5</v>
      </c>
      <c r="M13" s="306">
        <f>'C3LPG'!V9</f>
        <v>0</v>
      </c>
      <c r="N13" s="306">
        <f>'C3LPG'!W9</f>
        <v>0</v>
      </c>
      <c r="O13" s="306">
        <f>'C3LPG'!X9</f>
        <v>0</v>
      </c>
      <c r="P13" s="306">
        <f>'C3LPG'!Y9</f>
        <v>0</v>
      </c>
      <c r="Q13" s="306">
        <f>'C3LPG'!Z9</f>
        <v>0</v>
      </c>
      <c r="R13" s="306">
        <f>'C3LPG'!AA9</f>
        <v>0</v>
      </c>
      <c r="S13" s="306">
        <f>'C3LPG'!AB9</f>
        <v>0</v>
      </c>
      <c r="T13" s="306">
        <f>'C3LPG'!AC9</f>
        <v>-3</v>
      </c>
      <c r="U13" s="306">
        <f>'C3LPG'!AD9</f>
        <v>0</v>
      </c>
      <c r="V13" s="306">
        <f>'C3LPG'!AE9</f>
        <v>0</v>
      </c>
      <c r="W13" s="306">
        <f>'C3LPG'!AF9</f>
        <v>0</v>
      </c>
      <c r="X13" s="306">
        <f>'C3LPG'!AG9</f>
        <v>0</v>
      </c>
      <c r="Y13" s="306">
        <f>'C3LPG'!AH9</f>
        <v>0</v>
      </c>
      <c r="Z13" s="306">
        <f>'C3LPG'!AI9</f>
        <v>0</v>
      </c>
      <c r="AA13" s="306">
        <f>'C3LPG'!AJ9</f>
        <v>0</v>
      </c>
      <c r="AB13" s="306">
        <f>'C3LPG'!AK9</f>
        <v>0</v>
      </c>
      <c r="AC13" s="306">
        <f>'C3LPG'!AL9</f>
        <v>0</v>
      </c>
      <c r="AD13" s="306">
        <f>'C3LPG'!AM9</f>
        <v>0</v>
      </c>
      <c r="AE13" s="306">
        <f>'C3LPG'!AN9</f>
        <v>0</v>
      </c>
      <c r="AF13" s="306">
        <f>'C3LPG'!AO9</f>
        <v>0</v>
      </c>
      <c r="AG13" s="649" t="s">
        <v>258</v>
      </c>
    </row>
    <row r="14" spans="1:40" s="275" customFormat="1">
      <c r="A14" s="285" t="s">
        <v>98</v>
      </c>
      <c r="B14" s="286" t="s">
        <v>43</v>
      </c>
      <c r="C14" s="308">
        <v>31.888097230590823</v>
      </c>
      <c r="D14" s="308">
        <f>'C3LPG'!M2</f>
        <v>16.827883907470703</v>
      </c>
      <c r="E14" s="308">
        <f>'C3LPG'!N2</f>
        <v>36.020527630224606</v>
      </c>
      <c r="F14" s="308">
        <f>'C3LPG'!O2</f>
        <v>33.684161457519529</v>
      </c>
      <c r="G14" s="308">
        <f>'C3LPG'!P2</f>
        <v>18.635842199999999</v>
      </c>
      <c r="H14" s="308">
        <f>'C3LPG'!Q2</f>
        <v>29.542833899999998</v>
      </c>
      <c r="I14" s="308">
        <f>'C3LPG'!R2</f>
        <v>14.458839999999999</v>
      </c>
      <c r="J14" s="308">
        <f>'C3LPG'!S2</f>
        <v>18.007720000000003</v>
      </c>
      <c r="K14" s="308">
        <f>'C3LPG'!T2</f>
        <v>15.124660000000002</v>
      </c>
      <c r="L14" s="308">
        <f>'C3LPG'!U2</f>
        <v>26.696860000000001</v>
      </c>
      <c r="M14" s="308">
        <f>'C3LPG'!V2</f>
        <v>14.437240000000001</v>
      </c>
      <c r="N14" s="308">
        <f>'C3LPG'!W2</f>
        <v>22.420850699999999</v>
      </c>
      <c r="O14" s="308">
        <f>'C3LPG'!X2</f>
        <v>18.055042360000002</v>
      </c>
      <c r="P14" s="308">
        <f>'C3LPG'!Y2</f>
        <v>24.4024</v>
      </c>
      <c r="Q14" s="308">
        <f>'C3LPG'!Z2</f>
        <v>28.877920000000003</v>
      </c>
      <c r="R14" s="308">
        <f>'C3LPG'!AA2</f>
        <v>23.042922528000002</v>
      </c>
      <c r="S14" s="308">
        <f>'C3LPG'!AB2</f>
        <v>33.906688200000005</v>
      </c>
      <c r="T14" s="308">
        <f>'C3LPG'!AC2</f>
        <v>33.479688200000055</v>
      </c>
      <c r="U14" s="308">
        <f>'C3LPG'!AD2</f>
        <v>19.972226310734705</v>
      </c>
      <c r="V14" s="308">
        <f>'C3LPG'!AE2</f>
        <v>27.911664940734674</v>
      </c>
      <c r="W14" s="308">
        <f>'C3LPG'!AF2</f>
        <v>25.492009150734681</v>
      </c>
      <c r="X14" s="308">
        <f>'C3LPG'!AG2</f>
        <v>25.176883120734665</v>
      </c>
      <c r="Y14" s="308">
        <f>'C3LPG'!AH2</f>
        <v>24.376517991988614</v>
      </c>
      <c r="Z14" s="308">
        <f>'C3LPG'!AI2</f>
        <v>23.874694310515174</v>
      </c>
      <c r="AA14" s="308">
        <f>'C3LPG'!AJ2</f>
        <v>25.462116115687543</v>
      </c>
      <c r="AB14" s="308">
        <f>'C3LPG'!AK2</f>
        <v>25.703092458531195</v>
      </c>
      <c r="AC14" s="308">
        <f>'C3LPG'!AL2</f>
        <v>25.212477269164246</v>
      </c>
      <c r="AD14" s="308">
        <f>'C3LPG'!AM2</f>
        <v>25.459018242007893</v>
      </c>
      <c r="AE14" s="308">
        <f>'C3LPG'!AN2</f>
        <v>25.705562654114722</v>
      </c>
      <c r="AF14" s="308">
        <f>'C3LPG'!AO2</f>
        <v>25.572653326957955</v>
      </c>
      <c r="AG14" s="649" t="s">
        <v>276</v>
      </c>
    </row>
    <row r="15" spans="1:40" s="275" customFormat="1">
      <c r="A15" s="276" t="s">
        <v>99</v>
      </c>
      <c r="B15" s="277"/>
      <c r="C15" s="309"/>
      <c r="D15" s="309"/>
      <c r="E15" s="310"/>
      <c r="F15" s="310"/>
      <c r="G15" s="310"/>
      <c r="H15" s="310"/>
      <c r="I15" s="310"/>
      <c r="J15" s="310"/>
      <c r="K15" s="310"/>
      <c r="L15" s="310"/>
      <c r="M15" s="310"/>
      <c r="N15" s="310"/>
      <c r="O15" s="310"/>
      <c r="P15" s="310"/>
      <c r="Q15" s="310"/>
      <c r="R15" s="310"/>
      <c r="S15" s="310"/>
      <c r="T15" s="310"/>
      <c r="U15" s="310"/>
      <c r="V15" s="310"/>
      <c r="W15" s="310"/>
      <c r="X15" s="310"/>
      <c r="Y15" s="310"/>
      <c r="Z15" s="310"/>
      <c r="AA15" s="310"/>
      <c r="AB15" s="310"/>
      <c r="AC15" s="310"/>
      <c r="AD15" s="310"/>
      <c r="AE15" s="310"/>
      <c r="AF15" s="310"/>
    </row>
    <row r="16" spans="1:40" s="275" customFormat="1">
      <c r="A16" s="279" t="s">
        <v>89</v>
      </c>
      <c r="B16" s="288" t="s">
        <v>43</v>
      </c>
      <c r="C16" s="311">
        <f>+C17+C18</f>
        <v>223.30567744999996</v>
      </c>
      <c r="D16" s="311">
        <f>+D17+D18</f>
        <v>200.24329082</v>
      </c>
      <c r="E16" s="311">
        <f t="shared" ref="E16:T16" si="10">+E17+E18</f>
        <v>192.49545953000001</v>
      </c>
      <c r="F16" s="311">
        <f t="shared" si="10"/>
        <v>165.27</v>
      </c>
      <c r="G16" s="311">
        <f t="shared" si="10"/>
        <v>146.49</v>
      </c>
      <c r="H16" s="311">
        <f t="shared" si="10"/>
        <v>143.36000000000001</v>
      </c>
      <c r="I16" s="311">
        <f t="shared" si="10"/>
        <v>157.91999999999999</v>
      </c>
      <c r="J16" s="311">
        <f t="shared" si="10"/>
        <v>192.73</v>
      </c>
      <c r="K16" s="311">
        <f t="shared" si="10"/>
        <v>201.28</v>
      </c>
      <c r="L16" s="311">
        <f t="shared" si="10"/>
        <v>182.34</v>
      </c>
      <c r="M16" s="311">
        <f t="shared" si="10"/>
        <v>184.81</v>
      </c>
      <c r="N16" s="311">
        <f t="shared" si="10"/>
        <v>203.20240770999999</v>
      </c>
      <c r="O16" s="311">
        <f t="shared" si="10"/>
        <v>193.09700000000001</v>
      </c>
      <c r="P16" s="311">
        <f t="shared" si="10"/>
        <v>168.63</v>
      </c>
      <c r="Q16" s="311">
        <f t="shared" si="10"/>
        <v>193.92743945000001</v>
      </c>
      <c r="R16" s="311">
        <f t="shared" si="10"/>
        <v>202.96</v>
      </c>
      <c r="S16" s="311">
        <f t="shared" si="10"/>
        <v>170.82999999999998</v>
      </c>
      <c r="T16" s="311">
        <f t="shared" si="10"/>
        <v>177.88</v>
      </c>
      <c r="U16" s="311">
        <f t="shared" ref="U16:AB16" si="11">+U17+U18</f>
        <v>172.48999999999998</v>
      </c>
      <c r="V16" s="311">
        <f t="shared" si="11"/>
        <v>254.57356136999999</v>
      </c>
      <c r="W16" s="311">
        <f t="shared" si="11"/>
        <v>198.93865578999998</v>
      </c>
      <c r="X16" s="311">
        <f t="shared" si="11"/>
        <v>214.05812603000001</v>
      </c>
      <c r="Y16" s="311">
        <f t="shared" si="11"/>
        <v>213.10115352999998</v>
      </c>
      <c r="Z16" s="311">
        <f t="shared" si="11"/>
        <v>207.96138481</v>
      </c>
      <c r="AA16" s="311">
        <f t="shared" si="11"/>
        <v>194.66226785000001</v>
      </c>
      <c r="AB16" s="311">
        <f t="shared" si="11"/>
        <v>208.23183660000001</v>
      </c>
      <c r="AC16" s="311">
        <f t="shared" ref="AC16:AD16" si="12">+AC17+AC18</f>
        <v>210.29218817</v>
      </c>
      <c r="AD16" s="311">
        <f t="shared" si="12"/>
        <v>202.17627197000002</v>
      </c>
      <c r="AE16" s="311">
        <f t="shared" ref="AE16" si="13">+AE17+AE18</f>
        <v>196.68585521</v>
      </c>
      <c r="AF16" s="311">
        <f>+AF17+AF18</f>
        <v>192.40572227000001</v>
      </c>
      <c r="AG16" s="649" t="s">
        <v>259</v>
      </c>
    </row>
    <row r="17" spans="1:47" s="275" customFormat="1">
      <c r="A17" s="281" t="s">
        <v>100</v>
      </c>
      <c r="B17" s="282" t="s">
        <v>43</v>
      </c>
      <c r="C17" s="307">
        <f>+C11</f>
        <v>191.20567744999997</v>
      </c>
      <c r="D17" s="307">
        <f t="shared" ref="D17:T17" si="14">+D11</f>
        <v>181.64329082</v>
      </c>
      <c r="E17" s="307">
        <f t="shared" si="14"/>
        <v>175.59545953</v>
      </c>
      <c r="F17" s="307">
        <f t="shared" si="14"/>
        <v>161.47</v>
      </c>
      <c r="G17" s="307">
        <f t="shared" si="14"/>
        <v>132.49</v>
      </c>
      <c r="H17" s="307">
        <f t="shared" si="14"/>
        <v>133.46</v>
      </c>
      <c r="I17" s="307">
        <f t="shared" si="14"/>
        <v>141.44</v>
      </c>
      <c r="J17" s="307">
        <f t="shared" si="14"/>
        <v>156.22999999999999</v>
      </c>
      <c r="K17" s="307">
        <f t="shared" si="14"/>
        <v>160.78</v>
      </c>
      <c r="L17" s="307">
        <f t="shared" si="14"/>
        <v>158.84</v>
      </c>
      <c r="M17" s="307">
        <f t="shared" si="14"/>
        <v>166.91</v>
      </c>
      <c r="N17" s="307">
        <f t="shared" si="14"/>
        <v>160.70240770999999</v>
      </c>
      <c r="O17" s="307">
        <f t="shared" si="14"/>
        <v>162.72</v>
      </c>
      <c r="P17" s="307">
        <f t="shared" si="14"/>
        <v>156.13</v>
      </c>
      <c r="Q17" s="307">
        <f t="shared" si="14"/>
        <v>148.42743945000001</v>
      </c>
      <c r="R17" s="307">
        <f t="shared" si="14"/>
        <v>162.11000000000001</v>
      </c>
      <c r="S17" s="307">
        <f t="shared" si="14"/>
        <v>137.82999999999998</v>
      </c>
      <c r="T17" s="307">
        <f t="shared" si="14"/>
        <v>140.82999999999998</v>
      </c>
      <c r="U17" s="307">
        <f t="shared" ref="U17:AB17" si="15">+U11</f>
        <v>143.88999999999999</v>
      </c>
      <c r="V17" s="307">
        <f t="shared" si="15"/>
        <v>150.47356137</v>
      </c>
      <c r="W17" s="307">
        <f t="shared" si="15"/>
        <v>160.83865578999999</v>
      </c>
      <c r="X17" s="307">
        <f t="shared" si="15"/>
        <v>158.95812603000002</v>
      </c>
      <c r="Y17" s="307">
        <f t="shared" si="15"/>
        <v>160.70115352999997</v>
      </c>
      <c r="Z17" s="307">
        <f t="shared" si="15"/>
        <v>160.56138480999999</v>
      </c>
      <c r="AA17" s="307">
        <f t="shared" si="15"/>
        <v>165.26226785</v>
      </c>
      <c r="AB17" s="307">
        <f t="shared" si="15"/>
        <v>164.8318366</v>
      </c>
      <c r="AC17" s="307">
        <f t="shared" ref="AC17:AD17" si="16">+AC11</f>
        <v>157.89218817</v>
      </c>
      <c r="AD17" s="307">
        <f t="shared" si="16"/>
        <v>161.77627197000001</v>
      </c>
      <c r="AE17" s="307">
        <f t="shared" ref="AE17" si="17">+AE11</f>
        <v>156.28585520999999</v>
      </c>
      <c r="AF17" s="307">
        <f>+AF11</f>
        <v>157.00572227000001</v>
      </c>
      <c r="AG17" s="649" t="s">
        <v>260</v>
      </c>
    </row>
    <row r="18" spans="1:47" s="275" customFormat="1">
      <c r="A18" s="281" t="s">
        <v>46</v>
      </c>
      <c r="B18" s="282" t="s">
        <v>43</v>
      </c>
      <c r="C18" s="307">
        <f>+C19+C20</f>
        <v>32.1</v>
      </c>
      <c r="D18" s="307">
        <f t="shared" ref="D18:T18" si="18">+D19+D20</f>
        <v>18.600000000000001</v>
      </c>
      <c r="E18" s="307">
        <f t="shared" si="18"/>
        <v>16.899999999999999</v>
      </c>
      <c r="F18" s="307">
        <f t="shared" si="18"/>
        <v>3.8</v>
      </c>
      <c r="G18" s="307">
        <f t="shared" si="18"/>
        <v>14</v>
      </c>
      <c r="H18" s="307">
        <f t="shared" si="18"/>
        <v>9.9</v>
      </c>
      <c r="I18" s="307">
        <f t="shared" si="18"/>
        <v>16.48</v>
      </c>
      <c r="J18" s="307">
        <f t="shared" si="18"/>
        <v>36.5</v>
      </c>
      <c r="K18" s="307">
        <f t="shared" si="18"/>
        <v>40.5</v>
      </c>
      <c r="L18" s="307">
        <f t="shared" si="18"/>
        <v>23.5</v>
      </c>
      <c r="M18" s="307">
        <f t="shared" si="18"/>
        <v>17.899999999999999</v>
      </c>
      <c r="N18" s="307">
        <f t="shared" si="18"/>
        <v>42.5</v>
      </c>
      <c r="O18" s="307">
        <f t="shared" si="18"/>
        <v>30.376999999999999</v>
      </c>
      <c r="P18" s="307">
        <f t="shared" si="18"/>
        <v>12.5</v>
      </c>
      <c r="Q18" s="307">
        <f t="shared" si="18"/>
        <v>45.5</v>
      </c>
      <c r="R18" s="307">
        <f t="shared" si="18"/>
        <v>40.85</v>
      </c>
      <c r="S18" s="307">
        <f t="shared" si="18"/>
        <v>33</v>
      </c>
      <c r="T18" s="307">
        <f t="shared" si="18"/>
        <v>37.049999999999997</v>
      </c>
      <c r="U18" s="307">
        <f t="shared" ref="U18:AB18" si="19">+U19+U20</f>
        <v>28.6</v>
      </c>
      <c r="V18" s="307">
        <f t="shared" si="19"/>
        <v>104.1</v>
      </c>
      <c r="W18" s="307">
        <f t="shared" si="19"/>
        <v>38.1</v>
      </c>
      <c r="X18" s="307">
        <f t="shared" si="19"/>
        <v>55.1</v>
      </c>
      <c r="Y18" s="307">
        <f t="shared" si="19"/>
        <v>52.4</v>
      </c>
      <c r="Z18" s="307">
        <f t="shared" si="19"/>
        <v>47.4</v>
      </c>
      <c r="AA18" s="307">
        <f t="shared" si="19"/>
        <v>29.4</v>
      </c>
      <c r="AB18" s="307">
        <f t="shared" si="19"/>
        <v>43.4</v>
      </c>
      <c r="AC18" s="307">
        <f t="shared" ref="AC18:AD18" si="20">+AC19+AC20</f>
        <v>52.4</v>
      </c>
      <c r="AD18" s="307">
        <f t="shared" si="20"/>
        <v>40.4</v>
      </c>
      <c r="AE18" s="307">
        <f t="shared" ref="AE18" si="21">+AE19+AE20</f>
        <v>40.4</v>
      </c>
      <c r="AF18" s="307">
        <f>+AF19+AF20</f>
        <v>35.4</v>
      </c>
      <c r="AG18" s="649" t="s">
        <v>261</v>
      </c>
    </row>
    <row r="19" spans="1:47" s="275" customFormat="1">
      <c r="A19" s="283" t="s">
        <v>101</v>
      </c>
      <c r="B19" s="284" t="s">
        <v>43</v>
      </c>
      <c r="C19" s="312">
        <f t="shared" ref="C19:T19" si="22">C6</f>
        <v>14.1</v>
      </c>
      <c r="D19" s="312">
        <f t="shared" si="22"/>
        <v>0</v>
      </c>
      <c r="E19" s="312">
        <f t="shared" si="22"/>
        <v>3.4</v>
      </c>
      <c r="F19" s="312">
        <f t="shared" si="22"/>
        <v>0</v>
      </c>
      <c r="G19" s="312">
        <f t="shared" si="22"/>
        <v>0</v>
      </c>
      <c r="H19" s="312">
        <f t="shared" si="22"/>
        <v>2</v>
      </c>
      <c r="I19" s="312">
        <f t="shared" si="22"/>
        <v>3.58</v>
      </c>
      <c r="J19" s="312">
        <f t="shared" si="22"/>
        <v>23</v>
      </c>
      <c r="K19" s="312">
        <f t="shared" si="22"/>
        <v>27</v>
      </c>
      <c r="L19" s="312">
        <f t="shared" si="22"/>
        <v>13</v>
      </c>
      <c r="M19" s="312">
        <f t="shared" si="22"/>
        <v>7</v>
      </c>
      <c r="N19" s="312">
        <f t="shared" si="22"/>
        <v>32</v>
      </c>
      <c r="O19" s="312">
        <f t="shared" si="22"/>
        <v>20.677</v>
      </c>
      <c r="P19" s="312">
        <f t="shared" si="22"/>
        <v>6</v>
      </c>
      <c r="Q19" s="312">
        <f t="shared" si="22"/>
        <v>39</v>
      </c>
      <c r="R19" s="312">
        <f t="shared" si="22"/>
        <v>37</v>
      </c>
      <c r="S19" s="312">
        <f t="shared" si="22"/>
        <v>29.5</v>
      </c>
      <c r="T19" s="312">
        <f t="shared" si="22"/>
        <v>36</v>
      </c>
      <c r="U19" s="312">
        <f t="shared" ref="U19:AB19" si="23">U6</f>
        <v>26</v>
      </c>
      <c r="V19" s="312">
        <f t="shared" si="23"/>
        <v>102</v>
      </c>
      <c r="W19" s="312">
        <f t="shared" si="23"/>
        <v>36</v>
      </c>
      <c r="X19" s="312">
        <f t="shared" si="23"/>
        <v>53</v>
      </c>
      <c r="Y19" s="312">
        <f t="shared" si="23"/>
        <v>50</v>
      </c>
      <c r="Z19" s="312">
        <f t="shared" si="23"/>
        <v>45</v>
      </c>
      <c r="AA19" s="312">
        <f t="shared" si="23"/>
        <v>27</v>
      </c>
      <c r="AB19" s="312">
        <f t="shared" si="23"/>
        <v>41</v>
      </c>
      <c r="AC19" s="312">
        <f t="shared" ref="AC19:AD19" si="24">AC6</f>
        <v>50</v>
      </c>
      <c r="AD19" s="312">
        <f t="shared" si="24"/>
        <v>38</v>
      </c>
      <c r="AE19" s="312">
        <f t="shared" ref="AE19" si="25">AE6</f>
        <v>38</v>
      </c>
      <c r="AF19" s="312">
        <f>AF6</f>
        <v>33</v>
      </c>
      <c r="AG19" s="649" t="s">
        <v>262</v>
      </c>
    </row>
    <row r="20" spans="1:47" s="275" customFormat="1">
      <c r="A20" s="283" t="s">
        <v>102</v>
      </c>
      <c r="B20" s="284" t="s">
        <v>43</v>
      </c>
      <c r="C20" s="307">
        <f>+C24+C25+C26</f>
        <v>18</v>
      </c>
      <c r="D20" s="307">
        <f>+D24+D25+D26</f>
        <v>18.600000000000001</v>
      </c>
      <c r="E20" s="307">
        <f t="shared" ref="E20:T20" si="26">+E24+E25+E26</f>
        <v>13.5</v>
      </c>
      <c r="F20" s="307">
        <f t="shared" si="26"/>
        <v>3.8</v>
      </c>
      <c r="G20" s="307">
        <f t="shared" si="26"/>
        <v>14</v>
      </c>
      <c r="H20" s="307">
        <f t="shared" si="26"/>
        <v>7.9</v>
      </c>
      <c r="I20" s="307">
        <f t="shared" si="26"/>
        <v>12.9</v>
      </c>
      <c r="J20" s="307">
        <f t="shared" si="26"/>
        <v>13.5</v>
      </c>
      <c r="K20" s="307">
        <f t="shared" si="26"/>
        <v>13.5</v>
      </c>
      <c r="L20" s="307">
        <f t="shared" si="26"/>
        <v>10.5</v>
      </c>
      <c r="M20" s="307">
        <f t="shared" si="26"/>
        <v>10.9</v>
      </c>
      <c r="N20" s="307">
        <f t="shared" si="26"/>
        <v>10.5</v>
      </c>
      <c r="O20" s="307">
        <f t="shared" si="26"/>
        <v>9.6999999999999993</v>
      </c>
      <c r="P20" s="307">
        <f t="shared" si="26"/>
        <v>6.5</v>
      </c>
      <c r="Q20" s="307">
        <f t="shared" si="26"/>
        <v>6.5</v>
      </c>
      <c r="R20" s="307">
        <f t="shared" si="26"/>
        <v>3.85</v>
      </c>
      <c r="S20" s="307">
        <f t="shared" si="26"/>
        <v>3.5</v>
      </c>
      <c r="T20" s="307">
        <f t="shared" si="26"/>
        <v>1.05</v>
      </c>
      <c r="U20" s="307">
        <f t="shared" ref="U20:AB20" si="27">+U24+U25+U26</f>
        <v>2.6</v>
      </c>
      <c r="V20" s="307">
        <f t="shared" si="27"/>
        <v>2.1</v>
      </c>
      <c r="W20" s="307">
        <f t="shared" si="27"/>
        <v>2.1</v>
      </c>
      <c r="X20" s="307">
        <f t="shared" si="27"/>
        <v>2.1</v>
      </c>
      <c r="Y20" s="307">
        <f t="shared" si="27"/>
        <v>2.4</v>
      </c>
      <c r="Z20" s="307">
        <f t="shared" si="27"/>
        <v>2.4</v>
      </c>
      <c r="AA20" s="307">
        <f t="shared" si="27"/>
        <v>2.4</v>
      </c>
      <c r="AB20" s="307">
        <f t="shared" si="27"/>
        <v>2.4</v>
      </c>
      <c r="AC20" s="307">
        <f t="shared" ref="AC20:AD20" si="28">+AC24+AC25+AC26</f>
        <v>2.4</v>
      </c>
      <c r="AD20" s="307">
        <f t="shared" si="28"/>
        <v>2.4</v>
      </c>
      <c r="AE20" s="307">
        <f t="shared" ref="AE20" si="29">+AE24+AE25+AE26</f>
        <v>2.4</v>
      </c>
      <c r="AF20" s="307">
        <f>+AF24+AF25+AF26</f>
        <v>2.4</v>
      </c>
      <c r="AG20" s="648" t="s">
        <v>263</v>
      </c>
    </row>
    <row r="21" spans="1:47" s="275" customFormat="1">
      <c r="A21" s="289" t="s">
        <v>6</v>
      </c>
      <c r="B21" s="290" t="s">
        <v>43</v>
      </c>
      <c r="C21" s="313">
        <f>+C22+C23</f>
        <v>209.20567744999997</v>
      </c>
      <c r="D21" s="313">
        <f>+D22+D23</f>
        <v>200.24329082</v>
      </c>
      <c r="E21" s="313">
        <f t="shared" ref="E21:T21" si="30">+E22+E23</f>
        <v>189.09545953</v>
      </c>
      <c r="F21" s="313">
        <f t="shared" si="30"/>
        <v>165.27</v>
      </c>
      <c r="G21" s="313">
        <f t="shared" si="30"/>
        <v>146.49</v>
      </c>
      <c r="H21" s="313">
        <f t="shared" si="30"/>
        <v>141.36000000000001</v>
      </c>
      <c r="I21" s="313">
        <f t="shared" si="30"/>
        <v>154.34</v>
      </c>
      <c r="J21" s="313">
        <f t="shared" si="30"/>
        <v>169.73</v>
      </c>
      <c r="K21" s="313">
        <f t="shared" si="30"/>
        <v>174.28</v>
      </c>
      <c r="L21" s="313">
        <f t="shared" si="30"/>
        <v>169.34</v>
      </c>
      <c r="M21" s="313">
        <f t="shared" si="30"/>
        <v>177.81</v>
      </c>
      <c r="N21" s="313">
        <f t="shared" si="30"/>
        <v>171.20240770999999</v>
      </c>
      <c r="O21" s="313">
        <f t="shared" si="30"/>
        <v>172.42</v>
      </c>
      <c r="P21" s="313">
        <f t="shared" si="30"/>
        <v>162.63</v>
      </c>
      <c r="Q21" s="313">
        <f t="shared" si="30"/>
        <v>154.92743945000001</v>
      </c>
      <c r="R21" s="313">
        <f t="shared" si="30"/>
        <v>165.96</v>
      </c>
      <c r="S21" s="313">
        <f t="shared" si="30"/>
        <v>141.32999999999998</v>
      </c>
      <c r="T21" s="313">
        <f t="shared" si="30"/>
        <v>141.88</v>
      </c>
      <c r="U21" s="313">
        <f>+U22+U23</f>
        <v>146.48999999999998</v>
      </c>
      <c r="V21" s="313">
        <f t="shared" ref="V21:AB21" si="31">+V22+V23</f>
        <v>152.57356136999999</v>
      </c>
      <c r="W21" s="313">
        <f t="shared" si="31"/>
        <v>162.93865578999998</v>
      </c>
      <c r="X21" s="313">
        <f t="shared" si="31"/>
        <v>161.05812603000001</v>
      </c>
      <c r="Y21" s="313">
        <f t="shared" si="31"/>
        <v>163.10115352999998</v>
      </c>
      <c r="Z21" s="313">
        <f t="shared" si="31"/>
        <v>162.96138481</v>
      </c>
      <c r="AA21" s="313">
        <f t="shared" si="31"/>
        <v>167.66226785000001</v>
      </c>
      <c r="AB21" s="313">
        <f t="shared" si="31"/>
        <v>167.23183660000001</v>
      </c>
      <c r="AC21" s="313">
        <f t="shared" ref="AC21:AD21" si="32">+AC22+AC23</f>
        <v>160.29218817</v>
      </c>
      <c r="AD21" s="313">
        <f t="shared" si="32"/>
        <v>164.17627197000002</v>
      </c>
      <c r="AE21" s="313">
        <f t="shared" ref="AE21" si="33">+AE22+AE23</f>
        <v>158.68585521</v>
      </c>
      <c r="AF21" s="313">
        <f>+AF22+AF23</f>
        <v>159.40572227000001</v>
      </c>
      <c r="AG21" s="649" t="s">
        <v>264</v>
      </c>
    </row>
    <row r="22" spans="1:47" s="275" customFormat="1">
      <c r="A22" s="281" t="s">
        <v>103</v>
      </c>
      <c r="B22" s="282" t="s">
        <v>43</v>
      </c>
      <c r="C22" s="307">
        <f>C11</f>
        <v>191.20567744999997</v>
      </c>
      <c r="D22" s="307">
        <f t="shared" ref="D22:T22" si="34">D11</f>
        <v>181.64329082</v>
      </c>
      <c r="E22" s="307">
        <f t="shared" si="34"/>
        <v>175.59545953</v>
      </c>
      <c r="F22" s="307">
        <f t="shared" si="34"/>
        <v>161.47</v>
      </c>
      <c r="G22" s="307">
        <f t="shared" si="34"/>
        <v>132.49</v>
      </c>
      <c r="H22" s="307">
        <f t="shared" si="34"/>
        <v>133.46</v>
      </c>
      <c r="I22" s="307">
        <f t="shared" si="34"/>
        <v>141.44</v>
      </c>
      <c r="J22" s="307">
        <f t="shared" si="34"/>
        <v>156.22999999999999</v>
      </c>
      <c r="K22" s="307">
        <f t="shared" si="34"/>
        <v>160.78</v>
      </c>
      <c r="L22" s="307">
        <f t="shared" si="34"/>
        <v>158.84</v>
      </c>
      <c r="M22" s="307">
        <f t="shared" si="34"/>
        <v>166.91</v>
      </c>
      <c r="N22" s="307">
        <f t="shared" si="34"/>
        <v>160.70240770999999</v>
      </c>
      <c r="O22" s="307">
        <f t="shared" si="34"/>
        <v>162.72</v>
      </c>
      <c r="P22" s="307">
        <f t="shared" si="34"/>
        <v>156.13</v>
      </c>
      <c r="Q22" s="307">
        <f t="shared" si="34"/>
        <v>148.42743945000001</v>
      </c>
      <c r="R22" s="307">
        <f t="shared" si="34"/>
        <v>162.11000000000001</v>
      </c>
      <c r="S22" s="307">
        <f t="shared" si="34"/>
        <v>137.82999999999998</v>
      </c>
      <c r="T22" s="307">
        <f t="shared" si="34"/>
        <v>140.82999999999998</v>
      </c>
      <c r="U22" s="307">
        <f t="shared" ref="U22:AB22" si="35">U11</f>
        <v>143.88999999999999</v>
      </c>
      <c r="V22" s="307">
        <f t="shared" si="35"/>
        <v>150.47356137</v>
      </c>
      <c r="W22" s="307">
        <f t="shared" si="35"/>
        <v>160.83865578999999</v>
      </c>
      <c r="X22" s="307">
        <f t="shared" si="35"/>
        <v>158.95812603000002</v>
      </c>
      <c r="Y22" s="307">
        <f t="shared" si="35"/>
        <v>160.70115352999997</v>
      </c>
      <c r="Z22" s="307">
        <f t="shared" si="35"/>
        <v>160.56138480999999</v>
      </c>
      <c r="AA22" s="307">
        <f t="shared" si="35"/>
        <v>165.26226785</v>
      </c>
      <c r="AB22" s="307">
        <f t="shared" si="35"/>
        <v>164.8318366</v>
      </c>
      <c r="AC22" s="307">
        <f t="shared" ref="AC22:AD22" si="36">AC11</f>
        <v>157.89218817</v>
      </c>
      <c r="AD22" s="307">
        <f t="shared" si="36"/>
        <v>161.77627197000001</v>
      </c>
      <c r="AE22" s="307">
        <f t="shared" ref="AE22" si="37">AE11</f>
        <v>156.28585520999999</v>
      </c>
      <c r="AF22" s="307">
        <f>AF11</f>
        <v>157.00572227000001</v>
      </c>
      <c r="AG22" s="649" t="s">
        <v>265</v>
      </c>
    </row>
    <row r="23" spans="1:47" s="275" customFormat="1">
      <c r="A23" s="281" t="s">
        <v>104</v>
      </c>
      <c r="B23" s="282" t="s">
        <v>43</v>
      </c>
      <c r="C23" s="307">
        <f>+C24+C25+C26</f>
        <v>18</v>
      </c>
      <c r="D23" s="307">
        <f>+D24+D25+D26</f>
        <v>18.600000000000001</v>
      </c>
      <c r="E23" s="307">
        <f t="shared" ref="E23:T23" si="38">+E24+E25+E26</f>
        <v>13.5</v>
      </c>
      <c r="F23" s="307">
        <f t="shared" si="38"/>
        <v>3.8</v>
      </c>
      <c r="G23" s="307">
        <f t="shared" si="38"/>
        <v>14</v>
      </c>
      <c r="H23" s="307">
        <f t="shared" si="38"/>
        <v>7.9</v>
      </c>
      <c r="I23" s="307">
        <f t="shared" si="38"/>
        <v>12.9</v>
      </c>
      <c r="J23" s="307">
        <f t="shared" si="38"/>
        <v>13.5</v>
      </c>
      <c r="K23" s="307">
        <f t="shared" si="38"/>
        <v>13.5</v>
      </c>
      <c r="L23" s="307">
        <f t="shared" si="38"/>
        <v>10.5</v>
      </c>
      <c r="M23" s="307">
        <f t="shared" si="38"/>
        <v>10.9</v>
      </c>
      <c r="N23" s="307">
        <f t="shared" si="38"/>
        <v>10.5</v>
      </c>
      <c r="O23" s="307">
        <f t="shared" si="38"/>
        <v>9.6999999999999993</v>
      </c>
      <c r="P23" s="307">
        <f t="shared" si="38"/>
        <v>6.5</v>
      </c>
      <c r="Q23" s="307">
        <f t="shared" si="38"/>
        <v>6.5</v>
      </c>
      <c r="R23" s="307">
        <f t="shared" si="38"/>
        <v>3.85</v>
      </c>
      <c r="S23" s="307">
        <f t="shared" si="38"/>
        <v>3.5</v>
      </c>
      <c r="T23" s="307">
        <f t="shared" si="38"/>
        <v>1.05</v>
      </c>
      <c r="U23" s="307">
        <f t="shared" ref="U23:AB23" si="39">+U24+U25+U26</f>
        <v>2.6</v>
      </c>
      <c r="V23" s="307">
        <f t="shared" si="39"/>
        <v>2.1</v>
      </c>
      <c r="W23" s="307">
        <f t="shared" si="39"/>
        <v>2.1</v>
      </c>
      <c r="X23" s="307">
        <f t="shared" si="39"/>
        <v>2.1</v>
      </c>
      <c r="Y23" s="307">
        <f t="shared" si="39"/>
        <v>2.4</v>
      </c>
      <c r="Z23" s="307">
        <f t="shared" si="39"/>
        <v>2.4</v>
      </c>
      <c r="AA23" s="307">
        <f t="shared" si="39"/>
        <v>2.4</v>
      </c>
      <c r="AB23" s="307">
        <f t="shared" si="39"/>
        <v>2.4</v>
      </c>
      <c r="AC23" s="307">
        <f t="shared" ref="AC23:AD23" si="40">+AC24+AC25+AC26</f>
        <v>2.4</v>
      </c>
      <c r="AD23" s="307">
        <f t="shared" si="40"/>
        <v>2.4</v>
      </c>
      <c r="AE23" s="307">
        <f t="shared" ref="AE23" si="41">+AE24+AE25+AE26</f>
        <v>2.4</v>
      </c>
      <c r="AF23" s="307">
        <f>+AF24+AF25+AF26</f>
        <v>2.4</v>
      </c>
      <c r="AG23" s="648" t="s">
        <v>263</v>
      </c>
    </row>
    <row r="24" spans="1:47" s="275" customFormat="1">
      <c r="A24" s="283" t="s">
        <v>105</v>
      </c>
      <c r="B24" s="284" t="s">
        <v>43</v>
      </c>
      <c r="C24" s="306">
        <v>15</v>
      </c>
      <c r="D24" s="306">
        <v>15</v>
      </c>
      <c r="E24" s="306">
        <v>11</v>
      </c>
      <c r="F24" s="324">
        <v>1.8</v>
      </c>
      <c r="G24" s="306">
        <v>11</v>
      </c>
      <c r="H24" s="306">
        <v>6</v>
      </c>
      <c r="I24" s="306">
        <v>11</v>
      </c>
      <c r="J24" s="306">
        <v>11</v>
      </c>
      <c r="K24" s="306">
        <v>11</v>
      </c>
      <c r="L24" s="324">
        <v>9.5</v>
      </c>
      <c r="M24" s="324">
        <v>9.5</v>
      </c>
      <c r="N24" s="324">
        <v>9.5</v>
      </c>
      <c r="O24" s="324">
        <v>8.5</v>
      </c>
      <c r="P24" s="324">
        <v>5</v>
      </c>
      <c r="Q24" s="324">
        <v>5</v>
      </c>
      <c r="R24" s="324">
        <v>3.35</v>
      </c>
      <c r="S24" s="324">
        <v>3</v>
      </c>
      <c r="T24" s="324">
        <v>0.55000000000000004</v>
      </c>
      <c r="U24" s="324">
        <v>2</v>
      </c>
      <c r="V24" s="324">
        <v>1.5</v>
      </c>
      <c r="W24" s="324">
        <v>1.5</v>
      </c>
      <c r="X24" s="324">
        <v>1.5</v>
      </c>
      <c r="Y24" s="324">
        <v>1.5</v>
      </c>
      <c r="Z24" s="324">
        <v>1.5</v>
      </c>
      <c r="AA24" s="324">
        <v>1.5</v>
      </c>
      <c r="AB24" s="324">
        <v>1.5</v>
      </c>
      <c r="AC24" s="324">
        <v>1.5</v>
      </c>
      <c r="AD24" s="324">
        <v>1.5</v>
      </c>
      <c r="AE24" s="324">
        <v>1.5</v>
      </c>
      <c r="AF24" s="324">
        <v>1.5</v>
      </c>
    </row>
    <row r="25" spans="1:47" s="275" customFormat="1">
      <c r="A25" s="283" t="s">
        <v>106</v>
      </c>
      <c r="B25" s="284" t="s">
        <v>43</v>
      </c>
      <c r="C25" s="306"/>
      <c r="D25" s="306">
        <v>0.6</v>
      </c>
      <c r="E25" s="306"/>
      <c r="F25" s="306"/>
      <c r="G25" s="306"/>
      <c r="H25" s="306"/>
      <c r="I25" s="306"/>
      <c r="J25" s="306"/>
      <c r="K25" s="306"/>
      <c r="L25" s="306"/>
      <c r="M25" s="306"/>
      <c r="N25" s="306"/>
      <c r="O25" s="306"/>
      <c r="P25" s="306"/>
      <c r="Q25" s="306"/>
      <c r="R25" s="306"/>
      <c r="S25" s="306"/>
      <c r="T25" s="306"/>
      <c r="U25" s="306"/>
      <c r="V25" s="306"/>
      <c r="W25" s="306"/>
      <c r="X25" s="306"/>
      <c r="Y25" s="306"/>
      <c r="Z25" s="306"/>
      <c r="AA25" s="306"/>
      <c r="AB25" s="306"/>
      <c r="AC25" s="306"/>
      <c r="AD25" s="306"/>
      <c r="AE25" s="306"/>
      <c r="AF25" s="306"/>
    </row>
    <row r="26" spans="1:47" s="275" customFormat="1">
      <c r="A26" s="283" t="s">
        <v>107</v>
      </c>
      <c r="B26" s="284" t="s">
        <v>43</v>
      </c>
      <c r="C26" s="306">
        <v>3</v>
      </c>
      <c r="D26" s="306">
        <v>3</v>
      </c>
      <c r="E26" s="306">
        <v>2.5</v>
      </c>
      <c r="F26" s="306">
        <v>2</v>
      </c>
      <c r="G26" s="306">
        <v>3</v>
      </c>
      <c r="H26" s="306">
        <v>1.9</v>
      </c>
      <c r="I26" s="324">
        <v>1.9</v>
      </c>
      <c r="J26" s="324">
        <v>2.5</v>
      </c>
      <c r="K26" s="324">
        <v>2.5</v>
      </c>
      <c r="L26" s="324">
        <v>1</v>
      </c>
      <c r="M26" s="324">
        <v>1.4</v>
      </c>
      <c r="N26" s="324">
        <v>1</v>
      </c>
      <c r="O26" s="324">
        <v>1.2</v>
      </c>
      <c r="P26" s="324">
        <v>1.5</v>
      </c>
      <c r="Q26" s="324">
        <v>1.5</v>
      </c>
      <c r="R26" s="324">
        <v>0.5</v>
      </c>
      <c r="S26" s="324">
        <v>0.5</v>
      </c>
      <c r="T26" s="324">
        <v>0.5</v>
      </c>
      <c r="U26" s="324">
        <v>0.6</v>
      </c>
      <c r="V26" s="324">
        <v>0.6</v>
      </c>
      <c r="W26" s="324">
        <v>0.6</v>
      </c>
      <c r="X26" s="324">
        <v>0.6</v>
      </c>
      <c r="Y26" s="324">
        <v>0.9</v>
      </c>
      <c r="Z26" s="324">
        <v>0.9</v>
      </c>
      <c r="AA26" s="324">
        <v>0.9</v>
      </c>
      <c r="AB26" s="324">
        <v>0.9</v>
      </c>
      <c r="AC26" s="324">
        <v>0.9</v>
      </c>
      <c r="AD26" s="324">
        <v>0.9</v>
      </c>
      <c r="AE26" s="324">
        <v>0.9</v>
      </c>
      <c r="AF26" s="324">
        <v>0.9</v>
      </c>
    </row>
    <row r="27" spans="1:47" s="275" customFormat="1">
      <c r="A27" s="285" t="s">
        <v>108</v>
      </c>
      <c r="B27" s="286" t="s">
        <v>43</v>
      </c>
      <c r="C27" s="314">
        <v>4.3630100000000001</v>
      </c>
      <c r="D27" s="314">
        <v>4.8184300000000002</v>
      </c>
      <c r="E27" s="314">
        <v>4.7113100000000001</v>
      </c>
      <c r="F27" s="314">
        <v>4.8537400000000002</v>
      </c>
      <c r="G27" s="314">
        <v>4.01729</v>
      </c>
      <c r="H27" s="314">
        <v>4.1034899999999999</v>
      </c>
      <c r="I27" s="314">
        <v>3.9801899999999999</v>
      </c>
      <c r="J27" s="314">
        <v>3.1403699999999999</v>
      </c>
      <c r="K27" s="314">
        <v>4.1078799999999998</v>
      </c>
      <c r="L27" s="314">
        <v>4.1213299999999995</v>
      </c>
      <c r="M27" s="314">
        <v>4.4393100000000008</v>
      </c>
      <c r="N27" s="314">
        <v>4.7826300000000002</v>
      </c>
      <c r="O27" s="314">
        <v>4.9286300000000001</v>
      </c>
      <c r="P27" s="314">
        <v>4.9282299999999992</v>
      </c>
      <c r="Q27" s="314">
        <v>5.0398900000000006</v>
      </c>
      <c r="R27" s="314">
        <v>5.0159700000000003</v>
      </c>
      <c r="S27" s="314">
        <v>4.9056199999999999</v>
      </c>
      <c r="T27" s="314">
        <f t="shared" ref="T27:Y28" si="42">S27</f>
        <v>4.9056199999999999</v>
      </c>
      <c r="U27" s="314">
        <f>T27</f>
        <v>4.9056199999999999</v>
      </c>
      <c r="V27" s="314">
        <f t="shared" si="42"/>
        <v>4.9056199999999999</v>
      </c>
      <c r="W27" s="314">
        <f t="shared" si="42"/>
        <v>4.9056199999999999</v>
      </c>
      <c r="X27" s="314">
        <f t="shared" si="42"/>
        <v>4.9056199999999999</v>
      </c>
      <c r="Y27" s="314">
        <f t="shared" si="42"/>
        <v>4.9056199999999999</v>
      </c>
      <c r="Z27" s="314">
        <f>Y27</f>
        <v>4.9056199999999999</v>
      </c>
      <c r="AA27" s="314">
        <f t="shared" ref="AA27:AE29" si="43">Z27</f>
        <v>4.9056199999999999</v>
      </c>
      <c r="AB27" s="314">
        <f t="shared" si="43"/>
        <v>4.9056199999999999</v>
      </c>
      <c r="AC27" s="314">
        <f t="shared" si="43"/>
        <v>4.9056199999999999</v>
      </c>
      <c r="AD27" s="314">
        <f>AC27</f>
        <v>4.9056199999999999</v>
      </c>
      <c r="AE27" s="314">
        <f>AD27</f>
        <v>4.9056199999999999</v>
      </c>
      <c r="AF27" s="314">
        <f>AE27</f>
        <v>4.9056199999999999</v>
      </c>
      <c r="AG27" s="650" t="s">
        <v>266</v>
      </c>
      <c r="AT27" s="317">
        <v>4905.62</v>
      </c>
      <c r="AU27" s="353">
        <f t="shared" ref="AU27:AU32" si="44">AT27/1000</f>
        <v>4.9056199999999999</v>
      </c>
    </row>
    <row r="28" spans="1:47" s="275" customFormat="1">
      <c r="A28" s="285" t="s">
        <v>113</v>
      </c>
      <c r="B28" s="286" t="s">
        <v>43</v>
      </c>
      <c r="C28" s="314">
        <v>12.485040000000001</v>
      </c>
      <c r="D28" s="314">
        <v>9.6427199999999988</v>
      </c>
      <c r="E28" s="314">
        <v>5.1455200000000003</v>
      </c>
      <c r="F28" s="314">
        <v>8.9106900000000007</v>
      </c>
      <c r="G28" s="314">
        <v>10.6479</v>
      </c>
      <c r="H28" s="314">
        <v>11.268190000000001</v>
      </c>
      <c r="I28" s="314">
        <v>9.0518400000000003</v>
      </c>
      <c r="J28" s="314">
        <v>11.33426</v>
      </c>
      <c r="K28" s="314">
        <v>7.3439199999999998</v>
      </c>
      <c r="L28" s="314">
        <v>7.4108900000000002</v>
      </c>
      <c r="M28" s="314">
        <v>6.3707500000000001</v>
      </c>
      <c r="N28" s="314">
        <v>7.9856099999999994</v>
      </c>
      <c r="O28" s="314">
        <v>8.8895</v>
      </c>
      <c r="P28" s="314">
        <v>9.9887499999999996</v>
      </c>
      <c r="Q28" s="314">
        <v>7.2515400000000003</v>
      </c>
      <c r="R28" s="314">
        <v>9.6531599999999997</v>
      </c>
      <c r="S28" s="314">
        <v>9.087159999999999</v>
      </c>
      <c r="T28" s="314">
        <f t="shared" si="42"/>
        <v>9.087159999999999</v>
      </c>
      <c r="U28" s="314">
        <f t="shared" si="42"/>
        <v>9.087159999999999</v>
      </c>
      <c r="V28" s="314">
        <f t="shared" si="42"/>
        <v>9.087159999999999</v>
      </c>
      <c r="W28" s="314">
        <f t="shared" si="42"/>
        <v>9.087159999999999</v>
      </c>
      <c r="X28" s="314">
        <f t="shared" si="42"/>
        <v>9.087159999999999</v>
      </c>
      <c r="Y28" s="314">
        <f t="shared" si="42"/>
        <v>9.087159999999999</v>
      </c>
      <c r="Z28" s="314">
        <f>Y28</f>
        <v>9.087159999999999</v>
      </c>
      <c r="AA28" s="314">
        <f t="shared" si="43"/>
        <v>9.087159999999999</v>
      </c>
      <c r="AB28" s="314">
        <f t="shared" si="43"/>
        <v>9.087159999999999</v>
      </c>
      <c r="AC28" s="314">
        <f t="shared" si="43"/>
        <v>9.087159999999999</v>
      </c>
      <c r="AD28" s="314">
        <f t="shared" si="43"/>
        <v>9.087159999999999</v>
      </c>
      <c r="AE28" s="314">
        <f t="shared" si="43"/>
        <v>9.087159999999999</v>
      </c>
      <c r="AF28" s="314">
        <f>AE28</f>
        <v>9.087159999999999</v>
      </c>
      <c r="AG28" s="650" t="s">
        <v>266</v>
      </c>
      <c r="AT28" s="317">
        <v>9087.16</v>
      </c>
      <c r="AU28" s="353">
        <f t="shared" si="44"/>
        <v>9.087159999999999</v>
      </c>
    </row>
    <row r="29" spans="1:47" s="275" customFormat="1">
      <c r="A29" s="285" t="s">
        <v>114</v>
      </c>
      <c r="B29" s="286" t="s">
        <v>43</v>
      </c>
      <c r="C29" s="314">
        <v>1.74675</v>
      </c>
      <c r="D29" s="314">
        <v>1.7093</v>
      </c>
      <c r="E29" s="314">
        <v>1.74495</v>
      </c>
      <c r="F29" s="314">
        <v>1.73674</v>
      </c>
      <c r="G29" s="314">
        <v>1.7336099999999999</v>
      </c>
      <c r="H29" s="314">
        <v>1.7284000000000002</v>
      </c>
      <c r="I29" s="314">
        <v>1.6542000000000001</v>
      </c>
      <c r="J29" s="314">
        <v>1.5305799999999998</v>
      </c>
      <c r="K29" s="314">
        <v>1.2746300000000002</v>
      </c>
      <c r="L29" s="314">
        <v>8.58765</v>
      </c>
      <c r="M29" s="314">
        <v>8.5851000000000006</v>
      </c>
      <c r="N29" s="314">
        <v>6.1211599999999997</v>
      </c>
      <c r="O29" s="314">
        <v>6.1287600000000007</v>
      </c>
      <c r="P29" s="314">
        <v>6.1342299999999996</v>
      </c>
      <c r="Q29" s="314">
        <v>6.0019999999999998</v>
      </c>
      <c r="R29" s="314">
        <v>8.2162900000000008</v>
      </c>
      <c r="S29" s="314">
        <v>3.9404299999999997</v>
      </c>
      <c r="T29" s="314">
        <f t="shared" ref="T29:Y29" si="45">S29</f>
        <v>3.9404299999999997</v>
      </c>
      <c r="U29" s="314">
        <f t="shared" si="45"/>
        <v>3.9404299999999997</v>
      </c>
      <c r="V29" s="314">
        <f t="shared" si="45"/>
        <v>3.9404299999999997</v>
      </c>
      <c r="W29" s="314">
        <f t="shared" si="45"/>
        <v>3.9404299999999997</v>
      </c>
      <c r="X29" s="314">
        <f t="shared" si="45"/>
        <v>3.9404299999999997</v>
      </c>
      <c r="Y29" s="314">
        <f t="shared" si="45"/>
        <v>3.9404299999999997</v>
      </c>
      <c r="Z29" s="314">
        <f>Y29</f>
        <v>3.9404299999999997</v>
      </c>
      <c r="AA29" s="314">
        <f t="shared" si="43"/>
        <v>3.9404299999999997</v>
      </c>
      <c r="AB29" s="314">
        <f t="shared" si="43"/>
        <v>3.9404299999999997</v>
      </c>
      <c r="AC29" s="314">
        <f t="shared" si="43"/>
        <v>3.9404299999999997</v>
      </c>
      <c r="AD29" s="314">
        <f t="shared" si="43"/>
        <v>3.9404299999999997</v>
      </c>
      <c r="AE29" s="314">
        <f t="shared" si="43"/>
        <v>3.9404299999999997</v>
      </c>
      <c r="AF29" s="314">
        <f>AE29</f>
        <v>3.9404299999999997</v>
      </c>
      <c r="AG29" s="650" t="s">
        <v>266</v>
      </c>
      <c r="AT29" s="317">
        <v>3940.43</v>
      </c>
      <c r="AU29" s="353">
        <f t="shared" si="44"/>
        <v>3.9404299999999997</v>
      </c>
    </row>
    <row r="30" spans="1:47" s="275" customFormat="1">
      <c r="A30" s="285" t="s">
        <v>115</v>
      </c>
      <c r="B30" s="286" t="s">
        <v>43</v>
      </c>
      <c r="C30" s="314">
        <v>2.8454800000000002</v>
      </c>
      <c r="D30" s="314">
        <v>2.8450900000000003</v>
      </c>
      <c r="E30" s="314">
        <v>0.10045999999999999</v>
      </c>
      <c r="F30" s="314">
        <v>9.6069999999999989E-2</v>
      </c>
      <c r="G30" s="314">
        <v>0</v>
      </c>
      <c r="H30" s="314">
        <v>0</v>
      </c>
      <c r="I30" s="314">
        <v>4.0060000000000005E-2</v>
      </c>
      <c r="J30" s="314">
        <v>0.12368000000000001</v>
      </c>
      <c r="K30" s="314">
        <v>0.87017999999999995</v>
      </c>
      <c r="L30" s="314">
        <v>5.4668900000000002</v>
      </c>
      <c r="M30" s="314">
        <v>5.4723000000000006</v>
      </c>
      <c r="N30" s="314">
        <v>5.4638800000000005</v>
      </c>
      <c r="O30" s="314">
        <v>5.4652799999999999</v>
      </c>
      <c r="P30" s="314">
        <v>5.4606000000000003</v>
      </c>
      <c r="Q30" s="314">
        <v>5.4509300000000005</v>
      </c>
      <c r="R30" s="314">
        <v>6.7955200000000007</v>
      </c>
      <c r="S30" s="314">
        <v>6.7940100000000001</v>
      </c>
      <c r="T30" s="314">
        <v>2.8450900000000003</v>
      </c>
      <c r="U30" s="314">
        <v>2.8450900000000003</v>
      </c>
      <c r="V30" s="314">
        <v>2.8450900000000003</v>
      </c>
      <c r="W30" s="314">
        <v>2.8450900000000003</v>
      </c>
      <c r="X30" s="314">
        <v>2.8450900000000003</v>
      </c>
      <c r="Y30" s="314">
        <v>2.8450900000000003</v>
      </c>
      <c r="Z30" s="314">
        <v>2.8450899999999999</v>
      </c>
      <c r="AA30" s="314">
        <v>2.8450899999999999</v>
      </c>
      <c r="AB30" s="314">
        <v>2.8450899999999999</v>
      </c>
      <c r="AC30" s="314">
        <v>2.8450899999999999</v>
      </c>
      <c r="AD30" s="314">
        <v>2.8450899999999999</v>
      </c>
      <c r="AE30" s="314">
        <v>2.8450899999999999</v>
      </c>
      <c r="AF30" s="314">
        <v>2.8450899999999999</v>
      </c>
      <c r="AT30" s="317">
        <v>6794.01</v>
      </c>
      <c r="AU30" s="353">
        <f t="shared" si="44"/>
        <v>6.7940100000000001</v>
      </c>
    </row>
    <row r="31" spans="1:47" s="275" customFormat="1">
      <c r="A31" s="285" t="s">
        <v>116</v>
      </c>
      <c r="B31" s="286" t="s">
        <v>43</v>
      </c>
      <c r="C31" s="314">
        <v>20.697040000000001</v>
      </c>
      <c r="D31" s="314">
        <v>13.78134</v>
      </c>
      <c r="E31" s="314">
        <v>7.7362799999999998</v>
      </c>
      <c r="F31" s="314">
        <v>4.9186300000000003</v>
      </c>
      <c r="G31" s="314">
        <v>13.089840000000001</v>
      </c>
      <c r="H31" s="314">
        <v>8.2105800000000002</v>
      </c>
      <c r="I31" s="314">
        <v>3.6063800000000001</v>
      </c>
      <c r="J31" s="314">
        <v>7.9523100000000007</v>
      </c>
      <c r="K31" s="314">
        <v>14.077450000000001</v>
      </c>
      <c r="L31" s="314">
        <v>20.986369999999997</v>
      </c>
      <c r="M31" s="314">
        <v>8.0376300000000001</v>
      </c>
      <c r="N31" s="314">
        <v>15.845660000000001</v>
      </c>
      <c r="O31" s="314">
        <v>4.99397</v>
      </c>
      <c r="P31" s="314">
        <v>18.02657</v>
      </c>
      <c r="Q31" s="314">
        <v>11.229280000000001</v>
      </c>
      <c r="R31" s="314">
        <v>12.113440000000001</v>
      </c>
      <c r="S31" s="314">
        <v>21.480130000000003</v>
      </c>
      <c r="T31" s="314"/>
      <c r="U31" s="314"/>
      <c r="V31" s="314"/>
      <c r="W31" s="314"/>
      <c r="X31" s="314"/>
      <c r="Y31" s="314"/>
      <c r="Z31" s="314"/>
      <c r="AA31" s="314"/>
      <c r="AB31" s="314"/>
      <c r="AC31" s="314"/>
      <c r="AD31" s="314"/>
      <c r="AE31" s="314"/>
      <c r="AF31" s="314"/>
      <c r="AG31" s="650" t="s">
        <v>267</v>
      </c>
      <c r="AT31" s="317">
        <v>21480.13</v>
      </c>
      <c r="AU31" s="353">
        <f t="shared" si="44"/>
        <v>21.480130000000003</v>
      </c>
    </row>
    <row r="32" spans="1:47" s="275" customFormat="1">
      <c r="A32" s="285" t="s">
        <v>117</v>
      </c>
      <c r="B32" s="286" t="s">
        <v>43</v>
      </c>
      <c r="C32" s="314">
        <v>21.019130000000001</v>
      </c>
      <c r="D32" s="314">
        <v>15.081700000000001</v>
      </c>
      <c r="E32" s="314">
        <v>12.372590000000001</v>
      </c>
      <c r="F32" s="314">
        <v>9.5060699999999994</v>
      </c>
      <c r="G32" s="314">
        <v>18.52337</v>
      </c>
      <c r="H32" s="314">
        <v>10.627790000000001</v>
      </c>
      <c r="I32" s="314">
        <v>2.1879599999999999</v>
      </c>
      <c r="J32" s="314">
        <v>6.5095000000000001</v>
      </c>
      <c r="K32" s="314">
        <v>13.483370000000001</v>
      </c>
      <c r="L32" s="314">
        <v>14.53547</v>
      </c>
      <c r="M32" s="314">
        <v>12.915569999999999</v>
      </c>
      <c r="N32" s="314">
        <v>14.74959</v>
      </c>
      <c r="O32" s="314">
        <v>4.77651</v>
      </c>
      <c r="P32" s="314">
        <v>20.466369999999998</v>
      </c>
      <c r="Q32" s="314">
        <v>11.72532</v>
      </c>
      <c r="R32" s="314">
        <v>13.922360000000001</v>
      </c>
      <c r="S32" s="314">
        <v>21.769310000000001</v>
      </c>
      <c r="T32" s="314">
        <f t="shared" ref="T32:Y32" si="46">S31+S32+T33-T23-T19</f>
        <v>35.19944000000001</v>
      </c>
      <c r="U32" s="314">
        <f t="shared" si="46"/>
        <v>32.599440000000008</v>
      </c>
      <c r="V32" s="314">
        <f t="shared" si="46"/>
        <v>16.499440000000021</v>
      </c>
      <c r="W32" s="314">
        <f t="shared" si="46"/>
        <v>22.39944000000002</v>
      </c>
      <c r="X32" s="314">
        <f t="shared" si="46"/>
        <v>11.299440000000033</v>
      </c>
      <c r="Y32" s="314">
        <f t="shared" si="46"/>
        <v>2.899440000000034</v>
      </c>
      <c r="Z32" s="314">
        <f t="shared" ref="Z32:AD32" si="47">Y31+Y32+Z33-Z23-Z19</f>
        <v>-0.50055999999996459</v>
      </c>
      <c r="AA32" s="314">
        <f t="shared" si="47"/>
        <v>7.2684400000000338</v>
      </c>
      <c r="AB32" s="314">
        <f t="shared" si="47"/>
        <v>7.8684400000000352</v>
      </c>
      <c r="AC32" s="314">
        <f t="shared" si="47"/>
        <v>-0.5315599999999634</v>
      </c>
      <c r="AD32" s="314">
        <f t="shared" si="47"/>
        <v>3.068440000000038</v>
      </c>
      <c r="AE32" s="314">
        <f>AD31+AD32+AE33-AE23-AE19</f>
        <v>6.6684400000000394</v>
      </c>
      <c r="AF32" s="314">
        <f>AE31+AE32+AF33-AF23-AF19</f>
        <v>15.268440000000041</v>
      </c>
      <c r="AG32" s="649" t="s">
        <v>268</v>
      </c>
      <c r="AT32" s="317">
        <v>21769.31</v>
      </c>
      <c r="AU32" s="353">
        <f t="shared" si="44"/>
        <v>21.769310000000001</v>
      </c>
    </row>
    <row r="33" spans="1:33" s="300" customFormat="1">
      <c r="A33" s="300" t="s">
        <v>87</v>
      </c>
      <c r="B33" s="301" t="s">
        <v>43</v>
      </c>
      <c r="C33" s="302">
        <v>44</v>
      </c>
      <c r="D33" s="303"/>
      <c r="E33" s="303"/>
      <c r="F33" s="303"/>
      <c r="G33" s="303">
        <v>23</v>
      </c>
      <c r="H33" s="303">
        <v>0</v>
      </c>
      <c r="I33" s="303"/>
      <c r="J33" s="303">
        <v>44</v>
      </c>
      <c r="K33" s="303">
        <v>44</v>
      </c>
      <c r="L33" s="303">
        <v>47</v>
      </c>
      <c r="M33" s="303"/>
      <c r="N33" s="303">
        <v>47.5</v>
      </c>
      <c r="O33" s="303">
        <f>4+4+0.5</f>
        <v>8.5</v>
      </c>
      <c r="P33" s="303">
        <v>45.58</v>
      </c>
      <c r="Q33" s="303">
        <v>22</v>
      </c>
      <c r="R33" s="303">
        <v>44</v>
      </c>
      <c r="S33" s="303">
        <f>44</f>
        <v>44</v>
      </c>
      <c r="T33" s="597">
        <f>46-'C3LPG'!AC93</f>
        <v>29</v>
      </c>
      <c r="U33" s="597">
        <f>44-'C3LPG'!AD93</f>
        <v>26</v>
      </c>
      <c r="V33" s="303">
        <f>44+44</f>
        <v>88</v>
      </c>
      <c r="W33" s="303">
        <v>44</v>
      </c>
      <c r="X33" s="303">
        <v>44</v>
      </c>
      <c r="Y33" s="303">
        <v>44</v>
      </c>
      <c r="Z33" s="303">
        <v>44</v>
      </c>
      <c r="AA33" s="597">
        <f>44-'C3LPG'!AJ93</f>
        <v>37.168999999999997</v>
      </c>
      <c r="AB33" s="303">
        <v>44</v>
      </c>
      <c r="AC33" s="303">
        <v>44</v>
      </c>
      <c r="AD33" s="303">
        <v>44</v>
      </c>
      <c r="AE33" s="303">
        <v>44</v>
      </c>
      <c r="AF33" s="303">
        <v>44</v>
      </c>
    </row>
    <row r="34" spans="1:33" s="300" customFormat="1">
      <c r="A34" s="292" t="s">
        <v>205</v>
      </c>
      <c r="B34" s="299" t="s">
        <v>43</v>
      </c>
      <c r="C34" s="304"/>
      <c r="D34" s="304">
        <f t="shared" ref="D34:T34" si="48">+SUM(D27:D32)+D14</f>
        <v>64.706463907470706</v>
      </c>
      <c r="E34" s="304">
        <f t="shared" si="48"/>
        <v>67.831637630224606</v>
      </c>
      <c r="F34" s="304">
        <f t="shared" si="48"/>
        <v>63.70610145751953</v>
      </c>
      <c r="G34" s="304">
        <f t="shared" si="48"/>
        <v>66.647852199999988</v>
      </c>
      <c r="H34" s="304">
        <f t="shared" si="48"/>
        <v>65.481283899999994</v>
      </c>
      <c r="I34" s="304">
        <f t="shared" si="48"/>
        <v>34.979469999999999</v>
      </c>
      <c r="J34" s="304">
        <f t="shared" si="48"/>
        <v>48.598420000000004</v>
      </c>
      <c r="K34" s="304">
        <f t="shared" si="48"/>
        <v>56.282089999999997</v>
      </c>
      <c r="L34" s="304">
        <f t="shared" si="48"/>
        <v>87.805459999999997</v>
      </c>
      <c r="M34" s="304">
        <f t="shared" si="48"/>
        <v>60.257900000000006</v>
      </c>
      <c r="N34" s="304">
        <f t="shared" si="48"/>
        <v>77.369380699999994</v>
      </c>
      <c r="O34" s="304">
        <f t="shared" si="48"/>
        <v>53.237692360000004</v>
      </c>
      <c r="P34" s="304">
        <f t="shared" si="48"/>
        <v>89.407150000000001</v>
      </c>
      <c r="Q34" s="304">
        <f t="shared" si="48"/>
        <v>75.576880000000003</v>
      </c>
      <c r="R34" s="304">
        <f t="shared" si="48"/>
        <v>78.759662528000007</v>
      </c>
      <c r="S34" s="304">
        <f t="shared" si="48"/>
        <v>101.88334820000001</v>
      </c>
      <c r="T34" s="304">
        <f t="shared" si="48"/>
        <v>89.457428200000066</v>
      </c>
      <c r="U34" s="304">
        <f t="shared" ref="U34:AB34" si="49">+SUM(U27:U32)+U14</f>
        <v>73.349966310734715</v>
      </c>
      <c r="V34" s="304">
        <f t="shared" si="49"/>
        <v>65.189404940734704</v>
      </c>
      <c r="W34" s="304">
        <f t="shared" si="49"/>
        <v>68.669749150734702</v>
      </c>
      <c r="X34" s="304">
        <f t="shared" si="49"/>
        <v>57.254623120734699</v>
      </c>
      <c r="Y34" s="304">
        <f t="shared" si="49"/>
        <v>48.054257991988649</v>
      </c>
      <c r="Z34" s="304">
        <f t="shared" si="49"/>
        <v>44.152434310515204</v>
      </c>
      <c r="AA34" s="304">
        <f t="shared" si="49"/>
        <v>53.508856115687578</v>
      </c>
      <c r="AB34" s="304">
        <f t="shared" si="49"/>
        <v>54.349832458531225</v>
      </c>
      <c r="AC34" s="304">
        <f t="shared" ref="AC34:AD34" si="50">+SUM(AC27:AC32)+AC14</f>
        <v>45.459217269164284</v>
      </c>
      <c r="AD34" s="304">
        <f t="shared" si="50"/>
        <v>49.305758242007926</v>
      </c>
      <c r="AE34" s="304">
        <f t="shared" ref="AE34" si="51">+SUM(AE27:AE32)+AE14</f>
        <v>53.152302654114763</v>
      </c>
      <c r="AF34" s="304">
        <f>+SUM(AF27:AF32)+AF14</f>
        <v>61.619393326957997</v>
      </c>
      <c r="AG34" s="651" t="s">
        <v>269</v>
      </c>
    </row>
    <row r="35" spans="1:33" s="275" customFormat="1">
      <c r="C35" s="317"/>
      <c r="D35" s="287"/>
      <c r="AG35" s="645" t="s">
        <v>227</v>
      </c>
    </row>
    <row r="36" spans="1:33" s="275" customFormat="1">
      <c r="A36" s="293"/>
      <c r="B36" s="477" t="s">
        <v>166</v>
      </c>
      <c r="C36" s="291"/>
      <c r="D36" s="287"/>
      <c r="P36" s="476">
        <v>22</v>
      </c>
      <c r="Q36" s="476">
        <v>33</v>
      </c>
      <c r="R36" s="476">
        <v>33</v>
      </c>
      <c r="S36" s="476">
        <v>13</v>
      </c>
      <c r="T36" s="476">
        <v>33</v>
      </c>
      <c r="U36" s="476">
        <v>23</v>
      </c>
      <c r="V36" s="476">
        <v>55</v>
      </c>
      <c r="W36" s="476">
        <v>11</v>
      </c>
      <c r="X36" s="476">
        <v>33</v>
      </c>
      <c r="Y36" s="476">
        <v>33</v>
      </c>
      <c r="Z36" s="476" t="s">
        <v>58</v>
      </c>
      <c r="AA36" s="476">
        <v>11</v>
      </c>
      <c r="AB36" s="476">
        <v>11</v>
      </c>
      <c r="AC36" s="476">
        <v>11</v>
      </c>
      <c r="AD36" s="476">
        <v>11</v>
      </c>
      <c r="AE36" s="476">
        <v>11</v>
      </c>
      <c r="AF36" s="476">
        <v>11</v>
      </c>
    </row>
    <row r="37" spans="1:33">
      <c r="B37" s="551" t="s">
        <v>167</v>
      </c>
      <c r="C37" s="318"/>
      <c r="D37" s="287"/>
      <c r="P37" s="303">
        <f t="shared" ref="P37:AA37" si="52">P33-P24</f>
        <v>40.58</v>
      </c>
      <c r="Q37" s="303">
        <f t="shared" si="52"/>
        <v>17</v>
      </c>
      <c r="R37" s="303">
        <f t="shared" si="52"/>
        <v>40.65</v>
      </c>
      <c r="S37" s="303">
        <f t="shared" si="52"/>
        <v>41</v>
      </c>
      <c r="T37" s="303">
        <f t="shared" si="52"/>
        <v>28.45</v>
      </c>
      <c r="U37" s="303">
        <f t="shared" si="52"/>
        <v>24</v>
      </c>
      <c r="V37" s="303">
        <f t="shared" si="52"/>
        <v>86.5</v>
      </c>
      <c r="W37" s="303">
        <f t="shared" si="52"/>
        <v>42.5</v>
      </c>
      <c r="X37" s="303">
        <f t="shared" si="52"/>
        <v>42.5</v>
      </c>
      <c r="Y37" s="303">
        <f t="shared" si="52"/>
        <v>42.5</v>
      </c>
      <c r="Z37" s="303">
        <f t="shared" si="52"/>
        <v>42.5</v>
      </c>
      <c r="AA37" s="303">
        <f t="shared" si="52"/>
        <v>35.668999999999997</v>
      </c>
      <c r="AB37" s="303">
        <f>AB33-AB24</f>
        <v>42.5</v>
      </c>
      <c r="AC37" s="303">
        <f>AC33-AC24</f>
        <v>42.5</v>
      </c>
      <c r="AD37" s="303">
        <f>AD33-AD24</f>
        <v>42.5</v>
      </c>
      <c r="AE37" s="303">
        <f>AE33-AE24</f>
        <v>42.5</v>
      </c>
      <c r="AF37" s="303">
        <f>AF33-AF24</f>
        <v>42.5</v>
      </c>
      <c r="AG37" s="649" t="s">
        <v>270</v>
      </c>
    </row>
    <row r="38" spans="1:33">
      <c r="R38" s="517"/>
      <c r="AG38" s="645" t="s">
        <v>227</v>
      </c>
    </row>
    <row r="39" spans="1:33">
      <c r="C39" s="295"/>
      <c r="D39" s="316">
        <f t="shared" ref="D39:Q39" si="53">D1</f>
        <v>43832</v>
      </c>
      <c r="E39" s="316">
        <f t="shared" si="53"/>
        <v>43863</v>
      </c>
      <c r="F39" s="316">
        <f t="shared" si="53"/>
        <v>43892</v>
      </c>
      <c r="G39" s="316">
        <f t="shared" si="53"/>
        <v>43923</v>
      </c>
      <c r="H39" s="316">
        <f t="shared" si="53"/>
        <v>43953</v>
      </c>
      <c r="I39" s="316">
        <f t="shared" si="53"/>
        <v>43984</v>
      </c>
      <c r="J39" s="316">
        <f t="shared" si="53"/>
        <v>44014</v>
      </c>
      <c r="K39" s="316">
        <f t="shared" si="53"/>
        <v>44045</v>
      </c>
      <c r="L39" s="316">
        <f t="shared" si="53"/>
        <v>44076</v>
      </c>
      <c r="M39" s="316">
        <f t="shared" si="53"/>
        <v>44106</v>
      </c>
      <c r="N39" s="316">
        <f t="shared" si="53"/>
        <v>44137</v>
      </c>
      <c r="O39" s="316">
        <f t="shared" si="53"/>
        <v>44167</v>
      </c>
      <c r="P39" s="316">
        <f t="shared" si="53"/>
        <v>44198</v>
      </c>
      <c r="Q39" s="316">
        <f t="shared" si="53"/>
        <v>44229</v>
      </c>
      <c r="R39" s="316">
        <f t="shared" ref="R39:AB39" si="54">R1</f>
        <v>44257</v>
      </c>
      <c r="S39" s="316">
        <f t="shared" si="54"/>
        <v>44288</v>
      </c>
      <c r="T39" s="316">
        <f t="shared" si="54"/>
        <v>44318</v>
      </c>
      <c r="U39" s="316">
        <f t="shared" si="54"/>
        <v>44349</v>
      </c>
      <c r="V39" s="316">
        <f t="shared" si="54"/>
        <v>44379</v>
      </c>
      <c r="W39" s="316">
        <f t="shared" si="54"/>
        <v>44410</v>
      </c>
      <c r="X39" s="316">
        <f t="shared" si="54"/>
        <v>44441</v>
      </c>
      <c r="Y39" s="316">
        <f t="shared" si="54"/>
        <v>44471</v>
      </c>
      <c r="Z39" s="316">
        <f t="shared" si="54"/>
        <v>44502</v>
      </c>
      <c r="AA39" s="316">
        <f t="shared" si="54"/>
        <v>44532</v>
      </c>
      <c r="AB39" s="316">
        <f t="shared" si="54"/>
        <v>44563</v>
      </c>
      <c r="AC39" s="316">
        <f t="shared" ref="AC39:AD39" si="55">AC1</f>
        <v>44594</v>
      </c>
      <c r="AD39" s="316">
        <f t="shared" si="55"/>
        <v>44622</v>
      </c>
      <c r="AE39" s="316">
        <f t="shared" ref="AE39:AF39" si="56">AE1</f>
        <v>44653</v>
      </c>
      <c r="AF39" s="316">
        <f t="shared" si="56"/>
        <v>44683</v>
      </c>
    </row>
    <row r="40" spans="1:33">
      <c r="A40" s="294" t="s">
        <v>109</v>
      </c>
      <c r="C40" s="295"/>
      <c r="D40" s="296">
        <f t="shared" ref="D40:Q40" si="57">D34</f>
        <v>64.706463907470706</v>
      </c>
      <c r="E40" s="296">
        <f t="shared" si="57"/>
        <v>67.831637630224606</v>
      </c>
      <c r="F40" s="296">
        <f t="shared" si="57"/>
        <v>63.70610145751953</v>
      </c>
      <c r="G40" s="296">
        <f t="shared" si="57"/>
        <v>66.647852199999988</v>
      </c>
      <c r="H40" s="296">
        <f t="shared" si="57"/>
        <v>65.481283899999994</v>
      </c>
      <c r="I40" s="296">
        <f t="shared" si="57"/>
        <v>34.979469999999999</v>
      </c>
      <c r="J40" s="296">
        <f t="shared" si="57"/>
        <v>48.598420000000004</v>
      </c>
      <c r="K40" s="296">
        <f t="shared" si="57"/>
        <v>56.282089999999997</v>
      </c>
      <c r="L40" s="296">
        <f t="shared" si="57"/>
        <v>87.805459999999997</v>
      </c>
      <c r="M40" s="296">
        <f t="shared" si="57"/>
        <v>60.257900000000006</v>
      </c>
      <c r="N40" s="296">
        <f t="shared" si="57"/>
        <v>77.369380699999994</v>
      </c>
      <c r="O40" s="296">
        <f t="shared" si="57"/>
        <v>53.237692360000004</v>
      </c>
      <c r="P40" s="296">
        <f t="shared" si="57"/>
        <v>89.407150000000001</v>
      </c>
      <c r="Q40" s="296">
        <f t="shared" si="57"/>
        <v>75.576880000000003</v>
      </c>
      <c r="R40" s="296">
        <f t="shared" ref="R40:AB40" si="58">R34</f>
        <v>78.759662528000007</v>
      </c>
      <c r="S40" s="296">
        <f t="shared" si="58"/>
        <v>101.88334820000001</v>
      </c>
      <c r="T40" s="296">
        <f t="shared" si="58"/>
        <v>89.457428200000066</v>
      </c>
      <c r="U40" s="296">
        <f t="shared" si="58"/>
        <v>73.349966310734715</v>
      </c>
      <c r="V40" s="296">
        <f t="shared" si="58"/>
        <v>65.189404940734704</v>
      </c>
      <c r="W40" s="296">
        <f t="shared" si="58"/>
        <v>68.669749150734702</v>
      </c>
      <c r="X40" s="296">
        <f t="shared" si="58"/>
        <v>57.254623120734699</v>
      </c>
      <c r="Y40" s="296">
        <f t="shared" si="58"/>
        <v>48.054257991988649</v>
      </c>
      <c r="Z40" s="296">
        <f t="shared" si="58"/>
        <v>44.152434310515204</v>
      </c>
      <c r="AA40" s="296">
        <f t="shared" si="58"/>
        <v>53.508856115687578</v>
      </c>
      <c r="AB40" s="296">
        <f t="shared" si="58"/>
        <v>54.349832458531225</v>
      </c>
      <c r="AC40" s="296">
        <f t="shared" ref="AC40:AD40" si="59">AC34</f>
        <v>45.459217269164284</v>
      </c>
      <c r="AD40" s="296">
        <f t="shared" si="59"/>
        <v>49.305758242007926</v>
      </c>
      <c r="AE40" s="296">
        <f t="shared" ref="AE40" si="60">AE34</f>
        <v>53.152302654114763</v>
      </c>
      <c r="AF40" s="296">
        <f>AF34</f>
        <v>61.619393326957997</v>
      </c>
      <c r="AG40" s="649" t="s">
        <v>271</v>
      </c>
    </row>
    <row r="41" spans="1:33">
      <c r="A41" s="294" t="s">
        <v>110</v>
      </c>
      <c r="D41" s="296">
        <f>D40-D42</f>
        <v>64.706463907470706</v>
      </c>
      <c r="E41" s="296">
        <f t="shared" ref="E41:Q41" si="61">E40-E42</f>
        <v>67.831637630224606</v>
      </c>
      <c r="F41" s="296">
        <f t="shared" si="61"/>
        <v>63.70610145751953</v>
      </c>
      <c r="G41" s="296">
        <f t="shared" si="61"/>
        <v>43.647852199999988</v>
      </c>
      <c r="H41" s="296">
        <f t="shared" si="61"/>
        <v>65.481283899999994</v>
      </c>
      <c r="I41" s="296">
        <f t="shared" si="61"/>
        <v>34.979469999999999</v>
      </c>
      <c r="J41" s="296">
        <f t="shared" si="61"/>
        <v>4.5984200000000044</v>
      </c>
      <c r="K41" s="296">
        <f t="shared" si="61"/>
        <v>12.282089999999997</v>
      </c>
      <c r="L41" s="296">
        <f t="shared" si="61"/>
        <v>40.805459999999997</v>
      </c>
      <c r="M41" s="296">
        <f t="shared" si="61"/>
        <v>60.257900000000006</v>
      </c>
      <c r="N41" s="296">
        <f t="shared" si="61"/>
        <v>29.869380699999994</v>
      </c>
      <c r="O41" s="296">
        <f t="shared" si="61"/>
        <v>44.737692360000004</v>
      </c>
      <c r="P41" s="296">
        <f t="shared" si="61"/>
        <v>43.827150000000003</v>
      </c>
      <c r="Q41" s="296">
        <f t="shared" si="61"/>
        <v>53.576880000000003</v>
      </c>
      <c r="R41" s="296">
        <f t="shared" ref="R41:AB41" si="62">R40-R42</f>
        <v>34.759662528000007</v>
      </c>
      <c r="S41" s="296">
        <f t="shared" si="62"/>
        <v>57.883348200000015</v>
      </c>
      <c r="T41" s="296">
        <f t="shared" si="62"/>
        <v>60.457428200000066</v>
      </c>
      <c r="U41" s="296">
        <f t="shared" si="62"/>
        <v>47.349966310734715</v>
      </c>
      <c r="V41" s="296">
        <f t="shared" si="62"/>
        <v>-22.810595059265296</v>
      </c>
      <c r="W41" s="296">
        <f t="shared" si="62"/>
        <v>24.669749150734702</v>
      </c>
      <c r="X41" s="296">
        <f t="shared" si="62"/>
        <v>13.254623120734699</v>
      </c>
      <c r="Y41" s="296">
        <f t="shared" si="62"/>
        <v>4.0542579919886492</v>
      </c>
      <c r="Z41" s="296">
        <f t="shared" si="62"/>
        <v>0.15243431051520417</v>
      </c>
      <c r="AA41" s="296">
        <f t="shared" si="62"/>
        <v>16.339856115687581</v>
      </c>
      <c r="AB41" s="296">
        <f t="shared" si="62"/>
        <v>10.349832458531225</v>
      </c>
      <c r="AC41" s="296">
        <f t="shared" ref="AC41:AD41" si="63">AC40-AC42</f>
        <v>1.4592172691642844</v>
      </c>
      <c r="AD41" s="296">
        <f t="shared" si="63"/>
        <v>5.3057582420079257</v>
      </c>
      <c r="AE41" s="296">
        <f t="shared" ref="AE41" si="64">AE40-AE42</f>
        <v>9.152302654114763</v>
      </c>
      <c r="AF41" s="296">
        <f>AF40-AF42</f>
        <v>17.619393326957997</v>
      </c>
      <c r="AG41" s="649" t="s">
        <v>272</v>
      </c>
    </row>
    <row r="42" spans="1:33">
      <c r="A42" s="294" t="s">
        <v>87</v>
      </c>
      <c r="D42" s="296">
        <f>D33</f>
        <v>0</v>
      </c>
      <c r="E42" s="296">
        <f t="shared" ref="E42:Q42" si="65">E33</f>
        <v>0</v>
      </c>
      <c r="F42" s="296">
        <f t="shared" si="65"/>
        <v>0</v>
      </c>
      <c r="G42" s="296">
        <f t="shared" si="65"/>
        <v>23</v>
      </c>
      <c r="H42" s="296">
        <f t="shared" si="65"/>
        <v>0</v>
      </c>
      <c r="I42" s="296">
        <f t="shared" si="65"/>
        <v>0</v>
      </c>
      <c r="J42" s="296">
        <f t="shared" si="65"/>
        <v>44</v>
      </c>
      <c r="K42" s="296">
        <f t="shared" si="65"/>
        <v>44</v>
      </c>
      <c r="L42" s="296">
        <f t="shared" si="65"/>
        <v>47</v>
      </c>
      <c r="M42" s="296">
        <f t="shared" si="65"/>
        <v>0</v>
      </c>
      <c r="N42" s="296">
        <f t="shared" si="65"/>
        <v>47.5</v>
      </c>
      <c r="O42" s="296">
        <f t="shared" si="65"/>
        <v>8.5</v>
      </c>
      <c r="P42" s="296">
        <f t="shared" si="65"/>
        <v>45.58</v>
      </c>
      <c r="Q42" s="296">
        <f t="shared" si="65"/>
        <v>22</v>
      </c>
      <c r="R42" s="296">
        <f t="shared" ref="R42:AB42" si="66">R33</f>
        <v>44</v>
      </c>
      <c r="S42" s="296">
        <f t="shared" si="66"/>
        <v>44</v>
      </c>
      <c r="T42" s="296">
        <f t="shared" si="66"/>
        <v>29</v>
      </c>
      <c r="U42" s="296">
        <f t="shared" si="66"/>
        <v>26</v>
      </c>
      <c r="V42" s="296">
        <f t="shared" si="66"/>
        <v>88</v>
      </c>
      <c r="W42" s="296">
        <f t="shared" si="66"/>
        <v>44</v>
      </c>
      <c r="X42" s="296">
        <f t="shared" si="66"/>
        <v>44</v>
      </c>
      <c r="Y42" s="296">
        <f t="shared" si="66"/>
        <v>44</v>
      </c>
      <c r="Z42" s="296">
        <f t="shared" si="66"/>
        <v>44</v>
      </c>
      <c r="AA42" s="296">
        <f t="shared" si="66"/>
        <v>37.168999999999997</v>
      </c>
      <c r="AB42" s="296">
        <f t="shared" si="66"/>
        <v>44</v>
      </c>
      <c r="AC42" s="296">
        <f t="shared" ref="AC42:AD42" si="67">AC33</f>
        <v>44</v>
      </c>
      <c r="AD42" s="296">
        <f t="shared" si="67"/>
        <v>44</v>
      </c>
      <c r="AE42" s="296">
        <f t="shared" ref="AE42" si="68">AE33</f>
        <v>44</v>
      </c>
      <c r="AF42" s="296">
        <f>AF33</f>
        <v>44</v>
      </c>
      <c r="AG42" s="649" t="s">
        <v>273</v>
      </c>
    </row>
    <row r="43" spans="1:33">
      <c r="A43" s="652" t="s">
        <v>111</v>
      </c>
      <c r="D43" s="294">
        <v>25.57</v>
      </c>
      <c r="E43" s="294">
        <v>25.57</v>
      </c>
      <c r="F43" s="294">
        <v>25.57</v>
      </c>
      <c r="G43" s="294">
        <v>25.57</v>
      </c>
      <c r="H43" s="294">
        <v>25.57</v>
      </c>
      <c r="I43" s="294">
        <v>25.57</v>
      </c>
      <c r="J43" s="294">
        <v>25.57</v>
      </c>
      <c r="K43" s="294">
        <v>25.57</v>
      </c>
      <c r="L43" s="294">
        <v>25.57</v>
      </c>
      <c r="M43" s="294">
        <v>25.57</v>
      </c>
      <c r="N43" s="294">
        <v>25.57</v>
      </c>
      <c r="O43" s="294">
        <v>25.57</v>
      </c>
      <c r="P43" s="294">
        <f>5+14</f>
        <v>19</v>
      </c>
      <c r="Q43" s="294">
        <f t="shared" ref="Q43:AE43" si="69">5+14</f>
        <v>19</v>
      </c>
      <c r="R43" s="294">
        <f t="shared" si="69"/>
        <v>19</v>
      </c>
      <c r="S43" s="294">
        <f t="shared" si="69"/>
        <v>19</v>
      </c>
      <c r="T43" s="294">
        <f t="shared" si="69"/>
        <v>19</v>
      </c>
      <c r="U43" s="294">
        <f t="shared" si="69"/>
        <v>19</v>
      </c>
      <c r="V43" s="294">
        <f t="shared" si="69"/>
        <v>19</v>
      </c>
      <c r="W43" s="294">
        <f t="shared" si="69"/>
        <v>19</v>
      </c>
      <c r="X43" s="294">
        <f t="shared" si="69"/>
        <v>19</v>
      </c>
      <c r="Y43" s="294">
        <f t="shared" si="69"/>
        <v>19</v>
      </c>
      <c r="Z43" s="294">
        <f t="shared" si="69"/>
        <v>19</v>
      </c>
      <c r="AA43" s="294">
        <f t="shared" si="69"/>
        <v>19</v>
      </c>
      <c r="AB43" s="294">
        <f t="shared" si="69"/>
        <v>19</v>
      </c>
      <c r="AC43" s="294">
        <f t="shared" si="69"/>
        <v>19</v>
      </c>
      <c r="AD43" s="294">
        <f t="shared" si="69"/>
        <v>19</v>
      </c>
      <c r="AE43" s="294">
        <f t="shared" si="69"/>
        <v>19</v>
      </c>
      <c r="AF43" s="294">
        <f>5+14</f>
        <v>19</v>
      </c>
      <c r="AG43" s="650" t="s">
        <v>274</v>
      </c>
    </row>
    <row r="44" spans="1:33">
      <c r="A44" s="294" t="s">
        <v>112</v>
      </c>
      <c r="D44" s="294">
        <v>41.7</v>
      </c>
      <c r="E44" s="294">
        <v>41.7</v>
      </c>
      <c r="F44" s="294">
        <v>41.7</v>
      </c>
      <c r="G44" s="294">
        <v>41.7</v>
      </c>
      <c r="H44" s="294">
        <v>41.7</v>
      </c>
      <c r="I44" s="294">
        <v>41.7</v>
      </c>
      <c r="J44" s="294">
        <v>41.7</v>
      </c>
      <c r="K44" s="294">
        <v>41.7</v>
      </c>
      <c r="L44" s="294">
        <v>41.7</v>
      </c>
      <c r="M44" s="294">
        <v>41.7</v>
      </c>
      <c r="N44" s="294">
        <v>41.7</v>
      </c>
      <c r="O44" s="294">
        <v>41.7</v>
      </c>
      <c r="P44" s="294">
        <f>19+17</f>
        <v>36</v>
      </c>
      <c r="Q44" s="294">
        <f t="shared" ref="Q44:AE44" si="70">19+17</f>
        <v>36</v>
      </c>
      <c r="R44" s="294">
        <f t="shared" si="70"/>
        <v>36</v>
      </c>
      <c r="S44" s="294">
        <f t="shared" si="70"/>
        <v>36</v>
      </c>
      <c r="T44" s="294">
        <f t="shared" si="70"/>
        <v>36</v>
      </c>
      <c r="U44" s="294">
        <f t="shared" si="70"/>
        <v>36</v>
      </c>
      <c r="V44" s="294">
        <f t="shared" si="70"/>
        <v>36</v>
      </c>
      <c r="W44" s="294">
        <f t="shared" si="70"/>
        <v>36</v>
      </c>
      <c r="X44" s="294">
        <f t="shared" si="70"/>
        <v>36</v>
      </c>
      <c r="Y44" s="294">
        <f t="shared" si="70"/>
        <v>36</v>
      </c>
      <c r="Z44" s="294">
        <f t="shared" si="70"/>
        <v>36</v>
      </c>
      <c r="AA44" s="294">
        <f t="shared" si="70"/>
        <v>36</v>
      </c>
      <c r="AB44" s="294">
        <f t="shared" si="70"/>
        <v>36</v>
      </c>
      <c r="AC44" s="294">
        <f t="shared" si="70"/>
        <v>36</v>
      </c>
      <c r="AD44" s="294">
        <f t="shared" si="70"/>
        <v>36</v>
      </c>
      <c r="AE44" s="294">
        <f t="shared" si="70"/>
        <v>36</v>
      </c>
      <c r="AF44" s="294">
        <f>19+17</f>
        <v>36</v>
      </c>
      <c r="AG44" s="650" t="s">
        <v>275</v>
      </c>
    </row>
  </sheetData>
  <phoneticPr fontId="192"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BJ203"/>
  <sheetViews>
    <sheetView zoomScale="110" zoomScaleNormal="110" workbookViewId="0">
      <pane xSplit="4" ySplit="11" topLeftCell="AF12" activePane="bottomRight" state="frozen"/>
      <selection activeCell="U42" sqref="U42"/>
      <selection pane="topRight" activeCell="U42" sqref="U42"/>
      <selection pane="bottomLeft" activeCell="U42" sqref="U42"/>
      <selection pane="bottomRight" activeCell="AP1" sqref="AP1"/>
    </sheetView>
  </sheetViews>
  <sheetFormatPr baseColWidth="10" defaultColWidth="8.83203125" defaultRowHeight="15"/>
  <cols>
    <col min="1" max="1" width="22.1640625" style="1" customWidth="1"/>
    <col min="2" max="2" width="18.1640625" style="2" bestFit="1" customWidth="1"/>
    <col min="3" max="3" width="23.33203125" bestFit="1" customWidth="1"/>
    <col min="4" max="4" width="14.6640625" customWidth="1"/>
    <col min="5" max="17" width="10.1640625" hidden="1" customWidth="1"/>
    <col min="18" max="18" width="9.83203125" hidden="1" customWidth="1"/>
    <col min="19" max="24" width="10.1640625" hidden="1" customWidth="1"/>
    <col min="25" max="27" width="10" hidden="1" customWidth="1"/>
    <col min="28" max="28" width="10.1640625" hidden="1" customWidth="1"/>
    <col min="29" max="29" width="10.1640625" customWidth="1"/>
    <col min="30" max="41" width="10.1640625" bestFit="1" customWidth="1"/>
    <col min="43" max="43" width="9.5" bestFit="1" customWidth="1"/>
  </cols>
  <sheetData>
    <row r="1" spans="1:62" s="31" customFormat="1">
      <c r="A1" s="6"/>
      <c r="B1" s="30"/>
      <c r="D1" s="549" t="s">
        <v>139</v>
      </c>
      <c r="R1" s="31">
        <v>30</v>
      </c>
      <c r="S1" s="31">
        <v>31</v>
      </c>
      <c r="T1" s="31">
        <v>31</v>
      </c>
      <c r="U1" s="31">
        <v>30</v>
      </c>
      <c r="V1" s="31">
        <v>31</v>
      </c>
      <c r="W1" s="31">
        <v>30</v>
      </c>
      <c r="X1" s="31">
        <v>31</v>
      </c>
      <c r="Y1" s="31">
        <v>31</v>
      </c>
      <c r="Z1" s="548">
        <v>28</v>
      </c>
      <c r="AA1" s="548">
        <v>31</v>
      </c>
      <c r="AB1" s="548">
        <v>30</v>
      </c>
      <c r="AC1" s="548">
        <v>31</v>
      </c>
      <c r="AD1" s="548">
        <v>30</v>
      </c>
      <c r="AE1" s="548">
        <v>31</v>
      </c>
      <c r="AF1" s="548">
        <v>31</v>
      </c>
      <c r="AG1" s="548">
        <v>30</v>
      </c>
      <c r="AH1" s="548">
        <v>31</v>
      </c>
      <c r="AI1" s="548">
        <v>30</v>
      </c>
      <c r="AJ1" s="548">
        <v>31</v>
      </c>
      <c r="AK1" s="548">
        <v>31</v>
      </c>
      <c r="AL1" s="548">
        <v>28</v>
      </c>
      <c r="AM1" s="548">
        <v>31</v>
      </c>
      <c r="AN1" s="548">
        <v>30</v>
      </c>
      <c r="AO1" s="548">
        <v>31</v>
      </c>
      <c r="AP1" s="641" t="s">
        <v>223</v>
      </c>
    </row>
    <row r="2" spans="1:62" ht="25" thickBot="1">
      <c r="A2" s="39" t="s">
        <v>128</v>
      </c>
      <c r="B2" s="30"/>
      <c r="C2" s="31"/>
      <c r="D2" s="50"/>
      <c r="E2" s="31"/>
      <c r="F2" s="31"/>
      <c r="G2" s="217">
        <v>43678</v>
      </c>
      <c r="H2" s="217">
        <v>43698</v>
      </c>
      <c r="I2" s="31"/>
      <c r="J2" s="31"/>
      <c r="K2" s="31"/>
      <c r="L2" s="271">
        <f>L6/1000</f>
        <v>31.888097230590823</v>
      </c>
      <c r="M2" s="271">
        <f>M6/1000</f>
        <v>16.827883907470703</v>
      </c>
      <c r="N2" s="271">
        <f t="shared" ref="N2:Y2" si="0">N6/1000</f>
        <v>36.020527630224606</v>
      </c>
      <c r="O2" s="271">
        <f t="shared" si="0"/>
        <v>33.684161457519529</v>
      </c>
      <c r="P2" s="271">
        <f t="shared" si="0"/>
        <v>18.635842199999999</v>
      </c>
      <c r="Q2" s="271">
        <f t="shared" si="0"/>
        <v>29.542833899999998</v>
      </c>
      <c r="R2" s="271">
        <f t="shared" si="0"/>
        <v>14.458839999999999</v>
      </c>
      <c r="S2" s="271">
        <f t="shared" si="0"/>
        <v>18.007720000000003</v>
      </c>
      <c r="T2" s="271">
        <f t="shared" si="0"/>
        <v>15.124660000000002</v>
      </c>
      <c r="U2" s="271">
        <f t="shared" si="0"/>
        <v>26.696860000000001</v>
      </c>
      <c r="V2" s="271">
        <f t="shared" si="0"/>
        <v>14.437240000000001</v>
      </c>
      <c r="W2" s="271">
        <f t="shared" si="0"/>
        <v>22.420850699999999</v>
      </c>
      <c r="X2" s="271">
        <f t="shared" si="0"/>
        <v>18.055042360000002</v>
      </c>
      <c r="Y2" s="271">
        <f t="shared" si="0"/>
        <v>24.4024</v>
      </c>
      <c r="Z2" s="271">
        <f t="shared" ref="Z2:AE2" si="1">Z6/1000</f>
        <v>28.877920000000003</v>
      </c>
      <c r="AA2" s="271">
        <f t="shared" si="1"/>
        <v>23.042922528000002</v>
      </c>
      <c r="AB2" s="271">
        <f t="shared" si="1"/>
        <v>33.906688200000005</v>
      </c>
      <c r="AC2" s="271">
        <f t="shared" si="1"/>
        <v>33.479688200000055</v>
      </c>
      <c r="AD2" s="271">
        <f t="shared" si="1"/>
        <v>19.972226310734705</v>
      </c>
      <c r="AE2" s="271">
        <f t="shared" si="1"/>
        <v>27.911664940734674</v>
      </c>
      <c r="AF2" s="271">
        <f t="shared" ref="AF2:AK2" si="2">AF6/1000</f>
        <v>25.492009150734681</v>
      </c>
      <c r="AG2" s="271">
        <f t="shared" si="2"/>
        <v>25.176883120734665</v>
      </c>
      <c r="AH2" s="271">
        <f t="shared" si="2"/>
        <v>24.376517991988614</v>
      </c>
      <c r="AI2" s="271">
        <f t="shared" si="2"/>
        <v>23.874694310515174</v>
      </c>
      <c r="AJ2" s="271">
        <f t="shared" si="2"/>
        <v>25.462116115687543</v>
      </c>
      <c r="AK2" s="271">
        <f t="shared" si="2"/>
        <v>25.703092458531195</v>
      </c>
      <c r="AL2" s="271">
        <f t="shared" ref="AL2:AM2" si="3">AL6/1000</f>
        <v>25.212477269164246</v>
      </c>
      <c r="AM2" s="271">
        <f t="shared" si="3"/>
        <v>25.459018242007893</v>
      </c>
      <c r="AN2" s="271">
        <f t="shared" ref="AN2" si="4">AN6/1000</f>
        <v>25.705562654114722</v>
      </c>
      <c r="AO2" s="271">
        <f>AO6/1000</f>
        <v>25.572653326957955</v>
      </c>
      <c r="AP2" s="653" t="s">
        <v>277</v>
      </c>
      <c r="AQ2" s="31"/>
      <c r="AR2" s="31"/>
      <c r="AS2" s="31"/>
      <c r="AT2" s="548" t="s">
        <v>278</v>
      </c>
    </row>
    <row r="3" spans="1:62" s="75" customFormat="1" ht="16" thickBot="1">
      <c r="A3" s="688" t="s">
        <v>32</v>
      </c>
      <c r="B3" s="689"/>
      <c r="C3" s="368"/>
      <c r="D3" s="371"/>
      <c r="E3" s="78">
        <v>43587</v>
      </c>
      <c r="F3" s="78">
        <v>43618</v>
      </c>
      <c r="G3" s="78">
        <v>43648</v>
      </c>
      <c r="H3" s="78">
        <v>43679</v>
      </c>
      <c r="I3" s="229">
        <v>43710</v>
      </c>
      <c r="J3" s="229">
        <v>43740</v>
      </c>
      <c r="K3" s="78">
        <v>43771</v>
      </c>
      <c r="L3" s="257">
        <v>43801</v>
      </c>
      <c r="M3" s="229">
        <v>43832</v>
      </c>
      <c r="N3" s="229">
        <v>43863</v>
      </c>
      <c r="O3" s="78">
        <v>43892</v>
      </c>
      <c r="P3" s="78">
        <v>43923</v>
      </c>
      <c r="Q3" s="78">
        <v>43953</v>
      </c>
      <c r="R3" s="229">
        <v>43984</v>
      </c>
      <c r="S3" s="229">
        <v>44014</v>
      </c>
      <c r="T3" s="229">
        <v>44045</v>
      </c>
      <c r="U3" s="229">
        <v>44076</v>
      </c>
      <c r="V3" s="229">
        <v>44106</v>
      </c>
      <c r="W3" s="229">
        <v>44137</v>
      </c>
      <c r="X3" s="229">
        <v>44167</v>
      </c>
      <c r="Y3" s="229">
        <v>44198</v>
      </c>
      <c r="Z3" s="229">
        <v>44229</v>
      </c>
      <c r="AA3" s="229">
        <v>44257</v>
      </c>
      <c r="AB3" s="229">
        <v>44288</v>
      </c>
      <c r="AC3" s="229">
        <v>44318</v>
      </c>
      <c r="AD3" s="229">
        <v>44349</v>
      </c>
      <c r="AE3" s="229">
        <v>44379</v>
      </c>
      <c r="AF3" s="229">
        <v>44410</v>
      </c>
      <c r="AG3" s="229">
        <v>44441</v>
      </c>
      <c r="AH3" s="229">
        <v>44471</v>
      </c>
      <c r="AI3" s="229">
        <v>44502</v>
      </c>
      <c r="AJ3" s="229">
        <v>44532</v>
      </c>
      <c r="AK3" s="229">
        <v>44563</v>
      </c>
      <c r="AL3" s="229">
        <v>44594</v>
      </c>
      <c r="AM3" s="229">
        <v>44622</v>
      </c>
      <c r="AN3" s="229">
        <v>44653</v>
      </c>
      <c r="AO3" s="229">
        <v>44683</v>
      </c>
      <c r="AP3" s="76"/>
      <c r="AQ3" s="74"/>
      <c r="AR3" s="74"/>
      <c r="AS3" s="74"/>
      <c r="AT3" s="74"/>
    </row>
    <row r="4" spans="1:62">
      <c r="A4" s="21" t="s">
        <v>3</v>
      </c>
      <c r="B4" s="369"/>
      <c r="C4" s="46"/>
      <c r="D4" s="373"/>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38"/>
      <c r="AQ4" s="636"/>
      <c r="AR4" s="31"/>
      <c r="AS4" s="31"/>
      <c r="AT4" s="31"/>
      <c r="AX4" s="211">
        <v>0.25403924107025933</v>
      </c>
      <c r="AY4" s="243">
        <v>0.33483128996932265</v>
      </c>
      <c r="AZ4" s="243">
        <v>0.44030814595945017</v>
      </c>
      <c r="BA4" s="243">
        <v>0.52359343951186588</v>
      </c>
      <c r="BB4" s="243">
        <v>0.46103669107740353</v>
      </c>
      <c r="BC4" s="243">
        <v>0.39779918773241624</v>
      </c>
      <c r="BD4" s="243">
        <v>0.66942577304125628</v>
      </c>
      <c r="BE4" s="243"/>
      <c r="BF4" s="243"/>
      <c r="BG4" s="243"/>
      <c r="BH4" s="243"/>
      <c r="BI4" s="243"/>
      <c r="BJ4" s="243"/>
    </row>
    <row r="5" spans="1:62">
      <c r="A5" s="86" t="s">
        <v>196</v>
      </c>
      <c r="B5" s="365"/>
      <c r="C5" s="38"/>
      <c r="D5" s="374" t="s">
        <v>44</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67">
        <v>46018</v>
      </c>
      <c r="W5" s="83">
        <v>46018</v>
      </c>
      <c r="X5" s="358">
        <v>49624.800000000003</v>
      </c>
      <c r="Y5" s="358">
        <v>49624.80000000001</v>
      </c>
      <c r="Z5" s="267">
        <v>45790.8</v>
      </c>
      <c r="AA5" s="267">
        <v>43641.600000000006</v>
      </c>
      <c r="AB5" s="358">
        <v>47475.62</v>
      </c>
      <c r="AC5" s="267">
        <v>47475.62</v>
      </c>
      <c r="AD5" s="267">
        <v>43641.600000000006</v>
      </c>
      <c r="AE5" s="267">
        <v>43641.600000000006</v>
      </c>
      <c r="AF5" s="358">
        <v>47475.600000000006</v>
      </c>
      <c r="AG5" s="358">
        <v>47475.600000000006</v>
      </c>
      <c r="AH5" s="267">
        <v>43641.600000000006</v>
      </c>
      <c r="AI5" s="267">
        <v>43641.600000000006</v>
      </c>
      <c r="AJ5" s="358">
        <v>47475.600000000006</v>
      </c>
      <c r="AK5" s="358">
        <v>47475.600000000006</v>
      </c>
      <c r="AL5" s="358">
        <v>47475.600000000006</v>
      </c>
      <c r="AM5" s="358">
        <v>47475.600000000006</v>
      </c>
      <c r="AN5" s="358">
        <v>47475.600000000006</v>
      </c>
      <c r="AO5" s="358">
        <v>47475.6</v>
      </c>
      <c r="AP5" s="38"/>
      <c r="AS5" s="31"/>
      <c r="AT5" s="637"/>
      <c r="AU5" s="31"/>
      <c r="AX5" s="211">
        <v>0.39594825138632178</v>
      </c>
      <c r="AY5" s="243">
        <v>0.44985506108216866</v>
      </c>
      <c r="AZ5" s="243">
        <v>0.54112680515879441</v>
      </c>
      <c r="BA5" s="243">
        <v>0.54734175247857253</v>
      </c>
      <c r="BB5" s="243">
        <v>0.79395000579712582</v>
      </c>
      <c r="BC5" s="243">
        <v>0.5347436121558915</v>
      </c>
      <c r="BD5" s="243">
        <v>0.5117306731540433</v>
      </c>
      <c r="BE5" s="243"/>
      <c r="BF5" s="243"/>
      <c r="BG5" s="243"/>
      <c r="BH5" s="243"/>
      <c r="BI5" s="243"/>
      <c r="BJ5" s="243"/>
    </row>
    <row r="6" spans="1:62">
      <c r="A6" s="87" t="s">
        <v>131</v>
      </c>
      <c r="B6" s="365"/>
      <c r="C6" s="38"/>
      <c r="D6" s="374" t="s">
        <v>44</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f t="shared" ref="AC6:AN6" si="5">((AC59+(AB6/1000)+AC8+AC61+AC10)-AC95-AC99-AC100-AC101-AC102-AC103-AC104-AC105-AC106-AC107-AC108-AC109-AC110-AC111-AC112-AC113-AC114-AC115-AC116-AC117-AC118-AC119-AC120-AC121-AC122-AC123-AC124-AC125-AC126-AC127-AC128-AC129-AC130-AC131-AC135-AC136-AC137-AC138-AC139-AC140-AC141-AC142-AC143-AC144-AC145-AC146-AC147-AC148-AC149-AC150-AC151-AC9)*1000</f>
        <v>33479.688200000055</v>
      </c>
      <c r="AD6" s="90">
        <f t="shared" si="5"/>
        <v>19972.226310734706</v>
      </c>
      <c r="AE6" s="90">
        <f t="shared" si="5"/>
        <v>27911.664940734674</v>
      </c>
      <c r="AF6" s="90">
        <f t="shared" si="5"/>
        <v>25492.009150734681</v>
      </c>
      <c r="AG6" s="90">
        <f t="shared" si="5"/>
        <v>25176.883120734667</v>
      </c>
      <c r="AH6" s="90">
        <f t="shared" si="5"/>
        <v>24376.517991988614</v>
      </c>
      <c r="AI6" s="90">
        <f t="shared" si="5"/>
        <v>23874.694310515173</v>
      </c>
      <c r="AJ6" s="90">
        <f t="shared" si="5"/>
        <v>25462.116115687542</v>
      </c>
      <c r="AK6" s="90">
        <f t="shared" si="5"/>
        <v>25703.092458531195</v>
      </c>
      <c r="AL6" s="90">
        <f t="shared" si="5"/>
        <v>25212.477269164247</v>
      </c>
      <c r="AM6" s="90">
        <f t="shared" si="5"/>
        <v>25459.018242007893</v>
      </c>
      <c r="AN6" s="90">
        <f t="shared" si="5"/>
        <v>25705.562654114721</v>
      </c>
      <c r="AO6" s="90">
        <f>((AO59+(AN6/1000)+AO8+AO61+AO10)-AO95-AO99-AO100-AO101-AO102-AO103-AO104-AO105-AO106-AO107-AO108-AO109-AO110-AO111-AO112-AO113-AO114-AO115-AO116-AO117-AO118-AO119-AO120-AO121-AO122-AO123-AO124-AO125-AO126-AO127-AO128-AO129-AO130-AO131-AO135-AO136-AO137-AO138-AO139-AO140-AO141-AO142-AO143-AO144-AO145-AO146-AO147-AO148-AO149-AO150-AO151-AO9)*1000</f>
        <v>25572.653326957956</v>
      </c>
      <c r="AP6" s="38"/>
      <c r="AS6" s="31"/>
      <c r="AT6" s="638"/>
      <c r="AU6" s="31"/>
      <c r="AX6" s="211">
        <v>0.2101324533610899</v>
      </c>
      <c r="AY6" s="243">
        <v>0.2992428217775443</v>
      </c>
      <c r="AZ6" s="243">
        <v>0.40911475339945874</v>
      </c>
      <c r="BA6" s="243">
        <v>0.51624568806495075</v>
      </c>
      <c r="BB6" s="243">
        <v>0.39914928946670375</v>
      </c>
      <c r="BC6" s="243">
        <v>0.3596143769310105</v>
      </c>
      <c r="BD6" s="243">
        <v>0.71339658513420401</v>
      </c>
      <c r="BE6" s="243"/>
      <c r="BF6" s="243"/>
      <c r="BG6" s="243"/>
      <c r="BH6" s="243"/>
      <c r="BI6" s="243"/>
      <c r="BJ6" s="243"/>
    </row>
    <row r="7" spans="1:62">
      <c r="A7" s="364" t="s">
        <v>135</v>
      </c>
      <c r="B7" s="365"/>
      <c r="C7" s="38"/>
      <c r="D7" s="374" t="s">
        <v>45</v>
      </c>
      <c r="E7" s="99">
        <f>E6/E5</f>
        <v>0.22361350896708981</v>
      </c>
      <c r="F7" s="99">
        <f t="shared" ref="F7:N7" si="6">F6/F5</f>
        <v>0.44350019613720032</v>
      </c>
      <c r="G7" s="99">
        <f t="shared" si="6"/>
        <v>0.32362850832648188</v>
      </c>
      <c r="H7" s="116">
        <f t="shared" si="6"/>
        <v>0.39182363423008387</v>
      </c>
      <c r="I7" s="116">
        <f t="shared" si="6"/>
        <v>0.2216113230263459</v>
      </c>
      <c r="J7" s="116">
        <f t="shared" si="6"/>
        <v>0.59643698300303716</v>
      </c>
      <c r="K7" s="116">
        <f t="shared" si="6"/>
        <v>0.56993512537453628</v>
      </c>
      <c r="L7" s="116">
        <f t="shared" si="6"/>
        <v>0.64258389415354455</v>
      </c>
      <c r="M7" s="116">
        <f t="shared" si="6"/>
        <v>0.33910230182228851</v>
      </c>
      <c r="N7" s="116">
        <f t="shared" si="6"/>
        <v>0.72585738643227993</v>
      </c>
      <c r="O7" s="116">
        <f t="shared" ref="O7:AK7" si="7">O6/O5</f>
        <v>0.67877677003271597</v>
      </c>
      <c r="P7" s="116">
        <f t="shared" si="7"/>
        <v>0.37553485757121435</v>
      </c>
      <c r="Q7" s="116">
        <f t="shared" si="7"/>
        <v>0.64516963887942547</v>
      </c>
      <c r="R7" s="363">
        <f t="shared" si="7"/>
        <v>0.31575862400307481</v>
      </c>
      <c r="S7" s="363">
        <f t="shared" si="7"/>
        <v>0.39326065497872936</v>
      </c>
      <c r="T7" s="363">
        <f t="shared" si="7"/>
        <v>0.3302990993824087</v>
      </c>
      <c r="U7" s="363">
        <f t="shared" si="7"/>
        <v>0.58301798614568867</v>
      </c>
      <c r="V7" s="363">
        <f t="shared" si="7"/>
        <v>0.31373027945586512</v>
      </c>
      <c r="W7" s="363">
        <f t="shared" si="7"/>
        <v>0.48721914685557821</v>
      </c>
      <c r="X7" s="363">
        <f t="shared" si="7"/>
        <v>0.36383103528880723</v>
      </c>
      <c r="Y7" s="363">
        <f t="shared" si="7"/>
        <v>0.49173800196675849</v>
      </c>
      <c r="Z7" s="363">
        <f t="shared" si="7"/>
        <v>0.63064895131773191</v>
      </c>
      <c r="AA7" s="363">
        <f t="shared" si="7"/>
        <v>0.52800361416630004</v>
      </c>
      <c r="AB7" s="363">
        <f t="shared" si="7"/>
        <v>0.71419158296405616</v>
      </c>
      <c r="AC7" s="363">
        <f t="shared" si="7"/>
        <v>0.70519749294480105</v>
      </c>
      <c r="AD7" s="363">
        <f t="shared" si="7"/>
        <v>0.45764193592202629</v>
      </c>
      <c r="AE7" s="363">
        <f t="shared" si="7"/>
        <v>0.63956557368966005</v>
      </c>
      <c r="AF7" s="363">
        <f t="shared" si="7"/>
        <v>0.53694969944002136</v>
      </c>
      <c r="AG7" s="363">
        <f t="shared" si="7"/>
        <v>0.53031205757767497</v>
      </c>
      <c r="AH7" s="363">
        <f t="shared" si="7"/>
        <v>0.55856150993521347</v>
      </c>
      <c r="AI7" s="363">
        <f t="shared" si="7"/>
        <v>0.54706276375098917</v>
      </c>
      <c r="AJ7" s="363">
        <f t="shared" si="7"/>
        <v>0.53632004894487983</v>
      </c>
      <c r="AK7" s="363">
        <f t="shared" si="7"/>
        <v>0.54139584246499661</v>
      </c>
      <c r="AL7" s="363">
        <f t="shared" ref="AL7:AM7" si="8">AL6/AL5</f>
        <v>0.53106179319827962</v>
      </c>
      <c r="AM7" s="363">
        <f t="shared" si="8"/>
        <v>0.53625479703274714</v>
      </c>
      <c r="AN7" s="363">
        <f t="shared" ref="AN7" si="9">AN6/AN5</f>
        <v>0.54144787330996802</v>
      </c>
      <c r="AO7" s="363">
        <f>AO6/AO5</f>
        <v>0.53864834413799845</v>
      </c>
      <c r="AP7" s="654" t="s">
        <v>279</v>
      </c>
      <c r="AS7" s="31"/>
      <c r="AT7" s="432"/>
      <c r="AU7" s="31"/>
    </row>
    <row r="8" spans="1:62">
      <c r="A8" s="96" t="s">
        <v>75</v>
      </c>
      <c r="B8" s="365"/>
      <c r="C8" s="38"/>
      <c r="D8" s="374" t="s">
        <v>43</v>
      </c>
      <c r="E8" s="94"/>
      <c r="F8" s="94"/>
      <c r="G8" s="125"/>
      <c r="H8" s="125">
        <f>3.5+1.5+3.6</f>
        <v>8.6</v>
      </c>
      <c r="I8" s="230">
        <v>2.46</v>
      </c>
      <c r="J8" s="244">
        <v>33</v>
      </c>
      <c r="K8" s="244">
        <v>11.6</v>
      </c>
      <c r="L8" s="266">
        <f>12+2.1</f>
        <v>14.1</v>
      </c>
      <c r="M8" s="125"/>
      <c r="N8" s="298">
        <v>3.4</v>
      </c>
      <c r="O8" s="125"/>
      <c r="P8" s="94"/>
      <c r="Q8" s="94">
        <v>2</v>
      </c>
      <c r="R8" s="125">
        <f>3+0.58</f>
        <v>3.58</v>
      </c>
      <c r="S8" s="94">
        <f>19+4</f>
        <v>23</v>
      </c>
      <c r="T8" s="94">
        <v>27</v>
      </c>
      <c r="U8" s="94">
        <v>13</v>
      </c>
      <c r="V8" s="94">
        <v>7</v>
      </c>
      <c r="W8" s="94">
        <f>32</f>
        <v>32</v>
      </c>
      <c r="X8" s="94">
        <v>20.677</v>
      </c>
      <c r="Y8" s="94">
        <f>1+2+3</f>
        <v>6</v>
      </c>
      <c r="Z8" s="94">
        <v>39</v>
      </c>
      <c r="AA8" s="94">
        <v>37</v>
      </c>
      <c r="AB8" s="266">
        <f>35.5-1-6+1</f>
        <v>29.5</v>
      </c>
      <c r="AC8" s="94">
        <v>36</v>
      </c>
      <c r="AD8" s="94">
        <f>3+29-6</f>
        <v>26</v>
      </c>
      <c r="AE8" s="94">
        <v>102</v>
      </c>
      <c r="AF8" s="94">
        <v>36</v>
      </c>
      <c r="AG8" s="94">
        <v>53</v>
      </c>
      <c r="AH8" s="94">
        <v>50</v>
      </c>
      <c r="AI8" s="94">
        <v>45</v>
      </c>
      <c r="AJ8" s="94">
        <v>27</v>
      </c>
      <c r="AK8" s="94">
        <v>41</v>
      </c>
      <c r="AL8" s="94">
        <v>50</v>
      </c>
      <c r="AM8" s="94">
        <v>38</v>
      </c>
      <c r="AN8" s="94">
        <v>38</v>
      </c>
      <c r="AO8" s="94">
        <v>33</v>
      </c>
      <c r="AP8" s="38"/>
      <c r="AS8" s="31"/>
      <c r="AT8" s="433"/>
      <c r="AU8" s="31"/>
    </row>
    <row r="9" spans="1:62" ht="16" thickBot="1">
      <c r="A9" s="97" t="s">
        <v>47</v>
      </c>
      <c r="B9" s="367"/>
      <c r="C9" s="48"/>
      <c r="D9" s="375" t="s">
        <v>43</v>
      </c>
      <c r="E9" s="95"/>
      <c r="F9" s="95"/>
      <c r="G9" s="95"/>
      <c r="H9" s="95"/>
      <c r="I9" s="228"/>
      <c r="J9" s="95"/>
      <c r="K9" s="95"/>
      <c r="L9" s="95">
        <f>-4</f>
        <v>-4</v>
      </c>
      <c r="M9" s="228"/>
      <c r="N9" s="95">
        <v>-5.97</v>
      </c>
      <c r="O9" s="323">
        <v>5.85</v>
      </c>
      <c r="P9" s="95"/>
      <c r="Q9" s="95"/>
      <c r="R9" s="228"/>
      <c r="S9" s="95"/>
      <c r="T9" s="426"/>
      <c r="U9" s="441">
        <v>-5</v>
      </c>
      <c r="V9" s="95"/>
      <c r="W9" s="95"/>
      <c r="X9" s="95"/>
      <c r="Y9" s="95"/>
      <c r="Z9" s="95"/>
      <c r="AA9" s="95"/>
      <c r="AB9" s="95"/>
      <c r="AC9" s="95">
        <v>-3</v>
      </c>
      <c r="AD9" s="95"/>
      <c r="AE9" s="95"/>
      <c r="AF9" s="95"/>
      <c r="AG9" s="95"/>
      <c r="AH9" s="95"/>
      <c r="AI9" s="95"/>
      <c r="AJ9" s="95"/>
      <c r="AK9" s="95"/>
      <c r="AL9" s="95"/>
      <c r="AM9" s="95"/>
      <c r="AN9" s="95"/>
      <c r="AO9" s="95"/>
      <c r="AP9" s="38"/>
      <c r="AQ9" s="31"/>
      <c r="AR9" s="31"/>
      <c r="AS9" s="31"/>
      <c r="AT9" s="31"/>
    </row>
    <row r="10" spans="1:62" s="31" customFormat="1">
      <c r="A10" s="86" t="s">
        <v>50</v>
      </c>
      <c r="B10" s="269"/>
      <c r="C10" s="38"/>
      <c r="D10" s="88"/>
      <c r="E10" s="114"/>
      <c r="F10" s="115">
        <v>2</v>
      </c>
      <c r="G10" s="114"/>
      <c r="H10" s="114"/>
      <c r="I10" s="114"/>
      <c r="J10" s="114"/>
      <c r="K10" s="114"/>
      <c r="L10" s="114"/>
      <c r="M10" s="114"/>
      <c r="N10" s="114"/>
      <c r="O10" s="114"/>
      <c r="P10" s="114"/>
      <c r="Q10" s="114"/>
      <c r="R10" s="383">
        <v>1.6</v>
      </c>
      <c r="S10" s="114">
        <v>1</v>
      </c>
      <c r="T10" s="114"/>
      <c r="U10" s="114">
        <v>1</v>
      </c>
      <c r="V10" s="383"/>
      <c r="W10" s="383"/>
      <c r="X10" s="383"/>
      <c r="Y10" s="114"/>
      <c r="Z10" s="114"/>
      <c r="AA10" s="114"/>
      <c r="AB10" s="612">
        <v>1.5</v>
      </c>
      <c r="AC10" s="114"/>
      <c r="AD10" s="114"/>
      <c r="AE10" s="114"/>
      <c r="AF10" s="114"/>
      <c r="AG10" s="114"/>
      <c r="AH10" s="114"/>
      <c r="AI10" s="114"/>
      <c r="AJ10" s="114"/>
      <c r="AK10" s="114"/>
      <c r="AL10" s="114"/>
      <c r="AM10" s="114"/>
      <c r="AN10" s="114"/>
      <c r="AO10" s="114"/>
      <c r="AP10" s="38"/>
    </row>
    <row r="11" spans="1:62" s="31" customFormat="1">
      <c r="A11" s="86" t="s">
        <v>74</v>
      </c>
      <c r="B11" s="269"/>
      <c r="C11" s="38"/>
      <c r="D11" s="88"/>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38"/>
    </row>
    <row r="12" spans="1:62" ht="25" thickBot="1">
      <c r="A12" s="39" t="s">
        <v>126</v>
      </c>
      <c r="B12" s="30"/>
      <c r="C12" s="31"/>
      <c r="D12" s="50"/>
      <c r="E12" s="31"/>
      <c r="F12" s="31"/>
      <c r="G12" s="217">
        <v>43678</v>
      </c>
      <c r="H12" s="217">
        <v>43698</v>
      </c>
      <c r="I12" s="31"/>
      <c r="J12" s="31"/>
      <c r="K12" s="31"/>
      <c r="L12" s="271">
        <f t="shared" ref="L12:Q12" si="10">L16/1000</f>
        <v>0</v>
      </c>
      <c r="M12" s="271">
        <f t="shared" si="10"/>
        <v>0</v>
      </c>
      <c r="N12" s="271">
        <f t="shared" si="10"/>
        <v>0</v>
      </c>
      <c r="O12" s="271">
        <f t="shared" si="10"/>
        <v>0</v>
      </c>
      <c r="P12" s="271">
        <f t="shared" si="10"/>
        <v>0</v>
      </c>
      <c r="Q12" s="271">
        <f t="shared" si="10"/>
        <v>8.6043339000000003</v>
      </c>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38"/>
      <c r="AQ12" s="38"/>
      <c r="AR12" s="31"/>
      <c r="AS12" s="31"/>
      <c r="AT12" s="31"/>
    </row>
    <row r="13" spans="1:62" s="75" customFormat="1" ht="16" thickBot="1">
      <c r="A13" s="688" t="s">
        <v>32</v>
      </c>
      <c r="B13" s="689"/>
      <c r="C13" s="368"/>
      <c r="D13" s="371"/>
      <c r="E13" s="78">
        <v>43587</v>
      </c>
      <c r="F13" s="78">
        <v>43618</v>
      </c>
      <c r="G13" s="78">
        <v>43648</v>
      </c>
      <c r="H13" s="78">
        <v>43679</v>
      </c>
      <c r="I13" s="229">
        <v>43710</v>
      </c>
      <c r="J13" s="229">
        <v>43740</v>
      </c>
      <c r="K13" s="78">
        <v>43771</v>
      </c>
      <c r="L13" s="257">
        <v>43801</v>
      </c>
      <c r="M13" s="229">
        <v>43832</v>
      </c>
      <c r="N13" s="229">
        <v>43863</v>
      </c>
      <c r="O13" s="78">
        <v>43892</v>
      </c>
      <c r="P13" s="78">
        <v>43923</v>
      </c>
      <c r="Q13" s="78">
        <v>43953</v>
      </c>
      <c r="R13" s="229">
        <v>43984</v>
      </c>
      <c r="S13" s="229">
        <v>44014</v>
      </c>
      <c r="T13" s="229">
        <v>44045</v>
      </c>
      <c r="U13" s="229">
        <v>44076</v>
      </c>
      <c r="V13" s="229">
        <v>44106</v>
      </c>
      <c r="W13" s="229">
        <v>44137</v>
      </c>
      <c r="X13" s="229">
        <v>44167</v>
      </c>
      <c r="Y13" s="229">
        <f>Y3</f>
        <v>44198</v>
      </c>
      <c r="Z13" s="229">
        <f t="shared" ref="Z13:AK13" si="11">Z3</f>
        <v>44229</v>
      </c>
      <c r="AA13" s="229">
        <f t="shared" si="11"/>
        <v>44257</v>
      </c>
      <c r="AB13" s="229">
        <f t="shared" si="11"/>
        <v>44288</v>
      </c>
      <c r="AC13" s="229">
        <f t="shared" si="11"/>
        <v>44318</v>
      </c>
      <c r="AD13" s="229">
        <f t="shared" si="11"/>
        <v>44349</v>
      </c>
      <c r="AE13" s="229">
        <f t="shared" si="11"/>
        <v>44379</v>
      </c>
      <c r="AF13" s="229">
        <f t="shared" si="11"/>
        <v>44410</v>
      </c>
      <c r="AG13" s="229">
        <f t="shared" si="11"/>
        <v>44441</v>
      </c>
      <c r="AH13" s="229">
        <f t="shared" si="11"/>
        <v>44471</v>
      </c>
      <c r="AI13" s="229">
        <f t="shared" si="11"/>
        <v>44502</v>
      </c>
      <c r="AJ13" s="229">
        <f t="shared" si="11"/>
        <v>44532</v>
      </c>
      <c r="AK13" s="229">
        <f t="shared" si="11"/>
        <v>44563</v>
      </c>
      <c r="AL13" s="229">
        <f t="shared" ref="AL13:AM13" si="12">AL3</f>
        <v>44594</v>
      </c>
      <c r="AM13" s="229">
        <f t="shared" si="12"/>
        <v>44622</v>
      </c>
      <c r="AN13" s="229">
        <f t="shared" ref="AN13:AO13" si="13">AN3</f>
        <v>44653</v>
      </c>
      <c r="AO13" s="229">
        <f t="shared" si="13"/>
        <v>44683</v>
      </c>
      <c r="AP13" s="73"/>
      <c r="AQ13" s="73"/>
      <c r="AR13" s="74"/>
      <c r="AS13" s="74"/>
      <c r="AT13" s="74"/>
    </row>
    <row r="14" spans="1:62">
      <c r="A14" s="21" t="s">
        <v>3</v>
      </c>
      <c r="B14" s="369"/>
      <c r="C14" s="46"/>
      <c r="D14" s="373"/>
      <c r="E14" s="92"/>
      <c r="F14" s="89"/>
      <c r="G14" s="89"/>
      <c r="H14" s="89"/>
      <c r="I14" s="89"/>
      <c r="J14" s="89"/>
      <c r="K14" s="89"/>
      <c r="L14" s="89"/>
      <c r="M14" s="89"/>
      <c r="N14" s="89"/>
      <c r="O14" s="89"/>
      <c r="P14" s="89"/>
      <c r="Q14" s="89"/>
      <c r="R14" s="376"/>
      <c r="S14" s="89"/>
      <c r="T14" s="89"/>
      <c r="U14" s="89"/>
      <c r="V14" s="89"/>
      <c r="W14" s="89"/>
      <c r="X14" s="89"/>
      <c r="Y14" s="89"/>
      <c r="Z14" s="89"/>
      <c r="AA14" s="89"/>
      <c r="AB14" s="89"/>
      <c r="AC14" s="89"/>
      <c r="AD14" s="89"/>
      <c r="AE14" s="89"/>
      <c r="AF14" s="89"/>
      <c r="AG14" s="89"/>
      <c r="AH14" s="89"/>
      <c r="AI14" s="89"/>
      <c r="AJ14" s="89"/>
      <c r="AK14" s="89"/>
      <c r="AL14" s="89"/>
      <c r="AM14" s="89"/>
      <c r="AN14" s="89"/>
      <c r="AO14" s="89"/>
      <c r="AP14" s="38"/>
      <c r="AQ14" s="38"/>
      <c r="AR14" s="31"/>
      <c r="AS14" s="31"/>
      <c r="AT14" s="31"/>
    </row>
    <row r="15" spans="1:62">
      <c r="A15" s="86" t="s">
        <v>194</v>
      </c>
      <c r="B15" s="365"/>
      <c r="C15" s="38"/>
      <c r="D15" s="374" t="s">
        <v>44</v>
      </c>
      <c r="E15" s="82"/>
      <c r="F15" s="82"/>
      <c r="G15" s="82"/>
      <c r="H15" s="83"/>
      <c r="I15" s="82"/>
      <c r="J15" s="83"/>
      <c r="K15" s="82"/>
      <c r="L15" s="82"/>
      <c r="M15" s="82"/>
      <c r="N15" s="82"/>
      <c r="O15" s="82"/>
      <c r="P15" s="82"/>
      <c r="Q15" s="358">
        <v>10820</v>
      </c>
      <c r="R15" s="377">
        <v>10820</v>
      </c>
      <c r="S15" s="358">
        <v>10820</v>
      </c>
      <c r="T15" s="358">
        <v>10820</v>
      </c>
      <c r="U15" s="358">
        <v>10820</v>
      </c>
      <c r="V15" s="267">
        <v>7213.6</v>
      </c>
      <c r="W15" s="267">
        <v>7213.6</v>
      </c>
      <c r="X15" s="358">
        <v>10820</v>
      </c>
      <c r="Y15" s="358">
        <v>10820.4</v>
      </c>
      <c r="Z15" s="358">
        <v>10820.4</v>
      </c>
      <c r="AA15" s="358">
        <v>10820.4</v>
      </c>
      <c r="AB15" s="358">
        <v>10820.4</v>
      </c>
      <c r="AC15" s="358">
        <v>10820.4</v>
      </c>
      <c r="AD15" s="358">
        <v>10820.4</v>
      </c>
      <c r="AE15" s="358">
        <v>10820.4</v>
      </c>
      <c r="AF15" s="358">
        <v>10820.4</v>
      </c>
      <c r="AG15" s="358">
        <v>10820.4</v>
      </c>
      <c r="AH15" s="358">
        <v>10820.4</v>
      </c>
      <c r="AI15" s="358">
        <v>10820.4</v>
      </c>
      <c r="AJ15" s="358">
        <v>10820.4</v>
      </c>
      <c r="AK15" s="358">
        <v>10820.4</v>
      </c>
      <c r="AL15" s="358">
        <v>10820.4</v>
      </c>
      <c r="AM15" s="358">
        <v>10820.4</v>
      </c>
      <c r="AN15" s="358">
        <v>10820.4</v>
      </c>
      <c r="AO15" s="358">
        <v>10820.4</v>
      </c>
      <c r="AP15" s="38"/>
      <c r="AQ15" s="38"/>
      <c r="AR15" s="31"/>
      <c r="AS15" s="31"/>
      <c r="AT15" s="31"/>
    </row>
    <row r="16" spans="1:62">
      <c r="A16" s="86" t="s">
        <v>129</v>
      </c>
      <c r="B16" s="365"/>
      <c r="C16" s="38"/>
      <c r="D16" s="374" t="s">
        <v>44</v>
      </c>
      <c r="E16" s="90"/>
      <c r="F16" s="90"/>
      <c r="G16" s="90"/>
      <c r="H16" s="90"/>
      <c r="I16" s="90"/>
      <c r="J16" s="90"/>
      <c r="K16" s="90"/>
      <c r="L16" s="90"/>
      <c r="M16" s="90"/>
      <c r="N16" s="90"/>
      <c r="O16" s="90"/>
      <c r="P16" s="90"/>
      <c r="Q16" s="90">
        <v>8604.3338999999996</v>
      </c>
      <c r="R16" s="378">
        <v>4280.92</v>
      </c>
      <c r="S16" s="90">
        <v>4603.84</v>
      </c>
      <c r="T16" s="90">
        <v>5097.9400000000005</v>
      </c>
      <c r="U16" s="90">
        <v>8486.9800000000014</v>
      </c>
      <c r="V16" s="90">
        <v>4215.0621000000001</v>
      </c>
      <c r="W16" s="90">
        <v>5552.8707000000004</v>
      </c>
      <c r="X16" s="90">
        <v>3405.2722000000003</v>
      </c>
      <c r="Y16" s="90">
        <v>8673.82</v>
      </c>
      <c r="Z16" s="90">
        <f t="shared" ref="Z16:AN16" si="14">Y16-Z17+((Z55-Z97-Z99-Z100-Z102-Z103-Z104-Z105)*1000)</f>
        <v>4479.3540188754459</v>
      </c>
      <c r="AA16" s="90">
        <v>7425.2542080000003</v>
      </c>
      <c r="AB16" s="90">
        <v>8816.1281999999992</v>
      </c>
      <c r="AC16" s="90">
        <f t="shared" si="14"/>
        <v>5929.1282000000028</v>
      </c>
      <c r="AD16" s="90">
        <f t="shared" si="14"/>
        <v>5818.1282000000028</v>
      </c>
      <c r="AE16" s="90">
        <f t="shared" si="14"/>
        <v>6967.1282000000037</v>
      </c>
      <c r="AF16" s="90">
        <f t="shared" si="14"/>
        <v>8747.128200000001</v>
      </c>
      <c r="AG16" s="90">
        <f t="shared" si="14"/>
        <v>9907.1282000000119</v>
      </c>
      <c r="AH16" s="90">
        <f t="shared" si="14"/>
        <v>9698.3613940090599</v>
      </c>
      <c r="AI16" s="90">
        <f t="shared" si="14"/>
        <v>6272.4768207746583</v>
      </c>
      <c r="AJ16" s="90">
        <f t="shared" si="14"/>
        <v>8238.0137799373388</v>
      </c>
      <c r="AK16" s="90">
        <f t="shared" si="14"/>
        <v>8256.5629156601572</v>
      </c>
      <c r="AL16" s="90">
        <f t="shared" si="14"/>
        <v>6666.8653608291461</v>
      </c>
      <c r="AM16" s="90">
        <f t="shared" si="14"/>
        <v>6685.4144965519654</v>
      </c>
      <c r="AN16" s="90">
        <f t="shared" si="14"/>
        <v>6167.8814020901773</v>
      </c>
      <c r="AO16" s="90">
        <f>AN16-AO17+((AO55-AO97-AO99-AO100-AO102-AO103-AO104-AO105)*1000)</f>
        <v>6186.4305378129966</v>
      </c>
      <c r="AP16" s="654" t="s">
        <v>282</v>
      </c>
      <c r="AQ16" s="38"/>
      <c r="AR16" s="31"/>
      <c r="AS16" s="31"/>
      <c r="AT16" s="31"/>
    </row>
    <row r="17" spans="1:46">
      <c r="A17" s="86" t="s">
        <v>219</v>
      </c>
      <c r="B17" s="365"/>
      <c r="C17" s="38"/>
      <c r="D17" s="374" t="s">
        <v>44</v>
      </c>
      <c r="E17" s="90"/>
      <c r="F17" s="90"/>
      <c r="G17" s="90"/>
      <c r="H17" s="90"/>
      <c r="I17" s="90"/>
      <c r="J17" s="90"/>
      <c r="K17" s="90"/>
      <c r="L17" s="90"/>
      <c r="M17" s="90"/>
      <c r="N17" s="90"/>
      <c r="O17" s="90"/>
      <c r="P17" s="90"/>
      <c r="Q17" s="90"/>
      <c r="R17" s="378">
        <v>4303.2400800000014</v>
      </c>
      <c r="S17" s="90">
        <v>2500</v>
      </c>
      <c r="T17" s="90">
        <v>8500</v>
      </c>
      <c r="U17" s="90">
        <v>1000</v>
      </c>
      <c r="V17" s="90">
        <v>8000</v>
      </c>
      <c r="W17" s="90">
        <v>5005</v>
      </c>
      <c r="X17" s="90">
        <v>3000</v>
      </c>
      <c r="Y17" s="90">
        <v>7000</v>
      </c>
      <c r="Z17" s="90">
        <v>6000</v>
      </c>
      <c r="AA17" s="90">
        <f>2000</f>
        <v>2000</v>
      </c>
      <c r="AB17" s="90">
        <v>18500</v>
      </c>
      <c r="AC17" s="90">
        <v>6560</v>
      </c>
      <c r="AD17" s="90">
        <v>3000</v>
      </c>
      <c r="AE17" s="90">
        <v>3000</v>
      </c>
      <c r="AF17" s="90">
        <v>3000</v>
      </c>
      <c r="AG17" s="90">
        <v>8000</v>
      </c>
      <c r="AH17" s="90">
        <v>26000</v>
      </c>
      <c r="AI17" s="90">
        <v>3000</v>
      </c>
      <c r="AJ17" s="90">
        <v>3000</v>
      </c>
      <c r="AK17" s="90">
        <v>3000</v>
      </c>
      <c r="AL17" s="90">
        <v>3000</v>
      </c>
      <c r="AM17" s="90">
        <v>3000</v>
      </c>
      <c r="AN17" s="90">
        <v>3000</v>
      </c>
      <c r="AO17" s="90">
        <v>3000</v>
      </c>
      <c r="AP17" s="38"/>
      <c r="AR17" s="31"/>
      <c r="AS17" s="31"/>
      <c r="AT17" s="433"/>
    </row>
    <row r="18" spans="1:46" ht="16" thickBot="1">
      <c r="A18" s="221" t="s">
        <v>41</v>
      </c>
      <c r="B18" s="367"/>
      <c r="C18" s="48"/>
      <c r="D18" s="375" t="s">
        <v>45</v>
      </c>
      <c r="E18" s="99" t="e">
        <f>E16/E15</f>
        <v>#DIV/0!</v>
      </c>
      <c r="F18" s="99" t="e">
        <f t="shared" ref="F18:Y18" si="15">F16/F15</f>
        <v>#DIV/0!</v>
      </c>
      <c r="G18" s="99" t="e">
        <f t="shared" si="15"/>
        <v>#DIV/0!</v>
      </c>
      <c r="H18" s="116" t="e">
        <f t="shared" si="15"/>
        <v>#DIV/0!</v>
      </c>
      <c r="I18" s="116" t="e">
        <f t="shared" si="15"/>
        <v>#DIV/0!</v>
      </c>
      <c r="J18" s="116" t="e">
        <f t="shared" si="15"/>
        <v>#DIV/0!</v>
      </c>
      <c r="K18" s="116" t="e">
        <f t="shared" si="15"/>
        <v>#DIV/0!</v>
      </c>
      <c r="L18" s="116" t="e">
        <f t="shared" si="15"/>
        <v>#DIV/0!</v>
      </c>
      <c r="M18" s="116" t="e">
        <f t="shared" si="15"/>
        <v>#DIV/0!</v>
      </c>
      <c r="N18" s="116" t="e">
        <f t="shared" si="15"/>
        <v>#DIV/0!</v>
      </c>
      <c r="O18" s="116" t="e">
        <f t="shared" si="15"/>
        <v>#DIV/0!</v>
      </c>
      <c r="P18" s="116" t="e">
        <f t="shared" si="15"/>
        <v>#DIV/0!</v>
      </c>
      <c r="Q18" s="116">
        <f t="shared" si="15"/>
        <v>0.79522494454713488</v>
      </c>
      <c r="R18" s="401">
        <f t="shared" si="15"/>
        <v>0.39564879852125695</v>
      </c>
      <c r="S18" s="402">
        <f t="shared" si="15"/>
        <v>0.42549353049907579</v>
      </c>
      <c r="T18" s="402">
        <f t="shared" si="15"/>
        <v>0.47115896487985215</v>
      </c>
      <c r="U18" s="402">
        <f t="shared" si="15"/>
        <v>0.7843789279112755</v>
      </c>
      <c r="V18" s="402">
        <f t="shared" si="15"/>
        <v>0.58432157313962518</v>
      </c>
      <c r="W18" s="402">
        <f t="shared" si="15"/>
        <v>0.76977801652434297</v>
      </c>
      <c r="X18" s="402">
        <f t="shared" si="15"/>
        <v>0.31472016635859523</v>
      </c>
      <c r="Y18" s="402">
        <f t="shared" si="15"/>
        <v>0.80161731544120363</v>
      </c>
      <c r="Z18" s="556">
        <f>Z16/Z15</f>
        <v>0.41397305264827972</v>
      </c>
      <c r="AA18" s="556">
        <f t="shared" ref="AA18:AJ18" si="16">AA16/AA15</f>
        <v>0.68622733059775987</v>
      </c>
      <c r="AB18" s="556">
        <f t="shared" si="16"/>
        <v>0.81476915825662632</v>
      </c>
      <c r="AC18" s="556">
        <f t="shared" si="16"/>
        <v>0.54795831947062978</v>
      </c>
      <c r="AD18" s="556">
        <f t="shared" si="16"/>
        <v>0.53769991867213807</v>
      </c>
      <c r="AE18" s="556">
        <f t="shared" si="16"/>
        <v>0.64388822964030945</v>
      </c>
      <c r="AF18" s="556">
        <f t="shared" si="16"/>
        <v>0.80839231451702354</v>
      </c>
      <c r="AG18" s="556">
        <f t="shared" si="16"/>
        <v>0.91559722376252373</v>
      </c>
      <c r="AH18" s="556">
        <f t="shared" si="16"/>
        <v>0.89630340782309903</v>
      </c>
      <c r="AI18" s="556">
        <f t="shared" si="16"/>
        <v>0.57968992096176286</v>
      </c>
      <c r="AJ18" s="556">
        <f t="shared" si="16"/>
        <v>0.76134096520806427</v>
      </c>
      <c r="AK18" s="556">
        <f>AK16/AK15</f>
        <v>0.76305523970094979</v>
      </c>
      <c r="AL18" s="556">
        <f>AL16/AL15</f>
        <v>0.61613853099969929</v>
      </c>
      <c r="AM18" s="556">
        <f>AM16/AM15</f>
        <v>0.61785280549258492</v>
      </c>
      <c r="AN18" s="556">
        <f>AN16/AN15</f>
        <v>0.5700234189207587</v>
      </c>
      <c r="AO18" s="556">
        <f>AO16/AO15</f>
        <v>0.57173769341364433</v>
      </c>
      <c r="AP18" s="654" t="s">
        <v>280</v>
      </c>
      <c r="AQ18" s="38"/>
      <c r="AR18" s="31"/>
      <c r="AS18" s="31"/>
      <c r="AT18" s="31"/>
    </row>
    <row r="19" spans="1:46" s="31" customFormat="1">
      <c r="A19" s="6" t="s">
        <v>136</v>
      </c>
      <c r="B19" s="30"/>
      <c r="R19" s="362">
        <f t="shared" ref="R19:AL19" si="17">R55-R97-R99-R102-R103-R105</f>
        <v>-2.0173819999998344E-2</v>
      </c>
      <c r="S19" s="362">
        <f t="shared" si="17"/>
        <v>5.0584090909090627</v>
      </c>
      <c r="T19" s="362">
        <f t="shared" si="17"/>
        <v>7.5176373626373696</v>
      </c>
      <c r="U19" s="362">
        <f t="shared" si="17"/>
        <v>0.61100000000000709</v>
      </c>
      <c r="V19" s="362">
        <f t="shared" si="17"/>
        <v>4.01</v>
      </c>
      <c r="W19" s="362">
        <f t="shared" si="17"/>
        <v>6.3309999999999977</v>
      </c>
      <c r="X19" s="362">
        <f t="shared" si="17"/>
        <v>1.0260000000000011</v>
      </c>
      <c r="Y19" s="362">
        <f t="shared" si="17"/>
        <v>11.852380729154897</v>
      </c>
      <c r="Z19" s="362">
        <f t="shared" si="17"/>
        <v>6.3055340188754467</v>
      </c>
      <c r="AA19" s="362">
        <f t="shared" si="17"/>
        <v>11.984000000000007</v>
      </c>
      <c r="AB19" s="362">
        <f t="shared" si="17"/>
        <v>19.509000000000011</v>
      </c>
      <c r="AC19" s="362">
        <f t="shared" si="17"/>
        <v>5.6730000000000036</v>
      </c>
      <c r="AD19" s="362">
        <f t="shared" si="17"/>
        <v>10.213999999999999</v>
      </c>
      <c r="AE19" s="362">
        <f t="shared" si="17"/>
        <v>4.1490000000000009</v>
      </c>
      <c r="AF19" s="362">
        <f t="shared" si="17"/>
        <v>15.773</v>
      </c>
      <c r="AG19" s="362">
        <f t="shared" si="17"/>
        <v>19.991000000000014</v>
      </c>
      <c r="AH19" s="362">
        <f t="shared" si="17"/>
        <v>36.622233194009056</v>
      </c>
      <c r="AI19" s="362">
        <f t="shared" si="17"/>
        <v>10.405115426765597</v>
      </c>
      <c r="AJ19" s="362">
        <f t="shared" si="17"/>
        <v>8.9655369591626801</v>
      </c>
      <c r="AK19" s="362">
        <f t="shared" si="17"/>
        <v>7.0185491357228198</v>
      </c>
      <c r="AL19" s="362">
        <f t="shared" si="17"/>
        <v>5.4103024451689894</v>
      </c>
      <c r="AM19" s="362">
        <f t="shared" ref="AM19:AN19" si="18">AM55-AM97-AM99-AM102-AM103-AM105</f>
        <v>7.0185491357228198</v>
      </c>
      <c r="AN19" s="362">
        <f t="shared" si="18"/>
        <v>6.482466905538212</v>
      </c>
      <c r="AO19" s="362">
        <f t="shared" ref="AO19" si="19">AO55-AO97-AO99-AO102-AO103-AO105</f>
        <v>7.0185491357228198</v>
      </c>
      <c r="AP19" s="655" t="s">
        <v>281</v>
      </c>
      <c r="AQ19" s="38"/>
    </row>
    <row r="20" spans="1:46" ht="25" thickBot="1">
      <c r="A20" s="39" t="s">
        <v>127</v>
      </c>
      <c r="B20" s="30"/>
      <c r="C20" s="31"/>
      <c r="D20" s="50"/>
      <c r="E20" s="31"/>
      <c r="F20" s="31"/>
      <c r="G20" s="217">
        <v>43678</v>
      </c>
      <c r="H20" s="217">
        <v>43698</v>
      </c>
      <c r="I20" s="31"/>
      <c r="J20" s="31"/>
      <c r="K20" s="31"/>
      <c r="L20" s="271">
        <f t="shared" ref="L20:Q20" si="20">L24/1000</f>
        <v>0</v>
      </c>
      <c r="M20" s="271">
        <f t="shared" si="20"/>
        <v>0</v>
      </c>
      <c r="N20" s="271">
        <f t="shared" si="20"/>
        <v>0</v>
      </c>
      <c r="O20" s="271">
        <f t="shared" si="20"/>
        <v>0</v>
      </c>
      <c r="P20" s="271">
        <f t="shared" si="20"/>
        <v>0</v>
      </c>
      <c r="Q20" s="271">
        <f t="shared" si="20"/>
        <v>20.938500000000001</v>
      </c>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38"/>
      <c r="AQ20" s="38"/>
      <c r="AR20" s="31"/>
      <c r="AS20" s="31"/>
      <c r="AT20" s="31"/>
    </row>
    <row r="21" spans="1:46" s="75" customFormat="1" ht="16" thickBot="1">
      <c r="A21" s="688" t="s">
        <v>32</v>
      </c>
      <c r="B21" s="689"/>
      <c r="C21" s="356"/>
      <c r="D21" s="357"/>
      <c r="E21" s="77">
        <v>43587</v>
      </c>
      <c r="F21" s="78">
        <v>43618</v>
      </c>
      <c r="G21" s="78">
        <v>43648</v>
      </c>
      <c r="H21" s="78">
        <v>43679</v>
      </c>
      <c r="I21" s="229">
        <v>43710</v>
      </c>
      <c r="J21" s="229">
        <v>43740</v>
      </c>
      <c r="K21" s="78">
        <v>43771</v>
      </c>
      <c r="L21" s="257">
        <v>43801</v>
      </c>
      <c r="M21" s="229">
        <v>43832</v>
      </c>
      <c r="N21" s="229">
        <v>43863</v>
      </c>
      <c r="O21" s="78">
        <v>43892</v>
      </c>
      <c r="P21" s="78">
        <v>43923</v>
      </c>
      <c r="Q21" s="78">
        <v>43953</v>
      </c>
      <c r="R21" s="229">
        <v>43984</v>
      </c>
      <c r="S21" s="229">
        <v>44014</v>
      </c>
      <c r="T21" s="229">
        <v>44045</v>
      </c>
      <c r="U21" s="229">
        <v>44076</v>
      </c>
      <c r="V21" s="229">
        <v>44106</v>
      </c>
      <c r="W21" s="229">
        <v>44137</v>
      </c>
      <c r="X21" s="229">
        <v>44167</v>
      </c>
      <c r="Y21" s="229">
        <f>Y3</f>
        <v>44198</v>
      </c>
      <c r="Z21" s="229">
        <f t="shared" ref="Z21:AK21" si="21">Z3</f>
        <v>44229</v>
      </c>
      <c r="AA21" s="229">
        <f t="shared" si="21"/>
        <v>44257</v>
      </c>
      <c r="AB21" s="229">
        <f t="shared" si="21"/>
        <v>44288</v>
      </c>
      <c r="AC21" s="229">
        <f t="shared" si="21"/>
        <v>44318</v>
      </c>
      <c r="AD21" s="229">
        <f t="shared" si="21"/>
        <v>44349</v>
      </c>
      <c r="AE21" s="229">
        <f t="shared" si="21"/>
        <v>44379</v>
      </c>
      <c r="AF21" s="229">
        <f t="shared" si="21"/>
        <v>44410</v>
      </c>
      <c r="AG21" s="229">
        <f t="shared" si="21"/>
        <v>44441</v>
      </c>
      <c r="AH21" s="229">
        <f t="shared" si="21"/>
        <v>44471</v>
      </c>
      <c r="AI21" s="229">
        <f t="shared" si="21"/>
        <v>44502</v>
      </c>
      <c r="AJ21" s="229">
        <f t="shared" si="21"/>
        <v>44532</v>
      </c>
      <c r="AK21" s="229">
        <f t="shared" si="21"/>
        <v>44563</v>
      </c>
      <c r="AL21" s="229">
        <f t="shared" ref="AL21:AM21" si="22">AL3</f>
        <v>44594</v>
      </c>
      <c r="AM21" s="229">
        <f t="shared" si="22"/>
        <v>44622</v>
      </c>
      <c r="AN21" s="229">
        <f t="shared" ref="AN21:AO21" si="23">AN3</f>
        <v>44653</v>
      </c>
      <c r="AO21" s="229">
        <f t="shared" si="23"/>
        <v>44683</v>
      </c>
      <c r="AP21" s="31"/>
      <c r="AQ21" s="73"/>
      <c r="AR21" s="74"/>
      <c r="AS21" s="74"/>
      <c r="AT21" s="74"/>
    </row>
    <row r="22" spans="1:46">
      <c r="A22" s="21" t="s">
        <v>3</v>
      </c>
      <c r="B22" s="369"/>
      <c r="C22" s="46"/>
      <c r="D22" s="373"/>
      <c r="E22" s="92"/>
      <c r="F22" s="89"/>
      <c r="G22" s="89"/>
      <c r="H22" s="89"/>
      <c r="I22" s="89"/>
      <c r="J22" s="89"/>
      <c r="K22" s="89"/>
      <c r="L22" s="89"/>
      <c r="M22" s="89"/>
      <c r="N22" s="89"/>
      <c r="O22" s="89"/>
      <c r="P22" s="89"/>
      <c r="Q22" s="89"/>
      <c r="R22" s="376"/>
      <c r="S22" s="89"/>
      <c r="T22" s="89"/>
      <c r="U22" s="89"/>
      <c r="V22" s="89"/>
      <c r="W22" s="89"/>
      <c r="X22" s="89"/>
      <c r="Y22" s="89"/>
      <c r="Z22" s="89"/>
      <c r="AA22" s="89"/>
      <c r="AB22" s="89"/>
      <c r="AC22" s="89"/>
      <c r="AD22" s="89"/>
      <c r="AE22" s="89"/>
      <c r="AF22" s="89"/>
      <c r="AG22" s="89"/>
      <c r="AH22" s="89"/>
      <c r="AI22" s="89"/>
      <c r="AJ22" s="89"/>
      <c r="AK22" s="89"/>
      <c r="AL22" s="89"/>
      <c r="AM22" s="89"/>
      <c r="AN22" s="89"/>
      <c r="AO22" s="89"/>
      <c r="AP22" s="38"/>
      <c r="AQ22" s="38"/>
      <c r="AR22" s="31"/>
      <c r="AS22" s="31"/>
      <c r="AT22" s="31"/>
    </row>
    <row r="23" spans="1:46">
      <c r="A23" s="86" t="s">
        <v>193</v>
      </c>
      <c r="B23" s="365"/>
      <c r="C23" s="38"/>
      <c r="D23" s="374" t="s">
        <v>44</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58">
        <v>38804.400000000001</v>
      </c>
      <c r="W23" s="358">
        <v>38804.400000000001</v>
      </c>
      <c r="X23" s="358">
        <v>38804.800000000003</v>
      </c>
      <c r="Y23" s="358">
        <v>38804.400000000009</v>
      </c>
      <c r="Z23" s="267">
        <v>34970.400000000001</v>
      </c>
      <c r="AA23" s="267">
        <v>32821.200000000004</v>
      </c>
      <c r="AB23" s="358">
        <v>36655.22</v>
      </c>
      <c r="AC23" s="267">
        <v>36655.22</v>
      </c>
      <c r="AD23" s="267">
        <v>32821.200000000004</v>
      </c>
      <c r="AE23" s="267">
        <v>32821.200000000004</v>
      </c>
      <c r="AF23" s="358">
        <v>36655.200000000004</v>
      </c>
      <c r="AG23" s="358">
        <v>36655.200000000004</v>
      </c>
      <c r="AH23" s="267">
        <v>32821.200000000004</v>
      </c>
      <c r="AI23" s="267">
        <v>32821.200000000004</v>
      </c>
      <c r="AJ23" s="358">
        <v>36655.200000000004</v>
      </c>
      <c r="AK23" s="358">
        <v>36655.200000000004</v>
      </c>
      <c r="AL23" s="358">
        <v>36655.200000000004</v>
      </c>
      <c r="AM23" s="358">
        <v>36655.200000000004</v>
      </c>
      <c r="AN23" s="358">
        <v>36655.200000000004</v>
      </c>
      <c r="AO23" s="358">
        <v>36655.200000000004</v>
      </c>
      <c r="AP23" s="38"/>
      <c r="AQ23" s="38"/>
      <c r="AR23" s="31"/>
      <c r="AS23" s="31"/>
      <c r="AT23" s="31"/>
    </row>
    <row r="24" spans="1:46">
      <c r="A24" s="87" t="s">
        <v>130</v>
      </c>
      <c r="B24" s="365"/>
      <c r="C24" s="38"/>
      <c r="D24" s="374" t="s">
        <v>44</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 t="shared" ref="Z24:AN24" si="24">Y24+Z17+((Z56+Z61+Z8-Z9+Z10-Z98-Z101-Z106-Z107-Z108-Z109-Z110-Z111-Z112-Z113-Z114-Z115-Z116-Z117-Z118-Z119-Z120-Z121-Z122-Z123-Z124-Z125-Z126-Z127-Z128-Z129-Z130-Z131-Z135-Z136-Z137-Z138-Z139-Z140-Z141-Z142-Z143-Z144-Z145-Z146-Z147-Z148-Z149-Z150-Z151)*1000)</f>
        <v>25479.838805474872</v>
      </c>
      <c r="AA24" s="90">
        <v>15617.668320000001</v>
      </c>
      <c r="AB24" s="90">
        <v>25090.560000000001</v>
      </c>
      <c r="AC24" s="90">
        <f t="shared" si="24"/>
        <v>27550.560000000005</v>
      </c>
      <c r="AD24" s="90">
        <f t="shared" si="24"/>
        <v>14154.098110734652</v>
      </c>
      <c r="AE24" s="90">
        <f t="shared" si="24"/>
        <v>20944.536740734649</v>
      </c>
      <c r="AF24" s="90">
        <f t="shared" si="24"/>
        <v>16744.880950734645</v>
      </c>
      <c r="AG24" s="90">
        <f t="shared" si="24"/>
        <v>15269.754920734587</v>
      </c>
      <c r="AH24" s="90">
        <f t="shared" si="24"/>
        <v>14678.156597979498</v>
      </c>
      <c r="AI24" s="90">
        <f t="shared" si="24"/>
        <v>17602.217489740477</v>
      </c>
      <c r="AJ24" s="90">
        <f t="shared" si="24"/>
        <v>17224.10233575026</v>
      </c>
      <c r="AK24" s="90">
        <f t="shared" si="24"/>
        <v>17446.529542871096</v>
      </c>
      <c r="AL24" s="90">
        <f t="shared" si="24"/>
        <v>18545.611908335115</v>
      </c>
      <c r="AM24" s="90">
        <f t="shared" si="24"/>
        <v>18773.603745455959</v>
      </c>
      <c r="AN24" s="90">
        <f t="shared" si="24"/>
        <v>19537.681252024577</v>
      </c>
      <c r="AO24" s="90">
        <f>AN24+AO17+((AO56+AO61+AO8-AO9+AO10-AO98-AO101-AO106-AO107-AO108-AO109-AO110-AO111-AO112-AO113-AO114-AO115-AO116-AO117-AO118-AO119-AO120-AO121-AO122-AO123-AO124-AO125-AO126-AO127-AO128-AO129-AO130-AO131-AO135-AO136-AO137-AO138-AO139-AO140-AO141-AO142-AO143-AO144-AO145-AO146-AO147-AO148-AO149-AO150-AO151)*1000)</f>
        <v>19386.22278914502</v>
      </c>
      <c r="AP24" s="654" t="s">
        <v>283</v>
      </c>
      <c r="AQ24" s="38"/>
      <c r="AR24" s="31"/>
      <c r="AS24" s="31"/>
      <c r="AT24" s="31"/>
    </row>
    <row r="25" spans="1:46" ht="16" thickBot="1">
      <c r="A25" s="221" t="s">
        <v>155</v>
      </c>
      <c r="B25" s="367"/>
      <c r="C25" s="48"/>
      <c r="D25" s="375" t="s">
        <v>45</v>
      </c>
      <c r="E25" s="99" t="e">
        <f>E24/E23</f>
        <v>#DIV/0!</v>
      </c>
      <c r="F25" s="99" t="e">
        <f t="shared" ref="F25:AJ25" si="25">F24/F23</f>
        <v>#DIV/0!</v>
      </c>
      <c r="G25" s="99" t="e">
        <f t="shared" si="25"/>
        <v>#DIV/0!</v>
      </c>
      <c r="H25" s="116" t="e">
        <f t="shared" si="25"/>
        <v>#DIV/0!</v>
      </c>
      <c r="I25" s="116" t="e">
        <f t="shared" si="25"/>
        <v>#DIV/0!</v>
      </c>
      <c r="J25" s="116" t="e">
        <f t="shared" si="25"/>
        <v>#DIV/0!</v>
      </c>
      <c r="K25" s="116" t="e">
        <f t="shared" si="25"/>
        <v>#DIV/0!</v>
      </c>
      <c r="L25" s="116" t="e">
        <f t="shared" si="25"/>
        <v>#DIV/0!</v>
      </c>
      <c r="M25" s="116" t="e">
        <f t="shared" si="25"/>
        <v>#DIV/0!</v>
      </c>
      <c r="N25" s="116" t="e">
        <f t="shared" si="25"/>
        <v>#DIV/0!</v>
      </c>
      <c r="O25" s="116" t="e">
        <f t="shared" si="25"/>
        <v>#DIV/0!</v>
      </c>
      <c r="P25" s="116" t="e">
        <f t="shared" si="25"/>
        <v>#DIV/0!</v>
      </c>
      <c r="Q25" s="116">
        <f t="shared" si="25"/>
        <v>0.59874237935649166</v>
      </c>
      <c r="R25" s="401">
        <f t="shared" si="25"/>
        <v>0.29104052523819868</v>
      </c>
      <c r="S25" s="402">
        <f t="shared" si="25"/>
        <v>0.38328777151223303</v>
      </c>
      <c r="T25" s="402">
        <f t="shared" si="25"/>
        <v>0.28671691811454131</v>
      </c>
      <c r="U25" s="402">
        <f t="shared" si="25"/>
        <v>0.5207167122284877</v>
      </c>
      <c r="V25" s="402">
        <f t="shared" si="25"/>
        <v>0.26310882271082664</v>
      </c>
      <c r="W25" s="402">
        <f t="shared" si="25"/>
        <v>0.43469245755635955</v>
      </c>
      <c r="X25" s="402">
        <f t="shared" si="25"/>
        <v>0.3775246917907063</v>
      </c>
      <c r="Y25" s="402">
        <f t="shared" si="25"/>
        <v>0.40532980795992202</v>
      </c>
      <c r="Z25" s="402">
        <f t="shared" si="25"/>
        <v>0.72861159167395484</v>
      </c>
      <c r="AA25" s="402">
        <f t="shared" si="25"/>
        <v>0.47584086870681142</v>
      </c>
      <c r="AB25" s="402">
        <f t="shared" si="25"/>
        <v>0.68450168898181485</v>
      </c>
      <c r="AC25" s="402">
        <f t="shared" si="25"/>
        <v>0.7516135491752608</v>
      </c>
      <c r="AD25" s="402">
        <f t="shared" si="25"/>
        <v>0.43124864754288844</v>
      </c>
      <c r="AE25" s="402">
        <f t="shared" si="25"/>
        <v>0.6381404927526918</v>
      </c>
      <c r="AF25" s="402">
        <f t="shared" si="25"/>
        <v>0.45682143190419483</v>
      </c>
      <c r="AG25" s="402">
        <f t="shared" si="25"/>
        <v>0.41657813681918487</v>
      </c>
      <c r="AH25" s="402">
        <f t="shared" si="25"/>
        <v>0.44721572026554468</v>
      </c>
      <c r="AI25" s="402">
        <f t="shared" si="25"/>
        <v>0.53630633522663629</v>
      </c>
      <c r="AJ25" s="402">
        <f t="shared" si="25"/>
        <v>0.46989519456312495</v>
      </c>
      <c r="AK25" s="402">
        <f>AK24/AK23</f>
        <v>0.47596328877952088</v>
      </c>
      <c r="AL25" s="402">
        <f>AL24/AL23</f>
        <v>0.50594763930725006</v>
      </c>
      <c r="AM25" s="402">
        <f>AM24/AM23</f>
        <v>0.51216754363517203</v>
      </c>
      <c r="AN25" s="402">
        <f>AN24/AN23</f>
        <v>0.53301253988587083</v>
      </c>
      <c r="AO25" s="402">
        <f>AO24/AO23</f>
        <v>0.52888056235254532</v>
      </c>
      <c r="AP25" s="656" t="s">
        <v>284</v>
      </c>
      <c r="AQ25" s="38"/>
      <c r="AR25" s="31"/>
      <c r="AS25" s="31"/>
      <c r="AT25" s="31"/>
    </row>
    <row r="26" spans="1:46" ht="17" thickBot="1">
      <c r="A26" s="560" t="s">
        <v>214</v>
      </c>
      <c r="B26" s="561"/>
      <c r="C26" s="562"/>
      <c r="D26" s="563"/>
      <c r="E26" s="31"/>
      <c r="F26" s="31"/>
      <c r="G26" s="217">
        <v>43678</v>
      </c>
      <c r="H26" s="217">
        <v>43698</v>
      </c>
      <c r="I26" s="31"/>
      <c r="J26" s="31"/>
      <c r="K26" s="31"/>
      <c r="L26" s="271">
        <f t="shared" ref="L26:Q26" si="26">L30/1000</f>
        <v>0</v>
      </c>
      <c r="M26" s="271">
        <f t="shared" si="26"/>
        <v>0</v>
      </c>
      <c r="N26" s="271">
        <f t="shared" si="26"/>
        <v>0</v>
      </c>
      <c r="O26" s="271">
        <f t="shared" si="26"/>
        <v>0</v>
      </c>
      <c r="P26" s="271">
        <f t="shared" si="26"/>
        <v>0</v>
      </c>
      <c r="Q26" s="271">
        <f t="shared" si="26"/>
        <v>0</v>
      </c>
      <c r="R26" s="271"/>
      <c r="S26" s="271"/>
      <c r="T26" s="271"/>
      <c r="U26" s="271"/>
      <c r="V26" s="271"/>
      <c r="W26" s="271"/>
      <c r="X26" s="271"/>
      <c r="Y26" s="271"/>
      <c r="Z26" s="271"/>
      <c r="AA26" s="271"/>
      <c r="AB26" s="271"/>
      <c r="AC26" s="271"/>
      <c r="AD26" s="271"/>
      <c r="AE26" s="271"/>
      <c r="AF26" s="271"/>
      <c r="AG26" s="271"/>
      <c r="AH26" s="271"/>
      <c r="AI26" s="271"/>
      <c r="AJ26" s="271"/>
      <c r="AK26" s="271"/>
      <c r="AL26" s="271"/>
      <c r="AM26" s="271"/>
      <c r="AN26" s="271"/>
      <c r="AO26" s="271"/>
      <c r="AP26" s="38"/>
      <c r="AQ26" s="38"/>
      <c r="AR26" s="31"/>
      <c r="AS26" s="31"/>
      <c r="AT26" s="31"/>
    </row>
    <row r="27" spans="1:46" s="75" customFormat="1" ht="16" thickBot="1">
      <c r="A27" s="695" t="s">
        <v>32</v>
      </c>
      <c r="B27" s="696"/>
      <c r="C27" s="564"/>
      <c r="D27" s="565"/>
      <c r="E27" s="77">
        <v>43587</v>
      </c>
      <c r="F27" s="78">
        <v>43618</v>
      </c>
      <c r="G27" s="78">
        <v>43648</v>
      </c>
      <c r="H27" s="78">
        <v>43679</v>
      </c>
      <c r="I27" s="229">
        <v>43710</v>
      </c>
      <c r="J27" s="229">
        <v>43740</v>
      </c>
      <c r="K27" s="78">
        <v>43771</v>
      </c>
      <c r="L27" s="257">
        <v>43801</v>
      </c>
      <c r="M27" s="229">
        <v>43832</v>
      </c>
      <c r="N27" s="229">
        <v>43863</v>
      </c>
      <c r="O27" s="78">
        <v>43892</v>
      </c>
      <c r="P27" s="78">
        <v>43923</v>
      </c>
      <c r="Q27" s="78">
        <v>43953</v>
      </c>
      <c r="R27" s="229">
        <v>43984</v>
      </c>
      <c r="S27" s="229">
        <v>44014</v>
      </c>
      <c r="T27" s="229">
        <v>44045</v>
      </c>
      <c r="U27" s="229">
        <v>44076</v>
      </c>
      <c r="V27" s="229">
        <v>44106</v>
      </c>
      <c r="W27" s="229">
        <v>44137</v>
      </c>
      <c r="X27" s="229">
        <v>44167</v>
      </c>
      <c r="Y27" s="229">
        <v>44198</v>
      </c>
      <c r="Z27" s="229">
        <f t="shared" ref="Z27:AL27" si="27">Z3</f>
        <v>44229</v>
      </c>
      <c r="AA27" s="229">
        <f t="shared" si="27"/>
        <v>44257</v>
      </c>
      <c r="AB27" s="229">
        <f t="shared" si="27"/>
        <v>44288</v>
      </c>
      <c r="AC27" s="229">
        <f t="shared" si="27"/>
        <v>44318</v>
      </c>
      <c r="AD27" s="229">
        <f t="shared" si="27"/>
        <v>44349</v>
      </c>
      <c r="AE27" s="229">
        <f t="shared" si="27"/>
        <v>44379</v>
      </c>
      <c r="AF27" s="229">
        <f t="shared" si="27"/>
        <v>44410</v>
      </c>
      <c r="AG27" s="229">
        <f t="shared" si="27"/>
        <v>44441</v>
      </c>
      <c r="AH27" s="229">
        <f t="shared" si="27"/>
        <v>44471</v>
      </c>
      <c r="AI27" s="229">
        <f t="shared" si="27"/>
        <v>44502</v>
      </c>
      <c r="AJ27" s="229">
        <f t="shared" si="27"/>
        <v>44532</v>
      </c>
      <c r="AK27" s="229">
        <f t="shared" si="27"/>
        <v>44563</v>
      </c>
      <c r="AL27" s="229">
        <f t="shared" si="27"/>
        <v>44594</v>
      </c>
      <c r="AM27" s="229">
        <f t="shared" ref="AM27:AN27" si="28">AM3</f>
        <v>44622</v>
      </c>
      <c r="AN27" s="229">
        <f t="shared" si="28"/>
        <v>44653</v>
      </c>
      <c r="AO27" s="229">
        <f t="shared" ref="AO27" si="29">AO3</f>
        <v>44683</v>
      </c>
      <c r="AP27" s="31"/>
      <c r="AQ27" s="73"/>
      <c r="AR27" s="74"/>
      <c r="AS27" s="74"/>
      <c r="AT27" s="74"/>
    </row>
    <row r="28" spans="1:46">
      <c r="A28" s="566" t="s">
        <v>3</v>
      </c>
      <c r="B28" s="567"/>
      <c r="C28" s="568"/>
      <c r="D28" s="569"/>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38"/>
      <c r="AQ28" s="38"/>
      <c r="AR28" s="31"/>
      <c r="AS28" s="31"/>
      <c r="AT28" s="31"/>
    </row>
    <row r="29" spans="1:46">
      <c r="A29" s="570" t="s">
        <v>187</v>
      </c>
      <c r="B29" s="571"/>
      <c r="C29" s="572"/>
      <c r="D29" s="573" t="s">
        <v>44</v>
      </c>
      <c r="E29" s="82"/>
      <c r="F29" s="82"/>
      <c r="G29" s="82"/>
      <c r="H29" s="83"/>
      <c r="I29" s="82"/>
      <c r="J29" s="83"/>
      <c r="K29" s="82"/>
      <c r="L29" s="82"/>
      <c r="M29" s="82"/>
      <c r="N29" s="82"/>
      <c r="O29" s="82"/>
      <c r="P29" s="82"/>
      <c r="Q29" s="82"/>
      <c r="R29" s="82"/>
      <c r="S29" s="82"/>
      <c r="T29" s="82"/>
      <c r="U29" s="82"/>
      <c r="V29" s="82"/>
      <c r="W29" s="82"/>
      <c r="X29" s="82"/>
      <c r="Y29" s="358">
        <v>11502</v>
      </c>
      <c r="Z29" s="358">
        <v>11502.000000000002</v>
      </c>
      <c r="AA29" s="358">
        <v>11502.000000000002</v>
      </c>
      <c r="AB29" s="358">
        <v>11502.000000000002</v>
      </c>
      <c r="AC29" s="358">
        <v>11502.000000000002</v>
      </c>
      <c r="AD29" s="358">
        <v>11502.000000000002</v>
      </c>
      <c r="AE29" s="358">
        <v>11502.000000000002</v>
      </c>
      <c r="AF29" s="358">
        <v>11502.000000000002</v>
      </c>
      <c r="AG29" s="358">
        <v>11502.000000000002</v>
      </c>
      <c r="AH29" s="358">
        <v>11502.000000000002</v>
      </c>
      <c r="AI29" s="358">
        <v>11502.000000000002</v>
      </c>
      <c r="AJ29" s="358">
        <v>11502.000000000002</v>
      </c>
      <c r="AK29" s="358">
        <v>11502.000000000002</v>
      </c>
      <c r="AL29" s="358">
        <v>11502.000000000002</v>
      </c>
      <c r="AM29" s="358">
        <v>11502.000000000002</v>
      </c>
      <c r="AN29" s="358">
        <v>11502.000000000002</v>
      </c>
      <c r="AO29" s="358">
        <v>11502.000000000002</v>
      </c>
      <c r="AP29" s="38"/>
      <c r="AQ29" s="38"/>
      <c r="AR29" s="31"/>
      <c r="AS29" s="31"/>
      <c r="AT29" s="31"/>
    </row>
    <row r="30" spans="1:46">
      <c r="A30" s="570" t="s">
        <v>188</v>
      </c>
      <c r="B30" s="571"/>
      <c r="C30" s="572"/>
      <c r="D30" s="573" t="s">
        <v>44</v>
      </c>
      <c r="E30" s="90"/>
      <c r="F30" s="90"/>
      <c r="G30" s="90"/>
      <c r="H30" s="90"/>
      <c r="I30" s="90"/>
      <c r="J30" s="90"/>
      <c r="K30" s="90"/>
      <c r="L30" s="90"/>
      <c r="M30" s="90"/>
      <c r="N30" s="90"/>
      <c r="O30" s="90"/>
      <c r="P30" s="90"/>
      <c r="Q30" s="90"/>
      <c r="R30" s="90"/>
      <c r="S30" s="90"/>
      <c r="T30" s="90"/>
      <c r="U30" s="90"/>
      <c r="V30" s="90"/>
      <c r="W30" s="90"/>
      <c r="X30" s="90"/>
      <c r="Y30" s="90">
        <v>3245.94</v>
      </c>
      <c r="Z30" s="90">
        <f>Y30-Z31+(Z57-Z98-Z101)*1000</f>
        <v>3358.3049839286928</v>
      </c>
      <c r="AA30" s="90">
        <v>4658.3424000000005</v>
      </c>
      <c r="AB30" s="90">
        <v>9310.68</v>
      </c>
      <c r="AC30" s="90">
        <f t="shared" ref="AC30:AN30" si="30">AB30-AC31+(AC57-AC98-AC101)*1000</f>
        <v>6676.0551615507484</v>
      </c>
      <c r="AD30" s="90">
        <f t="shared" si="30"/>
        <v>674.05516155075293</v>
      </c>
      <c r="AE30" s="90">
        <f t="shared" si="30"/>
        <v>-36521.94483844925</v>
      </c>
      <c r="AF30" s="90">
        <f t="shared" si="30"/>
        <v>-36234.94483844925</v>
      </c>
      <c r="AG30" s="90">
        <f t="shared" si="30"/>
        <v>-67441.944838449243</v>
      </c>
      <c r="AH30" s="90">
        <f t="shared" si="30"/>
        <v>-117217.94483844924</v>
      </c>
      <c r="AI30" s="90">
        <f t="shared" si="30"/>
        <v>-134554.92044820535</v>
      </c>
      <c r="AJ30" s="90">
        <f t="shared" si="30"/>
        <v>-138732.94483844924</v>
      </c>
      <c r="AK30" s="90">
        <f t="shared" si="30"/>
        <v>-149171.96922869314</v>
      </c>
      <c r="AL30" s="90">
        <f t="shared" si="30"/>
        <v>-160342.70093601022</v>
      </c>
      <c r="AM30" s="90">
        <f t="shared" si="30"/>
        <v>-170781.72532625412</v>
      </c>
      <c r="AN30" s="90">
        <f t="shared" si="30"/>
        <v>-181464.6521555224</v>
      </c>
      <c r="AO30" s="90">
        <f>AN30-AO31+(AO57-AO98-AO101)*1000</f>
        <v>-191903.6765457663</v>
      </c>
      <c r="AP30" s="654" t="s">
        <v>285</v>
      </c>
      <c r="AQ30" s="38"/>
      <c r="AR30" s="31"/>
      <c r="AS30" s="31"/>
      <c r="AT30" s="31"/>
    </row>
    <row r="31" spans="1:46">
      <c r="A31" s="570" t="s">
        <v>199</v>
      </c>
      <c r="B31" s="571"/>
      <c r="C31" s="572"/>
      <c r="D31" s="573"/>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v>1000</v>
      </c>
      <c r="AD31" s="90">
        <v>1000</v>
      </c>
      <c r="AE31" s="90">
        <v>1000</v>
      </c>
      <c r="AF31" s="90">
        <v>1000</v>
      </c>
      <c r="AG31" s="90">
        <v>15000</v>
      </c>
      <c r="AH31" s="90">
        <v>15000</v>
      </c>
      <c r="AI31" s="90">
        <v>15000</v>
      </c>
      <c r="AJ31" s="90">
        <v>15000</v>
      </c>
      <c r="AK31" s="90">
        <v>15000</v>
      </c>
      <c r="AL31" s="90">
        <v>15000</v>
      </c>
      <c r="AM31" s="90">
        <v>15000</v>
      </c>
      <c r="AN31" s="90">
        <v>15000</v>
      </c>
      <c r="AO31" s="90">
        <v>15000</v>
      </c>
      <c r="AP31" s="38"/>
      <c r="AQ31" s="38"/>
      <c r="AR31" s="31"/>
      <c r="AS31" s="31"/>
      <c r="AT31" s="31"/>
    </row>
    <row r="32" spans="1:46" ht="16" thickBot="1">
      <c r="A32" s="574" t="s">
        <v>189</v>
      </c>
      <c r="B32" s="575"/>
      <c r="C32" s="576"/>
      <c r="D32" s="577" t="s">
        <v>45</v>
      </c>
      <c r="E32" s="99"/>
      <c r="F32" s="99"/>
      <c r="G32" s="99"/>
      <c r="H32" s="116"/>
      <c r="I32" s="116"/>
      <c r="J32" s="116"/>
      <c r="K32" s="116"/>
      <c r="L32" s="116"/>
      <c r="M32" s="116"/>
      <c r="N32" s="116"/>
      <c r="O32" s="116"/>
      <c r="P32" s="116"/>
      <c r="Q32" s="116"/>
      <c r="R32" s="116"/>
      <c r="S32" s="116"/>
      <c r="T32" s="116"/>
      <c r="U32" s="116"/>
      <c r="V32" s="116"/>
      <c r="W32" s="116"/>
      <c r="X32" s="116"/>
      <c r="Y32" s="116"/>
      <c r="Z32" s="556">
        <f t="shared" ref="Z32:AJ32" si="31">Z30/Z29</f>
        <v>0.29197574195172077</v>
      </c>
      <c r="AA32" s="556">
        <f t="shared" si="31"/>
        <v>0.40500281690140844</v>
      </c>
      <c r="AB32" s="556">
        <f t="shared" si="31"/>
        <v>0.80948356807511723</v>
      </c>
      <c r="AC32" s="556">
        <f t="shared" si="31"/>
        <v>0.58042559220576828</v>
      </c>
      <c r="AD32" s="556">
        <f t="shared" si="31"/>
        <v>5.8603300430425387E-2</v>
      </c>
      <c r="AE32" s="556">
        <f t="shared" si="31"/>
        <v>-3.1752690695921792</v>
      </c>
      <c r="AF32" s="556">
        <f t="shared" si="31"/>
        <v>-3.1503168873630014</v>
      </c>
      <c r="AG32" s="556">
        <f t="shared" si="31"/>
        <v>-5.8634972038297022</v>
      </c>
      <c r="AH32" s="556">
        <f t="shared" si="31"/>
        <v>-10.191092404664339</v>
      </c>
      <c r="AI32" s="556">
        <f t="shared" si="31"/>
        <v>-11.698393361867964</v>
      </c>
      <c r="AJ32" s="556">
        <f t="shared" si="31"/>
        <v>-12.061636657837699</v>
      </c>
      <c r="AK32" s="556">
        <f>AK30/AK29</f>
        <v>-12.969220068570085</v>
      </c>
      <c r="AL32" s="556">
        <f>AL30/AL29</f>
        <v>-13.940419138933246</v>
      </c>
      <c r="AM32" s="556">
        <f>AM30/AM29</f>
        <v>-14.848002549665631</v>
      </c>
      <c r="AN32" s="556">
        <f>AN30/AN29</f>
        <v>-15.776791180274941</v>
      </c>
      <c r="AO32" s="556">
        <f>AO30/AO29</f>
        <v>-16.684374591007327</v>
      </c>
      <c r="AP32" s="654" t="s">
        <v>286</v>
      </c>
      <c r="AQ32" s="38"/>
      <c r="AR32" s="31"/>
      <c r="AS32" s="31"/>
      <c r="AT32" s="31"/>
    </row>
    <row r="33" spans="1:46" ht="17" thickBot="1">
      <c r="A33" s="560" t="s">
        <v>190</v>
      </c>
      <c r="B33" s="561"/>
      <c r="C33" s="562"/>
      <c r="D33" s="563"/>
      <c r="E33" s="31"/>
      <c r="F33" s="31"/>
      <c r="G33" s="217">
        <v>43678</v>
      </c>
      <c r="H33" s="217">
        <v>43698</v>
      </c>
      <c r="I33" s="31"/>
      <c r="J33" s="31"/>
      <c r="K33" s="31"/>
      <c r="L33" s="271">
        <f t="shared" ref="L33:Q33" si="32">L37/1000</f>
        <v>0</v>
      </c>
      <c r="M33" s="271">
        <f t="shared" si="32"/>
        <v>0</v>
      </c>
      <c r="N33" s="271">
        <f t="shared" si="32"/>
        <v>0</v>
      </c>
      <c r="O33" s="271">
        <f t="shared" si="32"/>
        <v>0</v>
      </c>
      <c r="P33" s="271">
        <f t="shared" si="32"/>
        <v>0</v>
      </c>
      <c r="Q33" s="271">
        <f t="shared" si="32"/>
        <v>0</v>
      </c>
      <c r="R33" s="271"/>
      <c r="S33" s="271"/>
      <c r="T33" s="271"/>
      <c r="U33" s="271"/>
      <c r="V33" s="271"/>
      <c r="W33" s="271"/>
      <c r="X33" s="271"/>
      <c r="Y33" s="271"/>
      <c r="Z33" s="271"/>
      <c r="AA33" s="271"/>
      <c r="AB33" s="271"/>
      <c r="AC33" s="271"/>
      <c r="AD33" s="271"/>
      <c r="AE33" s="271"/>
      <c r="AF33" s="271"/>
      <c r="AG33" s="271"/>
      <c r="AH33" s="271"/>
      <c r="AI33" s="271"/>
      <c r="AJ33" s="271"/>
      <c r="AK33" s="271"/>
      <c r="AL33" s="271"/>
      <c r="AM33" s="271"/>
      <c r="AN33" s="271"/>
      <c r="AO33" s="271"/>
      <c r="AP33" s="38"/>
      <c r="AQ33" s="38"/>
      <c r="AR33" s="31"/>
      <c r="AS33" s="31"/>
      <c r="AT33" s="31"/>
    </row>
    <row r="34" spans="1:46" s="75" customFormat="1" ht="16" thickBot="1">
      <c r="A34" s="695" t="s">
        <v>32</v>
      </c>
      <c r="B34" s="696"/>
      <c r="C34" s="564"/>
      <c r="D34" s="565"/>
      <c r="E34" s="77">
        <v>43587</v>
      </c>
      <c r="F34" s="78">
        <v>43618</v>
      </c>
      <c r="G34" s="78">
        <v>43648</v>
      </c>
      <c r="H34" s="78">
        <v>43679</v>
      </c>
      <c r="I34" s="229">
        <v>43710</v>
      </c>
      <c r="J34" s="229">
        <v>43740</v>
      </c>
      <c r="K34" s="78">
        <v>43771</v>
      </c>
      <c r="L34" s="257">
        <v>43801</v>
      </c>
      <c r="M34" s="229">
        <v>43832</v>
      </c>
      <c r="N34" s="229">
        <v>43863</v>
      </c>
      <c r="O34" s="78">
        <v>43892</v>
      </c>
      <c r="P34" s="78">
        <v>43923</v>
      </c>
      <c r="Q34" s="78">
        <v>43953</v>
      </c>
      <c r="R34" s="229">
        <v>43984</v>
      </c>
      <c r="S34" s="229">
        <v>44014</v>
      </c>
      <c r="T34" s="229">
        <v>44045</v>
      </c>
      <c r="U34" s="229">
        <v>44076</v>
      </c>
      <c r="V34" s="229">
        <v>44106</v>
      </c>
      <c r="W34" s="229">
        <v>44137</v>
      </c>
      <c r="X34" s="229">
        <v>44167</v>
      </c>
      <c r="Y34" s="229">
        <v>44198</v>
      </c>
      <c r="Z34" s="229">
        <f t="shared" ref="Z34:AL34" si="33">Z3</f>
        <v>44229</v>
      </c>
      <c r="AA34" s="229">
        <f t="shared" si="33"/>
        <v>44257</v>
      </c>
      <c r="AB34" s="229">
        <f t="shared" si="33"/>
        <v>44288</v>
      </c>
      <c r="AC34" s="229">
        <f t="shared" si="33"/>
        <v>44318</v>
      </c>
      <c r="AD34" s="229">
        <f t="shared" si="33"/>
        <v>44349</v>
      </c>
      <c r="AE34" s="229">
        <f t="shared" si="33"/>
        <v>44379</v>
      </c>
      <c r="AF34" s="229">
        <f t="shared" si="33"/>
        <v>44410</v>
      </c>
      <c r="AG34" s="229">
        <f t="shared" si="33"/>
        <v>44441</v>
      </c>
      <c r="AH34" s="229">
        <f t="shared" si="33"/>
        <v>44471</v>
      </c>
      <c r="AI34" s="229">
        <f t="shared" si="33"/>
        <v>44502</v>
      </c>
      <c r="AJ34" s="229">
        <f t="shared" si="33"/>
        <v>44532</v>
      </c>
      <c r="AK34" s="229">
        <f t="shared" si="33"/>
        <v>44563</v>
      </c>
      <c r="AL34" s="229">
        <f t="shared" si="33"/>
        <v>44594</v>
      </c>
      <c r="AM34" s="229">
        <f t="shared" ref="AM34:AN34" si="34">AM3</f>
        <v>44622</v>
      </c>
      <c r="AN34" s="229">
        <f t="shared" si="34"/>
        <v>44653</v>
      </c>
      <c r="AO34" s="229">
        <f t="shared" ref="AO34" si="35">AO3</f>
        <v>44683</v>
      </c>
      <c r="AP34" s="31"/>
      <c r="AQ34" s="73"/>
      <c r="AR34" s="74"/>
      <c r="AS34" s="74"/>
      <c r="AT34" s="74"/>
    </row>
    <row r="35" spans="1:46">
      <c r="A35" s="566" t="s">
        <v>3</v>
      </c>
      <c r="B35" s="567"/>
      <c r="C35" s="568"/>
      <c r="D35" s="569"/>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38"/>
      <c r="AQ35" s="38"/>
      <c r="AR35" s="31"/>
      <c r="AS35" s="31"/>
      <c r="AT35" s="31"/>
    </row>
    <row r="36" spans="1:46">
      <c r="A36" s="570" t="s">
        <v>195</v>
      </c>
      <c r="B36" s="571"/>
      <c r="C36" s="572"/>
      <c r="D36" s="573" t="s">
        <v>44</v>
      </c>
      <c r="E36" s="82"/>
      <c r="F36" s="82"/>
      <c r="G36" s="82"/>
      <c r="H36" s="83"/>
      <c r="I36" s="82"/>
      <c r="J36" s="83"/>
      <c r="K36" s="82"/>
      <c r="L36" s="82"/>
      <c r="M36" s="82"/>
      <c r="N36" s="82"/>
      <c r="O36" s="82"/>
      <c r="P36" s="82"/>
      <c r="Q36" s="82"/>
      <c r="R36" s="82"/>
      <c r="S36" s="82"/>
      <c r="T36" s="82"/>
      <c r="U36" s="82"/>
      <c r="V36" s="82"/>
      <c r="W36" s="82"/>
      <c r="X36" s="82"/>
      <c r="Y36" s="82">
        <v>27302.400000000005</v>
      </c>
      <c r="Z36" s="267">
        <v>23468.400000000001</v>
      </c>
      <c r="AA36" s="267">
        <v>21319.200000000004</v>
      </c>
      <c r="AB36" s="358">
        <v>25153.22</v>
      </c>
      <c r="AC36" s="267">
        <v>25153.22</v>
      </c>
      <c r="AD36" s="267">
        <v>21319.200000000004</v>
      </c>
      <c r="AE36" s="267">
        <v>21319.200000000004</v>
      </c>
      <c r="AF36" s="358">
        <v>25153.200000000004</v>
      </c>
      <c r="AG36" s="358">
        <v>25153.200000000004</v>
      </c>
      <c r="AH36" s="267">
        <v>21319.200000000004</v>
      </c>
      <c r="AI36" s="267">
        <v>21319.200000000004</v>
      </c>
      <c r="AJ36" s="358">
        <v>25153.200000000004</v>
      </c>
      <c r="AK36" s="358">
        <v>25153.200000000004</v>
      </c>
      <c r="AL36" s="358">
        <v>25153.200000000004</v>
      </c>
      <c r="AM36" s="358">
        <v>25153.200000000004</v>
      </c>
      <c r="AN36" s="358">
        <v>25153.200000000004</v>
      </c>
      <c r="AO36" s="358">
        <v>25153.200000000004</v>
      </c>
      <c r="AP36" s="38"/>
      <c r="AQ36" s="38"/>
      <c r="AR36" s="31"/>
      <c r="AS36" s="31"/>
      <c r="AT36" s="31"/>
    </row>
    <row r="37" spans="1:46">
      <c r="A37" s="570" t="s">
        <v>191</v>
      </c>
      <c r="B37" s="571"/>
      <c r="C37" s="572"/>
      <c r="D37" s="573" t="s">
        <v>44</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Y37+Z17+Z31+((Z58+Z61+Z8-Z9+Z10-Z106-Z107-Z108-Z109-Z110-Z111-Z112-Z113-Z114-Z115-Z116-Z117-Z118-Z119-Z120-Z121-Z122-Z123-Z124-Z125-Z126-Z127-Z128-Z129-Z130-Z131-Z135-Z136-Z137-Z138-Z139-Z140-Z141-Z142-Z143-Z144-Z145-Z146-Z147-Z148-Z149-Z150-Z151)*1000)</f>
        <v>22121.533821546196</v>
      </c>
      <c r="AA37" s="90">
        <v>10959.325920000001</v>
      </c>
      <c r="AB37" s="90">
        <v>15779.880000000001</v>
      </c>
      <c r="AC37" s="90">
        <f t="shared" ref="AC37:AN37" si="36">AB37+AC17+AC31+((AC58+AC61+AC8-AC9+AC10-AC106-AC107-AC108-AC109-AC110-AC111-AC112-AC113-AC114-AC115-AC116-AC117-AC118-AC119-AC120-AC121-AC122-AC123-AC124-AC125-AC126-AC127-AC128-AC129-AC130-AC131-AC135-AC136-AC137-AC138-AC139-AC140-AC141-AC142-AC143-AC144-AC145-AC146-AC147-AC148-AC149-AC150-AC151)*1000)</f>
        <v>14727.790910682619</v>
      </c>
      <c r="AD37" s="90">
        <f t="shared" si="36"/>
        <v>7333.3290214172157</v>
      </c>
      <c r="AE37" s="90">
        <f t="shared" si="36"/>
        <v>51319.76765141722</v>
      </c>
      <c r="AF37" s="90">
        <f t="shared" si="36"/>
        <v>46833.111861417237</v>
      </c>
      <c r="AG37" s="90">
        <f t="shared" si="36"/>
        <v>76564.985831417231</v>
      </c>
      <c r="AH37" s="90">
        <f t="shared" si="36"/>
        <v>125749.38750866214</v>
      </c>
      <c r="AI37" s="90">
        <f t="shared" si="36"/>
        <v>146010.42401017921</v>
      </c>
      <c r="AJ37" s="90">
        <f t="shared" si="36"/>
        <v>149810.33324643286</v>
      </c>
      <c r="AK37" s="90">
        <f t="shared" si="36"/>
        <v>160471.78484379762</v>
      </c>
      <c r="AL37" s="90">
        <f t="shared" si="36"/>
        <v>172741.59891657875</v>
      </c>
      <c r="AM37" s="90">
        <f t="shared" si="36"/>
        <v>183408.61514394352</v>
      </c>
      <c r="AN37" s="90">
        <f t="shared" si="36"/>
        <v>194855.61947978041</v>
      </c>
      <c r="AO37" s="90">
        <f>AN37+AO17+AO31+((AO58+AO61+AO8-AO9+AO10-AO106-AO107-AO108-AO109-AO110-AO111-AO112-AO113-AO114-AO115-AO116-AO117-AO118-AO119-AO120-AO121-AO122-AO123-AO124-AO125-AO126-AO127-AO128-AO129-AO130-AO131-AO135-AO136-AO137-AO138-AO139-AO140-AO141-AO142-AO143-AO144-AO145-AO146-AO147-AO148-AO149-AO150-AO151)*1000)</f>
        <v>205143.18540714518</v>
      </c>
      <c r="AP37" s="654" t="s">
        <v>287</v>
      </c>
      <c r="AQ37" s="38"/>
      <c r="AR37" s="31"/>
      <c r="AS37" s="31"/>
      <c r="AT37" s="31"/>
    </row>
    <row r="38" spans="1:46" ht="16" thickBot="1">
      <c r="A38" s="574" t="s">
        <v>192</v>
      </c>
      <c r="B38" s="575"/>
      <c r="C38" s="576"/>
      <c r="D38" s="577" t="s">
        <v>45</v>
      </c>
      <c r="E38" s="99"/>
      <c r="F38" s="99"/>
      <c r="G38" s="99"/>
      <c r="H38" s="116"/>
      <c r="I38" s="116"/>
      <c r="J38" s="116"/>
      <c r="K38" s="116"/>
      <c r="L38" s="116"/>
      <c r="M38" s="116"/>
      <c r="N38" s="116"/>
      <c r="O38" s="116"/>
      <c r="P38" s="116"/>
      <c r="Q38" s="116"/>
      <c r="R38" s="116"/>
      <c r="S38" s="116"/>
      <c r="T38" s="116"/>
      <c r="U38" s="116"/>
      <c r="V38" s="116"/>
      <c r="W38" s="116"/>
      <c r="X38" s="116"/>
      <c r="Y38" s="116"/>
      <c r="Z38" s="402">
        <f t="shared" ref="Z38:AJ38" si="37">Z37/Z36</f>
        <v>0.94260937352125385</v>
      </c>
      <c r="AA38" s="402">
        <f t="shared" si="37"/>
        <v>0.51405896656534944</v>
      </c>
      <c r="AB38" s="402">
        <f t="shared" si="37"/>
        <v>0.6273502955088851</v>
      </c>
      <c r="AC38" s="402">
        <f t="shared" si="37"/>
        <v>0.58552308255891761</v>
      </c>
      <c r="AD38" s="402">
        <f t="shared" si="37"/>
        <v>0.34397768309398169</v>
      </c>
      <c r="AE38" s="402">
        <f t="shared" si="37"/>
        <v>2.4072088845461934</v>
      </c>
      <c r="AF38" s="402">
        <f t="shared" si="37"/>
        <v>1.8619146614115591</v>
      </c>
      <c r="AG38" s="402">
        <f t="shared" si="37"/>
        <v>3.043946131363692</v>
      </c>
      <c r="AH38" s="402">
        <f t="shared" si="37"/>
        <v>5.8984102362500526</v>
      </c>
      <c r="AI38" s="402">
        <f t="shared" si="37"/>
        <v>6.8487759395370924</v>
      </c>
      <c r="AJ38" s="402">
        <f t="shared" si="37"/>
        <v>5.9559154797971168</v>
      </c>
      <c r="AK38" s="402">
        <f>AK37/AK36</f>
        <v>6.3797761256538967</v>
      </c>
      <c r="AL38" s="402">
        <f>AL37/AL36</f>
        <v>6.8675794299166197</v>
      </c>
      <c r="AM38" s="402">
        <f>AM37/AM36</f>
        <v>7.29166130527899</v>
      </c>
      <c r="AN38" s="402">
        <f>AN37/AN36</f>
        <v>7.7467526787756773</v>
      </c>
      <c r="AO38" s="402">
        <f>AO37/AO36</f>
        <v>8.1557489864965547</v>
      </c>
      <c r="AP38" s="654" t="s">
        <v>288</v>
      </c>
      <c r="AQ38" s="38"/>
      <c r="AR38" s="31"/>
      <c r="AS38" s="31"/>
      <c r="AT38" s="31"/>
    </row>
    <row r="39" spans="1:46" s="31" customFormat="1" ht="24">
      <c r="A39" s="39" t="s">
        <v>4</v>
      </c>
      <c r="B39" s="30"/>
    </row>
    <row r="40" spans="1:46" s="31" customFormat="1" ht="16" thickBot="1">
      <c r="A40" s="40" t="s">
        <v>34</v>
      </c>
      <c r="B40" s="30"/>
    </row>
    <row r="41" spans="1:46" s="75" customFormat="1" ht="16" thickBot="1">
      <c r="A41" s="690" t="s">
        <v>32</v>
      </c>
      <c r="B41" s="691"/>
      <c r="C41" s="691" t="s">
        <v>33</v>
      </c>
      <c r="D41" s="692"/>
      <c r="E41" s="78">
        <f t="shared" ref="E41:AL41" si="38">E3</f>
        <v>43587</v>
      </c>
      <c r="F41" s="78">
        <f t="shared" si="38"/>
        <v>43618</v>
      </c>
      <c r="G41" s="78">
        <f t="shared" si="38"/>
        <v>43648</v>
      </c>
      <c r="H41" s="78">
        <f t="shared" si="38"/>
        <v>43679</v>
      </c>
      <c r="I41" s="78">
        <f t="shared" si="38"/>
        <v>43710</v>
      </c>
      <c r="J41" s="78">
        <f t="shared" si="38"/>
        <v>43740</v>
      </c>
      <c r="K41" s="78">
        <f t="shared" si="38"/>
        <v>43771</v>
      </c>
      <c r="L41" s="78">
        <f t="shared" si="38"/>
        <v>43801</v>
      </c>
      <c r="M41" s="78">
        <f t="shared" si="38"/>
        <v>43832</v>
      </c>
      <c r="N41" s="78">
        <f t="shared" si="38"/>
        <v>43863</v>
      </c>
      <c r="O41" s="78">
        <f t="shared" si="38"/>
        <v>43892</v>
      </c>
      <c r="P41" s="78">
        <f t="shared" si="38"/>
        <v>43923</v>
      </c>
      <c r="Q41" s="78">
        <f t="shared" si="38"/>
        <v>43953</v>
      </c>
      <c r="R41" s="78">
        <f t="shared" si="38"/>
        <v>43984</v>
      </c>
      <c r="S41" s="78">
        <f t="shared" si="38"/>
        <v>44014</v>
      </c>
      <c r="T41" s="78">
        <f t="shared" si="38"/>
        <v>44045</v>
      </c>
      <c r="U41" s="78">
        <f t="shared" si="38"/>
        <v>44076</v>
      </c>
      <c r="V41" s="78">
        <f t="shared" si="38"/>
        <v>44106</v>
      </c>
      <c r="W41" s="78">
        <f t="shared" si="38"/>
        <v>44137</v>
      </c>
      <c r="X41" s="78">
        <f t="shared" si="38"/>
        <v>44167</v>
      </c>
      <c r="Y41" s="78">
        <f t="shared" si="38"/>
        <v>44198</v>
      </c>
      <c r="Z41" s="78">
        <f t="shared" si="38"/>
        <v>44229</v>
      </c>
      <c r="AA41" s="78">
        <f t="shared" si="38"/>
        <v>44257</v>
      </c>
      <c r="AB41" s="78">
        <f t="shared" si="38"/>
        <v>44288</v>
      </c>
      <c r="AC41" s="78">
        <f t="shared" si="38"/>
        <v>44318</v>
      </c>
      <c r="AD41" s="78">
        <f t="shared" si="38"/>
        <v>44349</v>
      </c>
      <c r="AE41" s="78">
        <f t="shared" si="38"/>
        <v>44379</v>
      </c>
      <c r="AF41" s="78">
        <f t="shared" si="38"/>
        <v>44410</v>
      </c>
      <c r="AG41" s="78">
        <f t="shared" si="38"/>
        <v>44441</v>
      </c>
      <c r="AH41" s="78">
        <f t="shared" si="38"/>
        <v>44471</v>
      </c>
      <c r="AI41" s="78">
        <f t="shared" si="38"/>
        <v>44502</v>
      </c>
      <c r="AJ41" s="78">
        <f t="shared" si="38"/>
        <v>44532</v>
      </c>
      <c r="AK41" s="78">
        <f t="shared" si="38"/>
        <v>44563</v>
      </c>
      <c r="AL41" s="78">
        <f t="shared" si="38"/>
        <v>44594</v>
      </c>
      <c r="AM41" s="78">
        <f t="shared" ref="AM41:AN41" si="39">AM3</f>
        <v>44622</v>
      </c>
      <c r="AN41" s="600">
        <f t="shared" si="39"/>
        <v>44653</v>
      </c>
      <c r="AO41" s="600">
        <f t="shared" ref="AO41" si="40">AO3</f>
        <v>44683</v>
      </c>
      <c r="AP41" s="73"/>
      <c r="AQ41" s="74"/>
      <c r="AR41" s="74"/>
      <c r="AS41" s="74"/>
      <c r="AT41" s="74"/>
    </row>
    <row r="42" spans="1:46" s="75" customFormat="1">
      <c r="A42" s="41" t="s">
        <v>133</v>
      </c>
      <c r="B42" s="42"/>
      <c r="C42" s="684" t="s">
        <v>212</v>
      </c>
      <c r="D42" s="685"/>
      <c r="E42" s="359"/>
      <c r="F42" s="359"/>
      <c r="G42" s="359"/>
      <c r="H42" s="359"/>
      <c r="I42" s="359"/>
      <c r="J42" s="359"/>
      <c r="K42" s="359"/>
      <c r="L42" s="359"/>
      <c r="M42" s="359"/>
      <c r="N42" s="359"/>
      <c r="O42" s="359"/>
      <c r="P42" s="359"/>
      <c r="Q42" s="113"/>
      <c r="R42" s="372">
        <v>70.534090909090878</v>
      </c>
      <c r="S42" s="372">
        <v>73.725999999999999</v>
      </c>
      <c r="T42" s="372">
        <v>79.739999999999995</v>
      </c>
      <c r="U42" s="372">
        <v>75.221000000000004</v>
      </c>
      <c r="V42" s="372">
        <v>84.823999999999998</v>
      </c>
      <c r="W42" s="372">
        <v>81.861999999999995</v>
      </c>
      <c r="X42" s="372">
        <v>79.42</v>
      </c>
      <c r="Y42" s="372">
        <v>93.733999999999995</v>
      </c>
      <c r="Z42" s="372">
        <v>82.968179950302002</v>
      </c>
      <c r="AA42" s="372">
        <v>96.633323189846323</v>
      </c>
      <c r="AB42" s="613">
        <v>92.405205902591902</v>
      </c>
      <c r="AC42" s="372">
        <v>95</v>
      </c>
      <c r="AD42" s="372">
        <v>94.14</v>
      </c>
      <c r="AE42" s="372">
        <v>52.351963636363635</v>
      </c>
      <c r="AF42" s="372">
        <v>97.277999999999992</v>
      </c>
      <c r="AG42" s="372">
        <v>90.43</v>
      </c>
      <c r="AH42" s="372">
        <v>82.229233194009041</v>
      </c>
      <c r="AI42" s="372">
        <v>91.593115426765593</v>
      </c>
      <c r="AJ42" s="372">
        <v>93.892536959162683</v>
      </c>
      <c r="AK42" s="372">
        <v>93.892536959162683</v>
      </c>
      <c r="AL42" s="372">
        <v>84.806162414727595</v>
      </c>
      <c r="AM42" s="372">
        <v>93.892536959162683</v>
      </c>
      <c r="AN42" s="372">
        <v>90.863745444350997</v>
      </c>
      <c r="AO42" s="372">
        <v>90.863745444350997</v>
      </c>
      <c r="AP42" s="73"/>
      <c r="AQ42" s="74"/>
      <c r="AR42" s="74"/>
      <c r="AS42" s="74"/>
      <c r="AT42" s="74"/>
    </row>
    <row r="43" spans="1:46" s="75" customFormat="1">
      <c r="A43" s="43" t="s">
        <v>134</v>
      </c>
      <c r="B43" s="44"/>
      <c r="C43" s="693" t="s">
        <v>212</v>
      </c>
      <c r="D43" s="694"/>
      <c r="E43" s="359"/>
      <c r="F43" s="359"/>
      <c r="G43" s="359"/>
      <c r="H43" s="359"/>
      <c r="I43" s="359"/>
      <c r="J43" s="359"/>
      <c r="K43" s="359"/>
      <c r="L43" s="359"/>
      <c r="M43" s="359"/>
      <c r="N43" s="359"/>
      <c r="O43" s="359"/>
      <c r="P43" s="359"/>
      <c r="Q43" s="113"/>
      <c r="R43" s="372">
        <v>169.55890909090911</v>
      </c>
      <c r="S43" s="372">
        <f>S46-S42</f>
        <v>177.61747858181801</v>
      </c>
      <c r="T43" s="372">
        <v>191.2</v>
      </c>
      <c r="U43" s="372">
        <v>200.779</v>
      </c>
      <c r="V43" s="372">
        <v>203.572</v>
      </c>
      <c r="W43" s="372">
        <v>170.31</v>
      </c>
      <c r="X43" s="372">
        <v>158.72500000000002</v>
      </c>
      <c r="Y43" s="372">
        <v>183.55100000000004</v>
      </c>
      <c r="Z43" s="372">
        <v>163.03182004969801</v>
      </c>
      <c r="AA43" s="372">
        <v>188.8815558949461</v>
      </c>
      <c r="AB43" s="372">
        <v>183.15295573005574</v>
      </c>
      <c r="AC43" s="372">
        <v>192.15300000000002</v>
      </c>
      <c r="AD43" s="372">
        <v>183.41724537132683</v>
      </c>
      <c r="AE43" s="372">
        <v>157.42153636363639</v>
      </c>
      <c r="AF43" s="372">
        <v>196.292</v>
      </c>
      <c r="AG43" s="372">
        <v>181.51999999999998</v>
      </c>
      <c r="AH43" s="372">
        <v>173.11555520724488</v>
      </c>
      <c r="AI43" s="372">
        <v>188.64144570176094</v>
      </c>
      <c r="AJ43" s="372">
        <v>197.05315269600976</v>
      </c>
      <c r="AK43" s="372">
        <v>192.40315269600973</v>
      </c>
      <c r="AL43" s="372">
        <v>173.78349275768622</v>
      </c>
      <c r="AM43" s="372">
        <v>192.40315269600973</v>
      </c>
      <c r="AN43" s="372">
        <v>186.19659938323528</v>
      </c>
      <c r="AO43" s="372">
        <v>186.19659938323528</v>
      </c>
      <c r="AP43" s="73"/>
      <c r="AQ43" s="74"/>
      <c r="AR43" s="74"/>
      <c r="AS43" s="74"/>
      <c r="AT43" s="74"/>
    </row>
    <row r="44" spans="1:46" s="75" customFormat="1">
      <c r="A44" s="555" t="s">
        <v>197</v>
      </c>
      <c r="B44" s="44"/>
      <c r="C44" s="693" t="s">
        <v>212</v>
      </c>
      <c r="D44" s="694"/>
      <c r="E44" s="359"/>
      <c r="F44" s="359"/>
      <c r="G44" s="359"/>
      <c r="H44" s="359"/>
      <c r="I44" s="359"/>
      <c r="J44" s="359"/>
      <c r="K44" s="359"/>
      <c r="L44" s="359"/>
      <c r="M44" s="359"/>
      <c r="N44" s="359"/>
      <c r="O44" s="359"/>
      <c r="P44" s="359"/>
      <c r="Q44" s="113"/>
      <c r="R44" s="372"/>
      <c r="S44" s="372"/>
      <c r="T44" s="372"/>
      <c r="U44" s="372"/>
      <c r="V44" s="372"/>
      <c r="W44" s="372"/>
      <c r="X44" s="372"/>
      <c r="Y44" s="372"/>
      <c r="Z44" s="372"/>
      <c r="AA44" s="372">
        <v>46.344512195121951</v>
      </c>
      <c r="AB44" s="372">
        <v>56.996333333333332</v>
      </c>
      <c r="AC44" s="372">
        <v>40.486000000000004</v>
      </c>
      <c r="AD44" s="372">
        <v>40.462994052877605</v>
      </c>
      <c r="AE44" s="372">
        <v>40.299999999999997</v>
      </c>
      <c r="AF44" s="372">
        <v>42.78</v>
      </c>
      <c r="AG44" s="372">
        <v>31.050000000000004</v>
      </c>
      <c r="AH44" s="372">
        <v>19.5</v>
      </c>
      <c r="AI44" s="372">
        <v>39.439024390243901</v>
      </c>
      <c r="AJ44" s="372">
        <v>41.6609756097561</v>
      </c>
      <c r="AK44" s="372">
        <v>41.6609756097561</v>
      </c>
      <c r="AL44" s="372">
        <v>37.629268292682923</v>
      </c>
      <c r="AM44" s="372">
        <v>41.6609756097561</v>
      </c>
      <c r="AN44" s="372">
        <v>40.31707317073171</v>
      </c>
      <c r="AO44" s="372">
        <v>40.31707317073171</v>
      </c>
      <c r="AP44" s="73"/>
      <c r="AQ44" s="74"/>
      <c r="AR44" s="74"/>
      <c r="AS44" s="74"/>
      <c r="AT44" s="74"/>
    </row>
    <row r="45" spans="1:46" s="75" customFormat="1">
      <c r="A45" s="555" t="s">
        <v>198</v>
      </c>
      <c r="B45" s="44"/>
      <c r="C45" s="693" t="s">
        <v>212</v>
      </c>
      <c r="D45" s="694"/>
      <c r="E45" s="359"/>
      <c r="F45" s="359"/>
      <c r="G45" s="359"/>
      <c r="H45" s="359"/>
      <c r="I45" s="359"/>
      <c r="J45" s="359"/>
      <c r="K45" s="359"/>
      <c r="L45" s="359"/>
      <c r="M45" s="359"/>
      <c r="N45" s="359"/>
      <c r="O45" s="359"/>
      <c r="P45" s="359"/>
      <c r="Q45" s="113"/>
      <c r="R45" s="372"/>
      <c r="S45" s="372"/>
      <c r="T45" s="372"/>
      <c r="U45" s="372"/>
      <c r="V45" s="372"/>
      <c r="W45" s="372"/>
      <c r="X45" s="372"/>
      <c r="Y45" s="372"/>
      <c r="Z45" s="372"/>
      <c r="AA45" s="372">
        <v>142.53704369982415</v>
      </c>
      <c r="AB45" s="372">
        <v>125.18600000000001</v>
      </c>
      <c r="AC45" s="372">
        <v>150.679</v>
      </c>
      <c r="AD45" s="372">
        <v>142.95425131844922</v>
      </c>
      <c r="AE45" s="372">
        <v>117.12153636363637</v>
      </c>
      <c r="AF45" s="372">
        <v>153.512</v>
      </c>
      <c r="AG45" s="372">
        <v>150.47</v>
      </c>
      <c r="AH45" s="372">
        <v>153.61555520724488</v>
      </c>
      <c r="AI45" s="372">
        <v>149.20242131151704</v>
      </c>
      <c r="AJ45" s="372">
        <v>155.39217708625364</v>
      </c>
      <c r="AK45" s="372">
        <v>150.74217708625366</v>
      </c>
      <c r="AL45" s="372">
        <v>136.15422446500332</v>
      </c>
      <c r="AM45" s="372">
        <v>150.74217708625366</v>
      </c>
      <c r="AN45" s="372">
        <v>145.87952621250355</v>
      </c>
      <c r="AO45" s="372">
        <v>145.87952621250355</v>
      </c>
      <c r="AP45" s="73"/>
      <c r="AQ45" s="74"/>
      <c r="AR45" s="74"/>
      <c r="AS45" s="74"/>
      <c r="AT45" s="74"/>
    </row>
    <row r="46" spans="1:46" s="3" customFormat="1">
      <c r="A46" s="43" t="s">
        <v>132</v>
      </c>
      <c r="B46" s="35"/>
      <c r="C46" s="693" t="s">
        <v>212</v>
      </c>
      <c r="D46" s="694"/>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372">
        <v>239.1825882138433</v>
      </c>
      <c r="S46" s="372">
        <v>251.343478581818</v>
      </c>
      <c r="T46" s="372">
        <v>270.94</v>
      </c>
      <c r="U46" s="372">
        <v>276</v>
      </c>
      <c r="V46" s="372">
        <v>288.39600000000002</v>
      </c>
      <c r="W46" s="372">
        <v>252.172</v>
      </c>
      <c r="X46" s="372">
        <v>238.14500000000001</v>
      </c>
      <c r="Y46" s="372">
        <v>277.28500000000003</v>
      </c>
      <c r="Z46" s="372">
        <v>246</v>
      </c>
      <c r="AA46" s="372">
        <v>285.51487908479243</v>
      </c>
      <c r="AB46" s="613">
        <v>272.33308494533202</v>
      </c>
      <c r="AC46" s="372">
        <v>287.15300000000002</v>
      </c>
      <c r="AD46" s="372">
        <v>277.55724537132681</v>
      </c>
      <c r="AE46" s="372">
        <v>209.77350000000001</v>
      </c>
      <c r="AF46" s="372">
        <v>293.57</v>
      </c>
      <c r="AG46" s="372">
        <v>271.95</v>
      </c>
      <c r="AH46" s="372">
        <v>255.34478840125394</v>
      </c>
      <c r="AI46" s="372">
        <v>280.23456112852654</v>
      </c>
      <c r="AJ46" s="372">
        <v>290.94568965517243</v>
      </c>
      <c r="AK46" s="372">
        <v>286.2956896551724</v>
      </c>
      <c r="AL46" s="372">
        <v>258.58965517241381</v>
      </c>
      <c r="AM46" s="372">
        <v>286.2956896551724</v>
      </c>
      <c r="AN46" s="372">
        <v>277.06034482758628</v>
      </c>
      <c r="AO46" s="372">
        <v>277.06034482758628</v>
      </c>
      <c r="AP46" s="38"/>
      <c r="AQ46" s="31"/>
      <c r="AR46" s="31"/>
      <c r="AS46" s="31"/>
      <c r="AT46" s="31"/>
    </row>
    <row r="47" spans="1:46" s="3" customFormat="1">
      <c r="A47" s="43" t="s">
        <v>28</v>
      </c>
      <c r="B47" s="35"/>
      <c r="C47" s="682">
        <v>44295</v>
      </c>
      <c r="D47" s="683"/>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1.2</v>
      </c>
      <c r="AF47" s="113">
        <v>1.2</v>
      </c>
      <c r="AG47" s="113">
        <v>1.2</v>
      </c>
      <c r="AH47" s="113">
        <v>1.2</v>
      </c>
      <c r="AI47" s="113">
        <v>1.2</v>
      </c>
      <c r="AJ47" s="113">
        <v>1.2</v>
      </c>
      <c r="AK47" s="113">
        <v>0</v>
      </c>
      <c r="AL47" s="113">
        <v>0</v>
      </c>
      <c r="AM47" s="113">
        <v>0</v>
      </c>
      <c r="AN47" s="113">
        <v>0</v>
      </c>
      <c r="AO47" s="113">
        <v>0</v>
      </c>
      <c r="AP47" s="38"/>
      <c r="AQ47" s="31"/>
      <c r="AR47" s="31"/>
      <c r="AS47" s="31"/>
      <c r="AT47" s="31"/>
    </row>
    <row r="48" spans="1:46">
      <c r="A48" s="43" t="s">
        <v>0</v>
      </c>
      <c r="B48" s="35"/>
      <c r="C48" s="682">
        <v>44295</v>
      </c>
      <c r="D48" s="683"/>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38"/>
      <c r="AQ48" s="31"/>
      <c r="AR48" s="31"/>
      <c r="AS48" s="31"/>
      <c r="AT48" s="31"/>
    </row>
    <row r="49" spans="1:46">
      <c r="A49" s="43" t="s">
        <v>1</v>
      </c>
      <c r="B49" s="35"/>
      <c r="C49" s="682">
        <v>44302</v>
      </c>
      <c r="D49" s="683"/>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6.12</v>
      </c>
      <c r="AE49" s="58">
        <v>6.12</v>
      </c>
      <c r="AF49" s="58">
        <v>6.12</v>
      </c>
      <c r="AG49" s="58">
        <v>6.12</v>
      </c>
      <c r="AH49" s="58">
        <v>6.12</v>
      </c>
      <c r="AI49" s="58">
        <v>6.12</v>
      </c>
      <c r="AJ49" s="58">
        <v>6.12</v>
      </c>
      <c r="AK49" s="58">
        <v>6.12</v>
      </c>
      <c r="AL49" s="58">
        <v>6.12</v>
      </c>
      <c r="AM49" s="58">
        <v>6.12</v>
      </c>
      <c r="AN49" s="58">
        <v>6.12</v>
      </c>
      <c r="AO49" s="58">
        <v>6.12</v>
      </c>
      <c r="AP49" s="38"/>
      <c r="AQ49" s="31"/>
      <c r="AR49" s="31"/>
      <c r="AS49" s="31"/>
      <c r="AT49" s="31"/>
    </row>
    <row r="50" spans="1:46">
      <c r="A50" s="43" t="s">
        <v>27</v>
      </c>
      <c r="B50" s="35"/>
      <c r="C50" s="682">
        <v>44302</v>
      </c>
      <c r="D50" s="683"/>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v>5.55</v>
      </c>
      <c r="AH50" s="58">
        <v>5.7350000000000003</v>
      </c>
      <c r="AI50" s="58">
        <v>5.7350000000000003</v>
      </c>
      <c r="AJ50" s="58">
        <v>5.7350000000000003</v>
      </c>
      <c r="AK50" s="58">
        <v>5.7350000000000003</v>
      </c>
      <c r="AL50" s="58">
        <v>5.7350000000000003</v>
      </c>
      <c r="AM50" s="58">
        <v>5.7350000000000003</v>
      </c>
      <c r="AN50" s="58">
        <v>5.7350000000000003</v>
      </c>
      <c r="AO50" s="58">
        <v>5.7350000000000003</v>
      </c>
      <c r="AP50" s="38"/>
      <c r="AQ50" s="31"/>
      <c r="AR50" s="31"/>
      <c r="AS50" s="31"/>
      <c r="AT50" s="31"/>
    </row>
    <row r="51" spans="1:46" ht="16" thickBot="1">
      <c r="A51" s="51" t="s">
        <v>5</v>
      </c>
      <c r="B51" s="360"/>
      <c r="C51" s="678">
        <v>44289</v>
      </c>
      <c r="D51" s="697"/>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58">
        <v>8.99</v>
      </c>
      <c r="AF51" s="58">
        <v>14.66</v>
      </c>
      <c r="AG51" s="58">
        <v>15</v>
      </c>
      <c r="AH51" s="58">
        <v>15.5</v>
      </c>
      <c r="AI51" s="58">
        <v>15</v>
      </c>
      <c r="AJ51" s="58">
        <v>15.08</v>
      </c>
      <c r="AK51" s="58">
        <v>14.87</v>
      </c>
      <c r="AL51" s="58">
        <v>14</v>
      </c>
      <c r="AM51" s="58">
        <v>15.5</v>
      </c>
      <c r="AN51" s="58">
        <v>15</v>
      </c>
      <c r="AO51" s="58">
        <v>15</v>
      </c>
      <c r="AP51" s="38"/>
      <c r="AQ51" s="31"/>
      <c r="AR51" s="31"/>
      <c r="AS51" s="31"/>
      <c r="AT51" s="31"/>
    </row>
    <row r="52" spans="1:46" ht="16" thickBot="1">
      <c r="A52" s="680" t="s">
        <v>31</v>
      </c>
      <c r="B52" s="681"/>
      <c r="C52" s="681"/>
      <c r="D52" s="698"/>
      <c r="E52" s="59">
        <f>SUM(E46:E51)</f>
        <v>336.07599999999996</v>
      </c>
      <c r="F52" s="60">
        <f t="shared" ref="F52:Y52" si="41">SUM(F46:F51)</f>
        <v>348.84800000000001</v>
      </c>
      <c r="G52" s="60">
        <f t="shared" si="41"/>
        <v>377.517</v>
      </c>
      <c r="H52" s="60">
        <f t="shared" si="41"/>
        <v>371.96999999999997</v>
      </c>
      <c r="I52" s="60">
        <f t="shared" si="41"/>
        <v>372.5</v>
      </c>
      <c r="J52" s="60">
        <f t="shared" si="41"/>
        <v>362.6</v>
      </c>
      <c r="K52" s="60">
        <f t="shared" si="41"/>
        <v>352.35</v>
      </c>
      <c r="L52" s="60">
        <f t="shared" si="41"/>
        <v>358.21</v>
      </c>
      <c r="M52" s="60">
        <f t="shared" si="41"/>
        <v>338.53100000000001</v>
      </c>
      <c r="N52" s="60">
        <f t="shared" si="41"/>
        <v>314.61</v>
      </c>
      <c r="O52" s="60">
        <f t="shared" si="41"/>
        <v>350.30500000000006</v>
      </c>
      <c r="P52" s="60">
        <f t="shared" si="41"/>
        <v>333.35000000000008</v>
      </c>
      <c r="Q52" s="60">
        <f t="shared" si="41"/>
        <v>261.2</v>
      </c>
      <c r="R52" s="60">
        <f t="shared" si="41"/>
        <v>263.78258821384333</v>
      </c>
      <c r="S52" s="60">
        <f>SUM(S46:S51)</f>
        <v>284.84347858181803</v>
      </c>
      <c r="T52" s="60">
        <f>SUM(T46:T51)</f>
        <v>297.27999999999997</v>
      </c>
      <c r="U52" s="60">
        <f>SUM(U46:U51)</f>
        <v>306.62</v>
      </c>
      <c r="V52" s="60">
        <f t="shared" si="41"/>
        <v>318.67600000000004</v>
      </c>
      <c r="W52" s="60">
        <f t="shared" si="41"/>
        <v>290.13200000000001</v>
      </c>
      <c r="X52" s="60">
        <f t="shared" si="41"/>
        <v>279.91500000000002</v>
      </c>
      <c r="Y52" s="60">
        <f t="shared" si="41"/>
        <v>306.19499999999999</v>
      </c>
      <c r="Z52" s="60">
        <f t="shared" ref="Z52:AE52" si="42">SUM(Z46:Z51)</f>
        <v>272.63</v>
      </c>
      <c r="AA52" s="60">
        <f t="shared" si="42"/>
        <v>315.2348790847924</v>
      </c>
      <c r="AB52" s="60">
        <f t="shared" si="42"/>
        <v>300.71308494533201</v>
      </c>
      <c r="AC52" s="60">
        <f t="shared" si="42"/>
        <v>315.36799999999999</v>
      </c>
      <c r="AD52" s="60">
        <f t="shared" si="42"/>
        <v>304.37724537132681</v>
      </c>
      <c r="AE52" s="60">
        <f t="shared" si="42"/>
        <v>231.81850000000003</v>
      </c>
      <c r="AF52" s="60">
        <f t="shared" ref="AF52:AK52" si="43">SUM(AF46:AF51)</f>
        <v>321.28500000000003</v>
      </c>
      <c r="AG52" s="60">
        <f t="shared" si="43"/>
        <v>299.82</v>
      </c>
      <c r="AH52" s="60">
        <f t="shared" si="43"/>
        <v>283.89978840125394</v>
      </c>
      <c r="AI52" s="60">
        <f t="shared" si="43"/>
        <v>308.28956112852654</v>
      </c>
      <c r="AJ52" s="60">
        <f t="shared" si="43"/>
        <v>319.08068965517242</v>
      </c>
      <c r="AK52" s="60">
        <f t="shared" si="43"/>
        <v>313.02068965517242</v>
      </c>
      <c r="AL52" s="60">
        <f t="shared" ref="AL52:AM52" si="44">SUM(AL46:AL51)</f>
        <v>284.44465517241383</v>
      </c>
      <c r="AM52" s="60">
        <f t="shared" si="44"/>
        <v>313.65068965517241</v>
      </c>
      <c r="AN52" s="60">
        <f t="shared" ref="AN52" si="45">SUM(AN46:AN51)</f>
        <v>303.9153448275863</v>
      </c>
      <c r="AO52" s="60">
        <f>SUM(AO46:AO51)</f>
        <v>303.9153448275863</v>
      </c>
      <c r="AP52" s="654" t="s">
        <v>291</v>
      </c>
      <c r="AQ52" s="31"/>
      <c r="AR52" s="31"/>
      <c r="AS52" s="31"/>
      <c r="AT52" s="31"/>
    </row>
    <row r="53" spans="1:46" ht="16" thickBot="1">
      <c r="A53" s="40" t="s">
        <v>35</v>
      </c>
      <c r="B53" s="30"/>
      <c r="C53" s="31"/>
      <c r="D53" s="31"/>
      <c r="E53" s="31"/>
      <c r="F53" s="31"/>
      <c r="G53" s="31"/>
      <c r="H53" s="31"/>
      <c r="I53" s="31"/>
      <c r="J53" s="31"/>
      <c r="K53" s="31"/>
      <c r="L53" s="31"/>
      <c r="M53" s="270">
        <f>M59-M95-M101-M102-M103-M111-M112-M113-M114-M115-M116-M117-M118-M120-M121-M123-M124-M125-M126-M127-M128-M129-M130-M131</f>
        <v>118.10699999999997</v>
      </c>
      <c r="N53" s="270">
        <f>N59-N95-N101-N102-N103-N111-N112-N113-N114-N115-N116-N117-N118-N120-N121-N123-N124-N125-N126-N127-N128-N129-N130-N131</f>
        <v>139.47399999999999</v>
      </c>
      <c r="O53" s="270">
        <f>O59-O95-O101-O102-O103-O111-O112-O113-O114-O115-O116-O117-O118-O120-O121-O123-O124-O125-O126-O127-O128-O129-O130-O131</f>
        <v>140.74199999999999</v>
      </c>
      <c r="P53" s="270">
        <f>P59-P95-P101-P102-P103-P111-P112-P113-P114-P115-P116-P117-P118-P120-P121-P123-P124-P125-P126-P127-P128-P129-P130-P131</f>
        <v>89.700999999999979</v>
      </c>
      <c r="Q53" s="270">
        <f>Q59-Q95-Q101-Q102-Q103-Q111-Q112-Q113-Q114-Q115-Q116-Q117-Q118-Q120-Q121-Q123-Q124-Q125-Q126-Q127-Q128-Q129-Q130-Q131</f>
        <v>115.392</v>
      </c>
      <c r="R53" s="270">
        <f t="shared" ref="R53:AD53" si="46">R59-R95-R99-R101-R102-R103-R111-R112-R113-R114-R115-R116-R117-R118-R120-R121-R123-R124-R125-R126-R127-R128-R129-R130-R131</f>
        <v>90.575999999999993</v>
      </c>
      <c r="S53" s="362">
        <f t="shared" si="46"/>
        <v>104.07799999999997</v>
      </c>
      <c r="T53" s="362">
        <f t="shared" si="46"/>
        <v>105.9876373626374</v>
      </c>
      <c r="U53" s="362">
        <f>U59-U95-U99-U101-U102-U103-U111-U112-U113-U114-U115-U116-U117-U118-U120-U121-U123-U124-U125-U126-U127-U128-U129-U130-U131</f>
        <v>124.39</v>
      </c>
      <c r="V53" s="362">
        <f>V59-V95-V99-V101-V102-V103-V111-V112-V113-V114-V115-V116-V117-V118-V120-V121-V123-V124-V125-V126-V127-V128-V129-V130-V131</f>
        <v>118.44200000000002</v>
      </c>
      <c r="W53" s="362">
        <f t="shared" si="46"/>
        <v>108.9</v>
      </c>
      <c r="X53" s="362">
        <f t="shared" si="46"/>
        <v>106.32599999999999</v>
      </c>
      <c r="Y53" s="362">
        <f t="shared" si="46"/>
        <v>119.73485793868549</v>
      </c>
      <c r="Z53" s="362">
        <f t="shared" si="46"/>
        <v>88.984232274350305</v>
      </c>
      <c r="AA53" s="362">
        <f t="shared" si="46"/>
        <v>107.17399999999996</v>
      </c>
      <c r="AB53" s="362">
        <f t="shared" si="46"/>
        <v>102.68900000000004</v>
      </c>
      <c r="AC53" s="362">
        <f t="shared" si="46"/>
        <v>87.452999999999989</v>
      </c>
      <c r="AD53" s="362">
        <f t="shared" si="46"/>
        <v>94.40753811073462</v>
      </c>
      <c r="AE53" s="362">
        <f t="shared" ref="AE53:AK53" si="47">AE59-AE95-AE99-AE101-AE102-AE103-AE111-AE112-AE113-AE114-AE115-AE116-AE117-AE118-AE120-AE121-AE123-AE124-AE125-AE126-AE127-AE128-AE129-AE130-AE131</f>
        <v>38.312999999999981</v>
      </c>
      <c r="AF53" s="362">
        <f t="shared" si="47"/>
        <v>109.61199999999997</v>
      </c>
      <c r="AG53" s="362">
        <f t="shared" si="47"/>
        <v>93.673999999999978</v>
      </c>
      <c r="AH53" s="362">
        <f t="shared" si="47"/>
        <v>97.381788401253942</v>
      </c>
      <c r="AI53" s="362">
        <f t="shared" si="47"/>
        <v>101.89056112852654</v>
      </c>
      <c r="AJ53" s="362">
        <f t="shared" si="47"/>
        <v>119.79968965517239</v>
      </c>
      <c r="AK53" s="362">
        <f t="shared" si="47"/>
        <v>103.87281294284364</v>
      </c>
      <c r="AL53" s="362">
        <f t="shared" ref="AL53:AM53" si="48">AL59-AL95-AL99-AL101-AL102-AL103-AL111-AL112-AL113-AL114-AL115-AL116-AL117-AL118-AL120-AL121-AL123-AL124-AL125-AL126-AL127-AL128-AL129-AL130-AL131</f>
        <v>87.251572980633</v>
      </c>
      <c r="AM53" s="362">
        <f t="shared" si="48"/>
        <v>103.87281294284364</v>
      </c>
      <c r="AN53" s="362">
        <f t="shared" ref="AN53" si="49">AN59-AN95-AN99-AN101-AN102-AN103-AN111-AN112-AN113-AN114-AN115-AN116-AN117-AN118-AN120-AN121-AN123-AN124-AN125-AN126-AN127-AN128-AN129-AN130-AN131</f>
        <v>98.332399622106834</v>
      </c>
      <c r="AO53" s="362">
        <f>AO59-AO95-AO99-AO101-AO102-AO103-AO111-AO112-AO113-AO114-AO115-AO116-AO117-AO118-AO120-AO121-AO123-AO124-AO125-AO126-AO127-AO128-AO129-AO130-AO131</f>
        <v>103.87281294284324</v>
      </c>
      <c r="AP53" s="677" t="s">
        <v>320</v>
      </c>
      <c r="AQ53" s="31"/>
      <c r="AR53" s="31"/>
      <c r="AS53" s="31"/>
      <c r="AT53" s="31"/>
    </row>
    <row r="54" spans="1:46" s="75" customFormat="1" ht="16" thickBot="1">
      <c r="A54" s="690" t="s">
        <v>32</v>
      </c>
      <c r="B54" s="691"/>
      <c r="C54" s="691" t="s">
        <v>33</v>
      </c>
      <c r="D54" s="691"/>
      <c r="E54" s="77">
        <f t="shared" ref="E54:AL54" si="50">E3</f>
        <v>43587</v>
      </c>
      <c r="F54" s="78">
        <f t="shared" si="50"/>
        <v>43618</v>
      </c>
      <c r="G54" s="78">
        <f t="shared" si="50"/>
        <v>43648</v>
      </c>
      <c r="H54" s="78">
        <f t="shared" si="50"/>
        <v>43679</v>
      </c>
      <c r="I54" s="78">
        <f t="shared" si="50"/>
        <v>43710</v>
      </c>
      <c r="J54" s="78">
        <f t="shared" si="50"/>
        <v>43740</v>
      </c>
      <c r="K54" s="78">
        <f t="shared" si="50"/>
        <v>43771</v>
      </c>
      <c r="L54" s="78">
        <f t="shared" si="50"/>
        <v>43801</v>
      </c>
      <c r="M54" s="78">
        <f t="shared" si="50"/>
        <v>43832</v>
      </c>
      <c r="N54" s="78">
        <f t="shared" si="50"/>
        <v>43863</v>
      </c>
      <c r="O54" s="78">
        <f t="shared" si="50"/>
        <v>43892</v>
      </c>
      <c r="P54" s="78">
        <f t="shared" si="50"/>
        <v>43923</v>
      </c>
      <c r="Q54" s="78">
        <f t="shared" si="50"/>
        <v>43953</v>
      </c>
      <c r="R54" s="78">
        <f t="shared" si="50"/>
        <v>43984</v>
      </c>
      <c r="S54" s="78">
        <f t="shared" si="50"/>
        <v>44014</v>
      </c>
      <c r="T54" s="78">
        <f t="shared" si="50"/>
        <v>44045</v>
      </c>
      <c r="U54" s="78">
        <f t="shared" si="50"/>
        <v>44076</v>
      </c>
      <c r="V54" s="78">
        <f t="shared" si="50"/>
        <v>44106</v>
      </c>
      <c r="W54" s="78">
        <f t="shared" si="50"/>
        <v>44137</v>
      </c>
      <c r="X54" s="78">
        <f t="shared" si="50"/>
        <v>44167</v>
      </c>
      <c r="Y54" s="78">
        <f t="shared" si="50"/>
        <v>44198</v>
      </c>
      <c r="Z54" s="78">
        <f t="shared" si="50"/>
        <v>44229</v>
      </c>
      <c r="AA54" s="78">
        <f t="shared" si="50"/>
        <v>44257</v>
      </c>
      <c r="AB54" s="78">
        <f t="shared" si="50"/>
        <v>44288</v>
      </c>
      <c r="AC54" s="78">
        <f t="shared" si="50"/>
        <v>44318</v>
      </c>
      <c r="AD54" s="78">
        <f t="shared" si="50"/>
        <v>44349</v>
      </c>
      <c r="AE54" s="78">
        <f t="shared" si="50"/>
        <v>44379</v>
      </c>
      <c r="AF54" s="78">
        <f t="shared" si="50"/>
        <v>44410</v>
      </c>
      <c r="AG54" s="78">
        <f t="shared" si="50"/>
        <v>44441</v>
      </c>
      <c r="AH54" s="78">
        <f t="shared" si="50"/>
        <v>44471</v>
      </c>
      <c r="AI54" s="78">
        <f t="shared" si="50"/>
        <v>44502</v>
      </c>
      <c r="AJ54" s="78">
        <f t="shared" si="50"/>
        <v>44532</v>
      </c>
      <c r="AK54" s="78">
        <f t="shared" si="50"/>
        <v>44563</v>
      </c>
      <c r="AL54" s="78">
        <f t="shared" si="50"/>
        <v>44594</v>
      </c>
      <c r="AM54" s="78">
        <f t="shared" ref="AM54:AN54" si="51">AM3</f>
        <v>44622</v>
      </c>
      <c r="AN54" s="600">
        <f t="shared" si="51"/>
        <v>44653</v>
      </c>
      <c r="AO54" s="600">
        <f t="shared" ref="AO54" si="52">AO3</f>
        <v>44683</v>
      </c>
      <c r="AP54" s="73"/>
      <c r="AQ54" s="74"/>
      <c r="AR54" s="74"/>
      <c r="AS54" s="74"/>
      <c r="AT54" s="74"/>
    </row>
    <row r="55" spans="1:46" s="75" customFormat="1">
      <c r="A55" s="41" t="s">
        <v>133</v>
      </c>
      <c r="B55" s="42"/>
      <c r="C55" s="684" t="s">
        <v>217</v>
      </c>
      <c r="D55" s="685"/>
      <c r="E55" s="359"/>
      <c r="F55" s="359"/>
      <c r="G55" s="359"/>
      <c r="H55" s="359"/>
      <c r="I55" s="359"/>
      <c r="J55" s="359"/>
      <c r="K55" s="359"/>
      <c r="L55" s="359"/>
      <c r="M55" s="359"/>
      <c r="N55" s="359"/>
      <c r="O55" s="359"/>
      <c r="P55" s="359"/>
      <c r="Q55" s="218"/>
      <c r="R55" s="218">
        <v>70</v>
      </c>
      <c r="S55" s="218">
        <v>74.078409090909062</v>
      </c>
      <c r="T55" s="218">
        <v>80.5</v>
      </c>
      <c r="U55" s="218">
        <v>75.221000000000004</v>
      </c>
      <c r="V55" s="218">
        <v>85.72</v>
      </c>
      <c r="W55" s="218">
        <v>83.730999999999995</v>
      </c>
      <c r="X55" s="218">
        <v>85</v>
      </c>
      <c r="Y55" s="218">
        <v>93.219380729154906</v>
      </c>
      <c r="Z55" s="218">
        <v>85.441534018875444</v>
      </c>
      <c r="AA55" s="218">
        <v>98</v>
      </c>
      <c r="AB55" s="218">
        <v>86.9</v>
      </c>
      <c r="AC55" s="218">
        <v>89</v>
      </c>
      <c r="AD55" s="218">
        <v>92.25</v>
      </c>
      <c r="AE55" s="218">
        <v>52.35</v>
      </c>
      <c r="AF55" s="218">
        <v>97.277999999999992</v>
      </c>
      <c r="AG55" s="218">
        <v>91.830000000000013</v>
      </c>
      <c r="AH55" s="218">
        <v>89.929233194009043</v>
      </c>
      <c r="AI55" s="218">
        <v>91.593115426765593</v>
      </c>
      <c r="AJ55" s="218">
        <v>93.892536959162683</v>
      </c>
      <c r="AK55" s="218">
        <v>92.411425848051579</v>
      </c>
      <c r="AL55" s="218">
        <v>83.468384636949807</v>
      </c>
      <c r="AM55" s="218">
        <v>92.411425848051579</v>
      </c>
      <c r="AN55" s="218">
        <v>89.43041211101766</v>
      </c>
      <c r="AO55" s="218">
        <v>92.411425848051579</v>
      </c>
      <c r="AP55" s="73"/>
      <c r="AQ55" s="433"/>
      <c r="AR55" s="74"/>
      <c r="AS55" s="74"/>
      <c r="AT55" s="74"/>
    </row>
    <row r="56" spans="1:46" s="75" customFormat="1">
      <c r="A56" s="43" t="s">
        <v>134</v>
      </c>
      <c r="B56" s="44"/>
      <c r="C56" s="693" t="str">
        <f>C55</f>
        <v>Ability 6rev0_7May'21 (ฉบับแก้ไข)</v>
      </c>
      <c r="D56" s="694"/>
      <c r="E56" s="359"/>
      <c r="F56" s="359"/>
      <c r="G56" s="359"/>
      <c r="H56" s="359"/>
      <c r="I56" s="359"/>
      <c r="J56" s="359"/>
      <c r="K56" s="359"/>
      <c r="L56" s="359"/>
      <c r="M56" s="359"/>
      <c r="N56" s="359"/>
      <c r="O56" s="359"/>
      <c r="P56" s="359"/>
      <c r="Q56" s="218"/>
      <c r="R56" s="218">
        <f t="shared" ref="R56:W56" si="53">R59-R55</f>
        <v>168.5</v>
      </c>
      <c r="S56" s="218">
        <f t="shared" si="53"/>
        <v>176.52959090909093</v>
      </c>
      <c r="T56" s="218">
        <f t="shared" si="53"/>
        <v>189.8</v>
      </c>
      <c r="U56" s="218">
        <f t="shared" si="53"/>
        <v>200.779</v>
      </c>
      <c r="V56" s="218">
        <f t="shared" si="53"/>
        <v>194.08200000000002</v>
      </c>
      <c r="W56" s="218">
        <f t="shared" si="53"/>
        <v>171.96899999999999</v>
      </c>
      <c r="X56" s="218">
        <f t="shared" ref="X56:AL56" si="54">X59-X55</f>
        <v>182.7</v>
      </c>
      <c r="Y56" s="218">
        <f t="shared" si="54"/>
        <v>184.18247720953059</v>
      </c>
      <c r="Z56" s="559">
        <f t="shared" si="54"/>
        <v>168.89869825547487</v>
      </c>
      <c r="AA56" s="559">
        <f t="shared" si="54"/>
        <v>187</v>
      </c>
      <c r="AB56" s="559">
        <f t="shared" si="54"/>
        <v>177.6</v>
      </c>
      <c r="AC56" s="559">
        <f t="shared" si="54"/>
        <v>199.8</v>
      </c>
      <c r="AD56" s="559">
        <f t="shared" si="54"/>
        <v>186.14553811073461</v>
      </c>
      <c r="AE56" s="559">
        <f t="shared" si="54"/>
        <v>158.66</v>
      </c>
      <c r="AF56" s="559">
        <f t="shared" si="54"/>
        <v>195.982</v>
      </c>
      <c r="AG56" s="559">
        <f t="shared" si="54"/>
        <v>176.00999999999996</v>
      </c>
      <c r="AH56" s="559">
        <f t="shared" si="54"/>
        <v>165.41555520724489</v>
      </c>
      <c r="AI56" s="559">
        <f t="shared" si="54"/>
        <v>188.64144570176094</v>
      </c>
      <c r="AJ56" s="559">
        <f t="shared" si="54"/>
        <v>197.05315269600976</v>
      </c>
      <c r="AK56" s="559">
        <f t="shared" si="54"/>
        <v>189.23426380712084</v>
      </c>
      <c r="AL56" s="559">
        <f t="shared" si="54"/>
        <v>170.92127053546403</v>
      </c>
      <c r="AM56" s="559">
        <f t="shared" ref="AM56:AN56" si="55">AM59-AM55</f>
        <v>189.23426380712084</v>
      </c>
      <c r="AN56" s="559">
        <f t="shared" si="55"/>
        <v>183.12993271656862</v>
      </c>
      <c r="AO56" s="559">
        <f>AO59-AO55</f>
        <v>189.23426380712044</v>
      </c>
      <c r="AP56" s="649" t="s">
        <v>289</v>
      </c>
      <c r="AQ56" s="558"/>
      <c r="AR56" s="74"/>
      <c r="AS56" s="74"/>
      <c r="AT56" s="74"/>
    </row>
    <row r="57" spans="1:46" s="75" customFormat="1">
      <c r="A57" s="669" t="s">
        <v>197</v>
      </c>
      <c r="B57" s="44"/>
      <c r="C57" s="686" t="str">
        <f>C55</f>
        <v>Ability 6rev0_7May'21 (ฉบับแก้ไข)</v>
      </c>
      <c r="D57" s="687"/>
      <c r="E57" s="359"/>
      <c r="F57" s="359"/>
      <c r="G57" s="359"/>
      <c r="H57" s="359"/>
      <c r="I57" s="359"/>
      <c r="J57" s="359"/>
      <c r="K57" s="359"/>
      <c r="L57" s="359"/>
      <c r="M57" s="359"/>
      <c r="N57" s="359"/>
      <c r="O57" s="359"/>
      <c r="P57" s="359"/>
      <c r="Q57" s="218"/>
      <c r="R57" s="218"/>
      <c r="S57" s="218"/>
      <c r="T57" s="218"/>
      <c r="U57" s="218"/>
      <c r="V57" s="218"/>
      <c r="W57" s="218"/>
      <c r="X57" s="218"/>
      <c r="Y57" s="218"/>
      <c r="Z57" s="557">
        <v>38.612364983928693</v>
      </c>
      <c r="AA57" s="557">
        <v>43.169512195121946</v>
      </c>
      <c r="AB57" s="557">
        <v>56.726731707317072</v>
      </c>
      <c r="AC57" s="557">
        <v>71.565375161550747</v>
      </c>
      <c r="AD57" s="557">
        <v>52.03</v>
      </c>
      <c r="AE57" s="557">
        <v>40.92</v>
      </c>
      <c r="AF57" s="557">
        <v>48.05</v>
      </c>
      <c r="AG57" s="557">
        <v>31.740000000000002</v>
      </c>
      <c r="AH57" s="557">
        <v>15</v>
      </c>
      <c r="AI57" s="557">
        <v>39.439024390243901</v>
      </c>
      <c r="AJ57" s="557">
        <v>41.6609756097561</v>
      </c>
      <c r="AK57" s="557">
        <v>41.6609756097561</v>
      </c>
      <c r="AL57" s="557">
        <v>37.629268292682923</v>
      </c>
      <c r="AM57" s="557">
        <v>41.6609756097561</v>
      </c>
      <c r="AN57" s="557">
        <v>40.31707317073171</v>
      </c>
      <c r="AO57" s="557">
        <v>41.6609756097561</v>
      </c>
      <c r="AP57" s="73"/>
      <c r="AQ57" s="558"/>
      <c r="AR57" s="74"/>
      <c r="AS57" s="74"/>
      <c r="AT57" s="74"/>
    </row>
    <row r="58" spans="1:46" s="75" customFormat="1">
      <c r="A58" s="555" t="s">
        <v>198</v>
      </c>
      <c r="B58" s="44"/>
      <c r="C58" s="686" t="str">
        <f>C55</f>
        <v>Ability 6rev0_7May'21 (ฉบับแก้ไข)</v>
      </c>
      <c r="D58" s="687"/>
      <c r="E58" s="359"/>
      <c r="F58" s="359"/>
      <c r="G58" s="359"/>
      <c r="H58" s="359"/>
      <c r="I58" s="359"/>
      <c r="J58" s="359"/>
      <c r="K58" s="359"/>
      <c r="L58" s="359"/>
      <c r="M58" s="359"/>
      <c r="N58" s="359"/>
      <c r="O58" s="359"/>
      <c r="P58" s="359"/>
      <c r="Q58" s="218"/>
      <c r="R58" s="218"/>
      <c r="S58" s="218"/>
      <c r="T58" s="218"/>
      <c r="U58" s="218"/>
      <c r="V58" s="218"/>
      <c r="W58" s="218"/>
      <c r="X58" s="218"/>
      <c r="Y58" s="218"/>
      <c r="Z58" s="557">
        <v>130.2863332715462</v>
      </c>
      <c r="AA58" s="557">
        <v>148.70393375022635</v>
      </c>
      <c r="AB58" s="557">
        <v>123.2011473354232</v>
      </c>
      <c r="AC58" s="557">
        <v>122.08791091068261</v>
      </c>
      <c r="AD58" s="557">
        <v>134.11553811073458</v>
      </c>
      <c r="AE58" s="557">
        <v>117.74</v>
      </c>
      <c r="AF58" s="557">
        <v>147.93200000000002</v>
      </c>
      <c r="AG58" s="557">
        <v>144.26999999999998</v>
      </c>
      <c r="AH58" s="557">
        <v>150.41555520724489</v>
      </c>
      <c r="AI58" s="557">
        <v>149.20242131151704</v>
      </c>
      <c r="AJ58" s="557">
        <v>155.39217708625364</v>
      </c>
      <c r="AK58" s="557">
        <v>147.57328819736477</v>
      </c>
      <c r="AL58" s="557">
        <v>133.29200224278111</v>
      </c>
      <c r="AM58" s="557">
        <v>147.57328819736477</v>
      </c>
      <c r="AN58" s="557">
        <v>142.81285954583689</v>
      </c>
      <c r="AO58" s="557">
        <v>147.57328819736477</v>
      </c>
      <c r="AP58" s="73"/>
      <c r="AQ58" s="433"/>
      <c r="AR58" s="74"/>
      <c r="AS58" s="74"/>
      <c r="AT58" s="74"/>
    </row>
    <row r="59" spans="1:46" s="3" customFormat="1">
      <c r="A59" s="43" t="s">
        <v>132</v>
      </c>
      <c r="B59" s="44"/>
      <c r="C59" s="693" t="str">
        <f>C55</f>
        <v>Ability 6rev0_7May'21 (ฉบับแก้ไข)</v>
      </c>
      <c r="D59" s="694"/>
      <c r="E59" s="361">
        <v>290.613</v>
      </c>
      <c r="F59" s="117">
        <v>302.52800000000002</v>
      </c>
      <c r="G59" s="117">
        <v>320.20999999999998</v>
      </c>
      <c r="H59" s="69">
        <v>318.428</v>
      </c>
      <c r="I59" s="69">
        <v>304.23599999999999</v>
      </c>
      <c r="J59" s="218">
        <v>311</v>
      </c>
      <c r="K59" s="218">
        <v>316.3</v>
      </c>
      <c r="L59" s="258">
        <v>308.76</v>
      </c>
      <c r="M59" s="218">
        <v>274.16699999999997</v>
      </c>
      <c r="N59" s="218">
        <v>269</v>
      </c>
      <c r="O59" s="218">
        <v>299.5</v>
      </c>
      <c r="P59" s="339">
        <v>248.80099999999999</v>
      </c>
      <c r="Q59" s="218">
        <v>225</v>
      </c>
      <c r="R59" s="218">
        <v>238.5</v>
      </c>
      <c r="S59" s="218">
        <f>251.608-1</f>
        <v>250.608</v>
      </c>
      <c r="T59" s="218">
        <v>270.3</v>
      </c>
      <c r="U59" s="218">
        <v>276</v>
      </c>
      <c r="V59" s="218">
        <v>279.80200000000002</v>
      </c>
      <c r="W59" s="218">
        <v>255.7</v>
      </c>
      <c r="X59" s="258">
        <v>267.7</v>
      </c>
      <c r="Y59" s="218">
        <v>277.40185793868551</v>
      </c>
      <c r="Z59" s="218">
        <v>254.34023227435031</v>
      </c>
      <c r="AA59" s="218">
        <f>286-1</f>
        <v>285</v>
      </c>
      <c r="AB59" s="218">
        <v>264.5</v>
      </c>
      <c r="AC59" s="218">
        <v>288.8</v>
      </c>
      <c r="AD59" s="218">
        <v>278.39553811073461</v>
      </c>
      <c r="AE59" s="218">
        <v>211.01</v>
      </c>
      <c r="AF59" s="218">
        <v>293.26</v>
      </c>
      <c r="AG59" s="218">
        <v>267.83999999999997</v>
      </c>
      <c r="AH59" s="218">
        <v>255.34478840125394</v>
      </c>
      <c r="AI59" s="218">
        <v>280.23456112852654</v>
      </c>
      <c r="AJ59" s="218">
        <v>290.94568965517243</v>
      </c>
      <c r="AK59" s="218">
        <v>281.64568965517242</v>
      </c>
      <c r="AL59" s="218">
        <v>254.38965517241382</v>
      </c>
      <c r="AM59" s="218">
        <v>281.64568965517242</v>
      </c>
      <c r="AN59" s="218">
        <v>272.56034482758628</v>
      </c>
      <c r="AO59" s="218">
        <v>281.64568965517202</v>
      </c>
      <c r="AP59" s="392"/>
      <c r="AR59" s="31"/>
      <c r="AS59" s="31"/>
      <c r="AT59" s="31"/>
    </row>
    <row r="60" spans="1:46" s="3" customFormat="1">
      <c r="A60" s="43" t="s">
        <v>28</v>
      </c>
      <c r="B60" s="44"/>
      <c r="C60" s="682">
        <v>44327</v>
      </c>
      <c r="D60" s="683"/>
      <c r="E60" s="361"/>
      <c r="F60" s="117"/>
      <c r="G60" s="117"/>
      <c r="H60" s="69"/>
      <c r="I60" s="69"/>
      <c r="J60" s="218"/>
      <c r="K60" s="218"/>
      <c r="L60" s="258"/>
      <c r="M60" s="218"/>
      <c r="N60" s="218"/>
      <c r="O60" s="322">
        <v>0.68</v>
      </c>
      <c r="P60" s="319">
        <v>0.7</v>
      </c>
      <c r="Q60" s="319">
        <v>0.6</v>
      </c>
      <c r="R60" s="319">
        <v>0</v>
      </c>
      <c r="S60" s="319">
        <v>0.6</v>
      </c>
      <c r="T60" s="322">
        <v>0.6</v>
      </c>
      <c r="U60" s="322">
        <v>1.2</v>
      </c>
      <c r="V60" s="450">
        <v>0</v>
      </c>
      <c r="W60" s="450">
        <v>0.6</v>
      </c>
      <c r="X60" s="319">
        <v>1.88</v>
      </c>
      <c r="Y60" s="465">
        <v>0</v>
      </c>
      <c r="Z60" s="533">
        <v>2.4</v>
      </c>
      <c r="AA60" s="515">
        <v>1.2</v>
      </c>
      <c r="AB60" s="515">
        <v>1.2</v>
      </c>
      <c r="AC60" s="515">
        <v>1.2</v>
      </c>
      <c r="AD60" s="515">
        <v>1.2</v>
      </c>
      <c r="AE60" s="515">
        <v>0</v>
      </c>
      <c r="AF60" s="515">
        <v>1.2</v>
      </c>
      <c r="AG60" s="515">
        <v>1.2</v>
      </c>
      <c r="AH60" s="515">
        <v>1.2</v>
      </c>
      <c r="AI60" s="515">
        <v>1.2</v>
      </c>
      <c r="AJ60" s="515">
        <v>1.2</v>
      </c>
      <c r="AK60" s="516">
        <v>0</v>
      </c>
      <c r="AL60" s="516">
        <v>0</v>
      </c>
      <c r="AM60" s="516">
        <v>0</v>
      </c>
      <c r="AN60" s="516">
        <v>0</v>
      </c>
      <c r="AO60" s="516">
        <v>0</v>
      </c>
      <c r="AP60" s="38"/>
      <c r="AQ60" s="31"/>
      <c r="AR60" s="31"/>
      <c r="AS60" s="31"/>
      <c r="AT60" s="31"/>
    </row>
    <row r="61" spans="1:46">
      <c r="A61" s="43" t="s">
        <v>0</v>
      </c>
      <c r="B61" s="44"/>
      <c r="C61" s="682">
        <v>44327</v>
      </c>
      <c r="D61" s="683"/>
      <c r="E61" s="70">
        <v>15.573</v>
      </c>
      <c r="F61" s="93">
        <v>16</v>
      </c>
      <c r="G61" s="70">
        <v>21</v>
      </c>
      <c r="H61" s="93">
        <v>25</v>
      </c>
      <c r="I61" s="93">
        <v>25</v>
      </c>
      <c r="J61" s="93">
        <v>22</v>
      </c>
      <c r="K61" s="219">
        <v>23</v>
      </c>
      <c r="L61" s="219">
        <v>25</v>
      </c>
      <c r="M61" s="218">
        <f>23-3</f>
        <v>20</v>
      </c>
      <c r="N61" s="268">
        <v>18</v>
      </c>
      <c r="O61" s="258">
        <v>7</v>
      </c>
      <c r="P61" s="258">
        <v>2</v>
      </c>
      <c r="Q61" s="220">
        <v>6</v>
      </c>
      <c r="R61" s="220">
        <v>0</v>
      </c>
      <c r="S61" s="256">
        <v>4</v>
      </c>
      <c r="T61" s="256">
        <v>1.2</v>
      </c>
      <c r="U61" s="256">
        <v>0</v>
      </c>
      <c r="V61" s="256">
        <v>0</v>
      </c>
      <c r="W61" s="255">
        <v>13</v>
      </c>
      <c r="X61" s="255">
        <v>11.6</v>
      </c>
      <c r="Y61" s="255">
        <v>19</v>
      </c>
      <c r="Z61" s="255">
        <f>3+12</f>
        <v>15</v>
      </c>
      <c r="AA61" s="256">
        <v>0</v>
      </c>
      <c r="AB61" s="256">
        <v>2</v>
      </c>
      <c r="AC61" s="256">
        <v>0</v>
      </c>
      <c r="AD61" s="256">
        <v>0</v>
      </c>
      <c r="AE61" s="256">
        <v>0</v>
      </c>
      <c r="AF61" s="256">
        <v>0</v>
      </c>
      <c r="AG61" s="256">
        <v>0</v>
      </c>
      <c r="AH61" s="256">
        <v>0</v>
      </c>
      <c r="AI61" s="256">
        <v>0</v>
      </c>
      <c r="AJ61" s="256">
        <v>0</v>
      </c>
      <c r="AK61" s="256">
        <v>0</v>
      </c>
      <c r="AL61" s="256">
        <v>0</v>
      </c>
      <c r="AM61" s="256">
        <v>0</v>
      </c>
      <c r="AN61" s="256">
        <v>0</v>
      </c>
      <c r="AO61" s="256">
        <v>0</v>
      </c>
      <c r="AP61" s="38"/>
      <c r="AQ61" s="31"/>
      <c r="AR61" s="31"/>
      <c r="AS61" s="31"/>
      <c r="AT61" s="31"/>
    </row>
    <row r="62" spans="1:46">
      <c r="A62" s="43" t="s">
        <v>1</v>
      </c>
      <c r="B62" s="44"/>
      <c r="C62" s="682">
        <v>44327</v>
      </c>
      <c r="D62" s="683"/>
      <c r="E62" s="70">
        <v>8.4</v>
      </c>
      <c r="F62" s="70">
        <v>6.2</v>
      </c>
      <c r="G62" s="93">
        <v>7.2</v>
      </c>
      <c r="H62" s="224">
        <v>7.2</v>
      </c>
      <c r="I62" s="93">
        <v>7.4</v>
      </c>
      <c r="J62" s="93">
        <v>6.7</v>
      </c>
      <c r="K62" s="256">
        <v>0</v>
      </c>
      <c r="L62" s="259">
        <v>3.96</v>
      </c>
      <c r="M62" s="256">
        <v>6.37</v>
      </c>
      <c r="N62" s="256">
        <v>6.1</v>
      </c>
      <c r="O62" s="256">
        <v>6.4799999999999995</v>
      </c>
      <c r="P62" s="256">
        <v>4.3</v>
      </c>
      <c r="Q62" s="256">
        <v>3</v>
      </c>
      <c r="R62" s="256">
        <v>3</v>
      </c>
      <c r="S62" s="256">
        <v>3.5</v>
      </c>
      <c r="T62" s="256">
        <v>3</v>
      </c>
      <c r="U62" s="255">
        <v>3.6</v>
      </c>
      <c r="V62" s="255">
        <f>8.06-2+0.7</f>
        <v>6.7600000000000007</v>
      </c>
      <c r="W62" s="255">
        <v>6.06</v>
      </c>
      <c r="X62" s="259">
        <v>6.67</v>
      </c>
      <c r="Y62" s="259">
        <v>8.3699999999999992</v>
      </c>
      <c r="Z62" s="259">
        <f>6.48+0.6+0.6</f>
        <v>7.68</v>
      </c>
      <c r="AA62" s="259">
        <v>6.63</v>
      </c>
      <c r="AB62" s="256">
        <v>5.73</v>
      </c>
      <c r="AC62" s="255">
        <v>5.76</v>
      </c>
      <c r="AD62" s="256">
        <v>5.78</v>
      </c>
      <c r="AE62" s="256">
        <v>6.12</v>
      </c>
      <c r="AF62" s="256">
        <v>6.12</v>
      </c>
      <c r="AG62" s="256">
        <v>6.12</v>
      </c>
      <c r="AH62" s="256">
        <v>6.12</v>
      </c>
      <c r="AI62" s="256">
        <v>6.12</v>
      </c>
      <c r="AJ62" s="256">
        <v>6.12</v>
      </c>
      <c r="AK62" s="256">
        <v>6.12</v>
      </c>
      <c r="AL62" s="256">
        <v>6.12</v>
      </c>
      <c r="AM62" s="256">
        <v>6.12</v>
      </c>
      <c r="AN62" s="256">
        <v>6.12</v>
      </c>
      <c r="AO62" s="256">
        <v>6.12</v>
      </c>
      <c r="AP62" s="38"/>
      <c r="AQ62" s="31"/>
      <c r="AR62" s="31"/>
      <c r="AS62" s="31"/>
      <c r="AT62" s="31"/>
    </row>
    <row r="63" spans="1:46">
      <c r="A63" s="43" t="s">
        <v>27</v>
      </c>
      <c r="B63" s="44"/>
      <c r="C63" s="682">
        <v>44327</v>
      </c>
      <c r="D63" s="683"/>
      <c r="E63" s="70">
        <v>5.89</v>
      </c>
      <c r="F63" s="70">
        <v>6.22</v>
      </c>
      <c r="G63" s="70">
        <v>5.89</v>
      </c>
      <c r="H63" s="70">
        <v>6.05</v>
      </c>
      <c r="I63" s="70">
        <v>5.85</v>
      </c>
      <c r="J63" s="70">
        <v>6.05</v>
      </c>
      <c r="K63" s="255">
        <v>6.7</v>
      </c>
      <c r="L63" s="256">
        <v>6.05</v>
      </c>
      <c r="M63" s="256">
        <v>6.2</v>
      </c>
      <c r="N63" s="256">
        <v>5.66</v>
      </c>
      <c r="O63" s="256">
        <v>6.0449999999999999</v>
      </c>
      <c r="P63" s="256">
        <v>5.85</v>
      </c>
      <c r="Q63" s="256">
        <v>4.5999999999999996</v>
      </c>
      <c r="R63" s="256">
        <v>5.7</v>
      </c>
      <c r="S63" s="256">
        <v>5.7</v>
      </c>
      <c r="T63" s="256">
        <v>5.68</v>
      </c>
      <c r="U63" s="256">
        <v>5.4</v>
      </c>
      <c r="V63" s="259">
        <v>5.8</v>
      </c>
      <c r="W63" s="259">
        <v>5.4</v>
      </c>
      <c r="X63" s="259">
        <v>5.58</v>
      </c>
      <c r="Y63" s="259">
        <v>5.4870000000000001</v>
      </c>
      <c r="Z63" s="259">
        <v>5.32</v>
      </c>
      <c r="AA63" s="259">
        <v>5.74</v>
      </c>
      <c r="AB63" s="256">
        <v>5.8220000000000001</v>
      </c>
      <c r="AC63" s="256">
        <v>5.7350000000000003</v>
      </c>
      <c r="AD63" s="256">
        <v>5.55</v>
      </c>
      <c r="AE63" s="256">
        <v>5.7350000000000003</v>
      </c>
      <c r="AF63" s="256">
        <v>5.7350000000000003</v>
      </c>
      <c r="AG63" s="256">
        <v>5.55</v>
      </c>
      <c r="AH63" s="256">
        <v>5.7350000000000003</v>
      </c>
      <c r="AI63" s="256">
        <v>5.7350000000000003</v>
      </c>
      <c r="AJ63" s="256">
        <v>5.7350000000000003</v>
      </c>
      <c r="AK63" s="256">
        <v>5.7350000000000003</v>
      </c>
      <c r="AL63" s="256">
        <v>5.7350000000000003</v>
      </c>
      <c r="AM63" s="256">
        <v>5.7350000000000003</v>
      </c>
      <c r="AN63" s="256">
        <v>5.7350000000000003</v>
      </c>
      <c r="AO63" s="256">
        <v>5.7350000000000003</v>
      </c>
      <c r="AP63" s="38"/>
      <c r="AQ63" s="31"/>
      <c r="AR63" s="31"/>
      <c r="AS63" s="31"/>
      <c r="AT63" s="31"/>
    </row>
    <row r="64" spans="1:46" ht="16" thickBot="1">
      <c r="A64" s="51" t="s">
        <v>5</v>
      </c>
      <c r="B64" s="52"/>
      <c r="C64" s="678">
        <v>44321</v>
      </c>
      <c r="D64" s="679"/>
      <c r="E64" s="70">
        <v>15.6</v>
      </c>
      <c r="F64" s="70">
        <v>16.100000000000001</v>
      </c>
      <c r="G64" s="70">
        <v>16.027000000000001</v>
      </c>
      <c r="H64" s="70">
        <v>14</v>
      </c>
      <c r="I64" s="70">
        <v>15.45</v>
      </c>
      <c r="J64" s="70">
        <v>10.85</v>
      </c>
      <c r="K64" s="220">
        <v>13.15</v>
      </c>
      <c r="L64" s="220">
        <v>13.26</v>
      </c>
      <c r="M64" s="220">
        <v>17</v>
      </c>
      <c r="N64" s="220">
        <v>17.5</v>
      </c>
      <c r="O64" s="220">
        <v>15</v>
      </c>
      <c r="P64" s="256">
        <v>16.5</v>
      </c>
      <c r="Q64" s="220">
        <v>15</v>
      </c>
      <c r="R64" s="256">
        <v>14.5</v>
      </c>
      <c r="S64" s="256">
        <v>15.5</v>
      </c>
      <c r="T64" s="256">
        <v>13.04</v>
      </c>
      <c r="U64" s="256">
        <v>17.2</v>
      </c>
      <c r="V64" s="255">
        <v>15.83</v>
      </c>
      <c r="W64" s="256">
        <v>16.2</v>
      </c>
      <c r="X64" s="259">
        <v>15.4</v>
      </c>
      <c r="Y64" s="255">
        <v>11</v>
      </c>
      <c r="Z64" s="259">
        <v>6.72</v>
      </c>
      <c r="AA64" s="259">
        <v>13.5</v>
      </c>
      <c r="AB64" s="259">
        <v>15</v>
      </c>
      <c r="AC64" s="259">
        <v>15.5</v>
      </c>
      <c r="AD64" s="259">
        <v>13.95</v>
      </c>
      <c r="AE64" s="259">
        <v>8.99</v>
      </c>
      <c r="AF64" s="259">
        <v>14.66</v>
      </c>
      <c r="AG64" s="259">
        <v>15</v>
      </c>
      <c r="AH64" s="259">
        <v>15.5</v>
      </c>
      <c r="AI64" s="259">
        <v>15</v>
      </c>
      <c r="AJ64" s="259">
        <v>15.08</v>
      </c>
      <c r="AK64" s="259">
        <v>14.87</v>
      </c>
      <c r="AL64" s="259">
        <v>14</v>
      </c>
      <c r="AM64" s="259">
        <v>15.5</v>
      </c>
      <c r="AN64" s="259">
        <v>15</v>
      </c>
      <c r="AO64" s="259">
        <v>15.5</v>
      </c>
      <c r="AP64" s="31"/>
      <c r="AQ64" s="31"/>
      <c r="AR64" s="31"/>
      <c r="AS64" s="31"/>
      <c r="AT64" s="31"/>
    </row>
    <row r="65" spans="1:53" ht="16" thickBot="1">
      <c r="A65" s="680" t="s">
        <v>31</v>
      </c>
      <c r="B65" s="681"/>
      <c r="C65" s="681"/>
      <c r="D65" s="681"/>
      <c r="E65" s="59">
        <f>SUM(E59:E64)</f>
        <v>336.07599999999996</v>
      </c>
      <c r="F65" s="60">
        <f t="shared" ref="F65:Y65" si="56">SUM(F59:F64)</f>
        <v>347.04800000000006</v>
      </c>
      <c r="G65" s="60">
        <f t="shared" si="56"/>
        <v>370.32699999999994</v>
      </c>
      <c r="H65" s="60">
        <f t="shared" si="56"/>
        <v>370.678</v>
      </c>
      <c r="I65" s="60">
        <f t="shared" si="56"/>
        <v>357.93599999999998</v>
      </c>
      <c r="J65" s="60">
        <f t="shared" si="56"/>
        <v>356.6</v>
      </c>
      <c r="K65" s="60">
        <f t="shared" si="56"/>
        <v>359.15</v>
      </c>
      <c r="L65" s="60">
        <f t="shared" si="56"/>
        <v>357.03</v>
      </c>
      <c r="M65" s="60">
        <f t="shared" si="56"/>
        <v>323.73699999999997</v>
      </c>
      <c r="N65" s="60">
        <f t="shared" si="56"/>
        <v>316.26000000000005</v>
      </c>
      <c r="O65" s="60">
        <f t="shared" si="56"/>
        <v>334.70500000000004</v>
      </c>
      <c r="P65" s="60">
        <f t="shared" si="56"/>
        <v>278.15100000000001</v>
      </c>
      <c r="Q65" s="60">
        <f t="shared" si="56"/>
        <v>254.2</v>
      </c>
      <c r="R65" s="60">
        <f t="shared" si="56"/>
        <v>261.7</v>
      </c>
      <c r="S65" s="60">
        <f>SUM(S59:S64)</f>
        <v>279.90799999999996</v>
      </c>
      <c r="T65" s="60">
        <f>SUM(T59:T64)</f>
        <v>293.82000000000005</v>
      </c>
      <c r="U65" s="60">
        <f>SUM(U59:U64)</f>
        <v>303.39999999999998</v>
      </c>
      <c r="V65" s="60">
        <f t="shared" si="56"/>
        <v>308.19200000000001</v>
      </c>
      <c r="W65" s="60">
        <f t="shared" si="56"/>
        <v>296.95999999999998</v>
      </c>
      <c r="X65" s="60">
        <f t="shared" si="56"/>
        <v>308.83</v>
      </c>
      <c r="Y65" s="60">
        <f t="shared" si="56"/>
        <v>321.25885793868554</v>
      </c>
      <c r="Z65" s="60">
        <f t="shared" ref="Z65:AE65" si="57">SUM(Z59:Z64)</f>
        <v>291.46023227435035</v>
      </c>
      <c r="AA65" s="60">
        <f t="shared" si="57"/>
        <v>312.07</v>
      </c>
      <c r="AB65" s="60">
        <f t="shared" si="57"/>
        <v>294.25200000000001</v>
      </c>
      <c r="AC65" s="60">
        <f t="shared" si="57"/>
        <v>316.995</v>
      </c>
      <c r="AD65" s="60">
        <f t="shared" si="57"/>
        <v>304.87553811073457</v>
      </c>
      <c r="AE65" s="60">
        <f t="shared" si="57"/>
        <v>231.85500000000002</v>
      </c>
      <c r="AF65" s="60">
        <f t="shared" ref="AF65:AK65" si="58">SUM(AF59:AF64)</f>
        <v>320.97500000000002</v>
      </c>
      <c r="AG65" s="60">
        <f t="shared" si="58"/>
        <v>295.70999999999998</v>
      </c>
      <c r="AH65" s="60">
        <f t="shared" si="58"/>
        <v>283.89978840125394</v>
      </c>
      <c r="AI65" s="60">
        <f t="shared" si="58"/>
        <v>308.28956112852654</v>
      </c>
      <c r="AJ65" s="60">
        <f t="shared" si="58"/>
        <v>319.08068965517242</v>
      </c>
      <c r="AK65" s="60">
        <f t="shared" si="58"/>
        <v>308.37068965517244</v>
      </c>
      <c r="AL65" s="60">
        <f t="shared" ref="AL65:AM65" si="59">SUM(AL59:AL64)</f>
        <v>280.24465517241384</v>
      </c>
      <c r="AM65" s="60">
        <f t="shared" si="59"/>
        <v>309.00068965517244</v>
      </c>
      <c r="AN65" s="60">
        <f t="shared" ref="AN65" si="60">SUM(AN59:AN64)</f>
        <v>299.4153448275863</v>
      </c>
      <c r="AO65" s="60">
        <f>SUM(AO59:AO64)</f>
        <v>309.00068965517204</v>
      </c>
      <c r="AP65" s="654" t="s">
        <v>292</v>
      </c>
      <c r="AQ65" s="31"/>
      <c r="AR65" s="31"/>
      <c r="AS65" s="31"/>
      <c r="AT65" s="31"/>
    </row>
    <row r="66" spans="1:53" ht="16" thickBot="1">
      <c r="A66" s="40" t="s">
        <v>42</v>
      </c>
      <c r="B66" s="30"/>
      <c r="C66" s="31"/>
      <c r="D66" s="31"/>
      <c r="E66" s="31"/>
      <c r="F66" s="31"/>
      <c r="G66" s="31"/>
      <c r="H66" s="31"/>
      <c r="I66" s="31"/>
      <c r="J66" s="31"/>
      <c r="K66" s="31"/>
      <c r="L66" s="31"/>
      <c r="M66" s="31"/>
      <c r="N66" s="31"/>
      <c r="O66" s="31"/>
      <c r="P66" s="347"/>
      <c r="Q66" s="347"/>
      <c r="R66" s="347"/>
      <c r="S66" s="347"/>
      <c r="T66" s="347"/>
      <c r="U66" s="347"/>
      <c r="V66" s="347"/>
      <c r="W66" s="347">
        <v>25</v>
      </c>
      <c r="X66" s="347">
        <v>9</v>
      </c>
      <c r="Y66" s="347"/>
      <c r="Z66" s="347"/>
      <c r="AA66" s="347"/>
      <c r="AB66" s="347"/>
      <c r="AC66" s="347"/>
      <c r="AD66" s="347"/>
      <c r="AE66" s="347"/>
      <c r="AF66" s="347"/>
      <c r="AG66" s="347"/>
      <c r="AH66" s="347"/>
      <c r="AI66" s="347"/>
      <c r="AJ66" s="347"/>
      <c r="AK66" s="347"/>
      <c r="AL66" s="347"/>
      <c r="AM66" s="347"/>
      <c r="AN66" s="347"/>
      <c r="AO66" s="347"/>
      <c r="AP66" s="31"/>
      <c r="AQ66" s="31"/>
      <c r="AR66" s="31"/>
      <c r="AS66" s="31"/>
      <c r="AT66" s="31"/>
    </row>
    <row r="67" spans="1:53" s="75" customFormat="1" ht="16" thickBot="1">
      <c r="A67" s="688" t="s">
        <v>32</v>
      </c>
      <c r="B67" s="689"/>
      <c r="C67" s="689" t="s">
        <v>33</v>
      </c>
      <c r="D67" s="689"/>
      <c r="E67" s="79">
        <f t="shared" ref="E67:AL67" si="61">E3</f>
        <v>43587</v>
      </c>
      <c r="F67" s="80">
        <f t="shared" si="61"/>
        <v>43618</v>
      </c>
      <c r="G67" s="80">
        <f t="shared" si="61"/>
        <v>43648</v>
      </c>
      <c r="H67" s="80">
        <f t="shared" si="61"/>
        <v>43679</v>
      </c>
      <c r="I67" s="80">
        <f t="shared" si="61"/>
        <v>43710</v>
      </c>
      <c r="J67" s="80">
        <f t="shared" si="61"/>
        <v>43740</v>
      </c>
      <c r="K67" s="80">
        <f t="shared" si="61"/>
        <v>43771</v>
      </c>
      <c r="L67" s="80">
        <f t="shared" si="61"/>
        <v>43801</v>
      </c>
      <c r="M67" s="80">
        <f t="shared" si="61"/>
        <v>43832</v>
      </c>
      <c r="N67" s="80">
        <f t="shared" si="61"/>
        <v>43863</v>
      </c>
      <c r="O67" s="80">
        <f t="shared" si="61"/>
        <v>43892</v>
      </c>
      <c r="P67" s="80">
        <f t="shared" si="61"/>
        <v>43923</v>
      </c>
      <c r="Q67" s="80">
        <f t="shared" si="61"/>
        <v>43953</v>
      </c>
      <c r="R67" s="80">
        <f t="shared" si="61"/>
        <v>43984</v>
      </c>
      <c r="S67" s="80">
        <f t="shared" si="61"/>
        <v>44014</v>
      </c>
      <c r="T67" s="80">
        <f t="shared" si="61"/>
        <v>44045</v>
      </c>
      <c r="U67" s="80">
        <f t="shared" si="61"/>
        <v>44076</v>
      </c>
      <c r="V67" s="80">
        <f t="shared" si="61"/>
        <v>44106</v>
      </c>
      <c r="W67" s="80">
        <f t="shared" si="61"/>
        <v>44137</v>
      </c>
      <c r="X67" s="80">
        <f t="shared" si="61"/>
        <v>44167</v>
      </c>
      <c r="Y67" s="80">
        <f t="shared" si="61"/>
        <v>44198</v>
      </c>
      <c r="Z67" s="80">
        <f t="shared" si="61"/>
        <v>44229</v>
      </c>
      <c r="AA67" s="80">
        <f t="shared" si="61"/>
        <v>44257</v>
      </c>
      <c r="AB67" s="80">
        <f t="shared" si="61"/>
        <v>44288</v>
      </c>
      <c r="AC67" s="80">
        <f t="shared" si="61"/>
        <v>44318</v>
      </c>
      <c r="AD67" s="80">
        <f t="shared" si="61"/>
        <v>44349</v>
      </c>
      <c r="AE67" s="80">
        <f t="shared" si="61"/>
        <v>44379</v>
      </c>
      <c r="AF67" s="80">
        <f t="shared" si="61"/>
        <v>44410</v>
      </c>
      <c r="AG67" s="80">
        <f t="shared" si="61"/>
        <v>44441</v>
      </c>
      <c r="AH67" s="80">
        <f t="shared" si="61"/>
        <v>44471</v>
      </c>
      <c r="AI67" s="80">
        <f t="shared" si="61"/>
        <v>44502</v>
      </c>
      <c r="AJ67" s="80">
        <f t="shared" si="61"/>
        <v>44532</v>
      </c>
      <c r="AK67" s="80">
        <f t="shared" si="61"/>
        <v>44563</v>
      </c>
      <c r="AL67" s="80">
        <f t="shared" si="61"/>
        <v>44594</v>
      </c>
      <c r="AM67" s="80">
        <f t="shared" ref="AM67:AN67" si="62">AM3</f>
        <v>44622</v>
      </c>
      <c r="AN67" s="80">
        <f t="shared" si="62"/>
        <v>44653</v>
      </c>
      <c r="AO67" s="80">
        <f t="shared" ref="AO67" si="63">AO3</f>
        <v>44683</v>
      </c>
      <c r="AP67" s="73"/>
      <c r="AQ67" s="74"/>
      <c r="AR67" s="74"/>
      <c r="AS67" s="74"/>
      <c r="AT67" s="74"/>
    </row>
    <row r="68" spans="1:53" s="75" customFormat="1" ht="16" thickBot="1">
      <c r="A68" s="41" t="s">
        <v>133</v>
      </c>
      <c r="B68" s="42"/>
      <c r="C68" s="684"/>
      <c r="D68" s="685"/>
      <c r="E68" s="79"/>
      <c r="F68" s="80"/>
      <c r="G68" s="80"/>
      <c r="H68" s="80"/>
      <c r="I68" s="80"/>
      <c r="J68" s="80"/>
      <c r="K68" s="80"/>
      <c r="L68" s="80"/>
      <c r="M68" s="80"/>
      <c r="N68" s="80"/>
      <c r="O68" s="80"/>
      <c r="P68" s="80"/>
      <c r="Q68" s="66">
        <f t="shared" ref="Q68:AD68" si="64">Q55-Q42</f>
        <v>0</v>
      </c>
      <c r="R68" s="66">
        <f t="shared" si="64"/>
        <v>-0.53409090909087809</v>
      </c>
      <c r="S68" s="66">
        <f t="shared" si="64"/>
        <v>0.35240909090906314</v>
      </c>
      <c r="T68" s="66">
        <f t="shared" si="64"/>
        <v>0.76000000000000512</v>
      </c>
      <c r="U68" s="66">
        <f t="shared" si="64"/>
        <v>0</v>
      </c>
      <c r="V68" s="66">
        <f t="shared" si="64"/>
        <v>0.8960000000000008</v>
      </c>
      <c r="W68" s="66">
        <f t="shared" si="64"/>
        <v>1.8689999999999998</v>
      </c>
      <c r="X68" s="66">
        <f t="shared" si="64"/>
        <v>5.5799999999999983</v>
      </c>
      <c r="Y68" s="66">
        <f t="shared" si="64"/>
        <v>-0.51461927084508829</v>
      </c>
      <c r="Z68" s="66">
        <f t="shared" si="64"/>
        <v>2.4733540685734425</v>
      </c>
      <c r="AA68" s="66">
        <f t="shared" si="64"/>
        <v>1.3666768101536775</v>
      </c>
      <c r="AB68" s="66">
        <f t="shared" si="64"/>
        <v>-5.5052059025918965</v>
      </c>
      <c r="AC68" s="66">
        <f t="shared" si="64"/>
        <v>-6</v>
      </c>
      <c r="AD68" s="66">
        <f t="shared" si="64"/>
        <v>-1.8900000000000006</v>
      </c>
      <c r="AE68" s="66">
        <f t="shared" ref="AE68:AK69" si="65">AE55-AE42</f>
        <v>-1.9636363636337251E-3</v>
      </c>
      <c r="AF68" s="66">
        <f t="shared" si="65"/>
        <v>0</v>
      </c>
      <c r="AG68" s="66">
        <f t="shared" si="65"/>
        <v>1.4000000000000057</v>
      </c>
      <c r="AH68" s="66">
        <f t="shared" si="65"/>
        <v>7.7000000000000028</v>
      </c>
      <c r="AI68" s="66">
        <f t="shared" si="65"/>
        <v>0</v>
      </c>
      <c r="AJ68" s="66">
        <f t="shared" si="65"/>
        <v>0</v>
      </c>
      <c r="AK68" s="66">
        <f t="shared" si="65"/>
        <v>-1.4811111111111046</v>
      </c>
      <c r="AL68" s="66">
        <f t="shared" ref="AL68:AM68" si="66">AL55-AL42</f>
        <v>-1.3377777777777879</v>
      </c>
      <c r="AM68" s="66">
        <f t="shared" si="66"/>
        <v>-1.4811111111111046</v>
      </c>
      <c r="AN68" s="66">
        <f t="shared" ref="AN68" si="67">AN55-AN42</f>
        <v>-1.4333333333333371</v>
      </c>
      <c r="AO68" s="66">
        <f>AO55-AO42</f>
        <v>1.547680403700582</v>
      </c>
      <c r="AP68" s="649" t="s">
        <v>290</v>
      </c>
      <c r="AQ68" s="74"/>
      <c r="AR68" s="74"/>
      <c r="AS68" s="74"/>
      <c r="AT68" s="74"/>
    </row>
    <row r="69" spans="1:53" s="75" customFormat="1" ht="16" thickBot="1">
      <c r="A69" s="43" t="s">
        <v>134</v>
      </c>
      <c r="B69" s="44"/>
      <c r="C69" s="693"/>
      <c r="D69" s="694"/>
      <c r="E69" s="79"/>
      <c r="F69" s="80"/>
      <c r="G69" s="80"/>
      <c r="H69" s="80"/>
      <c r="I69" s="80"/>
      <c r="J69" s="80"/>
      <c r="K69" s="80"/>
      <c r="L69" s="80"/>
      <c r="M69" s="80"/>
      <c r="N69" s="80"/>
      <c r="O69" s="80"/>
      <c r="P69" s="80"/>
      <c r="Q69" s="65">
        <f t="shared" ref="Q69:AD69" si="68">Q56-Q43</f>
        <v>0</v>
      </c>
      <c r="R69" s="65">
        <f t="shared" si="68"/>
        <v>-1.0589090909091112</v>
      </c>
      <c r="S69" s="65">
        <f t="shared" si="68"/>
        <v>-1.0878876727270779</v>
      </c>
      <c r="T69" s="65">
        <f t="shared" si="68"/>
        <v>-1.3999999999999773</v>
      </c>
      <c r="U69" s="65">
        <f t="shared" si="68"/>
        <v>0</v>
      </c>
      <c r="V69" s="65">
        <f t="shared" si="68"/>
        <v>-9.4899999999999807</v>
      </c>
      <c r="W69" s="65">
        <f t="shared" si="68"/>
        <v>1.6589999999999918</v>
      </c>
      <c r="X69" s="65">
        <f t="shared" si="68"/>
        <v>23.974999999999966</v>
      </c>
      <c r="Y69" s="65">
        <f t="shared" si="68"/>
        <v>0.63147720953054431</v>
      </c>
      <c r="Z69" s="65">
        <f t="shared" si="68"/>
        <v>5.8668782057768567</v>
      </c>
      <c r="AA69" s="65">
        <f t="shared" si="68"/>
        <v>-1.8815558949461035</v>
      </c>
      <c r="AB69" s="65">
        <f t="shared" si="68"/>
        <v>-5.5529557300557428</v>
      </c>
      <c r="AC69" s="65">
        <f t="shared" si="68"/>
        <v>7.6469999999999914</v>
      </c>
      <c r="AD69" s="65">
        <f t="shared" si="68"/>
        <v>2.7282927394077774</v>
      </c>
      <c r="AE69" s="65">
        <f t="shared" si="65"/>
        <v>1.2384636363636048</v>
      </c>
      <c r="AF69" s="65">
        <f t="shared" si="65"/>
        <v>-0.31000000000000227</v>
      </c>
      <c r="AG69" s="65">
        <f t="shared" si="65"/>
        <v>-5.5100000000000193</v>
      </c>
      <c r="AH69" s="65">
        <f t="shared" si="65"/>
        <v>-7.6999999999999886</v>
      </c>
      <c r="AI69" s="65">
        <f t="shared" si="65"/>
        <v>0</v>
      </c>
      <c r="AJ69" s="65">
        <f t="shared" si="65"/>
        <v>0</v>
      </c>
      <c r="AK69" s="65">
        <f t="shared" si="65"/>
        <v>-3.1688888888888869</v>
      </c>
      <c r="AL69" s="65">
        <f t="shared" ref="AL69:AM69" si="69">AL56-AL43</f>
        <v>-2.8622222222221865</v>
      </c>
      <c r="AM69" s="65">
        <f t="shared" si="69"/>
        <v>-3.1688888888888869</v>
      </c>
      <c r="AN69" s="65">
        <f t="shared" ref="AN69:AO69" si="70">AN56-AN43</f>
        <v>-3.0666666666666629</v>
      </c>
      <c r="AO69" s="65">
        <f t="shared" si="70"/>
        <v>3.0376644238851611</v>
      </c>
      <c r="AP69" s="649" t="s">
        <v>293</v>
      </c>
      <c r="AQ69" s="74"/>
      <c r="AR69" s="74"/>
      <c r="AS69" s="74"/>
      <c r="AT69" s="74"/>
    </row>
    <row r="70" spans="1:53" s="75" customFormat="1" ht="16" thickBot="1">
      <c r="A70" s="555" t="s">
        <v>197</v>
      </c>
      <c r="B70" s="44"/>
      <c r="C70" s="552"/>
      <c r="D70" s="553"/>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73"/>
      <c r="AQ70" s="74"/>
      <c r="AR70" s="74"/>
      <c r="AS70" s="74"/>
      <c r="AT70" s="74"/>
    </row>
    <row r="71" spans="1:53" s="75" customFormat="1" ht="16" thickBot="1">
      <c r="A71" s="555" t="s">
        <v>198</v>
      </c>
      <c r="B71" s="44"/>
      <c r="C71" s="552"/>
      <c r="D71" s="553"/>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73"/>
      <c r="AQ71" s="74"/>
      <c r="AR71" s="74"/>
      <c r="AS71" s="74"/>
      <c r="AT71" s="74"/>
    </row>
    <row r="72" spans="1:53" s="3" customFormat="1">
      <c r="A72" s="43" t="s">
        <v>132</v>
      </c>
      <c r="B72" s="44"/>
      <c r="C72" s="693"/>
      <c r="D72" s="694"/>
      <c r="E72" s="57">
        <f t="shared" ref="E72:P72" si="71">E59-E46</f>
        <v>0</v>
      </c>
      <c r="F72" s="66">
        <f t="shared" si="71"/>
        <v>0</v>
      </c>
      <c r="G72" s="66">
        <f t="shared" si="71"/>
        <v>-10.29000000000002</v>
      </c>
      <c r="H72" s="66">
        <f t="shared" si="71"/>
        <v>0.47800000000000864</v>
      </c>
      <c r="I72" s="66">
        <f t="shared" si="71"/>
        <v>-15.26400000000001</v>
      </c>
      <c r="J72" s="66">
        <f t="shared" si="71"/>
        <v>-3</v>
      </c>
      <c r="K72" s="66">
        <f t="shared" si="71"/>
        <v>1.3000000000000114</v>
      </c>
      <c r="L72" s="66">
        <f t="shared" si="71"/>
        <v>-1.2400000000000091</v>
      </c>
      <c r="M72" s="66">
        <f t="shared" si="71"/>
        <v>-13.833000000000027</v>
      </c>
      <c r="N72" s="66">
        <f t="shared" si="71"/>
        <v>-1.4499999999999886</v>
      </c>
      <c r="O72" s="66">
        <f t="shared" si="71"/>
        <v>-13.600000000000023</v>
      </c>
      <c r="P72" s="66">
        <f t="shared" si="71"/>
        <v>-42.199000000000012</v>
      </c>
      <c r="Q72" s="65">
        <f t="shared" ref="Q72:AD72" si="72">Q59-Q46</f>
        <v>0</v>
      </c>
      <c r="R72" s="65">
        <f t="shared" si="72"/>
        <v>-0.68258821384330304</v>
      </c>
      <c r="S72" s="65">
        <f t="shared" si="72"/>
        <v>-0.73547858181800052</v>
      </c>
      <c r="T72" s="65">
        <f t="shared" si="72"/>
        <v>-0.63999999999998636</v>
      </c>
      <c r="U72" s="65">
        <f t="shared" si="72"/>
        <v>0</v>
      </c>
      <c r="V72" s="65">
        <f t="shared" si="72"/>
        <v>-8.5939999999999941</v>
      </c>
      <c r="W72" s="65">
        <f t="shared" si="72"/>
        <v>3.5279999999999916</v>
      </c>
      <c r="X72" s="65">
        <f t="shared" si="72"/>
        <v>29.554999999999978</v>
      </c>
      <c r="Y72" s="65">
        <f t="shared" si="72"/>
        <v>0.11685793868548444</v>
      </c>
      <c r="Z72" s="65">
        <f t="shared" si="72"/>
        <v>8.3402322743503134</v>
      </c>
      <c r="AA72" s="65">
        <f t="shared" si="72"/>
        <v>-0.51487908479242606</v>
      </c>
      <c r="AB72" s="65">
        <f t="shared" si="72"/>
        <v>-7.8330849453320184</v>
      </c>
      <c r="AC72" s="65">
        <f t="shared" si="72"/>
        <v>1.6469999999999914</v>
      </c>
      <c r="AD72" s="65">
        <f t="shared" si="72"/>
        <v>0.83829273940779103</v>
      </c>
      <c r="AE72" s="65">
        <f t="shared" ref="AE72:AK72" si="73">AE59-AE46</f>
        <v>1.2364999999999782</v>
      </c>
      <c r="AF72" s="65">
        <f t="shared" si="73"/>
        <v>-0.31000000000000227</v>
      </c>
      <c r="AG72" s="65">
        <f t="shared" si="73"/>
        <v>-4.1100000000000136</v>
      </c>
      <c r="AH72" s="65">
        <f t="shared" si="73"/>
        <v>0</v>
      </c>
      <c r="AI72" s="65">
        <f t="shared" si="73"/>
        <v>0</v>
      </c>
      <c r="AJ72" s="65">
        <f t="shared" si="73"/>
        <v>0</v>
      </c>
      <c r="AK72" s="65">
        <f t="shared" si="73"/>
        <v>-4.6499999999999773</v>
      </c>
      <c r="AL72" s="65">
        <f t="shared" ref="AL72:AM72" si="74">AL59-AL46</f>
        <v>-4.1999999999999886</v>
      </c>
      <c r="AM72" s="65">
        <f t="shared" si="74"/>
        <v>-4.6499999999999773</v>
      </c>
      <c r="AN72" s="65">
        <f t="shared" ref="AN72" si="75">AN59-AN46</f>
        <v>-4.5</v>
      </c>
      <c r="AO72" s="65">
        <f>AO59-AO46</f>
        <v>4.5853448275857431</v>
      </c>
      <c r="AP72" s="654" t="s">
        <v>294</v>
      </c>
      <c r="AQ72" s="31"/>
      <c r="AR72" s="31"/>
      <c r="AS72" s="31"/>
      <c r="AT72" s="31"/>
    </row>
    <row r="73" spans="1:53">
      <c r="A73" s="43" t="s">
        <v>0</v>
      </c>
      <c r="B73" s="44"/>
      <c r="C73" s="682"/>
      <c r="D73" s="693"/>
      <c r="E73" s="61">
        <f t="shared" ref="E73:AD73" si="76">E61-E48</f>
        <v>0</v>
      </c>
      <c r="F73" s="65">
        <f t="shared" si="76"/>
        <v>-3</v>
      </c>
      <c r="G73" s="65">
        <f t="shared" si="76"/>
        <v>2</v>
      </c>
      <c r="H73" s="65">
        <f t="shared" si="76"/>
        <v>0</v>
      </c>
      <c r="I73" s="65">
        <f t="shared" si="76"/>
        <v>0</v>
      </c>
      <c r="J73" s="65">
        <f t="shared" si="76"/>
        <v>-3</v>
      </c>
      <c r="K73" s="65">
        <f t="shared" si="76"/>
        <v>2</v>
      </c>
      <c r="L73" s="65">
        <f t="shared" si="76"/>
        <v>1.5</v>
      </c>
      <c r="M73" s="65">
        <f t="shared" si="76"/>
        <v>-3</v>
      </c>
      <c r="N73" s="65">
        <f t="shared" si="76"/>
        <v>2</v>
      </c>
      <c r="O73" s="65">
        <f t="shared" si="76"/>
        <v>0</v>
      </c>
      <c r="P73" s="65">
        <f t="shared" si="76"/>
        <v>-12</v>
      </c>
      <c r="Q73" s="65">
        <f t="shared" si="76"/>
        <v>0</v>
      </c>
      <c r="R73" s="65">
        <f t="shared" si="76"/>
        <v>0</v>
      </c>
      <c r="S73" s="65">
        <f t="shared" si="76"/>
        <v>-4</v>
      </c>
      <c r="T73" s="65">
        <f t="shared" si="76"/>
        <v>1.2</v>
      </c>
      <c r="U73" s="65">
        <f t="shared" si="76"/>
        <v>-3</v>
      </c>
      <c r="V73" s="65">
        <f t="shared" si="76"/>
        <v>0</v>
      </c>
      <c r="W73" s="65">
        <f t="shared" si="76"/>
        <v>2</v>
      </c>
      <c r="X73" s="65">
        <f t="shared" si="76"/>
        <v>-2.4000000000000004</v>
      </c>
      <c r="Y73" s="65">
        <f t="shared" si="76"/>
        <v>16.5</v>
      </c>
      <c r="Z73" s="65">
        <f t="shared" si="76"/>
        <v>12</v>
      </c>
      <c r="AA73" s="65">
        <f t="shared" si="76"/>
        <v>0</v>
      </c>
      <c r="AB73" s="65">
        <f t="shared" si="76"/>
        <v>2</v>
      </c>
      <c r="AC73" s="65">
        <f t="shared" si="76"/>
        <v>0</v>
      </c>
      <c r="AD73" s="65">
        <f t="shared" si="76"/>
        <v>0</v>
      </c>
      <c r="AE73" s="65">
        <f t="shared" ref="AE73:AK76" si="77">AE61-AE48</f>
        <v>0</v>
      </c>
      <c r="AF73" s="65">
        <f t="shared" si="77"/>
        <v>0</v>
      </c>
      <c r="AG73" s="65">
        <f t="shared" si="77"/>
        <v>0</v>
      </c>
      <c r="AH73" s="65">
        <f t="shared" si="77"/>
        <v>0</v>
      </c>
      <c r="AI73" s="65">
        <f t="shared" si="77"/>
        <v>0</v>
      </c>
      <c r="AJ73" s="65">
        <f t="shared" si="77"/>
        <v>0</v>
      </c>
      <c r="AK73" s="65">
        <f t="shared" si="77"/>
        <v>0</v>
      </c>
      <c r="AL73" s="65">
        <f t="shared" ref="AL73:AM73" si="78">AL61-AL48</f>
        <v>0</v>
      </c>
      <c r="AM73" s="65">
        <f t="shared" si="78"/>
        <v>0</v>
      </c>
      <c r="AN73" s="65">
        <f t="shared" ref="AN73" si="79">AN61-AN48</f>
        <v>0</v>
      </c>
      <c r="AO73" s="65">
        <f>AO61-AO48</f>
        <v>0</v>
      </c>
      <c r="AP73" s="654" t="s">
        <v>295</v>
      </c>
      <c r="AQ73" s="31"/>
      <c r="AR73" s="31"/>
      <c r="AS73" s="31"/>
      <c r="AT73" s="31"/>
    </row>
    <row r="74" spans="1:53">
      <c r="A74" s="43" t="s">
        <v>1</v>
      </c>
      <c r="B74" s="44"/>
      <c r="C74" s="682"/>
      <c r="D74" s="693"/>
      <c r="E74" s="61">
        <f t="shared" ref="E74:AD74" si="80">E62-E49</f>
        <v>0</v>
      </c>
      <c r="F74" s="65">
        <f t="shared" si="80"/>
        <v>0</v>
      </c>
      <c r="G74" s="65">
        <f t="shared" si="80"/>
        <v>1.1000000000000005</v>
      </c>
      <c r="H74" s="65">
        <f t="shared" si="80"/>
        <v>0</v>
      </c>
      <c r="I74" s="65">
        <f t="shared" si="80"/>
        <v>0.70000000000000018</v>
      </c>
      <c r="J74" s="65">
        <f t="shared" si="80"/>
        <v>0</v>
      </c>
      <c r="K74" s="65">
        <f t="shared" si="80"/>
        <v>0</v>
      </c>
      <c r="L74" s="65">
        <f t="shared" si="80"/>
        <v>-1.4400000000000004</v>
      </c>
      <c r="M74" s="65">
        <f t="shared" si="80"/>
        <v>-0.83000000000000007</v>
      </c>
      <c r="N74" s="65">
        <f t="shared" si="80"/>
        <v>-0.40000000000000036</v>
      </c>
      <c r="O74" s="65">
        <f t="shared" si="80"/>
        <v>0</v>
      </c>
      <c r="P74" s="65">
        <f t="shared" si="80"/>
        <v>-2</v>
      </c>
      <c r="Q74" s="65">
        <f t="shared" si="80"/>
        <v>-3.5</v>
      </c>
      <c r="R74" s="65">
        <f t="shared" si="80"/>
        <v>-0.60000000000000009</v>
      </c>
      <c r="S74" s="65">
        <f t="shared" si="80"/>
        <v>-0.10000000000000009</v>
      </c>
      <c r="T74" s="65">
        <f t="shared" si="80"/>
        <v>-2</v>
      </c>
      <c r="U74" s="65">
        <f t="shared" si="80"/>
        <v>-0.64000000000000012</v>
      </c>
      <c r="V74" s="65">
        <f t="shared" si="80"/>
        <v>-0.59999999999999964</v>
      </c>
      <c r="W74" s="65">
        <f t="shared" si="80"/>
        <v>0.69999999999999929</v>
      </c>
      <c r="X74" s="65">
        <f t="shared" si="80"/>
        <v>1.2000000000000002</v>
      </c>
      <c r="Y74" s="65">
        <f t="shared" si="80"/>
        <v>2.169999999999999</v>
      </c>
      <c r="Z74" s="65">
        <f t="shared" si="80"/>
        <v>0.59999999999999964</v>
      </c>
      <c r="AA74" s="65">
        <f t="shared" si="80"/>
        <v>-0.44000000000000039</v>
      </c>
      <c r="AB74" s="65">
        <f t="shared" si="80"/>
        <v>-0.89999999999999947</v>
      </c>
      <c r="AC74" s="65">
        <f t="shared" si="80"/>
        <v>-2.0000000000000462E-2</v>
      </c>
      <c r="AD74" s="65">
        <f t="shared" si="80"/>
        <v>-0.33999999999999986</v>
      </c>
      <c r="AE74" s="65">
        <f t="shared" si="77"/>
        <v>0</v>
      </c>
      <c r="AF74" s="65">
        <f t="shared" si="77"/>
        <v>0</v>
      </c>
      <c r="AG74" s="65">
        <f t="shared" si="77"/>
        <v>0</v>
      </c>
      <c r="AH74" s="65">
        <f t="shared" si="77"/>
        <v>0</v>
      </c>
      <c r="AI74" s="65">
        <f t="shared" si="77"/>
        <v>0</v>
      </c>
      <c r="AJ74" s="65">
        <f t="shared" si="77"/>
        <v>0</v>
      </c>
      <c r="AK74" s="65">
        <f t="shared" si="77"/>
        <v>0</v>
      </c>
      <c r="AL74" s="65">
        <f t="shared" ref="AL74:AM74" si="81">AL62-AL49</f>
        <v>0</v>
      </c>
      <c r="AM74" s="65">
        <f t="shared" si="81"/>
        <v>0</v>
      </c>
      <c r="AN74" s="65">
        <f t="shared" ref="AN74:AO74" si="82">AN62-AN49</f>
        <v>0</v>
      </c>
      <c r="AO74" s="65">
        <f t="shared" si="82"/>
        <v>0</v>
      </c>
      <c r="AP74" s="654" t="s">
        <v>296</v>
      </c>
      <c r="AQ74" s="31"/>
      <c r="AR74" s="31"/>
      <c r="AS74" s="31"/>
      <c r="AT74" s="31"/>
    </row>
    <row r="75" spans="1:53">
      <c r="A75" s="43" t="s">
        <v>27</v>
      </c>
      <c r="B75" s="44"/>
      <c r="C75" s="682"/>
      <c r="D75" s="693"/>
      <c r="E75" s="61">
        <f t="shared" ref="E75:AD75" si="83">E63-E50</f>
        <v>0</v>
      </c>
      <c r="F75" s="65">
        <f t="shared" si="83"/>
        <v>0.51999999999999957</v>
      </c>
      <c r="G75" s="65">
        <f t="shared" si="83"/>
        <v>0</v>
      </c>
      <c r="H75" s="65">
        <f t="shared" si="83"/>
        <v>0.16000000000000014</v>
      </c>
      <c r="I75" s="65">
        <f t="shared" si="83"/>
        <v>0</v>
      </c>
      <c r="J75" s="65">
        <f t="shared" si="83"/>
        <v>0</v>
      </c>
      <c r="K75" s="65">
        <f t="shared" si="83"/>
        <v>0.85000000000000053</v>
      </c>
      <c r="L75" s="65">
        <f t="shared" si="83"/>
        <v>0</v>
      </c>
      <c r="M75" s="65">
        <f t="shared" si="83"/>
        <v>0.15000000000000036</v>
      </c>
      <c r="N75" s="65">
        <f t="shared" si="83"/>
        <v>0</v>
      </c>
      <c r="O75" s="65">
        <f t="shared" si="83"/>
        <v>0</v>
      </c>
      <c r="P75" s="65">
        <f t="shared" si="83"/>
        <v>0</v>
      </c>
      <c r="Q75" s="65">
        <f t="shared" si="83"/>
        <v>-1.4500000000000002</v>
      </c>
      <c r="R75" s="65">
        <f t="shared" si="83"/>
        <v>0.29999999999999982</v>
      </c>
      <c r="S75" s="65">
        <f t="shared" si="83"/>
        <v>1.1400000000000006</v>
      </c>
      <c r="T75" s="65">
        <f t="shared" si="83"/>
        <v>9.9999999999999645E-2</v>
      </c>
      <c r="U75" s="65">
        <f t="shared" si="83"/>
        <v>-0.17999999999999972</v>
      </c>
      <c r="V75" s="65">
        <f t="shared" si="83"/>
        <v>0.21999999999999975</v>
      </c>
      <c r="W75" s="65">
        <f t="shared" si="83"/>
        <v>0</v>
      </c>
      <c r="X75" s="65">
        <f t="shared" si="83"/>
        <v>0</v>
      </c>
      <c r="Y75" s="65">
        <f t="shared" si="83"/>
        <v>-0.40299999999999958</v>
      </c>
      <c r="Z75" s="65">
        <f t="shared" si="83"/>
        <v>0</v>
      </c>
      <c r="AA75" s="65">
        <f t="shared" si="83"/>
        <v>-0.14999999999999947</v>
      </c>
      <c r="AB75" s="65">
        <f t="shared" si="83"/>
        <v>0.27200000000000024</v>
      </c>
      <c r="AC75" s="65">
        <f t="shared" si="83"/>
        <v>0</v>
      </c>
      <c r="AD75" s="65">
        <f t="shared" si="83"/>
        <v>0</v>
      </c>
      <c r="AE75" s="65">
        <f t="shared" si="77"/>
        <v>0</v>
      </c>
      <c r="AF75" s="65">
        <f t="shared" si="77"/>
        <v>0</v>
      </c>
      <c r="AG75" s="65">
        <f t="shared" si="77"/>
        <v>0</v>
      </c>
      <c r="AH75" s="65">
        <f t="shared" si="77"/>
        <v>0</v>
      </c>
      <c r="AI75" s="65">
        <f t="shared" si="77"/>
        <v>0</v>
      </c>
      <c r="AJ75" s="65">
        <f t="shared" si="77"/>
        <v>0</v>
      </c>
      <c r="AK75" s="65">
        <f t="shared" si="77"/>
        <v>0</v>
      </c>
      <c r="AL75" s="65">
        <f t="shared" ref="AL75:AM75" si="84">AL63-AL50</f>
        <v>0</v>
      </c>
      <c r="AM75" s="65">
        <f t="shared" si="84"/>
        <v>0</v>
      </c>
      <c r="AN75" s="65">
        <f t="shared" ref="AN75:AO75" si="85">AN63-AN50</f>
        <v>0</v>
      </c>
      <c r="AO75" s="65">
        <f t="shared" si="85"/>
        <v>0</v>
      </c>
      <c r="AP75" s="654" t="s">
        <v>297</v>
      </c>
      <c r="AQ75" s="31"/>
      <c r="AR75" s="31"/>
      <c r="AS75" s="31"/>
      <c r="AT75" s="31"/>
    </row>
    <row r="76" spans="1:53" ht="16" thickBot="1">
      <c r="A76" s="51" t="s">
        <v>5</v>
      </c>
      <c r="B76" s="52"/>
      <c r="C76" s="678"/>
      <c r="D76" s="699"/>
      <c r="E76" s="67">
        <f t="shared" ref="E76:AD76" si="86">E64-E51</f>
        <v>0</v>
      </c>
      <c r="F76" s="68">
        <f t="shared" si="86"/>
        <v>0.68000000000000149</v>
      </c>
      <c r="G76" s="68">
        <f t="shared" si="86"/>
        <v>0</v>
      </c>
      <c r="H76" s="68">
        <f t="shared" si="86"/>
        <v>-1.9299999999999997</v>
      </c>
      <c r="I76" s="68">
        <f t="shared" si="86"/>
        <v>0</v>
      </c>
      <c r="J76" s="68">
        <f t="shared" si="86"/>
        <v>0</v>
      </c>
      <c r="K76" s="68">
        <f t="shared" si="86"/>
        <v>2.6500000000000004</v>
      </c>
      <c r="L76" s="68">
        <f t="shared" si="86"/>
        <v>0</v>
      </c>
      <c r="M76" s="68">
        <f t="shared" si="86"/>
        <v>2.7189999999999994</v>
      </c>
      <c r="N76" s="68">
        <f t="shared" si="86"/>
        <v>1.5</v>
      </c>
      <c r="O76" s="68">
        <f t="shared" si="86"/>
        <v>-2</v>
      </c>
      <c r="P76" s="68">
        <f t="shared" si="86"/>
        <v>0.90000000000000036</v>
      </c>
      <c r="Q76" s="68">
        <f t="shared" si="86"/>
        <v>-2.0500000000000007</v>
      </c>
      <c r="R76" s="68">
        <f t="shared" si="86"/>
        <v>-1.0999999999999996</v>
      </c>
      <c r="S76" s="68">
        <f t="shared" si="86"/>
        <v>-1.2399999999999984</v>
      </c>
      <c r="T76" s="68">
        <f t="shared" si="86"/>
        <v>-1.5200000000000014</v>
      </c>
      <c r="U76" s="68">
        <f t="shared" si="86"/>
        <v>0</v>
      </c>
      <c r="V76" s="68">
        <f t="shared" si="86"/>
        <v>-0.90999999999999837</v>
      </c>
      <c r="W76" s="68">
        <f t="shared" si="86"/>
        <v>0</v>
      </c>
      <c r="X76" s="68">
        <f t="shared" si="86"/>
        <v>-0.72000000000000064</v>
      </c>
      <c r="Y76" s="68">
        <f t="shared" si="86"/>
        <v>-2.1199999999999992</v>
      </c>
      <c r="Z76" s="68">
        <f t="shared" si="86"/>
        <v>-2.1100000000000003</v>
      </c>
      <c r="AA76" s="68">
        <f t="shared" si="86"/>
        <v>-2.0600000000000005</v>
      </c>
      <c r="AB76" s="68">
        <f t="shared" si="86"/>
        <v>0</v>
      </c>
      <c r="AC76" s="68">
        <f t="shared" si="86"/>
        <v>0</v>
      </c>
      <c r="AD76" s="68">
        <f t="shared" si="86"/>
        <v>0</v>
      </c>
      <c r="AE76" s="68">
        <f t="shared" si="77"/>
        <v>0</v>
      </c>
      <c r="AF76" s="68">
        <f t="shared" si="77"/>
        <v>0</v>
      </c>
      <c r="AG76" s="68">
        <f t="shared" si="77"/>
        <v>0</v>
      </c>
      <c r="AH76" s="68">
        <f t="shared" si="77"/>
        <v>0</v>
      </c>
      <c r="AI76" s="68">
        <f t="shared" si="77"/>
        <v>0</v>
      </c>
      <c r="AJ76" s="68">
        <f t="shared" si="77"/>
        <v>0</v>
      </c>
      <c r="AK76" s="68">
        <f t="shared" si="77"/>
        <v>0</v>
      </c>
      <c r="AL76" s="68">
        <f t="shared" ref="AL76:AM76" si="87">AL64-AL51</f>
        <v>0</v>
      </c>
      <c r="AM76" s="68">
        <f t="shared" si="87"/>
        <v>0</v>
      </c>
      <c r="AN76" s="68">
        <f t="shared" ref="AN76:AO76" si="88">AN64-AN51</f>
        <v>0</v>
      </c>
      <c r="AO76" s="68">
        <f t="shared" si="88"/>
        <v>0.5</v>
      </c>
      <c r="AP76" s="654" t="s">
        <v>298</v>
      </c>
      <c r="AQ76" s="31"/>
      <c r="AR76" s="31"/>
      <c r="AS76" s="31"/>
      <c r="AT76" s="31"/>
    </row>
    <row r="77" spans="1:53" ht="16" thickBot="1">
      <c r="A77" s="680" t="s">
        <v>31</v>
      </c>
      <c r="B77" s="681"/>
      <c r="C77" s="681"/>
      <c r="D77" s="681"/>
      <c r="E77" s="63">
        <f t="shared" ref="E77:Z77" si="89">SUM(E72:E76)</f>
        <v>0</v>
      </c>
      <c r="F77" s="64">
        <f t="shared" si="89"/>
        <v>-1.7999999999999989</v>
      </c>
      <c r="G77" s="64">
        <f t="shared" si="89"/>
        <v>-7.1900000000000199</v>
      </c>
      <c r="H77" s="64">
        <f t="shared" si="89"/>
        <v>-1.2919999999999909</v>
      </c>
      <c r="I77" s="64">
        <f t="shared" si="89"/>
        <v>-14.564000000000011</v>
      </c>
      <c r="J77" s="64">
        <f t="shared" si="89"/>
        <v>-6</v>
      </c>
      <c r="K77" s="64">
        <f t="shared" si="89"/>
        <v>6.8000000000000123</v>
      </c>
      <c r="L77" s="64">
        <f t="shared" si="89"/>
        <v>-1.1800000000000095</v>
      </c>
      <c r="M77" s="64">
        <f t="shared" si="89"/>
        <v>-14.794000000000027</v>
      </c>
      <c r="N77" s="64">
        <f t="shared" si="89"/>
        <v>1.650000000000011</v>
      </c>
      <c r="O77" s="64">
        <f t="shared" si="89"/>
        <v>-15.600000000000023</v>
      </c>
      <c r="P77" s="64">
        <f t="shared" si="89"/>
        <v>-55.299000000000014</v>
      </c>
      <c r="Q77" s="64">
        <f t="shared" si="89"/>
        <v>-7.0000000000000009</v>
      </c>
      <c r="R77" s="64">
        <f t="shared" si="89"/>
        <v>-2.0825882138433029</v>
      </c>
      <c r="S77" s="64">
        <f t="shared" si="89"/>
        <v>-4.935478581817998</v>
      </c>
      <c r="T77" s="64">
        <f t="shared" si="89"/>
        <v>-2.8599999999999879</v>
      </c>
      <c r="U77" s="64">
        <f t="shared" si="89"/>
        <v>-3.82</v>
      </c>
      <c r="V77" s="64">
        <f t="shared" si="89"/>
        <v>-9.8839999999999915</v>
      </c>
      <c r="W77" s="64">
        <f t="shared" si="89"/>
        <v>6.2279999999999909</v>
      </c>
      <c r="X77" s="64">
        <f t="shared" si="89"/>
        <v>27.634999999999977</v>
      </c>
      <c r="Y77" s="64">
        <f t="shared" si="89"/>
        <v>16.263857938685483</v>
      </c>
      <c r="Z77" s="64">
        <f t="shared" si="89"/>
        <v>18.830232274350315</v>
      </c>
      <c r="AA77" s="64">
        <f t="shared" ref="AA77:AK77" si="90">SUM(AA72:AA76)</f>
        <v>-3.1648790847924264</v>
      </c>
      <c r="AB77" s="64">
        <f t="shared" si="90"/>
        <v>-6.4610849453320176</v>
      </c>
      <c r="AC77" s="64">
        <f t="shared" si="90"/>
        <v>1.6269999999999909</v>
      </c>
      <c r="AD77" s="64">
        <f t="shared" si="90"/>
        <v>0.49829273940779117</v>
      </c>
      <c r="AE77" s="64">
        <f t="shared" si="90"/>
        <v>1.2364999999999782</v>
      </c>
      <c r="AF77" s="64">
        <f t="shared" si="90"/>
        <v>-0.31000000000000227</v>
      </c>
      <c r="AG77" s="64">
        <f t="shared" si="90"/>
        <v>-4.1100000000000136</v>
      </c>
      <c r="AH77" s="64">
        <f t="shared" si="90"/>
        <v>0</v>
      </c>
      <c r="AI77" s="64">
        <f t="shared" si="90"/>
        <v>0</v>
      </c>
      <c r="AJ77" s="64">
        <f t="shared" si="90"/>
        <v>0</v>
      </c>
      <c r="AK77" s="64">
        <f t="shared" si="90"/>
        <v>-4.6499999999999773</v>
      </c>
      <c r="AL77" s="64">
        <f t="shared" ref="AL77:AM77" si="91">SUM(AL72:AL76)</f>
        <v>-4.1999999999999886</v>
      </c>
      <c r="AM77" s="64">
        <f t="shared" si="91"/>
        <v>-4.6499999999999773</v>
      </c>
      <c r="AN77" s="64">
        <f t="shared" ref="AN77" si="92">SUM(AN72:AN76)</f>
        <v>-4.5</v>
      </c>
      <c r="AO77" s="64">
        <f>SUM(AO72:AO76)</f>
        <v>5.0853448275857431</v>
      </c>
      <c r="AP77" s="670" t="s">
        <v>299</v>
      </c>
      <c r="AQ77" s="31"/>
      <c r="AR77" s="31"/>
      <c r="AS77" s="31"/>
      <c r="AT77" s="31"/>
    </row>
    <row r="78" spans="1:53" ht="13.25" customHeight="1">
      <c r="A78" s="250" t="s">
        <v>85</v>
      </c>
      <c r="B78" s="537"/>
      <c r="C78" s="537" t="s">
        <v>20</v>
      </c>
      <c r="D78" s="537"/>
      <c r="E78" s="62"/>
      <c r="F78" s="62"/>
      <c r="G78" s="62"/>
      <c r="H78" s="62"/>
      <c r="I78" s="62"/>
      <c r="J78" s="62"/>
      <c r="K78" s="62"/>
      <c r="L78" s="62"/>
      <c r="M78" s="62"/>
      <c r="N78" s="62"/>
      <c r="O78" s="62"/>
      <c r="P78" s="62"/>
      <c r="Q78" s="62"/>
      <c r="R78" s="62"/>
      <c r="S78" s="62"/>
      <c r="T78" s="62"/>
      <c r="U78" s="62"/>
      <c r="V78" s="62"/>
      <c r="W78" s="62"/>
      <c r="X78" s="62"/>
      <c r="Y78" s="62"/>
      <c r="Z78" s="341">
        <f t="shared" ref="Z78:AL78" si="93">IF(Z107&gt;Z8,Z8,Z107)</f>
        <v>39</v>
      </c>
      <c r="AA78" s="341">
        <f t="shared" si="93"/>
        <v>37</v>
      </c>
      <c r="AB78" s="341">
        <f t="shared" si="93"/>
        <v>29.5</v>
      </c>
      <c r="AC78" s="341">
        <f t="shared" si="93"/>
        <v>36</v>
      </c>
      <c r="AD78" s="341">
        <f t="shared" si="93"/>
        <v>26</v>
      </c>
      <c r="AE78" s="341">
        <f t="shared" si="93"/>
        <v>60.106688570000003</v>
      </c>
      <c r="AF78" s="341">
        <f t="shared" si="93"/>
        <v>36</v>
      </c>
      <c r="AG78" s="341">
        <f t="shared" si="93"/>
        <v>53</v>
      </c>
      <c r="AH78" s="341">
        <f t="shared" si="93"/>
        <v>50</v>
      </c>
      <c r="AI78" s="341">
        <f t="shared" si="93"/>
        <v>45</v>
      </c>
      <c r="AJ78" s="341">
        <f t="shared" si="93"/>
        <v>27</v>
      </c>
      <c r="AK78" s="341">
        <f t="shared" si="93"/>
        <v>41</v>
      </c>
      <c r="AL78" s="341">
        <f t="shared" si="93"/>
        <v>50</v>
      </c>
      <c r="AM78" s="341">
        <f t="shared" ref="AM78:AN78" si="94">IF(AM107&gt;AM8,AM8,AM107)</f>
        <v>38</v>
      </c>
      <c r="AN78" s="341">
        <f t="shared" si="94"/>
        <v>38</v>
      </c>
      <c r="AO78" s="341">
        <f>IF(AO107&gt;AO8,AO8,AO107)</f>
        <v>33</v>
      </c>
      <c r="AP78" s="673" t="s">
        <v>300</v>
      </c>
      <c r="AQ78" s="31"/>
      <c r="AR78" s="31"/>
      <c r="AS78" s="31"/>
      <c r="BA78" s="671" t="s">
        <v>307</v>
      </c>
    </row>
    <row r="79" spans="1:53" ht="13.25" customHeight="1">
      <c r="A79" s="249"/>
      <c r="B79" s="537"/>
      <c r="C79" s="537" t="s">
        <v>15</v>
      </c>
      <c r="D79" s="537"/>
      <c r="E79" s="62"/>
      <c r="F79" s="62"/>
      <c r="G79" s="62"/>
      <c r="H79" s="62"/>
      <c r="I79" s="62"/>
      <c r="J79" s="62"/>
      <c r="K79" s="62"/>
      <c r="L79" s="62"/>
      <c r="M79" s="62"/>
      <c r="N79" s="62"/>
      <c r="O79" s="62"/>
      <c r="P79" s="62"/>
      <c r="Q79" s="62"/>
      <c r="R79" s="62"/>
      <c r="S79" s="62"/>
      <c r="T79" s="62"/>
      <c r="U79" s="62"/>
      <c r="V79" s="62"/>
      <c r="W79" s="62"/>
      <c r="X79" s="62"/>
      <c r="Y79" s="62"/>
      <c r="Z79" s="341">
        <f t="shared" ref="Z79:AL79" si="95">IF(Z8=Z78,0,Z8-Z107)</f>
        <v>0</v>
      </c>
      <c r="AA79" s="341">
        <f t="shared" si="95"/>
        <v>0</v>
      </c>
      <c r="AB79" s="341">
        <f t="shared" si="95"/>
        <v>0</v>
      </c>
      <c r="AC79" s="341">
        <f t="shared" si="95"/>
        <v>0</v>
      </c>
      <c r="AD79" s="341">
        <f t="shared" si="95"/>
        <v>0</v>
      </c>
      <c r="AE79" s="341">
        <f t="shared" si="95"/>
        <v>41.893311429999997</v>
      </c>
      <c r="AF79" s="341">
        <f t="shared" si="95"/>
        <v>0</v>
      </c>
      <c r="AG79" s="341">
        <f t="shared" si="95"/>
        <v>0</v>
      </c>
      <c r="AH79" s="341">
        <f t="shared" si="95"/>
        <v>0</v>
      </c>
      <c r="AI79" s="341">
        <f t="shared" si="95"/>
        <v>0</v>
      </c>
      <c r="AJ79" s="341">
        <f t="shared" si="95"/>
        <v>0</v>
      </c>
      <c r="AK79" s="341">
        <f t="shared" si="95"/>
        <v>0</v>
      </c>
      <c r="AL79" s="341">
        <f t="shared" si="95"/>
        <v>0</v>
      </c>
      <c r="AM79" s="341">
        <f t="shared" ref="AM79:AN79" si="96">IF(AM8=AM78,0,AM8-AM107)</f>
        <v>0</v>
      </c>
      <c r="AN79" s="341">
        <f t="shared" si="96"/>
        <v>0</v>
      </c>
      <c r="AO79" s="341">
        <f>IF(AO8=AO78,0,AO8-AO107)</f>
        <v>0</v>
      </c>
      <c r="AP79" s="674" t="s">
        <v>301</v>
      </c>
      <c r="AQ79" s="31"/>
      <c r="AR79" s="31"/>
      <c r="AS79" s="31"/>
      <c r="BA79" s="671" t="s">
        <v>307</v>
      </c>
    </row>
    <row r="80" spans="1:53" ht="13.25" customHeight="1">
      <c r="A80" s="249"/>
      <c r="B80" s="537"/>
      <c r="C80" s="537" t="s">
        <v>16</v>
      </c>
      <c r="D80" s="537"/>
      <c r="E80" s="62"/>
      <c r="F80" s="62"/>
      <c r="G80" s="62"/>
      <c r="H80" s="62"/>
      <c r="I80" s="62"/>
      <c r="J80" s="62"/>
      <c r="K80" s="62"/>
      <c r="L80" s="62"/>
      <c r="M80" s="62"/>
      <c r="N80" s="62"/>
      <c r="O80" s="62"/>
      <c r="P80" s="62"/>
      <c r="Q80" s="62"/>
      <c r="R80" s="62"/>
      <c r="S80" s="62"/>
      <c r="T80" s="62"/>
      <c r="U80" s="62"/>
      <c r="V80" s="62"/>
      <c r="W80" s="62"/>
      <c r="X80" s="62"/>
      <c r="Y80" s="62"/>
      <c r="Z80" s="341">
        <f t="shared" ref="Z80:AL80" si="97">IF(Z81+Z82&gt;Z8,0,Z8-(Z81+Z82))</f>
        <v>0</v>
      </c>
      <c r="AA80" s="341">
        <f t="shared" si="97"/>
        <v>0</v>
      </c>
      <c r="AB80" s="341">
        <f t="shared" si="97"/>
        <v>0</v>
      </c>
      <c r="AC80" s="341">
        <f t="shared" si="97"/>
        <v>0</v>
      </c>
      <c r="AD80" s="341">
        <f t="shared" si="97"/>
        <v>0</v>
      </c>
      <c r="AE80" s="341">
        <f>IF(AE81+AE82&gt;AE8,0,AE8-(AE81+AE82))</f>
        <v>28.893311429999997</v>
      </c>
      <c r="AF80" s="341">
        <f t="shared" si="97"/>
        <v>0</v>
      </c>
      <c r="AG80" s="341">
        <f t="shared" si="97"/>
        <v>0</v>
      </c>
      <c r="AH80" s="341">
        <f t="shared" si="97"/>
        <v>0</v>
      </c>
      <c r="AI80" s="341">
        <f t="shared" si="97"/>
        <v>0</v>
      </c>
      <c r="AJ80" s="341">
        <f t="shared" si="97"/>
        <v>0</v>
      </c>
      <c r="AK80" s="341">
        <f t="shared" si="97"/>
        <v>0</v>
      </c>
      <c r="AL80" s="341">
        <f t="shared" si="97"/>
        <v>0</v>
      </c>
      <c r="AM80" s="341">
        <f t="shared" ref="AM80" si="98">IF(AM81+AM82&gt;AM8,0,AM8-(AM81+AM82))</f>
        <v>0</v>
      </c>
      <c r="AN80" s="341">
        <f>IF(AN81+AN82&gt;AN8,0,AN8-(AN81+AN82))</f>
        <v>0</v>
      </c>
      <c r="AO80" s="341">
        <f>IF(AO81+AO82&gt;AO8,0,AO8-(AO81+AO82))</f>
        <v>0</v>
      </c>
      <c r="AP80" s="673" t="s">
        <v>302</v>
      </c>
      <c r="AQ80" s="31"/>
      <c r="AR80" s="31"/>
      <c r="AS80" s="31"/>
      <c r="BA80" s="671" t="s">
        <v>307</v>
      </c>
    </row>
    <row r="81" spans="1:53" ht="13.25" customHeight="1">
      <c r="A81" s="250" t="s">
        <v>85</v>
      </c>
      <c r="B81" s="538" t="s">
        <v>46</v>
      </c>
      <c r="C81" s="538" t="s">
        <v>20</v>
      </c>
      <c r="D81" s="538" t="s">
        <v>14</v>
      </c>
      <c r="E81" s="62"/>
      <c r="F81" s="62"/>
      <c r="G81" s="62"/>
      <c r="H81" s="62"/>
      <c r="I81" s="62"/>
      <c r="J81" s="62"/>
      <c r="K81" s="62"/>
      <c r="L81" s="62"/>
      <c r="M81" s="62"/>
      <c r="N81" s="62"/>
      <c r="O81" s="62"/>
      <c r="P81" s="62"/>
      <c r="Q81" s="62"/>
      <c r="R81" s="62"/>
      <c r="S81" s="62"/>
      <c r="T81" s="62"/>
      <c r="U81" s="62"/>
      <c r="V81" s="62"/>
      <c r="W81" s="62"/>
      <c r="X81" s="62"/>
      <c r="Y81" s="539">
        <v>6</v>
      </c>
      <c r="Z81" s="539">
        <f>Z78</f>
        <v>39</v>
      </c>
      <c r="AA81" s="539">
        <f t="shared" ref="AA81:AL81" si="99">AA78</f>
        <v>37</v>
      </c>
      <c r="AB81" s="539">
        <f t="shared" si="99"/>
        <v>29.5</v>
      </c>
      <c r="AC81" s="539">
        <f t="shared" si="99"/>
        <v>36</v>
      </c>
      <c r="AD81" s="539">
        <f t="shared" si="99"/>
        <v>26</v>
      </c>
      <c r="AE81" s="539">
        <f t="shared" si="99"/>
        <v>60.106688570000003</v>
      </c>
      <c r="AF81" s="539">
        <f t="shared" si="99"/>
        <v>36</v>
      </c>
      <c r="AG81" s="539">
        <f t="shared" si="99"/>
        <v>53</v>
      </c>
      <c r="AH81" s="539">
        <f t="shared" si="99"/>
        <v>50</v>
      </c>
      <c r="AI81" s="539">
        <f t="shared" si="99"/>
        <v>45</v>
      </c>
      <c r="AJ81" s="539">
        <f t="shared" si="99"/>
        <v>27</v>
      </c>
      <c r="AK81" s="539">
        <f t="shared" si="99"/>
        <v>41</v>
      </c>
      <c r="AL81" s="539">
        <f t="shared" si="99"/>
        <v>50</v>
      </c>
      <c r="AM81" s="539">
        <f t="shared" ref="AM81:AN81" si="100">AM78</f>
        <v>38</v>
      </c>
      <c r="AN81" s="539">
        <f t="shared" si="100"/>
        <v>38</v>
      </c>
      <c r="AO81" s="539">
        <f>AO78</f>
        <v>33</v>
      </c>
      <c r="AP81" s="672" t="s">
        <v>303</v>
      </c>
      <c r="AQ81" s="31"/>
      <c r="AR81" s="31"/>
      <c r="AS81" s="31"/>
      <c r="AT81" s="31"/>
    </row>
    <row r="82" spans="1:53" ht="13.25" customHeight="1">
      <c r="A82" s="249"/>
      <c r="B82" s="538" t="s">
        <v>46</v>
      </c>
      <c r="C82" s="538" t="s">
        <v>15</v>
      </c>
      <c r="D82" s="538" t="s">
        <v>14</v>
      </c>
      <c r="E82" s="62"/>
      <c r="F82" s="62"/>
      <c r="G82" s="62"/>
      <c r="H82" s="62"/>
      <c r="I82" s="62"/>
      <c r="J82" s="62"/>
      <c r="K82" s="62"/>
      <c r="L82" s="62"/>
      <c r="M82" s="62"/>
      <c r="N82" s="62"/>
      <c r="O82" s="62"/>
      <c r="P82" s="62"/>
      <c r="Q82" s="62"/>
      <c r="R82" s="62"/>
      <c r="S82" s="62"/>
      <c r="T82" s="62"/>
      <c r="U82" s="62"/>
      <c r="V82" s="62"/>
      <c r="W82" s="62"/>
      <c r="X82" s="62"/>
      <c r="Y82" s="62"/>
      <c r="Z82" s="539">
        <f t="shared" ref="Z82:AD82" si="101">IF(Z79&lt;Z111,Z79,Z111)</f>
        <v>0</v>
      </c>
      <c r="AA82" s="539">
        <f t="shared" si="101"/>
        <v>0</v>
      </c>
      <c r="AB82" s="539">
        <f t="shared" si="101"/>
        <v>0</v>
      </c>
      <c r="AC82" s="539">
        <f t="shared" si="101"/>
        <v>0</v>
      </c>
      <c r="AD82" s="539">
        <f t="shared" si="101"/>
        <v>0</v>
      </c>
      <c r="AE82" s="539">
        <f>IF(AE79&lt;AE111,AE79,AE111)</f>
        <v>13</v>
      </c>
      <c r="AF82" s="539">
        <f t="shared" ref="AF82:AL82" si="102">IF(AF79&lt;AF111,AF79,AF111)</f>
        <v>0</v>
      </c>
      <c r="AG82" s="539">
        <f t="shared" si="102"/>
        <v>0</v>
      </c>
      <c r="AH82" s="539">
        <f t="shared" si="102"/>
        <v>0</v>
      </c>
      <c r="AI82" s="539">
        <f t="shared" si="102"/>
        <v>0</v>
      </c>
      <c r="AJ82" s="539">
        <f t="shared" si="102"/>
        <v>0</v>
      </c>
      <c r="AK82" s="539">
        <f t="shared" si="102"/>
        <v>0</v>
      </c>
      <c r="AL82" s="539">
        <f t="shared" si="102"/>
        <v>0</v>
      </c>
      <c r="AM82" s="539">
        <f t="shared" ref="AM82:AN82" si="103">IF(AM79&lt;AM111,AM79,AM111)</f>
        <v>0</v>
      </c>
      <c r="AN82" s="539">
        <f t="shared" si="103"/>
        <v>0</v>
      </c>
      <c r="AO82" s="539">
        <f>IF(AO79&lt;AO111,AO79,AO111)</f>
        <v>0</v>
      </c>
      <c r="AP82" s="672" t="s">
        <v>304</v>
      </c>
      <c r="AQ82" s="31"/>
      <c r="AR82" s="31"/>
      <c r="AS82" s="31"/>
      <c r="AT82" s="31"/>
    </row>
    <row r="83" spans="1:53" ht="13.25" customHeight="1">
      <c r="A83" s="249"/>
      <c r="B83" s="538" t="s">
        <v>46</v>
      </c>
      <c r="C83" s="538" t="s">
        <v>16</v>
      </c>
      <c r="D83" s="538" t="s">
        <v>14</v>
      </c>
      <c r="E83" s="62"/>
      <c r="F83" s="62"/>
      <c r="G83" s="62"/>
      <c r="H83" s="62"/>
      <c r="I83" s="62"/>
      <c r="J83" s="62"/>
      <c r="K83" s="62"/>
      <c r="L83" s="62"/>
      <c r="M83" s="62"/>
      <c r="N83" s="62"/>
      <c r="O83" s="62"/>
      <c r="P83" s="62"/>
      <c r="Q83" s="62"/>
      <c r="R83" s="62"/>
      <c r="S83" s="62"/>
      <c r="T83" s="62"/>
      <c r="U83" s="62"/>
      <c r="V83" s="62"/>
      <c r="W83" s="62"/>
      <c r="X83" s="62"/>
      <c r="Y83" s="62"/>
      <c r="Z83" s="539">
        <f>Z80</f>
        <v>0</v>
      </c>
      <c r="AA83" s="539">
        <f t="shared" ref="AA83:AL83" si="104">AA80</f>
        <v>0</v>
      </c>
      <c r="AB83" s="539">
        <f t="shared" si="104"/>
        <v>0</v>
      </c>
      <c r="AC83" s="539">
        <f t="shared" si="104"/>
        <v>0</v>
      </c>
      <c r="AD83" s="539">
        <f t="shared" si="104"/>
        <v>0</v>
      </c>
      <c r="AE83" s="539">
        <f t="shared" si="104"/>
        <v>28.893311429999997</v>
      </c>
      <c r="AF83" s="539">
        <f t="shared" si="104"/>
        <v>0</v>
      </c>
      <c r="AG83" s="539">
        <f t="shared" si="104"/>
        <v>0</v>
      </c>
      <c r="AH83" s="539">
        <f t="shared" si="104"/>
        <v>0</v>
      </c>
      <c r="AI83" s="539">
        <f t="shared" si="104"/>
        <v>0</v>
      </c>
      <c r="AJ83" s="539">
        <f t="shared" si="104"/>
        <v>0</v>
      </c>
      <c r="AK83" s="539">
        <f t="shared" si="104"/>
        <v>0</v>
      </c>
      <c r="AL83" s="539">
        <f t="shared" si="104"/>
        <v>0</v>
      </c>
      <c r="AM83" s="539">
        <f t="shared" ref="AM83:AN83" si="105">AM80</f>
        <v>0</v>
      </c>
      <c r="AN83" s="539">
        <f t="shared" si="105"/>
        <v>0</v>
      </c>
      <c r="AO83" s="539">
        <f t="shared" ref="AO83" si="106">AO80</f>
        <v>0</v>
      </c>
      <c r="AP83" s="672" t="s">
        <v>305</v>
      </c>
      <c r="AQ83" s="31"/>
      <c r="AR83" s="31"/>
      <c r="AS83" s="31"/>
      <c r="AT83" s="31"/>
    </row>
    <row r="84" spans="1:53" ht="13.25" customHeight="1">
      <c r="A84" s="249"/>
      <c r="B84" s="30"/>
      <c r="C84" s="536" t="s">
        <v>20</v>
      </c>
      <c r="D84" s="31"/>
      <c r="E84" s="62"/>
      <c r="F84" s="62"/>
      <c r="G84" s="62"/>
      <c r="H84" s="62"/>
      <c r="I84" s="62"/>
      <c r="J84" s="62"/>
      <c r="K84" s="251">
        <f t="shared" ref="K84:Q84" si="107">K107-K8</f>
        <v>53.24</v>
      </c>
      <c r="L84" s="251">
        <f t="shared" si="107"/>
        <v>59.77</v>
      </c>
      <c r="M84" s="251">
        <f t="shared" si="107"/>
        <v>70.308482029999993</v>
      </c>
      <c r="N84" s="251">
        <f t="shared" si="107"/>
        <v>62.170128779999992</v>
      </c>
      <c r="O84" s="251">
        <f t="shared" si="107"/>
        <v>67.39</v>
      </c>
      <c r="P84" s="251">
        <f t="shared" si="107"/>
        <v>52.08</v>
      </c>
      <c r="Q84" s="251">
        <f t="shared" si="107"/>
        <v>45.18</v>
      </c>
      <c r="R84" s="251">
        <f t="shared" ref="R84:AL84" si="108">R107-R8-R10</f>
        <v>47.39</v>
      </c>
      <c r="S84" s="251">
        <f t="shared" si="108"/>
        <v>32.54</v>
      </c>
      <c r="T84" s="251">
        <f t="shared" si="108"/>
        <v>32.6</v>
      </c>
      <c r="U84" s="251">
        <f t="shared" si="108"/>
        <v>43.42</v>
      </c>
      <c r="V84" s="251">
        <f t="shared" si="108"/>
        <v>55.54</v>
      </c>
      <c r="W84" s="251">
        <f t="shared" si="108"/>
        <v>27.382407709999995</v>
      </c>
      <c r="X84" s="251">
        <f t="shared" si="108"/>
        <v>35.423000000000002</v>
      </c>
      <c r="Y84" s="251">
        <f t="shared" si="108"/>
        <v>48.21</v>
      </c>
      <c r="Z84" s="535">
        <f t="shared" si="108"/>
        <v>13.25</v>
      </c>
      <c r="AA84" s="535">
        <f t="shared" si="108"/>
        <v>19.880000000000003</v>
      </c>
      <c r="AB84" s="535">
        <f t="shared" si="108"/>
        <v>17.78</v>
      </c>
      <c r="AC84" s="535">
        <f t="shared" si="108"/>
        <v>15.799999999999997</v>
      </c>
      <c r="AD84" s="535">
        <f t="shared" si="108"/>
        <v>26.229999999999997</v>
      </c>
      <c r="AE84" s="535">
        <f t="shared" si="108"/>
        <v>-41.893311429999997</v>
      </c>
      <c r="AF84" s="535">
        <f t="shared" si="108"/>
        <v>23.348695379999995</v>
      </c>
      <c r="AG84" s="535">
        <f t="shared" si="108"/>
        <v>5.7440288600000002</v>
      </c>
      <c r="AH84" s="535">
        <f t="shared" si="108"/>
        <v>8.4879594099999878</v>
      </c>
      <c r="AI84" s="535">
        <f t="shared" si="108"/>
        <v>14.128257629999993</v>
      </c>
      <c r="AJ84" s="535">
        <f t="shared" si="108"/>
        <v>34.225829050000002</v>
      </c>
      <c r="AK84" s="535">
        <f t="shared" si="108"/>
        <v>20.70687556</v>
      </c>
      <c r="AL84" s="535">
        <f t="shared" si="108"/>
        <v>8.4326442600000036</v>
      </c>
      <c r="AM84" s="535">
        <f t="shared" ref="AM84:AN84" si="109">AM107-AM8-AM10</f>
        <v>22.270865950000001</v>
      </c>
      <c r="AN84" s="535">
        <f t="shared" si="109"/>
        <v>18.221904499999994</v>
      </c>
      <c r="AO84" s="535">
        <f>AO107-AO8-AO10</f>
        <v>24.656336629999998</v>
      </c>
      <c r="AP84" s="675" t="s">
        <v>308</v>
      </c>
      <c r="AQ84" s="31"/>
      <c r="AR84" s="31"/>
      <c r="AS84" s="31"/>
      <c r="AT84" s="31"/>
      <c r="BA84" s="671" t="s">
        <v>306</v>
      </c>
    </row>
    <row r="85" spans="1:53" ht="13.25" customHeight="1">
      <c r="A85" s="250"/>
      <c r="B85" s="30"/>
      <c r="C85" s="536" t="s">
        <v>15</v>
      </c>
      <c r="D85" s="31"/>
      <c r="E85" s="62"/>
      <c r="F85" s="62"/>
      <c r="G85" s="62"/>
      <c r="H85" s="62"/>
      <c r="I85" s="62"/>
      <c r="J85" s="62"/>
      <c r="K85" s="251"/>
      <c r="L85" s="251"/>
      <c r="M85" s="251"/>
      <c r="N85" s="251"/>
      <c r="O85" s="251"/>
      <c r="P85" s="251"/>
      <c r="Q85" s="251"/>
      <c r="R85" s="251"/>
      <c r="S85" s="251"/>
      <c r="T85" s="251"/>
      <c r="U85" s="251"/>
      <c r="V85" s="251"/>
      <c r="W85" s="251"/>
      <c r="X85" s="251"/>
      <c r="Y85" s="251"/>
      <c r="Z85" s="535">
        <f>IF(Z84&gt;0,Z111,Z111+Z84)</f>
        <v>24.4</v>
      </c>
      <c r="AA85" s="535">
        <f t="shared" ref="AA85:AC85" si="110">IF(AA84&gt;0,AA111,AA111+AA84)</f>
        <v>26</v>
      </c>
      <c r="AB85" s="535">
        <f t="shared" si="110"/>
        <v>23.5</v>
      </c>
      <c r="AC85" s="535">
        <f t="shared" si="110"/>
        <v>22</v>
      </c>
      <c r="AD85" s="535">
        <f t="shared" ref="AD85" si="111">IF(AD84&gt;0,AD111,AD111+AD84)</f>
        <v>13</v>
      </c>
      <c r="AE85" s="535">
        <f t="shared" ref="AE85:AF85" si="112">IF(AE84&gt;0,AE111,AE111+AE84)</f>
        <v>-28.893311429999997</v>
      </c>
      <c r="AF85" s="535">
        <f t="shared" si="112"/>
        <v>15</v>
      </c>
      <c r="AG85" s="535">
        <f>IF(AG84&gt;0,AG111,AG111+AG84)</f>
        <v>15</v>
      </c>
      <c r="AH85" s="535">
        <f t="shared" ref="AH85" si="113">IF(AH84&gt;0,AH111,AH111+AH84)</f>
        <v>15</v>
      </c>
      <c r="AI85" s="535">
        <f t="shared" ref="AI85" si="114">IF(AI84&gt;0,AI111,AI111+AI84)</f>
        <v>15</v>
      </c>
      <c r="AJ85" s="535">
        <f t="shared" ref="AJ85" si="115">IF(AJ84&gt;0,AJ111,AJ111+AJ84)</f>
        <v>15</v>
      </c>
      <c r="AK85" s="535">
        <f t="shared" ref="AK85" si="116">IF(AK84&gt;0,AK111,AK111+AK84)</f>
        <v>15</v>
      </c>
      <c r="AL85" s="535">
        <f t="shared" ref="AL85:AM85" si="117">IF(AL84&gt;0,AL111,AL111+AL84)</f>
        <v>15</v>
      </c>
      <c r="AM85" s="535">
        <f t="shared" si="117"/>
        <v>15</v>
      </c>
      <c r="AN85" s="535">
        <f t="shared" ref="AN85:AO85" si="118">IF(AN84&gt;0,AN111,AN111+AN84)</f>
        <v>15</v>
      </c>
      <c r="AO85" s="535">
        <f t="shared" si="118"/>
        <v>15</v>
      </c>
      <c r="AP85" s="675" t="s">
        <v>309</v>
      </c>
      <c r="AQ85" s="31"/>
      <c r="AR85" s="31"/>
      <c r="AS85" s="31"/>
      <c r="AT85" s="31"/>
      <c r="BA85" s="671" t="s">
        <v>306</v>
      </c>
    </row>
    <row r="86" spans="1:53" ht="13.25" customHeight="1">
      <c r="A86" s="250"/>
      <c r="B86" s="30"/>
      <c r="C86" s="536" t="s">
        <v>16</v>
      </c>
      <c r="D86" s="31"/>
      <c r="E86" s="62"/>
      <c r="F86" s="62"/>
      <c r="G86" s="62"/>
      <c r="H86" s="62"/>
      <c r="I86" s="62"/>
      <c r="J86" s="62"/>
      <c r="K86" s="251"/>
      <c r="L86" s="251"/>
      <c r="M86" s="251"/>
      <c r="N86" s="251"/>
      <c r="O86" s="251"/>
      <c r="P86" s="251"/>
      <c r="Q86" s="251"/>
      <c r="R86" s="251"/>
      <c r="S86" s="251"/>
      <c r="T86" s="251"/>
      <c r="U86" s="251"/>
      <c r="V86" s="251"/>
      <c r="W86" s="251"/>
      <c r="X86" s="251"/>
      <c r="Y86" s="251"/>
      <c r="Z86" s="535">
        <f t="shared" ref="Z86:AD86" si="119">IF(Z85&gt;=0,Z112,Z112+Z85)</f>
        <v>15</v>
      </c>
      <c r="AA86" s="535">
        <f t="shared" si="119"/>
        <v>17</v>
      </c>
      <c r="AB86" s="535">
        <f t="shared" si="119"/>
        <v>12.5</v>
      </c>
      <c r="AC86" s="535">
        <f t="shared" si="119"/>
        <v>14</v>
      </c>
      <c r="AD86" s="535">
        <f t="shared" si="119"/>
        <v>23</v>
      </c>
      <c r="AE86" s="535">
        <f>IF(AE85&gt;=0,AE112,AE112+AE85)</f>
        <v>-5.8933114299999971</v>
      </c>
      <c r="AF86" s="535">
        <f t="shared" ref="AF86:AL86" si="120">IF(AF85&gt;=0,AF112,AF112+AF85)</f>
        <v>27</v>
      </c>
      <c r="AG86" s="535">
        <f t="shared" si="120"/>
        <v>26</v>
      </c>
      <c r="AH86" s="535">
        <f t="shared" si="120"/>
        <v>26.5</v>
      </c>
      <c r="AI86" s="535">
        <f t="shared" si="120"/>
        <v>27</v>
      </c>
      <c r="AJ86" s="535">
        <f t="shared" si="120"/>
        <v>27</v>
      </c>
      <c r="AK86" s="535">
        <f t="shared" si="120"/>
        <v>27</v>
      </c>
      <c r="AL86" s="535">
        <f t="shared" si="120"/>
        <v>27</v>
      </c>
      <c r="AM86" s="535">
        <f t="shared" ref="AM86:AN86" si="121">IF(AM85&gt;=0,AM112,AM112+AM85)</f>
        <v>27</v>
      </c>
      <c r="AN86" s="535">
        <f t="shared" si="121"/>
        <v>27</v>
      </c>
      <c r="AO86" s="535">
        <f t="shared" ref="AO86" si="122">IF(AO85&gt;=0,AO112,AO112+AO85)</f>
        <v>27</v>
      </c>
      <c r="AP86" s="676" t="s">
        <v>310</v>
      </c>
      <c r="AQ86" s="31"/>
      <c r="AR86" s="31"/>
      <c r="AS86" s="31"/>
      <c r="AT86" s="31"/>
      <c r="BA86" s="671" t="s">
        <v>306</v>
      </c>
    </row>
    <row r="87" spans="1:53" ht="13.25" customHeight="1">
      <c r="A87" s="249"/>
      <c r="B87" s="534" t="s">
        <v>3</v>
      </c>
      <c r="C87" s="534" t="s">
        <v>20</v>
      </c>
      <c r="D87" s="534" t="s">
        <v>185</v>
      </c>
      <c r="E87" s="62"/>
      <c r="F87" s="62"/>
      <c r="G87" s="62"/>
      <c r="H87" s="62"/>
      <c r="I87" s="62"/>
      <c r="J87" s="62"/>
      <c r="K87" s="251"/>
      <c r="L87" s="251"/>
      <c r="M87" s="251"/>
      <c r="N87" s="251"/>
      <c r="O87" s="251"/>
      <c r="P87" s="251"/>
      <c r="Q87" s="251"/>
      <c r="R87" s="251"/>
      <c r="S87" s="251"/>
      <c r="T87" s="251"/>
      <c r="U87" s="251"/>
      <c r="V87" s="251"/>
      <c r="W87" s="251"/>
      <c r="X87" s="251"/>
      <c r="Y87" s="251">
        <f t="shared" ref="Y87:AL87" si="123">IF(Y84&lt;0,0,Y84)</f>
        <v>48.21</v>
      </c>
      <c r="Z87" s="251">
        <f t="shared" si="123"/>
        <v>13.25</v>
      </c>
      <c r="AA87" s="251">
        <f t="shared" si="123"/>
        <v>19.880000000000003</v>
      </c>
      <c r="AB87" s="251">
        <f t="shared" si="123"/>
        <v>17.78</v>
      </c>
      <c r="AC87" s="251">
        <f t="shared" si="123"/>
        <v>15.799999999999997</v>
      </c>
      <c r="AD87" s="251">
        <f t="shared" si="123"/>
        <v>26.229999999999997</v>
      </c>
      <c r="AE87" s="251">
        <f t="shared" si="123"/>
        <v>0</v>
      </c>
      <c r="AF87" s="251">
        <f t="shared" si="123"/>
        <v>23.348695379999995</v>
      </c>
      <c r="AG87" s="251">
        <f t="shared" si="123"/>
        <v>5.7440288600000002</v>
      </c>
      <c r="AH87" s="251">
        <f t="shared" si="123"/>
        <v>8.4879594099999878</v>
      </c>
      <c r="AI87" s="251">
        <f t="shared" si="123"/>
        <v>14.128257629999993</v>
      </c>
      <c r="AJ87" s="251">
        <f t="shared" si="123"/>
        <v>34.225829050000002</v>
      </c>
      <c r="AK87" s="251">
        <f t="shared" si="123"/>
        <v>20.70687556</v>
      </c>
      <c r="AL87" s="251">
        <f t="shared" si="123"/>
        <v>8.4326442600000036</v>
      </c>
      <c r="AM87" s="251">
        <f t="shared" ref="AM87:AN87" si="124">IF(AM84&lt;0,0,AM84)</f>
        <v>22.270865950000001</v>
      </c>
      <c r="AN87" s="251">
        <f t="shared" si="124"/>
        <v>18.221904499999994</v>
      </c>
      <c r="AO87" s="251">
        <f t="shared" ref="AO87" si="125">IF(AO84&lt;0,0,AO84)</f>
        <v>24.656336629999998</v>
      </c>
      <c r="AP87" s="672" t="s">
        <v>311</v>
      </c>
      <c r="AQ87" s="31"/>
      <c r="AR87" s="31"/>
      <c r="AS87" s="31"/>
      <c r="AT87" s="31"/>
    </row>
    <row r="88" spans="1:53" ht="13.25" customHeight="1">
      <c r="A88" s="249"/>
      <c r="B88" s="534" t="s">
        <v>3</v>
      </c>
      <c r="C88" s="534" t="s">
        <v>15</v>
      </c>
      <c r="D88" s="534" t="s">
        <v>185</v>
      </c>
      <c r="E88" s="62"/>
      <c r="F88" s="62"/>
      <c r="G88" s="62"/>
      <c r="H88" s="62"/>
      <c r="I88" s="62"/>
      <c r="J88" s="62"/>
      <c r="K88" s="251"/>
      <c r="L88" s="251"/>
      <c r="M88" s="251"/>
      <c r="N88" s="251"/>
      <c r="O88" s="251"/>
      <c r="P88" s="251"/>
      <c r="Q88" s="251"/>
      <c r="R88" s="251"/>
      <c r="S88" s="251"/>
      <c r="T88" s="251"/>
      <c r="U88" s="251"/>
      <c r="V88" s="251"/>
      <c r="W88" s="251"/>
      <c r="X88" s="251"/>
      <c r="Y88" s="251"/>
      <c r="Z88" s="251">
        <f t="shared" ref="Z88:AL88" si="126">IF(Z85&lt;0,0,Z85)</f>
        <v>24.4</v>
      </c>
      <c r="AA88" s="251">
        <f t="shared" si="126"/>
        <v>26</v>
      </c>
      <c r="AB88" s="251">
        <f t="shared" si="126"/>
        <v>23.5</v>
      </c>
      <c r="AC88" s="251">
        <f t="shared" si="126"/>
        <v>22</v>
      </c>
      <c r="AD88" s="251">
        <f t="shared" si="126"/>
        <v>13</v>
      </c>
      <c r="AE88" s="251">
        <f t="shared" si="126"/>
        <v>0</v>
      </c>
      <c r="AF88" s="251">
        <f t="shared" si="126"/>
        <v>15</v>
      </c>
      <c r="AG88" s="251">
        <f t="shared" si="126"/>
        <v>15</v>
      </c>
      <c r="AH88" s="251">
        <f t="shared" si="126"/>
        <v>15</v>
      </c>
      <c r="AI88" s="251">
        <f t="shared" si="126"/>
        <v>15</v>
      </c>
      <c r="AJ88" s="251">
        <f t="shared" si="126"/>
        <v>15</v>
      </c>
      <c r="AK88" s="251">
        <f t="shared" si="126"/>
        <v>15</v>
      </c>
      <c r="AL88" s="251">
        <f t="shared" si="126"/>
        <v>15</v>
      </c>
      <c r="AM88" s="251">
        <f t="shared" ref="AM88:AN88" si="127">IF(AM85&lt;0,0,AM85)</f>
        <v>15</v>
      </c>
      <c r="AN88" s="251">
        <f t="shared" si="127"/>
        <v>15</v>
      </c>
      <c r="AO88" s="251">
        <f t="shared" ref="AO88" si="128">IF(AO85&lt;0,0,AO85)</f>
        <v>15</v>
      </c>
      <c r="AP88" s="672" t="s">
        <v>312</v>
      </c>
      <c r="AQ88" s="31"/>
      <c r="AR88" s="31"/>
      <c r="AS88" s="31"/>
      <c r="AT88" s="31"/>
    </row>
    <row r="89" spans="1:53" ht="13.25" customHeight="1">
      <c r="A89" s="249"/>
      <c r="B89" s="534" t="s">
        <v>3</v>
      </c>
      <c r="C89" s="534" t="s">
        <v>16</v>
      </c>
      <c r="D89" s="534" t="s">
        <v>185</v>
      </c>
      <c r="E89" s="62"/>
      <c r="F89" s="62"/>
      <c r="G89" s="62"/>
      <c r="H89" s="62"/>
      <c r="I89" s="62"/>
      <c r="J89" s="62"/>
      <c r="K89" s="251"/>
      <c r="L89" s="251"/>
      <c r="M89" s="251"/>
      <c r="N89" s="251"/>
      <c r="O89" s="251"/>
      <c r="P89" s="251"/>
      <c r="Q89" s="251"/>
      <c r="R89" s="251"/>
      <c r="S89" s="251"/>
      <c r="T89" s="251"/>
      <c r="U89" s="251"/>
      <c r="V89" s="251"/>
      <c r="W89" s="251"/>
      <c r="X89" s="251"/>
      <c r="Y89" s="251"/>
      <c r="Z89" s="251">
        <f>IF(Z86&lt;0,0,Z86)</f>
        <v>15</v>
      </c>
      <c r="AA89" s="251">
        <f t="shared" ref="AA89:AD89" si="129">IF(AA86&lt;0,0,AA86)</f>
        <v>17</v>
      </c>
      <c r="AB89" s="251">
        <f t="shared" si="129"/>
        <v>12.5</v>
      </c>
      <c r="AC89" s="251">
        <f>IF(AC86&lt;0,0,AC86)</f>
        <v>14</v>
      </c>
      <c r="AD89" s="251">
        <f t="shared" si="129"/>
        <v>23</v>
      </c>
      <c r="AE89" s="251">
        <f>IF(AE86&lt;0,0,AE86)</f>
        <v>0</v>
      </c>
      <c r="AF89" s="251">
        <f t="shared" ref="AF89:AL89" si="130">IF(AF86&lt;0,0,AF86)</f>
        <v>27</v>
      </c>
      <c r="AG89" s="251">
        <f t="shared" si="130"/>
        <v>26</v>
      </c>
      <c r="AH89" s="251">
        <f t="shared" si="130"/>
        <v>26.5</v>
      </c>
      <c r="AI89" s="251">
        <f t="shared" si="130"/>
        <v>27</v>
      </c>
      <c r="AJ89" s="251">
        <f t="shared" si="130"/>
        <v>27</v>
      </c>
      <c r="AK89" s="251">
        <f t="shared" si="130"/>
        <v>27</v>
      </c>
      <c r="AL89" s="251">
        <f t="shared" si="130"/>
        <v>27</v>
      </c>
      <c r="AM89" s="251">
        <f t="shared" ref="AM89:AN89" si="131">IF(AM86&lt;0,0,AM86)</f>
        <v>27</v>
      </c>
      <c r="AN89" s="251">
        <f t="shared" si="131"/>
        <v>27</v>
      </c>
      <c r="AO89" s="251">
        <f t="shared" ref="AO89" si="132">IF(AO86&lt;0,0,AO86)</f>
        <v>27</v>
      </c>
      <c r="AP89" s="672" t="s">
        <v>313</v>
      </c>
      <c r="AQ89" s="31"/>
      <c r="AR89" s="31"/>
      <c r="AS89" s="31"/>
      <c r="AT89" s="31"/>
    </row>
    <row r="90" spans="1:53">
      <c r="A90" s="247"/>
      <c r="B90" s="248" t="s">
        <v>82</v>
      </c>
      <c r="C90" s="247"/>
      <c r="D90" s="248" t="s">
        <v>80</v>
      </c>
      <c r="E90" s="62"/>
      <c r="F90" s="62"/>
      <c r="G90" s="62"/>
      <c r="H90" s="62"/>
      <c r="I90" s="62"/>
      <c r="J90" s="62"/>
      <c r="K90" s="246">
        <f>SUM(K107:K150)-K8-K61</f>
        <v>186.98999999999998</v>
      </c>
      <c r="L90" s="246">
        <f>SUM(L107:L150)-L8-L61</f>
        <v>176.72567744999995</v>
      </c>
      <c r="M90" s="246">
        <f>SUM(M107:M151)-M8-M61</f>
        <v>184.30329082000003</v>
      </c>
      <c r="N90" s="246">
        <f>SUM(N107:N151)-N8-N61</f>
        <v>172.28545953</v>
      </c>
      <c r="O90" s="246">
        <f>SUM(O107:O151)-O8-O61</f>
        <v>172.38000000000002</v>
      </c>
      <c r="P90" s="246">
        <f>SUM(P107:P151)-P8-P61</f>
        <v>142.44</v>
      </c>
      <c r="Q90" s="246">
        <f>SUM(Q107:Q151)-Q8-Q61</f>
        <v>138.16</v>
      </c>
      <c r="R90" s="246">
        <f t="shared" ref="R90:AL90" si="133">SUM(R107:R151)-R8-R61-R10</f>
        <v>154.13999999999999</v>
      </c>
      <c r="S90" s="246">
        <f t="shared" si="133"/>
        <v>152.03</v>
      </c>
      <c r="T90" s="246">
        <f t="shared" si="133"/>
        <v>164.28000000000006</v>
      </c>
      <c r="U90" s="246">
        <f t="shared" si="133"/>
        <v>174.54000000000002</v>
      </c>
      <c r="V90" s="246">
        <f t="shared" si="133"/>
        <v>191.40999999999997</v>
      </c>
      <c r="W90" s="246">
        <f t="shared" si="133"/>
        <v>148.50240770999997</v>
      </c>
      <c r="X90" s="246">
        <f t="shared" si="133"/>
        <v>163.09299999999999</v>
      </c>
      <c r="Y90" s="246">
        <f t="shared" si="133"/>
        <v>157.68</v>
      </c>
      <c r="Z90" s="246">
        <f t="shared" si="133"/>
        <v>129.34743945000002</v>
      </c>
      <c r="AA90" s="246">
        <f t="shared" si="133"/>
        <v>161.13999999999996</v>
      </c>
      <c r="AB90" s="246">
        <f t="shared" si="133"/>
        <v>135.09999999999997</v>
      </c>
      <c r="AC90" s="246">
        <f t="shared" si="133"/>
        <v>134.05000000000001</v>
      </c>
      <c r="AD90" s="246">
        <f t="shared" si="133"/>
        <v>146.10999999999996</v>
      </c>
      <c r="AE90" s="246">
        <f t="shared" si="133"/>
        <v>77.053561369999983</v>
      </c>
      <c r="AF90" s="246">
        <f t="shared" si="133"/>
        <v>156.71865578999996</v>
      </c>
      <c r="AG90" s="246">
        <f t="shared" si="133"/>
        <v>137.83812602999998</v>
      </c>
      <c r="AH90" s="246">
        <f t="shared" si="133"/>
        <v>142.58115352999994</v>
      </c>
      <c r="AI90" s="246">
        <f t="shared" si="133"/>
        <v>147.44138480999996</v>
      </c>
      <c r="AJ90" s="246">
        <f t="shared" si="133"/>
        <v>170.14226784999997</v>
      </c>
      <c r="AK90" s="246">
        <f t="shared" si="133"/>
        <v>154.51183659999998</v>
      </c>
      <c r="AL90" s="246">
        <f t="shared" si="133"/>
        <v>138.57218816999998</v>
      </c>
      <c r="AM90" s="246">
        <f t="shared" ref="AM90:AN90" si="134">SUM(AM107:AM151)-AM8-AM61-AM10</f>
        <v>154.45627196999999</v>
      </c>
      <c r="AN90" s="246">
        <f t="shared" si="134"/>
        <v>148.96585520999997</v>
      </c>
      <c r="AO90" s="246">
        <f>SUM(AO107:AO151)-AO8-AO61-AO10</f>
        <v>154.68572226999999</v>
      </c>
      <c r="AP90" s="654" t="s">
        <v>314</v>
      </c>
      <c r="AQ90" s="31"/>
      <c r="AR90" s="31"/>
      <c r="AS90" s="31"/>
      <c r="AT90" s="31"/>
    </row>
    <row r="91" spans="1:53">
      <c r="A91" s="247"/>
      <c r="B91" s="248" t="s">
        <v>83</v>
      </c>
      <c r="C91" s="247"/>
      <c r="D91" s="248" t="s">
        <v>81</v>
      </c>
      <c r="E91" s="62"/>
      <c r="F91" s="62"/>
      <c r="G91" s="62"/>
      <c r="H91" s="62"/>
      <c r="I91" s="62"/>
      <c r="J91" s="62"/>
      <c r="K91" s="246">
        <f t="shared" ref="K91:AL91" si="135">K107+K108+K111+K112+K113+K115+K117+K120+K123+K125+K127+K128+K135+K138+K140+K143+K145+K147+K149-K8-K10</f>
        <v>171.64</v>
      </c>
      <c r="L91" s="246">
        <f t="shared" si="135"/>
        <v>177.10567744999997</v>
      </c>
      <c r="M91" s="246">
        <f t="shared" si="135"/>
        <v>181.64329082</v>
      </c>
      <c r="N91" s="246">
        <f t="shared" si="135"/>
        <v>172.19545952999999</v>
      </c>
      <c r="O91" s="246">
        <f t="shared" si="135"/>
        <v>161.47</v>
      </c>
      <c r="P91" s="246">
        <f t="shared" si="135"/>
        <v>132.49</v>
      </c>
      <c r="Q91" s="246">
        <f t="shared" si="135"/>
        <v>131.46</v>
      </c>
      <c r="R91" s="246">
        <f t="shared" si="135"/>
        <v>136.26</v>
      </c>
      <c r="S91" s="246">
        <f t="shared" si="135"/>
        <v>132.22999999999999</v>
      </c>
      <c r="T91" s="246">
        <f t="shared" si="135"/>
        <v>133.78</v>
      </c>
      <c r="U91" s="246">
        <f t="shared" si="135"/>
        <v>144.84</v>
      </c>
      <c r="V91" s="246">
        <f t="shared" si="135"/>
        <v>159.91</v>
      </c>
      <c r="W91" s="246">
        <f t="shared" si="135"/>
        <v>128.70240770999999</v>
      </c>
      <c r="X91" s="246">
        <f t="shared" si="135"/>
        <v>142.04300000000001</v>
      </c>
      <c r="Y91" s="246">
        <f t="shared" si="135"/>
        <v>150.13</v>
      </c>
      <c r="Z91" s="246">
        <f t="shared" si="135"/>
        <v>109.42743945000001</v>
      </c>
      <c r="AA91" s="246">
        <f t="shared" si="135"/>
        <v>125.11000000000001</v>
      </c>
      <c r="AB91" s="246">
        <f t="shared" si="135"/>
        <v>106.82999999999998</v>
      </c>
      <c r="AC91" s="246">
        <f t="shared" si="135"/>
        <v>104.82999999999998</v>
      </c>
      <c r="AD91" s="246">
        <f t="shared" si="135"/>
        <v>117.88999999999999</v>
      </c>
      <c r="AE91" s="246">
        <f t="shared" si="135"/>
        <v>48.473561369999999</v>
      </c>
      <c r="AF91" s="246">
        <f t="shared" si="135"/>
        <v>124.83865578999999</v>
      </c>
      <c r="AG91" s="246">
        <f t="shared" si="135"/>
        <v>105.95812603000002</v>
      </c>
      <c r="AH91" s="246">
        <f t="shared" si="135"/>
        <v>110.70115352999997</v>
      </c>
      <c r="AI91" s="246">
        <f t="shared" si="135"/>
        <v>115.56138480999999</v>
      </c>
      <c r="AJ91" s="246">
        <f t="shared" si="135"/>
        <v>138.26226785</v>
      </c>
      <c r="AK91" s="246">
        <f t="shared" si="135"/>
        <v>123.8318366</v>
      </c>
      <c r="AL91" s="246">
        <f t="shared" si="135"/>
        <v>107.89218817</v>
      </c>
      <c r="AM91" s="246">
        <f t="shared" ref="AM91:AN91" si="136">AM107+AM108+AM111+AM112+AM113+AM115+AM117+AM120+AM123+AM125+AM127+AM128+AM135+AM138+AM140+AM143+AM145+AM147+AM149-AM8-AM10</f>
        <v>123.77627197000001</v>
      </c>
      <c r="AN91" s="246">
        <f t="shared" si="136"/>
        <v>118.28585520999999</v>
      </c>
      <c r="AO91" s="246">
        <f>AO107+AO108+AO111+AO112+AO113+AO115+AO117+AO120+AO123+AO125+AO127+AO128+AO135+AO138+AO140+AO143+AO145+AO147+AO149-AO8-AO10</f>
        <v>124.00572227000001</v>
      </c>
      <c r="AP91" s="654" t="s">
        <v>315</v>
      </c>
      <c r="AQ91" s="31"/>
      <c r="AR91" s="31"/>
      <c r="AS91" s="31"/>
      <c r="AT91" s="31"/>
    </row>
    <row r="92" spans="1:53">
      <c r="A92" s="262"/>
      <c r="B92" s="263" t="s">
        <v>86</v>
      </c>
      <c r="C92" s="262"/>
      <c r="D92" s="264" t="s">
        <v>121</v>
      </c>
      <c r="E92" s="62"/>
      <c r="F92" s="62"/>
      <c r="G92" s="62"/>
      <c r="H92" s="62"/>
      <c r="I92" s="62"/>
      <c r="J92" s="62"/>
      <c r="K92" s="62"/>
      <c r="L92" s="62"/>
      <c r="M92" s="261">
        <f t="shared" ref="M92:AJ92" si="137">M107+M108+M109+M158+M136+M135</f>
        <v>160.64329082</v>
      </c>
      <c r="N92" s="261">
        <f t="shared" si="137"/>
        <v>152.08545953000001</v>
      </c>
      <c r="O92" s="261">
        <f t="shared" si="137"/>
        <v>147.27000000000001</v>
      </c>
      <c r="P92" s="261">
        <f t="shared" si="137"/>
        <v>120.19</v>
      </c>
      <c r="Q92" s="261">
        <f t="shared" si="137"/>
        <v>121.35999999999999</v>
      </c>
      <c r="R92" s="261">
        <f t="shared" si="137"/>
        <v>125.03999999999999</v>
      </c>
      <c r="S92" s="261">
        <f t="shared" si="137"/>
        <v>142.72999999999999</v>
      </c>
      <c r="T92" s="261">
        <f t="shared" si="137"/>
        <v>149.02000000000001</v>
      </c>
      <c r="U92" s="261">
        <f t="shared" si="137"/>
        <v>147.04</v>
      </c>
      <c r="V92" s="261">
        <f t="shared" si="137"/>
        <v>149.34</v>
      </c>
      <c r="W92" s="261">
        <f t="shared" si="137"/>
        <v>148.90240770999998</v>
      </c>
      <c r="X92" s="261">
        <f t="shared" si="137"/>
        <v>148.19</v>
      </c>
      <c r="Y92" s="261">
        <f t="shared" si="137"/>
        <v>142.56</v>
      </c>
      <c r="Z92" s="261">
        <f t="shared" si="137"/>
        <v>137.14743945000001</v>
      </c>
      <c r="AA92" s="261">
        <f t="shared" si="137"/>
        <v>152.07</v>
      </c>
      <c r="AB92" s="261">
        <f t="shared" si="137"/>
        <v>134.78</v>
      </c>
      <c r="AC92" s="261">
        <f t="shared" si="137"/>
        <v>137.32999999999998</v>
      </c>
      <c r="AD92" s="261">
        <f t="shared" si="137"/>
        <v>137.83999999999997</v>
      </c>
      <c r="AE92" s="261">
        <f t="shared" si="137"/>
        <v>138.46356137000001</v>
      </c>
      <c r="AF92" s="261">
        <f t="shared" si="137"/>
        <v>148.49865578999999</v>
      </c>
      <c r="AG92" s="261">
        <f t="shared" si="137"/>
        <v>147.95812603000002</v>
      </c>
      <c r="AH92" s="261">
        <f t="shared" si="137"/>
        <v>149.70115352999997</v>
      </c>
      <c r="AI92" s="261">
        <f t="shared" si="137"/>
        <v>148.56138480999999</v>
      </c>
      <c r="AJ92" s="261">
        <f t="shared" si="137"/>
        <v>153.34226785000001</v>
      </c>
      <c r="AK92" s="261">
        <f>AK107+AK108+AK109+AK158+AK136+AK135</f>
        <v>152.70183660000001</v>
      </c>
      <c r="AL92" s="261">
        <f>AL107+AL108+AL109+AL158+AL136+AL135</f>
        <v>144.89218817</v>
      </c>
      <c r="AM92" s="261">
        <f>AM107+AM108+AM109+AM158+AM136+AM135</f>
        <v>150.27627197000001</v>
      </c>
      <c r="AN92" s="261">
        <f>AN107+AN108+AN109+AN158+AN136+AN135</f>
        <v>144.28585520999999</v>
      </c>
      <c r="AO92" s="261">
        <f>AO107+AO108+AO109+AO158+AO136+AO135</f>
        <v>145.50572227000001</v>
      </c>
      <c r="AP92" s="654" t="s">
        <v>316</v>
      </c>
      <c r="AQ92" s="31"/>
      <c r="AR92" s="31"/>
      <c r="AS92" s="31"/>
      <c r="AT92" s="31"/>
    </row>
    <row r="93" spans="1:53" s="3" customFormat="1">
      <c r="A93" s="37"/>
      <c r="B93" s="509" t="s">
        <v>181</v>
      </c>
      <c r="C93" s="509" t="s">
        <v>118</v>
      </c>
      <c r="D93" s="327" t="s">
        <v>118</v>
      </c>
      <c r="E93" s="508"/>
      <c r="F93" s="508"/>
      <c r="G93" s="508"/>
      <c r="H93" s="508"/>
      <c r="I93" s="508"/>
      <c r="J93" s="508"/>
      <c r="K93" s="508"/>
      <c r="L93" s="508"/>
      <c r="M93" s="508"/>
      <c r="N93" s="508"/>
      <c r="O93" s="508"/>
      <c r="P93" s="508"/>
      <c r="Q93" s="508"/>
      <c r="R93" s="508"/>
      <c r="S93" s="508"/>
      <c r="T93" s="508"/>
      <c r="U93" s="508"/>
      <c r="V93" s="508"/>
      <c r="W93" s="508"/>
      <c r="X93" s="62"/>
      <c r="Y93" s="62"/>
      <c r="Z93" s="62"/>
      <c r="AA93" s="62"/>
      <c r="AB93" s="599">
        <v>12.1</v>
      </c>
      <c r="AC93" s="418">
        <f>16+1</f>
        <v>17</v>
      </c>
      <c r="AD93" s="611">
        <v>18</v>
      </c>
      <c r="AF93" s="62"/>
      <c r="AG93" s="62"/>
      <c r="AH93" s="62"/>
      <c r="AI93" s="62"/>
      <c r="AJ93" s="598">
        <v>6.8310000000000004</v>
      </c>
      <c r="AK93" s="62"/>
      <c r="AL93" s="62"/>
      <c r="AM93" s="62"/>
      <c r="AN93" s="62"/>
      <c r="AO93" s="62"/>
      <c r="AP93" s="671" t="s">
        <v>317</v>
      </c>
      <c r="AQ93" s="433"/>
    </row>
    <row r="94" spans="1:53">
      <c r="A94" s="37"/>
      <c r="B94" s="32" t="s">
        <v>3</v>
      </c>
      <c r="C94" s="32" t="s">
        <v>179</v>
      </c>
      <c r="D94" s="5" t="s">
        <v>3</v>
      </c>
      <c r="E94" s="62"/>
      <c r="F94" s="62"/>
      <c r="G94" s="62"/>
      <c r="H94" s="62"/>
      <c r="I94" s="62"/>
      <c r="J94" s="62"/>
      <c r="K94" s="62"/>
      <c r="L94" s="62"/>
      <c r="M94" s="62"/>
      <c r="N94" s="62"/>
      <c r="O94" s="62"/>
      <c r="P94" s="62"/>
      <c r="Q94" s="62"/>
      <c r="R94" s="62"/>
      <c r="S94" s="62"/>
      <c r="T94" s="62"/>
      <c r="U94" s="62"/>
      <c r="V94" s="62"/>
      <c r="W94" s="62"/>
      <c r="X94" s="62"/>
      <c r="Y94" s="58">
        <f>Y99+Y100+Y93</f>
        <v>0</v>
      </c>
      <c r="Z94" s="58">
        <f>Z99+Z100+Z93</f>
        <v>9</v>
      </c>
      <c r="AA94" s="58">
        <f>AA99+AA100+AA93</f>
        <v>10.8</v>
      </c>
      <c r="AB94" s="58">
        <f>AB99+AB100+AB93</f>
        <v>22.7</v>
      </c>
      <c r="AC94" s="58">
        <f t="shared" ref="AC94:AJ94" si="138">AC99+AC100+AC93</f>
        <v>27.5</v>
      </c>
      <c r="AD94" s="58">
        <v>27</v>
      </c>
      <c r="AE94" s="58">
        <f>AE99+AE100+AD93</f>
        <v>18</v>
      </c>
      <c r="AF94" s="58">
        <f t="shared" si="138"/>
        <v>12</v>
      </c>
      <c r="AG94" s="58">
        <f t="shared" si="138"/>
        <v>12.86</v>
      </c>
      <c r="AH94" s="58">
        <f t="shared" si="138"/>
        <v>17.059999999999999</v>
      </c>
      <c r="AI94" s="58">
        <f t="shared" si="138"/>
        <v>12.06</v>
      </c>
      <c r="AJ94" s="58">
        <f t="shared" si="138"/>
        <v>12.84</v>
      </c>
      <c r="AK94" s="58">
        <f>AK99+AK100+AK93</f>
        <v>9</v>
      </c>
      <c r="AL94" s="58">
        <f>AL99+AL100+AL93</f>
        <v>9</v>
      </c>
      <c r="AM94" s="58">
        <f>AM99+AM100+AM93</f>
        <v>9</v>
      </c>
      <c r="AN94" s="58">
        <f>AN99+AN100+AN93</f>
        <v>9</v>
      </c>
      <c r="AO94" s="58">
        <f>AO99+AO100+AO93</f>
        <v>9</v>
      </c>
      <c r="AP94" s="654" t="s">
        <v>318</v>
      </c>
      <c r="AQ94" s="31"/>
      <c r="AR94" s="31"/>
      <c r="AS94" s="31"/>
      <c r="AT94" s="31"/>
    </row>
    <row r="95" spans="1:53" s="38" customFormat="1" ht="25" thickBot="1">
      <c r="A95" s="382" t="s">
        <v>6</v>
      </c>
      <c r="B95" s="32" t="s">
        <v>3</v>
      </c>
      <c r="C95" s="5" t="s">
        <v>11</v>
      </c>
      <c r="D95" s="5" t="s">
        <v>3</v>
      </c>
      <c r="E95" s="55">
        <v>97.96</v>
      </c>
      <c r="F95" s="55">
        <f>79+2</f>
        <v>81</v>
      </c>
      <c r="G95" s="55">
        <v>71</v>
      </c>
      <c r="H95" s="55">
        <f>67.5-0.5</f>
        <v>67</v>
      </c>
      <c r="I95" s="223">
        <f>61.5+0.5</f>
        <v>62</v>
      </c>
      <c r="J95" s="55">
        <v>63</v>
      </c>
      <c r="K95" s="55">
        <f>57+4+2+2</f>
        <v>65</v>
      </c>
      <c r="L95" s="98">
        <f>(59.5+5.5+1.5+2)-3</f>
        <v>65.5</v>
      </c>
      <c r="M95" s="55">
        <v>47</v>
      </c>
      <c r="N95" s="55">
        <v>22</v>
      </c>
      <c r="O95" s="98">
        <v>39</v>
      </c>
      <c r="P95" s="98">
        <f t="shared" ref="P95:X95" si="139">P97+P98</f>
        <v>44.5</v>
      </c>
      <c r="Q95" s="98">
        <f t="shared" si="139"/>
        <v>43.5</v>
      </c>
      <c r="R95" s="223">
        <f t="shared" si="139"/>
        <v>55.5</v>
      </c>
      <c r="S95" s="223">
        <f t="shared" si="139"/>
        <v>47.93</v>
      </c>
      <c r="T95" s="223">
        <f t="shared" si="139"/>
        <v>56.379999999999995</v>
      </c>
      <c r="U95" s="223">
        <f t="shared" si="139"/>
        <v>42.91</v>
      </c>
      <c r="V95" s="223">
        <f t="shared" si="139"/>
        <v>43</v>
      </c>
      <c r="W95" s="223">
        <f t="shared" si="139"/>
        <v>48.4</v>
      </c>
      <c r="X95" s="223">
        <f t="shared" si="139"/>
        <v>58.5</v>
      </c>
      <c r="Y95" s="223">
        <f t="shared" ref="Y95:AD95" si="140">Y97+Y98</f>
        <v>56.42</v>
      </c>
      <c r="Z95" s="223">
        <f t="shared" si="140"/>
        <v>40.159999999999997</v>
      </c>
      <c r="AA95" s="223">
        <f t="shared" si="140"/>
        <v>51.32</v>
      </c>
      <c r="AB95" s="223">
        <f t="shared" si="140"/>
        <v>33.5</v>
      </c>
      <c r="AC95" s="223">
        <f t="shared" si="140"/>
        <v>66.900000000000006</v>
      </c>
      <c r="AD95" s="223">
        <f t="shared" si="140"/>
        <v>56.331999999999994</v>
      </c>
      <c r="AE95" s="223">
        <f t="shared" ref="AE95:AK95" si="141">AE97+AE98</f>
        <v>99.436000000000007</v>
      </c>
      <c r="AF95" s="223">
        <f t="shared" si="141"/>
        <v>66.082999999999998</v>
      </c>
      <c r="AG95" s="223">
        <f t="shared" si="141"/>
        <v>65.673000000000002</v>
      </c>
      <c r="AH95" s="223">
        <f t="shared" si="141"/>
        <v>69.096000000000004</v>
      </c>
      <c r="AI95" s="223">
        <f t="shared" si="141"/>
        <v>60.376000000000005</v>
      </c>
      <c r="AJ95" s="223">
        <f t="shared" si="141"/>
        <v>50.460999999999999</v>
      </c>
      <c r="AK95" s="223">
        <f t="shared" si="141"/>
        <v>56.42</v>
      </c>
      <c r="AL95" s="223">
        <f t="shared" ref="AL95:AM95" si="142">AL97+AL98</f>
        <v>50.96</v>
      </c>
      <c r="AM95" s="223">
        <f t="shared" si="142"/>
        <v>56.42</v>
      </c>
      <c r="AN95" s="223">
        <f t="shared" ref="AN95" si="143">AN97+AN98</f>
        <v>54.6</v>
      </c>
      <c r="AO95" s="223">
        <f>AO97+AO98</f>
        <v>56.42</v>
      </c>
      <c r="AP95" s="654" t="s">
        <v>319</v>
      </c>
    </row>
    <row r="96" spans="1:53" s="75" customFormat="1" ht="16" thickBot="1">
      <c r="A96" s="81" t="s">
        <v>30</v>
      </c>
      <c r="B96" s="501" t="s">
        <v>7</v>
      </c>
      <c r="C96" s="502" t="s">
        <v>6</v>
      </c>
      <c r="D96" s="371" t="s">
        <v>10</v>
      </c>
      <c r="E96" s="381">
        <f t="shared" ref="E96:AL96" si="144">E3</f>
        <v>43587</v>
      </c>
      <c r="F96" s="381">
        <f t="shared" si="144"/>
        <v>43618</v>
      </c>
      <c r="G96" s="381">
        <f t="shared" si="144"/>
        <v>43648</v>
      </c>
      <c r="H96" s="381">
        <f t="shared" si="144"/>
        <v>43679</v>
      </c>
      <c r="I96" s="381">
        <f t="shared" si="144"/>
        <v>43710</v>
      </c>
      <c r="J96" s="381">
        <f t="shared" si="144"/>
        <v>43740</v>
      </c>
      <c r="K96" s="381">
        <f t="shared" si="144"/>
        <v>43771</v>
      </c>
      <c r="L96" s="381">
        <f t="shared" si="144"/>
        <v>43801</v>
      </c>
      <c r="M96" s="381">
        <f t="shared" si="144"/>
        <v>43832</v>
      </c>
      <c r="N96" s="381">
        <f t="shared" si="144"/>
        <v>43863</v>
      </c>
      <c r="O96" s="381">
        <f t="shared" si="144"/>
        <v>43892</v>
      </c>
      <c r="P96" s="381">
        <f t="shared" si="144"/>
        <v>43923</v>
      </c>
      <c r="Q96" s="381">
        <f t="shared" si="144"/>
        <v>43953</v>
      </c>
      <c r="R96" s="77">
        <f t="shared" si="144"/>
        <v>43984</v>
      </c>
      <c r="S96" s="78">
        <f t="shared" si="144"/>
        <v>44014</v>
      </c>
      <c r="T96" s="78">
        <f t="shared" si="144"/>
        <v>44045</v>
      </c>
      <c r="U96" s="78">
        <f t="shared" si="144"/>
        <v>44076</v>
      </c>
      <c r="V96" s="78">
        <f t="shared" si="144"/>
        <v>44106</v>
      </c>
      <c r="W96" s="78">
        <f t="shared" si="144"/>
        <v>44137</v>
      </c>
      <c r="X96" s="78">
        <f t="shared" si="144"/>
        <v>44167</v>
      </c>
      <c r="Y96" s="79">
        <f t="shared" si="144"/>
        <v>44198</v>
      </c>
      <c r="Z96" s="80">
        <f t="shared" si="144"/>
        <v>44229</v>
      </c>
      <c r="AA96" s="80">
        <f t="shared" si="144"/>
        <v>44257</v>
      </c>
      <c r="AB96" s="80">
        <f t="shared" si="144"/>
        <v>44288</v>
      </c>
      <c r="AC96" s="80">
        <f t="shared" si="144"/>
        <v>44318</v>
      </c>
      <c r="AD96" s="80">
        <f t="shared" si="144"/>
        <v>44349</v>
      </c>
      <c r="AE96" s="80">
        <f t="shared" si="144"/>
        <v>44379</v>
      </c>
      <c r="AF96" s="80">
        <f t="shared" si="144"/>
        <v>44410</v>
      </c>
      <c r="AG96" s="80">
        <f t="shared" si="144"/>
        <v>44441</v>
      </c>
      <c r="AH96" s="80">
        <f t="shared" si="144"/>
        <v>44471</v>
      </c>
      <c r="AI96" s="80">
        <f t="shared" si="144"/>
        <v>44502</v>
      </c>
      <c r="AJ96" s="80">
        <f t="shared" si="144"/>
        <v>44532</v>
      </c>
      <c r="AK96" s="77">
        <f t="shared" si="144"/>
        <v>44563</v>
      </c>
      <c r="AL96" s="78">
        <f t="shared" si="144"/>
        <v>44594</v>
      </c>
      <c r="AM96" s="78">
        <f t="shared" ref="AM96:AN96" si="145">AM3</f>
        <v>44622</v>
      </c>
      <c r="AN96" s="600">
        <f t="shared" si="145"/>
        <v>44653</v>
      </c>
      <c r="AO96" s="600">
        <f t="shared" ref="AO96" si="146">AO3</f>
        <v>44683</v>
      </c>
      <c r="AP96" s="73"/>
      <c r="AQ96" s="432"/>
      <c r="AR96" s="74"/>
      <c r="AS96" s="74"/>
      <c r="AT96" s="74"/>
    </row>
    <row r="97" spans="1:48" ht="14.75" customHeight="1">
      <c r="A97" s="379" t="s">
        <v>8</v>
      </c>
      <c r="B97" s="331" t="s">
        <v>3</v>
      </c>
      <c r="C97" s="380" t="s">
        <v>122</v>
      </c>
      <c r="D97" s="4" t="s">
        <v>3</v>
      </c>
      <c r="E97" s="62"/>
      <c r="F97" s="62"/>
      <c r="G97" s="62"/>
      <c r="H97" s="62"/>
      <c r="I97" s="62"/>
      <c r="J97" s="62"/>
      <c r="K97" s="62"/>
      <c r="L97" s="62"/>
      <c r="M97" s="62"/>
      <c r="N97" s="62"/>
      <c r="O97" s="62"/>
      <c r="P97" s="340">
        <v>29</v>
      </c>
      <c r="Q97" s="340">
        <v>26</v>
      </c>
      <c r="R97" s="340">
        <v>26</v>
      </c>
      <c r="S97" s="413">
        <v>20.72</v>
      </c>
      <c r="T97" s="413">
        <v>20.38</v>
      </c>
      <c r="U97" s="413">
        <v>22.41</v>
      </c>
      <c r="V97" s="413">
        <v>27</v>
      </c>
      <c r="W97" s="469">
        <f>23+1.4</f>
        <v>24.4</v>
      </c>
      <c r="X97" s="469">
        <v>29</v>
      </c>
      <c r="Y97" s="523">
        <f>720*Y1/1000</f>
        <v>22.32</v>
      </c>
      <c r="Z97" s="522">
        <f>720*Z1/1000</f>
        <v>20.16</v>
      </c>
      <c r="AA97" s="554">
        <f>(720*AA1/1000)-2.5-1</f>
        <v>18.82</v>
      </c>
      <c r="AB97" s="610">
        <v>12</v>
      </c>
      <c r="AC97" s="617">
        <v>24.5</v>
      </c>
      <c r="AD97" s="522">
        <v>18.3</v>
      </c>
      <c r="AE97" s="522">
        <v>22.32</v>
      </c>
      <c r="AF97" s="522">
        <v>22.32</v>
      </c>
      <c r="AG97" s="522">
        <v>20.725999999999999</v>
      </c>
      <c r="AH97" s="522">
        <v>22.32</v>
      </c>
      <c r="AI97" s="522">
        <v>21.6</v>
      </c>
      <c r="AJ97" s="632">
        <v>22.622</v>
      </c>
      <c r="AK97" s="545">
        <f t="shared" ref="AK97:AL97" si="147">720*AK1/1000</f>
        <v>22.32</v>
      </c>
      <c r="AL97" s="467">
        <f t="shared" si="147"/>
        <v>20.16</v>
      </c>
      <c r="AM97" s="467">
        <f t="shared" ref="AM97:AN97" si="148">720*AM1/1000</f>
        <v>22.32</v>
      </c>
      <c r="AN97" s="467">
        <f t="shared" si="148"/>
        <v>21.6</v>
      </c>
      <c r="AO97" s="467">
        <f>720*AO1/1000</f>
        <v>22.32</v>
      </c>
      <c r="AP97" s="654" t="s">
        <v>321</v>
      </c>
      <c r="AQ97" s="433"/>
      <c r="AR97" s="31"/>
      <c r="AS97" s="31"/>
      <c r="AT97" s="31"/>
      <c r="AV97" s="643" t="s">
        <v>322</v>
      </c>
    </row>
    <row r="98" spans="1:48" s="31" customFormat="1">
      <c r="A98" s="37"/>
      <c r="B98" s="331" t="s">
        <v>3</v>
      </c>
      <c r="C98" s="32" t="s">
        <v>138</v>
      </c>
      <c r="D98" s="4" t="s">
        <v>3</v>
      </c>
      <c r="E98" s="91"/>
      <c r="F98" s="91"/>
      <c r="G98" s="91"/>
      <c r="H98" s="91"/>
      <c r="I98" s="91"/>
      <c r="J98" s="91"/>
      <c r="K98" s="91"/>
      <c r="L98" s="91"/>
      <c r="M98" s="91"/>
      <c r="N98" s="91"/>
      <c r="O98" s="91"/>
      <c r="P98" s="341">
        <v>15.5</v>
      </c>
      <c r="Q98" s="351">
        <v>17.5</v>
      </c>
      <c r="R98" s="355">
        <v>29.5</v>
      </c>
      <c r="S98" s="418">
        <f>31.21-4</f>
        <v>27.21</v>
      </c>
      <c r="T98" s="341">
        <f>31.25+7.5-2.75</f>
        <v>36</v>
      </c>
      <c r="U98" s="418">
        <v>20.5</v>
      </c>
      <c r="V98" s="341">
        <v>16</v>
      </c>
      <c r="W98" s="418">
        <v>24</v>
      </c>
      <c r="X98" s="474">
        <v>29.5</v>
      </c>
      <c r="Y98" s="436">
        <f>34.1</f>
        <v>34.1</v>
      </c>
      <c r="Z98" s="223">
        <f>25-5</f>
        <v>20</v>
      </c>
      <c r="AA98" s="98">
        <f>31.5+1</f>
        <v>32.5</v>
      </c>
      <c r="AB98" s="616">
        <v>21.5</v>
      </c>
      <c r="AC98" s="618">
        <v>42.4</v>
      </c>
      <c r="AD98" s="353">
        <f>35.032+3</f>
        <v>38.031999999999996</v>
      </c>
      <c r="AE98" s="614">
        <f>74.116+3</f>
        <v>77.116</v>
      </c>
      <c r="AF98" s="353">
        <v>43.762999999999998</v>
      </c>
      <c r="AG98" s="353">
        <v>44.947000000000003</v>
      </c>
      <c r="AH98" s="353">
        <v>46.776000000000003</v>
      </c>
      <c r="AI98" s="353">
        <v>38.776000000000003</v>
      </c>
      <c r="AJ98" s="58">
        <v>27.838999999999999</v>
      </c>
      <c r="AK98" s="543">
        <f>1100*AK1/1000</f>
        <v>34.1</v>
      </c>
      <c r="AL98" s="532">
        <f>1100*AL1/1000</f>
        <v>30.8</v>
      </c>
      <c r="AM98" s="532">
        <f>1100*AM1/1000</f>
        <v>34.1</v>
      </c>
      <c r="AN98" s="532">
        <f>1100*AN1/1000</f>
        <v>33</v>
      </c>
      <c r="AO98" s="532">
        <f>1100*AO1/1000</f>
        <v>34.1</v>
      </c>
      <c r="AP98" s="654" t="s">
        <v>323</v>
      </c>
      <c r="AQ98" s="433"/>
    </row>
    <row r="99" spans="1:48">
      <c r="A99" s="326"/>
      <c r="B99" s="331" t="s">
        <v>3</v>
      </c>
      <c r="C99" s="5" t="s">
        <v>123</v>
      </c>
      <c r="D99" s="4" t="s">
        <v>3</v>
      </c>
      <c r="E99" s="55"/>
      <c r="F99" s="55"/>
      <c r="G99" s="55"/>
      <c r="H99" s="55"/>
      <c r="I99" s="223"/>
      <c r="J99" s="55"/>
      <c r="K99" s="55"/>
      <c r="L99" s="265"/>
      <c r="M99" s="55"/>
      <c r="N99" s="55"/>
      <c r="O99" s="98"/>
      <c r="P99" s="98"/>
      <c r="Q99" s="98"/>
      <c r="R99" s="98"/>
      <c r="S99" s="98"/>
      <c r="T99" s="98"/>
      <c r="U99" s="98"/>
      <c r="V99" s="98"/>
      <c r="W99" s="98"/>
      <c r="X99" s="98"/>
      <c r="Y99" s="429">
        <v>0</v>
      </c>
      <c r="Z99" s="321">
        <f>10.8-1.8</f>
        <v>9</v>
      </c>
      <c r="AA99" s="466">
        <v>10.8</v>
      </c>
      <c r="AB99" s="598">
        <v>10.6</v>
      </c>
      <c r="AC99" s="601">
        <v>10.5</v>
      </c>
      <c r="AD99" s="634">
        <f>11-1</f>
        <v>10</v>
      </c>
      <c r="AE99" s="541"/>
      <c r="AF99" s="466">
        <v>5.1689999999999996</v>
      </c>
      <c r="AG99" s="466">
        <v>6.0289999999999999</v>
      </c>
      <c r="AH99" s="466">
        <v>10.228999999999999</v>
      </c>
      <c r="AI99" s="466">
        <v>5.2290000000000001</v>
      </c>
      <c r="AJ99" s="466">
        <v>6.0090000000000003</v>
      </c>
      <c r="AK99" s="429">
        <v>9</v>
      </c>
      <c r="AL99" s="424">
        <v>9</v>
      </c>
      <c r="AM99" s="424">
        <v>9</v>
      </c>
      <c r="AN99" s="424">
        <v>9</v>
      </c>
      <c r="AO99" s="424">
        <v>9</v>
      </c>
      <c r="AP99" s="38"/>
      <c r="AQ99" s="433"/>
      <c r="AR99" s="31"/>
      <c r="AS99" s="31"/>
      <c r="AT99" s="31"/>
    </row>
    <row r="100" spans="1:48">
      <c r="A100" s="326"/>
      <c r="B100" s="331" t="s">
        <v>3</v>
      </c>
      <c r="C100" s="5" t="s">
        <v>180</v>
      </c>
      <c r="D100" s="4" t="s">
        <v>3</v>
      </c>
      <c r="E100" s="55"/>
      <c r="F100" s="55"/>
      <c r="G100" s="55"/>
      <c r="H100" s="55"/>
      <c r="I100" s="223"/>
      <c r="J100" s="55"/>
      <c r="K100" s="55"/>
      <c r="L100" s="265"/>
      <c r="M100" s="55"/>
      <c r="N100" s="55"/>
      <c r="O100" s="98"/>
      <c r="P100" s="98"/>
      <c r="Q100" s="98"/>
      <c r="R100" s="98"/>
      <c r="S100" s="98"/>
      <c r="T100" s="98"/>
      <c r="U100" s="98"/>
      <c r="V100" s="98"/>
      <c r="W100" s="98"/>
      <c r="X100" s="98"/>
      <c r="Y100" s="429"/>
      <c r="Z100" s="466"/>
      <c r="AA100" s="466"/>
      <c r="AB100" s="424">
        <v>0</v>
      </c>
      <c r="AC100" s="321"/>
      <c r="AD100" s="321"/>
      <c r="AE100" s="541"/>
      <c r="AF100" s="466">
        <v>6.8310000000000004</v>
      </c>
      <c r="AG100" s="466">
        <v>6.8310000000000004</v>
      </c>
      <c r="AH100" s="466">
        <v>6.8310000000000004</v>
      </c>
      <c r="AI100" s="466">
        <v>6.8310000000000004</v>
      </c>
      <c r="AJ100" s="598"/>
      <c r="AK100" s="429"/>
      <c r="AL100" s="424"/>
      <c r="AM100" s="424"/>
      <c r="AN100" s="424"/>
      <c r="AO100" s="424"/>
      <c r="AP100" s="38"/>
      <c r="AQ100" s="433"/>
      <c r="AR100" s="31"/>
      <c r="AS100" s="31"/>
      <c r="AT100" s="31"/>
    </row>
    <row r="101" spans="1:48">
      <c r="A101" s="326"/>
      <c r="B101" s="331" t="s">
        <v>3</v>
      </c>
      <c r="C101" s="5" t="s">
        <v>124</v>
      </c>
      <c r="D101" s="4" t="s">
        <v>3</v>
      </c>
      <c r="E101" s="55">
        <v>22.7</v>
      </c>
      <c r="F101" s="55">
        <v>32</v>
      </c>
      <c r="G101" s="124">
        <f>15+1</f>
        <v>16</v>
      </c>
      <c r="H101" s="124">
        <f>13+1</f>
        <v>14</v>
      </c>
      <c r="I101" s="223">
        <f>6+2</f>
        <v>8</v>
      </c>
      <c r="J101" s="223">
        <v>6</v>
      </c>
      <c r="K101" s="223">
        <v>6</v>
      </c>
      <c r="L101" s="223">
        <v>13</v>
      </c>
      <c r="M101" s="223">
        <v>12</v>
      </c>
      <c r="N101" s="223">
        <v>12</v>
      </c>
      <c r="O101" s="223">
        <f>12+25</f>
        <v>37</v>
      </c>
      <c r="P101" s="223">
        <f>12+9+5+6</f>
        <v>32</v>
      </c>
      <c r="Q101" s="342">
        <v>0</v>
      </c>
      <c r="R101" s="98"/>
      <c r="S101" s="223"/>
      <c r="T101" s="223"/>
      <c r="U101" s="223"/>
      <c r="V101" s="449"/>
      <c r="W101" s="223"/>
      <c r="X101" s="222"/>
      <c r="Y101" s="430"/>
      <c r="Z101" s="223">
        <f>15+2.5</f>
        <v>17.5</v>
      </c>
      <c r="AA101" s="223">
        <v>3.24</v>
      </c>
      <c r="AB101" s="98">
        <f>23+4.5+0.6</f>
        <v>28.1</v>
      </c>
      <c r="AC101" s="348">
        <v>30.8</v>
      </c>
      <c r="AD101" s="223">
        <f>17+2</f>
        <v>19</v>
      </c>
      <c r="AE101" s="614">
        <v>0</v>
      </c>
      <c r="AF101" s="633">
        <v>3</v>
      </c>
      <c r="AG101" s="633">
        <v>3</v>
      </c>
      <c r="AH101" s="633">
        <v>3</v>
      </c>
      <c r="AI101" s="633">
        <v>3</v>
      </c>
      <c r="AJ101" s="633">
        <v>3</v>
      </c>
      <c r="AK101" s="430">
        <v>3</v>
      </c>
      <c r="AL101" s="425">
        <v>3</v>
      </c>
      <c r="AM101" s="425">
        <v>3</v>
      </c>
      <c r="AN101" s="425">
        <v>3</v>
      </c>
      <c r="AO101" s="425">
        <v>3</v>
      </c>
      <c r="AP101" s="38"/>
      <c r="AQ101" s="433"/>
      <c r="AR101" s="74"/>
      <c r="AS101" s="74"/>
      <c r="AT101" s="31"/>
    </row>
    <row r="102" spans="1:48">
      <c r="A102" s="326"/>
      <c r="B102" s="331" t="s">
        <v>3</v>
      </c>
      <c r="C102" s="5" t="s">
        <v>12</v>
      </c>
      <c r="D102" s="4" t="s">
        <v>3</v>
      </c>
      <c r="E102" s="55">
        <v>25.201000000000001</v>
      </c>
      <c r="F102" s="55">
        <v>1.85</v>
      </c>
      <c r="G102" s="55">
        <v>24.5</v>
      </c>
      <c r="H102" s="223">
        <v>25</v>
      </c>
      <c r="I102" s="222">
        <v>26.736999999999998</v>
      </c>
      <c r="J102" s="222">
        <v>33.479999999999997</v>
      </c>
      <c r="K102" s="222">
        <v>31.632000000000001</v>
      </c>
      <c r="L102" s="265">
        <v>25</v>
      </c>
      <c r="M102" s="55">
        <v>32.86</v>
      </c>
      <c r="N102" s="321">
        <v>25.4</v>
      </c>
      <c r="O102" s="321">
        <v>16.645</v>
      </c>
      <c r="P102" s="98">
        <v>24</v>
      </c>
      <c r="Q102" s="349">
        <v>21.957999999999998</v>
      </c>
      <c r="R102" s="98">
        <v>23.643999999999998</v>
      </c>
      <c r="S102" s="348">
        <v>25.8</v>
      </c>
      <c r="T102" s="223">
        <v>31.132362637362636</v>
      </c>
      <c r="U102" s="348">
        <v>30.3</v>
      </c>
      <c r="V102" s="223">
        <f>1060*31/1000</f>
        <v>32.86</v>
      </c>
      <c r="W102" s="223">
        <f>1040*30/1000</f>
        <v>31.2</v>
      </c>
      <c r="X102" s="98">
        <v>25.673999999999999</v>
      </c>
      <c r="Y102" s="461">
        <f>1040*Y1/1000</f>
        <v>32.24</v>
      </c>
      <c r="Z102" s="321">
        <v>28.1</v>
      </c>
      <c r="AA102" s="466">
        <f>1040*AA1/1000</f>
        <v>32.24</v>
      </c>
      <c r="AB102" s="321">
        <v>24.491</v>
      </c>
      <c r="AC102" s="321">
        <v>26.954999999999998</v>
      </c>
      <c r="AD102" s="466">
        <f>1040*AD1/1000</f>
        <v>31.2</v>
      </c>
      <c r="AE102" s="466">
        <f>24.5</f>
        <v>24.5</v>
      </c>
      <c r="AF102" s="466">
        <f>1040*AF1/1000</f>
        <v>32.24</v>
      </c>
      <c r="AG102" s="424">
        <v>22.7</v>
      </c>
      <c r="AH102" s="321">
        <v>0</v>
      </c>
      <c r="AI102" s="424">
        <f t="shared" ref="AI102:AN102" si="149">1040*AI1/1000</f>
        <v>31.2</v>
      </c>
      <c r="AJ102" s="424">
        <f t="shared" si="149"/>
        <v>32.24</v>
      </c>
      <c r="AK102" s="429">
        <f t="shared" si="149"/>
        <v>32.24</v>
      </c>
      <c r="AL102" s="424">
        <f t="shared" si="149"/>
        <v>29.12</v>
      </c>
      <c r="AM102" s="424">
        <f t="shared" si="149"/>
        <v>32.24</v>
      </c>
      <c r="AN102" s="424">
        <f t="shared" si="149"/>
        <v>31.2</v>
      </c>
      <c r="AO102" s="424">
        <f t="shared" ref="AO102" si="150">1040*AO1/1000</f>
        <v>32.24</v>
      </c>
      <c r="AP102" s="654" t="s">
        <v>324</v>
      </c>
      <c r="AQ102" s="433"/>
      <c r="AR102" s="74"/>
      <c r="AS102" s="74"/>
      <c r="AT102" s="31"/>
    </row>
    <row r="103" spans="1:48" ht="16" thickBot="1">
      <c r="A103" s="326"/>
      <c r="B103" s="331" t="s">
        <v>3</v>
      </c>
      <c r="C103" s="5" t="s">
        <v>13</v>
      </c>
      <c r="D103" s="4" t="s">
        <v>3</v>
      </c>
      <c r="E103" s="55">
        <v>8.1080000000000005</v>
      </c>
      <c r="F103" s="98">
        <v>11.057</v>
      </c>
      <c r="G103" s="55">
        <f>30.837+1</f>
        <v>31.837</v>
      </c>
      <c r="H103" s="55">
        <v>31.837</v>
      </c>
      <c r="I103" s="55">
        <v>30.81</v>
      </c>
      <c r="J103" s="55">
        <v>31.837</v>
      </c>
      <c r="K103" s="55">
        <v>30.81</v>
      </c>
      <c r="L103" s="265">
        <v>23.632999999999999</v>
      </c>
      <c r="M103" s="265">
        <v>17.95</v>
      </c>
      <c r="N103" s="55">
        <f>26.179-0.873</f>
        <v>25.305999999999997</v>
      </c>
      <c r="O103" s="98">
        <f>28.022-0.417-0.922</f>
        <v>26.682999999999996</v>
      </c>
      <c r="P103" s="265">
        <v>20.55</v>
      </c>
      <c r="Q103" s="344">
        <v>8</v>
      </c>
      <c r="R103" s="55">
        <v>20</v>
      </c>
      <c r="S103" s="348">
        <v>22</v>
      </c>
      <c r="T103" s="428">
        <v>21.2</v>
      </c>
      <c r="U103" s="242">
        <v>21.2</v>
      </c>
      <c r="V103" s="242">
        <v>21.2</v>
      </c>
      <c r="W103" s="462">
        <v>21.2</v>
      </c>
      <c r="X103" s="500">
        <f>21.2+7.5</f>
        <v>28.7</v>
      </c>
      <c r="Y103" s="513">
        <f>21.672+1.635+2.9</f>
        <v>26.207000000000001</v>
      </c>
      <c r="Z103" s="223">
        <f>21.276</f>
        <v>21.276</v>
      </c>
      <c r="AA103" s="223">
        <v>23.556000000000001</v>
      </c>
      <c r="AB103" s="98">
        <f>18.7-22.796+22.796+1</f>
        <v>19.7</v>
      </c>
      <c r="AC103" s="614">
        <v>20.771999999999998</v>
      </c>
      <c r="AD103" s="223">
        <v>22.036000000000001</v>
      </c>
      <c r="AE103" s="223">
        <v>0.88100000000000001</v>
      </c>
      <c r="AF103" s="223">
        <v>21.276</v>
      </c>
      <c r="AG103" s="223">
        <v>21.884</v>
      </c>
      <c r="AH103" s="223">
        <v>20.257999999999999</v>
      </c>
      <c r="AI103" s="223">
        <v>22.658999999999999</v>
      </c>
      <c r="AJ103" s="223">
        <v>23.556000000000001</v>
      </c>
      <c r="AK103" s="430">
        <v>21.232876712328764</v>
      </c>
      <c r="AL103" s="425">
        <v>19.17808219178082</v>
      </c>
      <c r="AM103" s="425">
        <v>21.232876712328764</v>
      </c>
      <c r="AN103" s="425">
        <v>20.547945205479454</v>
      </c>
      <c r="AO103" s="425">
        <v>21.232876712328764</v>
      </c>
      <c r="AP103" s="38"/>
      <c r="AQ103" s="433"/>
      <c r="AR103" s="74"/>
      <c r="AS103" s="74"/>
      <c r="AT103" s="31"/>
    </row>
    <row r="104" spans="1:48" ht="16" thickBot="1">
      <c r="A104" s="329"/>
      <c r="B104" s="331" t="s">
        <v>3</v>
      </c>
      <c r="C104" s="5" t="s">
        <v>186</v>
      </c>
      <c r="D104" s="4" t="s">
        <v>3</v>
      </c>
      <c r="E104" s="55"/>
      <c r="F104" s="98"/>
      <c r="G104" s="55"/>
      <c r="H104" s="55"/>
      <c r="I104" s="55"/>
      <c r="J104" s="55"/>
      <c r="K104" s="55"/>
      <c r="L104" s="265"/>
      <c r="M104" s="265"/>
      <c r="N104" s="55"/>
      <c r="O104" s="98"/>
      <c r="P104" s="265"/>
      <c r="Q104" s="344"/>
      <c r="R104" s="55"/>
      <c r="S104" s="348"/>
      <c r="T104" s="428"/>
      <c r="U104" s="242"/>
      <c r="V104" s="242"/>
      <c r="W104" s="462"/>
      <c r="X104" s="500"/>
      <c r="Y104" s="542"/>
      <c r="Z104" s="98">
        <v>4.5</v>
      </c>
      <c r="AA104" s="98">
        <f>4+2.5+1</f>
        <v>7.5</v>
      </c>
      <c r="AB104" s="98">
        <f>7.2-7.2</f>
        <v>0</v>
      </c>
      <c r="AC104" s="615">
        <v>2</v>
      </c>
      <c r="AD104" s="223">
        <v>7.3249999999999993</v>
      </c>
      <c r="AE104" s="425"/>
      <c r="AF104" s="425">
        <f>25.438-AF103</f>
        <v>4.161999999999999</v>
      </c>
      <c r="AG104" s="425">
        <v>4</v>
      </c>
      <c r="AH104" s="425">
        <v>4</v>
      </c>
      <c r="AI104" s="425">
        <v>4</v>
      </c>
      <c r="AJ104" s="425">
        <v>4</v>
      </c>
      <c r="AK104" s="431">
        <v>4</v>
      </c>
      <c r="AL104" s="238">
        <v>4</v>
      </c>
      <c r="AM104" s="238">
        <v>4</v>
      </c>
      <c r="AN104" s="238">
        <v>4</v>
      </c>
      <c r="AO104" s="238">
        <v>4</v>
      </c>
      <c r="AP104" s="38"/>
      <c r="AQ104" s="433"/>
      <c r="AR104" s="74"/>
      <c r="AS104" s="74"/>
      <c r="AT104" s="31"/>
    </row>
    <row r="105" spans="1:48">
      <c r="A105" s="328" t="s">
        <v>9</v>
      </c>
      <c r="B105" s="332" t="s">
        <v>3</v>
      </c>
      <c r="C105" s="110" t="s">
        <v>49</v>
      </c>
      <c r="D105" s="111" t="s">
        <v>3</v>
      </c>
      <c r="E105" s="100"/>
      <c r="F105" s="100">
        <v>0.3</v>
      </c>
      <c r="G105" s="100">
        <v>0.6</v>
      </c>
      <c r="H105" s="100">
        <v>0.65355300000000005</v>
      </c>
      <c r="I105" s="100">
        <v>0.8</v>
      </c>
      <c r="J105" s="100">
        <v>0.64030200000000004</v>
      </c>
      <c r="K105" s="100">
        <v>0.60816493999999999</v>
      </c>
      <c r="L105" s="100">
        <v>0.60244565000000005</v>
      </c>
      <c r="M105" s="100">
        <v>0.8</v>
      </c>
      <c r="N105" s="100">
        <v>0.94</v>
      </c>
      <c r="O105" s="100">
        <v>0.65</v>
      </c>
      <c r="P105" s="245">
        <v>0.7</v>
      </c>
      <c r="Q105" s="100">
        <v>0.60859381000000001</v>
      </c>
      <c r="R105" s="100">
        <v>0.37617381999999999</v>
      </c>
      <c r="S105" s="245">
        <v>0.5</v>
      </c>
      <c r="T105" s="100">
        <v>0.27</v>
      </c>
      <c r="U105" s="245">
        <v>0.7</v>
      </c>
      <c r="V105" s="245">
        <v>0.65</v>
      </c>
      <c r="W105" s="100">
        <v>0.6</v>
      </c>
      <c r="X105" s="100">
        <v>0.6</v>
      </c>
      <c r="Y105" s="506">
        <v>0.6</v>
      </c>
      <c r="Z105" s="507">
        <v>0.6</v>
      </c>
      <c r="AA105" s="507">
        <v>0.6</v>
      </c>
      <c r="AB105" s="507">
        <v>0.6</v>
      </c>
      <c r="AC105" s="507">
        <v>0.6</v>
      </c>
      <c r="AD105" s="507">
        <v>0.5</v>
      </c>
      <c r="AE105" s="507">
        <v>0.5</v>
      </c>
      <c r="AF105" s="507">
        <v>0.5</v>
      </c>
      <c r="AG105" s="507">
        <v>0.5</v>
      </c>
      <c r="AH105" s="507">
        <v>0.5</v>
      </c>
      <c r="AI105" s="507">
        <v>0.5</v>
      </c>
      <c r="AJ105" s="507">
        <v>0.5</v>
      </c>
      <c r="AK105" s="544">
        <v>0.6</v>
      </c>
      <c r="AL105" s="53">
        <v>0.6</v>
      </c>
      <c r="AM105" s="53">
        <v>0.6</v>
      </c>
      <c r="AN105" s="53">
        <v>0.6</v>
      </c>
      <c r="AO105" s="53">
        <v>0.6</v>
      </c>
      <c r="AP105" s="38"/>
      <c r="AQ105" s="433"/>
      <c r="AR105" s="74"/>
      <c r="AS105" s="74"/>
      <c r="AT105" s="31"/>
    </row>
    <row r="106" spans="1:48">
      <c r="A106" s="329"/>
      <c r="B106" s="332" t="s">
        <v>3</v>
      </c>
      <c r="C106" s="260" t="s">
        <v>84</v>
      </c>
      <c r="D106" s="111" t="s">
        <v>3</v>
      </c>
      <c r="E106" s="100"/>
      <c r="F106" s="100"/>
      <c r="G106" s="100"/>
      <c r="H106" s="100"/>
      <c r="I106" s="100"/>
      <c r="J106" s="100"/>
      <c r="K106" s="100"/>
      <c r="L106" s="100">
        <v>0.5</v>
      </c>
      <c r="M106" s="100">
        <v>0.5</v>
      </c>
      <c r="N106" s="100">
        <v>0.62</v>
      </c>
      <c r="O106" s="100">
        <v>0.65</v>
      </c>
      <c r="P106" s="338">
        <v>0.75</v>
      </c>
      <c r="Q106" s="100">
        <v>0.75</v>
      </c>
      <c r="R106" s="100">
        <v>0.75</v>
      </c>
      <c r="S106" s="245">
        <v>0.9</v>
      </c>
      <c r="T106" s="100">
        <v>0.75</v>
      </c>
      <c r="U106" s="245">
        <v>0.75</v>
      </c>
      <c r="V106" s="100">
        <v>0.8</v>
      </c>
      <c r="W106" s="100">
        <v>0.8</v>
      </c>
      <c r="X106" s="100">
        <v>0.6</v>
      </c>
      <c r="Y106" s="435">
        <v>0.8</v>
      </c>
      <c r="Z106" s="100">
        <v>0.7</v>
      </c>
      <c r="AA106" s="100">
        <v>0.75</v>
      </c>
      <c r="AB106" s="100">
        <v>0.6</v>
      </c>
      <c r="AC106" s="245">
        <v>0.85</v>
      </c>
      <c r="AD106" s="100">
        <v>0.6</v>
      </c>
      <c r="AE106" s="100">
        <v>0.7</v>
      </c>
      <c r="AF106" s="100">
        <v>0.9</v>
      </c>
      <c r="AG106" s="100">
        <v>0.9</v>
      </c>
      <c r="AH106" s="100">
        <v>0.85</v>
      </c>
      <c r="AI106" s="100">
        <v>0.7</v>
      </c>
      <c r="AJ106" s="100">
        <v>0.65</v>
      </c>
      <c r="AK106" s="435">
        <v>0.4</v>
      </c>
      <c r="AL106" s="100">
        <v>0.45</v>
      </c>
      <c r="AM106" s="100">
        <v>0.45</v>
      </c>
      <c r="AN106" s="100">
        <v>0.4</v>
      </c>
      <c r="AO106" s="100">
        <v>0.6</v>
      </c>
      <c r="AP106" s="38"/>
      <c r="AQ106" s="31"/>
      <c r="AR106" s="74"/>
      <c r="AS106" s="74"/>
      <c r="AT106" s="31"/>
    </row>
    <row r="107" spans="1:48">
      <c r="A107" s="326"/>
      <c r="B107" s="331" t="s">
        <v>3</v>
      </c>
      <c r="C107" s="7" t="s">
        <v>20</v>
      </c>
      <c r="D107" s="26" t="s">
        <v>156</v>
      </c>
      <c r="E107" s="112">
        <v>64.069999999999993</v>
      </c>
      <c r="F107" s="120">
        <f>66.43791165-3</f>
        <v>63.437911650000004</v>
      </c>
      <c r="G107" s="215">
        <f>67.84931687-2</f>
        <v>65.849316869999996</v>
      </c>
      <c r="H107" s="112">
        <v>62.71</v>
      </c>
      <c r="I107" s="112">
        <v>69.459999999999994</v>
      </c>
      <c r="J107" s="112">
        <v>74.149546740000005</v>
      </c>
      <c r="K107" s="254">
        <v>64.84</v>
      </c>
      <c r="L107" s="254">
        <v>73.87</v>
      </c>
      <c r="M107" s="254">
        <v>70.308482029999993</v>
      </c>
      <c r="N107" s="254">
        <f>66.30012878+1.27-2</f>
        <v>65.57012877999999</v>
      </c>
      <c r="O107" s="120">
        <v>67.39</v>
      </c>
      <c r="P107" s="350">
        <v>52.08</v>
      </c>
      <c r="Q107" s="120">
        <v>47.18</v>
      </c>
      <c r="R107" s="120">
        <v>52.57</v>
      </c>
      <c r="S107" s="120">
        <v>56.54</v>
      </c>
      <c r="T107" s="120">
        <v>59.6</v>
      </c>
      <c r="U107" s="120">
        <v>57.42</v>
      </c>
      <c r="V107" s="120">
        <f>62.54</f>
        <v>62.54</v>
      </c>
      <c r="W107" s="254">
        <v>59.382407709999995</v>
      </c>
      <c r="X107" s="120">
        <v>56.1</v>
      </c>
      <c r="Y107" s="471">
        <f>51.21+3</f>
        <v>54.21</v>
      </c>
      <c r="Z107" s="98">
        <f>52.25</f>
        <v>52.25</v>
      </c>
      <c r="AA107" s="98">
        <v>56.88</v>
      </c>
      <c r="AB107" s="98">
        <v>48.78</v>
      </c>
      <c r="AC107" s="98">
        <v>51.8</v>
      </c>
      <c r="AD107" s="223">
        <v>52.23</v>
      </c>
      <c r="AE107" s="223">
        <v>60.106688570000003</v>
      </c>
      <c r="AF107" s="223">
        <v>59.348695379999995</v>
      </c>
      <c r="AG107" s="223">
        <v>58.74402886</v>
      </c>
      <c r="AH107" s="223">
        <v>58.487959409999988</v>
      </c>
      <c r="AI107" s="223">
        <v>59.128257629999993</v>
      </c>
      <c r="AJ107" s="223">
        <v>61.225829050000002</v>
      </c>
      <c r="AK107" s="546">
        <v>61.70687556</v>
      </c>
      <c r="AL107" s="240">
        <v>58.432644260000004</v>
      </c>
      <c r="AM107" s="240">
        <v>60.270865950000001</v>
      </c>
      <c r="AN107" s="240">
        <v>56.221904499999994</v>
      </c>
      <c r="AO107" s="240">
        <v>57.656336629999998</v>
      </c>
      <c r="AP107" s="38"/>
      <c r="AQ107" s="635"/>
      <c r="AR107" s="74"/>
      <c r="AS107" s="74"/>
      <c r="AT107" s="31"/>
    </row>
    <row r="108" spans="1:48">
      <c r="A108" s="326"/>
      <c r="B108" s="331" t="s">
        <v>3</v>
      </c>
      <c r="C108" s="7" t="s">
        <v>20</v>
      </c>
      <c r="D108" s="22" t="s">
        <v>21</v>
      </c>
      <c r="E108" s="50">
        <v>70.61</v>
      </c>
      <c r="F108" s="50">
        <v>67.131</v>
      </c>
      <c r="G108" s="50">
        <v>68.07940004999999</v>
      </c>
      <c r="H108" s="50">
        <f>67.46768497-1.17</f>
        <v>66.297684969999992</v>
      </c>
      <c r="I108" s="50">
        <v>68.81</v>
      </c>
      <c r="J108" s="50">
        <v>68.09418556</v>
      </c>
      <c r="K108" s="50">
        <v>70.55</v>
      </c>
      <c r="L108" s="50">
        <v>67.655677449999999</v>
      </c>
      <c r="M108" s="50">
        <v>67.334808789999997</v>
      </c>
      <c r="N108" s="50">
        <v>64.025330750000009</v>
      </c>
      <c r="O108" s="120">
        <v>61.08</v>
      </c>
      <c r="P108" s="120">
        <v>50.41</v>
      </c>
      <c r="Q108" s="120">
        <v>54.68</v>
      </c>
      <c r="R108" s="120">
        <v>53.87</v>
      </c>
      <c r="S108" s="120">
        <v>60.69</v>
      </c>
      <c r="T108" s="120">
        <v>61.18</v>
      </c>
      <c r="U108" s="120">
        <v>60.42</v>
      </c>
      <c r="V108" s="50">
        <v>61.37</v>
      </c>
      <c r="W108" s="120">
        <v>60.32</v>
      </c>
      <c r="X108" s="120">
        <v>64.62</v>
      </c>
      <c r="Y108" s="471">
        <v>61.92</v>
      </c>
      <c r="Z108" s="55">
        <v>56.777439450000003</v>
      </c>
      <c r="AA108" s="98">
        <v>62.23</v>
      </c>
      <c r="AB108" s="98">
        <v>53.05</v>
      </c>
      <c r="AC108" s="98">
        <v>53.03</v>
      </c>
      <c r="AD108" s="55">
        <v>55.66</v>
      </c>
      <c r="AE108" s="55">
        <v>54.366872799999996</v>
      </c>
      <c r="AF108" s="55">
        <v>59.489960410000002</v>
      </c>
      <c r="AG108" s="55">
        <v>59.214097170000009</v>
      </c>
      <c r="AH108" s="55">
        <v>60.71319411999999</v>
      </c>
      <c r="AI108" s="55">
        <v>59.433127179999993</v>
      </c>
      <c r="AJ108" s="55">
        <v>62.036438799999992</v>
      </c>
      <c r="AK108" s="54">
        <v>61.124961039999995</v>
      </c>
      <c r="AL108" s="55">
        <v>57.459543909999994</v>
      </c>
      <c r="AM108" s="55">
        <v>59.505406020000002</v>
      </c>
      <c r="AN108" s="55">
        <v>58.063950709999993</v>
      </c>
      <c r="AO108" s="55">
        <v>57.349385640000001</v>
      </c>
      <c r="AP108" s="38"/>
      <c r="AQ108" s="74"/>
      <c r="AR108" s="74"/>
      <c r="AS108" s="74"/>
      <c r="AT108" s="31"/>
    </row>
    <row r="109" spans="1:48">
      <c r="A109" s="326"/>
      <c r="B109" s="333" t="s">
        <v>3</v>
      </c>
      <c r="C109" s="8" t="s">
        <v>20</v>
      </c>
      <c r="D109" s="23" t="s">
        <v>19</v>
      </c>
      <c r="E109" s="50"/>
      <c r="F109" s="120"/>
      <c r="G109" s="50"/>
      <c r="H109" s="50">
        <v>2</v>
      </c>
      <c r="I109" s="50"/>
      <c r="J109" s="50"/>
      <c r="K109" s="241">
        <v>13.6</v>
      </c>
      <c r="L109" s="50"/>
      <c r="M109" s="50">
        <v>0.41</v>
      </c>
      <c r="N109" s="50">
        <v>1.27</v>
      </c>
      <c r="O109" s="50">
        <v>3.8000000000000003</v>
      </c>
      <c r="P109" s="50">
        <v>1.2</v>
      </c>
      <c r="Q109" s="50">
        <v>1.55</v>
      </c>
      <c r="R109" s="120">
        <v>4.0999999999999996</v>
      </c>
      <c r="S109" s="120">
        <v>7.4</v>
      </c>
      <c r="T109" s="120">
        <v>14.3</v>
      </c>
      <c r="U109" s="120">
        <v>12</v>
      </c>
      <c r="V109" s="120">
        <f>10.3-0.7</f>
        <v>9.6000000000000014</v>
      </c>
      <c r="W109" s="120">
        <v>13</v>
      </c>
      <c r="X109" s="120">
        <v>11.47</v>
      </c>
      <c r="Y109" s="471">
        <v>4.5</v>
      </c>
      <c r="Z109" s="98">
        <v>6.4</v>
      </c>
      <c r="AA109" s="98">
        <v>19.46</v>
      </c>
      <c r="AB109" s="98">
        <v>15.950000000000001</v>
      </c>
      <c r="AC109" s="55">
        <v>17</v>
      </c>
      <c r="AD109" s="55">
        <v>16</v>
      </c>
      <c r="AE109" s="55">
        <v>15</v>
      </c>
      <c r="AF109" s="55">
        <v>15</v>
      </c>
      <c r="AG109" s="55">
        <v>15</v>
      </c>
      <c r="AH109" s="55">
        <v>15</v>
      </c>
      <c r="AI109" s="55">
        <v>15</v>
      </c>
      <c r="AJ109" s="55">
        <v>15</v>
      </c>
      <c r="AK109" s="54">
        <v>15</v>
      </c>
      <c r="AL109" s="55">
        <v>15</v>
      </c>
      <c r="AM109" s="55">
        <v>15</v>
      </c>
      <c r="AN109" s="55">
        <v>15</v>
      </c>
      <c r="AO109" s="55">
        <v>15</v>
      </c>
      <c r="AP109" s="38"/>
      <c r="AQ109" s="74"/>
      <c r="AR109" s="74"/>
      <c r="AS109" s="74"/>
      <c r="AT109" s="31"/>
    </row>
    <row r="110" spans="1:48">
      <c r="A110" s="326"/>
      <c r="B110" s="333" t="s">
        <v>3</v>
      </c>
      <c r="C110" s="8" t="s">
        <v>20</v>
      </c>
      <c r="D110" s="23" t="s">
        <v>22</v>
      </c>
      <c r="E110" s="50"/>
      <c r="F110" s="120"/>
      <c r="G110" s="50"/>
      <c r="H110" s="50"/>
      <c r="I110" s="50"/>
      <c r="J110" s="50"/>
      <c r="K110" s="241"/>
      <c r="L110" s="50"/>
      <c r="M110" s="50"/>
      <c r="N110" s="50"/>
      <c r="O110" s="50"/>
      <c r="P110" s="50"/>
      <c r="Q110" s="50"/>
      <c r="R110" s="120"/>
      <c r="S110" s="120"/>
      <c r="T110" s="120"/>
      <c r="U110" s="50">
        <v>0.3</v>
      </c>
      <c r="V110" s="120">
        <v>0.6</v>
      </c>
      <c r="W110" s="50">
        <v>0.6</v>
      </c>
      <c r="X110" s="50">
        <v>0.6</v>
      </c>
      <c r="Y110" s="471">
        <v>0.25</v>
      </c>
      <c r="Z110" s="98">
        <v>0.4</v>
      </c>
      <c r="AA110" s="98">
        <v>0.5</v>
      </c>
      <c r="AB110" s="98">
        <v>0.5</v>
      </c>
      <c r="AC110" s="98">
        <v>0.4</v>
      </c>
      <c r="AD110" s="55">
        <v>0.4</v>
      </c>
      <c r="AE110" s="55">
        <v>0.5</v>
      </c>
      <c r="AF110" s="55">
        <v>0.6</v>
      </c>
      <c r="AG110" s="55">
        <v>0.6</v>
      </c>
      <c r="AH110" s="55">
        <v>0.6</v>
      </c>
      <c r="AI110" s="55">
        <v>0.6</v>
      </c>
      <c r="AJ110" s="55">
        <v>0.6</v>
      </c>
      <c r="AK110" s="434">
        <v>0.6</v>
      </c>
      <c r="AL110" s="72">
        <v>0.6</v>
      </c>
      <c r="AM110" s="72">
        <v>0.6</v>
      </c>
      <c r="AN110" s="72">
        <v>0.6</v>
      </c>
      <c r="AO110" s="72">
        <v>0.6</v>
      </c>
      <c r="AP110" s="38"/>
      <c r="AQ110" s="31"/>
      <c r="AR110" s="74"/>
      <c r="AS110" s="74"/>
      <c r="AT110" s="31"/>
    </row>
    <row r="111" spans="1:48">
      <c r="A111" s="326"/>
      <c r="B111" s="334" t="s">
        <v>3</v>
      </c>
      <c r="C111" s="9" t="s">
        <v>15</v>
      </c>
      <c r="D111" s="24" t="s">
        <v>14</v>
      </c>
      <c r="E111" s="71">
        <v>22</v>
      </c>
      <c r="F111" s="71">
        <v>22</v>
      </c>
      <c r="G111" s="71">
        <v>32</v>
      </c>
      <c r="H111" s="71">
        <v>32</v>
      </c>
      <c r="I111" s="232">
        <v>33.28</v>
      </c>
      <c r="J111" s="240">
        <v>33.6</v>
      </c>
      <c r="K111" s="240">
        <v>33.6</v>
      </c>
      <c r="L111" s="240">
        <v>33.6</v>
      </c>
      <c r="M111" s="240">
        <v>32</v>
      </c>
      <c r="N111" s="240">
        <v>32</v>
      </c>
      <c r="O111" s="320">
        <v>22</v>
      </c>
      <c r="P111" s="320">
        <v>20</v>
      </c>
      <c r="Q111" s="240">
        <v>20</v>
      </c>
      <c r="R111" s="320">
        <v>23</v>
      </c>
      <c r="S111" s="320">
        <v>27</v>
      </c>
      <c r="T111" s="320">
        <v>26</v>
      </c>
      <c r="U111" s="240">
        <v>26</v>
      </c>
      <c r="V111" s="240">
        <v>26</v>
      </c>
      <c r="W111" s="320">
        <v>25</v>
      </c>
      <c r="X111" s="320">
        <v>26</v>
      </c>
      <c r="Y111" s="439">
        <v>25</v>
      </c>
      <c r="Z111" s="320">
        <f>25-0.6</f>
        <v>24.4</v>
      </c>
      <c r="AA111" s="240">
        <v>26</v>
      </c>
      <c r="AB111" s="320">
        <v>23.5</v>
      </c>
      <c r="AC111" s="320">
        <v>22</v>
      </c>
      <c r="AD111" s="320">
        <v>13</v>
      </c>
      <c r="AE111" s="320">
        <v>13</v>
      </c>
      <c r="AF111" s="240">
        <v>15</v>
      </c>
      <c r="AG111" s="240">
        <v>15</v>
      </c>
      <c r="AH111" s="240">
        <v>15</v>
      </c>
      <c r="AI111" s="240">
        <v>15</v>
      </c>
      <c r="AJ111" s="240">
        <v>15</v>
      </c>
      <c r="AK111" s="436">
        <v>15</v>
      </c>
      <c r="AL111" s="223">
        <v>15</v>
      </c>
      <c r="AM111" s="223">
        <v>15</v>
      </c>
      <c r="AN111" s="223">
        <v>15</v>
      </c>
      <c r="AO111" s="223">
        <v>15</v>
      </c>
      <c r="AP111" s="38"/>
      <c r="AQ111" s="433"/>
      <c r="AR111" s="521"/>
      <c r="AS111" s="74"/>
      <c r="AT111" s="31"/>
    </row>
    <row r="112" spans="1:48">
      <c r="A112" s="326"/>
      <c r="B112" s="333" t="s">
        <v>3</v>
      </c>
      <c r="C112" s="10" t="s">
        <v>16</v>
      </c>
      <c r="D112" s="25" t="s">
        <v>14</v>
      </c>
      <c r="E112" s="72">
        <v>0</v>
      </c>
      <c r="F112" s="72">
        <v>14</v>
      </c>
      <c r="G112" s="72">
        <v>20</v>
      </c>
      <c r="H112" s="72">
        <v>14</v>
      </c>
      <c r="I112" s="233">
        <v>12.48</v>
      </c>
      <c r="J112" s="123">
        <v>12.6</v>
      </c>
      <c r="K112" s="123">
        <v>12.6</v>
      </c>
      <c r="L112" s="123">
        <v>12.6</v>
      </c>
      <c r="M112" s="123">
        <v>12</v>
      </c>
      <c r="N112" s="123">
        <v>12</v>
      </c>
      <c r="O112" s="118">
        <v>11</v>
      </c>
      <c r="P112" s="118">
        <v>10</v>
      </c>
      <c r="Q112" s="123">
        <v>11</v>
      </c>
      <c r="R112" s="118">
        <v>12</v>
      </c>
      <c r="S112" s="118">
        <v>12</v>
      </c>
      <c r="T112" s="118">
        <v>14</v>
      </c>
      <c r="U112" s="118">
        <v>15</v>
      </c>
      <c r="V112" s="123">
        <v>17</v>
      </c>
      <c r="W112" s="118">
        <v>16</v>
      </c>
      <c r="X112" s="118">
        <v>16</v>
      </c>
      <c r="Y112" s="118">
        <v>15</v>
      </c>
      <c r="Z112" s="118">
        <v>15</v>
      </c>
      <c r="AA112" s="123">
        <v>17</v>
      </c>
      <c r="AB112" s="118">
        <v>12.5</v>
      </c>
      <c r="AC112" s="118">
        <v>14</v>
      </c>
      <c r="AD112" s="118">
        <v>23</v>
      </c>
      <c r="AE112" s="118">
        <v>23</v>
      </c>
      <c r="AF112" s="123">
        <v>27</v>
      </c>
      <c r="AG112" s="123">
        <v>26</v>
      </c>
      <c r="AH112" s="123">
        <v>26.5</v>
      </c>
      <c r="AI112" s="123">
        <v>27</v>
      </c>
      <c r="AJ112" s="123">
        <v>27</v>
      </c>
      <c r="AK112" s="436">
        <v>27</v>
      </c>
      <c r="AL112" s="223">
        <v>27</v>
      </c>
      <c r="AM112" s="223">
        <v>27</v>
      </c>
      <c r="AN112" s="223">
        <v>27</v>
      </c>
      <c r="AO112" s="223">
        <v>27</v>
      </c>
      <c r="AP112" s="38"/>
      <c r="AQ112" s="433"/>
      <c r="AR112" s="521"/>
      <c r="AS112" s="74"/>
      <c r="AT112" s="31"/>
    </row>
    <row r="113" spans="1:46">
      <c r="A113" s="326"/>
      <c r="B113" s="334" t="s">
        <v>3</v>
      </c>
      <c r="C113" s="11" t="s">
        <v>17</v>
      </c>
      <c r="D113" s="24" t="s">
        <v>14</v>
      </c>
      <c r="E113" s="71"/>
      <c r="F113" s="71"/>
      <c r="G113" s="71"/>
      <c r="H113" s="71"/>
      <c r="I113" s="71"/>
      <c r="J113" s="71"/>
      <c r="K113" s="71"/>
      <c r="L113" s="71"/>
      <c r="M113" s="71"/>
      <c r="N113" s="71"/>
      <c r="O113" s="71"/>
      <c r="P113" s="71"/>
      <c r="Q113" s="71"/>
      <c r="R113" s="71"/>
      <c r="S113" s="240"/>
      <c r="T113" s="71"/>
      <c r="U113" s="71"/>
      <c r="V113" s="71"/>
      <c r="W113" s="71"/>
      <c r="X113" s="475"/>
      <c r="Y113" s="438"/>
      <c r="Z113" s="71"/>
      <c r="AA113" s="71"/>
      <c r="AB113" s="71"/>
      <c r="AC113" s="71"/>
      <c r="AD113" s="71"/>
      <c r="AE113" s="71"/>
      <c r="AF113" s="71"/>
      <c r="AG113" s="71"/>
      <c r="AH113" s="71"/>
      <c r="AI113" s="71"/>
      <c r="AJ113" s="71"/>
      <c r="AK113" s="438"/>
      <c r="AL113" s="71"/>
      <c r="AM113" s="71"/>
      <c r="AN113" s="71"/>
      <c r="AO113" s="71"/>
      <c r="AP113" s="38"/>
      <c r="AQ113" s="31"/>
      <c r="AR113" s="31"/>
      <c r="AS113" s="31"/>
      <c r="AT113" s="31"/>
    </row>
    <row r="114" spans="1:46">
      <c r="A114" s="326"/>
      <c r="B114" s="333" t="s">
        <v>3</v>
      </c>
      <c r="C114" s="12" t="s">
        <v>17</v>
      </c>
      <c r="D114" s="23" t="s">
        <v>19</v>
      </c>
      <c r="E114" s="72"/>
      <c r="F114" s="72"/>
      <c r="G114" s="118"/>
      <c r="H114" s="72"/>
      <c r="I114" s="72"/>
      <c r="J114" s="72"/>
      <c r="K114" s="72"/>
      <c r="L114" s="72"/>
      <c r="M114" s="72"/>
      <c r="N114" s="72"/>
      <c r="O114" s="72"/>
      <c r="P114" s="72"/>
      <c r="Q114" s="72"/>
      <c r="R114" s="72"/>
      <c r="S114" s="72"/>
      <c r="T114" s="72"/>
      <c r="U114" s="72"/>
      <c r="V114" s="72"/>
      <c r="W114" s="72"/>
      <c r="X114" s="72">
        <v>0</v>
      </c>
      <c r="Y114" s="434">
        <v>0</v>
      </c>
      <c r="Z114" s="72"/>
      <c r="AA114" s="72"/>
      <c r="AB114" s="72">
        <v>0</v>
      </c>
      <c r="AC114" s="72">
        <v>0</v>
      </c>
      <c r="AD114" s="72">
        <v>0</v>
      </c>
      <c r="AE114" s="72">
        <v>0</v>
      </c>
      <c r="AF114" s="72">
        <v>0</v>
      </c>
      <c r="AG114" s="72">
        <v>0</v>
      </c>
      <c r="AH114" s="72">
        <v>0</v>
      </c>
      <c r="AI114" s="72">
        <v>0</v>
      </c>
      <c r="AJ114" s="72">
        <v>0</v>
      </c>
      <c r="AK114" s="434">
        <v>0</v>
      </c>
      <c r="AL114" s="72">
        <v>0</v>
      </c>
      <c r="AM114" s="72">
        <v>0</v>
      </c>
      <c r="AN114" s="72">
        <v>0</v>
      </c>
      <c r="AO114" s="72">
        <v>0</v>
      </c>
      <c r="AP114" s="38"/>
      <c r="AQ114" s="31"/>
      <c r="AR114" s="31"/>
      <c r="AS114" s="31"/>
      <c r="AT114" s="31"/>
    </row>
    <row r="115" spans="1:46">
      <c r="A115" s="326"/>
      <c r="B115" s="334" t="s">
        <v>3</v>
      </c>
      <c r="C115" s="13" t="s">
        <v>18</v>
      </c>
      <c r="D115" s="24" t="s">
        <v>14</v>
      </c>
      <c r="E115" s="50"/>
      <c r="F115" s="50"/>
      <c r="G115" s="50"/>
      <c r="H115" s="50"/>
      <c r="I115" s="50"/>
      <c r="J115" s="50"/>
      <c r="K115" s="50"/>
      <c r="L115" s="50"/>
      <c r="M115" s="50"/>
      <c r="N115" s="50"/>
      <c r="O115" s="50"/>
      <c r="P115" s="50"/>
      <c r="Q115" s="50"/>
      <c r="R115" s="50"/>
      <c r="S115" s="50"/>
      <c r="T115" s="50"/>
      <c r="U115" s="50"/>
      <c r="V115" s="50"/>
      <c r="W115" s="50"/>
      <c r="X115" s="50"/>
      <c r="Y115" s="54"/>
      <c r="Z115" s="55"/>
      <c r="AA115" s="55"/>
      <c r="AB115" s="55"/>
      <c r="AC115" s="55"/>
      <c r="AD115" s="55"/>
      <c r="AE115" s="55"/>
      <c r="AF115" s="55"/>
      <c r="AG115" s="55"/>
      <c r="AH115" s="55"/>
      <c r="AI115" s="55"/>
      <c r="AJ115" s="55"/>
      <c r="AK115" s="438"/>
      <c r="AL115" s="71"/>
      <c r="AM115" s="71"/>
      <c r="AN115" s="71"/>
      <c r="AO115" s="71"/>
      <c r="AP115" s="38"/>
      <c r="AQ115" s="31"/>
      <c r="AR115" s="31"/>
      <c r="AS115" s="31"/>
      <c r="AT115" s="31"/>
    </row>
    <row r="116" spans="1:46">
      <c r="A116" s="326"/>
      <c r="B116" s="331" t="s">
        <v>3</v>
      </c>
      <c r="C116" s="442" t="s">
        <v>18</v>
      </c>
      <c r="D116" s="27" t="s">
        <v>19</v>
      </c>
      <c r="E116" s="50"/>
      <c r="F116" s="50"/>
      <c r="G116" s="50"/>
      <c r="H116" s="50"/>
      <c r="I116" s="50"/>
      <c r="J116" s="50"/>
      <c r="K116" s="50"/>
      <c r="L116" s="50"/>
      <c r="M116" s="50"/>
      <c r="N116" s="50"/>
      <c r="O116" s="50"/>
      <c r="P116" s="50"/>
      <c r="Q116" s="50"/>
      <c r="R116" s="50"/>
      <c r="S116" s="50"/>
      <c r="T116" s="50"/>
      <c r="U116" s="50"/>
      <c r="V116" s="50"/>
      <c r="W116" s="50"/>
      <c r="X116" s="50"/>
      <c r="Y116" s="54"/>
      <c r="Z116" s="55"/>
      <c r="AA116" s="55"/>
      <c r="AB116" s="55"/>
      <c r="AC116" s="55"/>
      <c r="AD116" s="55"/>
      <c r="AE116" s="55"/>
      <c r="AF116" s="55"/>
      <c r="AG116" s="55"/>
      <c r="AH116" s="55"/>
      <c r="AI116" s="55"/>
      <c r="AJ116" s="55"/>
      <c r="AK116" s="434"/>
      <c r="AL116" s="72"/>
      <c r="AM116" s="72"/>
      <c r="AN116" s="72"/>
      <c r="AO116" s="72"/>
      <c r="AP116" s="38"/>
      <c r="AQ116" s="31"/>
      <c r="AR116" s="31"/>
      <c r="AS116" s="31"/>
      <c r="AT116" s="31"/>
    </row>
    <row r="117" spans="1:46">
      <c r="A117" s="326"/>
      <c r="B117" s="334" t="s">
        <v>3</v>
      </c>
      <c r="C117" s="14" t="s">
        <v>23</v>
      </c>
      <c r="D117" s="24" t="s">
        <v>14</v>
      </c>
      <c r="E117" s="71"/>
      <c r="F117" s="71"/>
      <c r="G117" s="71"/>
      <c r="H117" s="71"/>
      <c r="I117" s="71"/>
      <c r="J117" s="71"/>
      <c r="K117" s="71"/>
      <c r="L117" s="71"/>
      <c r="M117" s="71"/>
      <c r="N117" s="71"/>
      <c r="O117" s="71"/>
      <c r="P117" s="71"/>
      <c r="Q117" s="71"/>
      <c r="R117" s="71"/>
      <c r="S117" s="71"/>
      <c r="T117" s="71"/>
      <c r="U117" s="71"/>
      <c r="V117" s="71"/>
      <c r="W117" s="71"/>
      <c r="X117" s="71"/>
      <c r="Y117" s="438"/>
      <c r="Z117" s="71"/>
      <c r="AA117" s="71"/>
      <c r="AB117" s="71"/>
      <c r="AC117" s="71"/>
      <c r="AD117" s="71"/>
      <c r="AE117" s="71"/>
      <c r="AF117" s="71"/>
      <c r="AG117" s="71"/>
      <c r="AH117" s="71"/>
      <c r="AI117" s="71"/>
      <c r="AJ117" s="71"/>
      <c r="AK117" s="54"/>
      <c r="AL117" s="55"/>
      <c r="AM117" s="55"/>
      <c r="AN117" s="55"/>
      <c r="AO117" s="55"/>
      <c r="AP117" s="38"/>
      <c r="AQ117" s="31"/>
      <c r="AR117" s="31"/>
      <c r="AS117" s="31"/>
      <c r="AT117" s="31"/>
    </row>
    <row r="118" spans="1:46">
      <c r="A118" s="326"/>
      <c r="B118" s="331" t="s">
        <v>3</v>
      </c>
      <c r="C118" s="327" t="s">
        <v>23</v>
      </c>
      <c r="D118" s="27" t="s">
        <v>19</v>
      </c>
      <c r="E118" s="72"/>
      <c r="F118" s="72"/>
      <c r="G118" s="72"/>
      <c r="H118" s="72"/>
      <c r="I118" s="72"/>
      <c r="J118" s="72"/>
      <c r="K118" s="72"/>
      <c r="L118" s="72"/>
      <c r="M118" s="72"/>
      <c r="N118" s="72"/>
      <c r="O118" s="72"/>
      <c r="P118" s="72"/>
      <c r="Q118" s="72"/>
      <c r="R118" s="72">
        <v>1.8</v>
      </c>
      <c r="S118" s="72">
        <v>0.40000000000000013</v>
      </c>
      <c r="T118" s="72">
        <v>1.8</v>
      </c>
      <c r="U118" s="118">
        <v>2.4</v>
      </c>
      <c r="V118" s="72">
        <v>2.6</v>
      </c>
      <c r="W118" s="72">
        <v>3.6</v>
      </c>
      <c r="X118" s="72">
        <v>3.6</v>
      </c>
      <c r="Y118" s="434"/>
      <c r="Z118" s="72">
        <v>4.2</v>
      </c>
      <c r="AA118" s="118">
        <v>3</v>
      </c>
      <c r="AB118" s="72">
        <v>3</v>
      </c>
      <c r="AC118" s="118">
        <v>2.4</v>
      </c>
      <c r="AD118" s="72">
        <v>3</v>
      </c>
      <c r="AE118" s="72">
        <v>3</v>
      </c>
      <c r="AF118" s="72">
        <v>3</v>
      </c>
      <c r="AG118" s="72">
        <v>3</v>
      </c>
      <c r="AH118" s="72">
        <v>3</v>
      </c>
      <c r="AI118" s="72">
        <v>3</v>
      </c>
      <c r="AJ118" s="72">
        <v>3</v>
      </c>
      <c r="AK118" s="54">
        <v>3</v>
      </c>
      <c r="AL118" s="55">
        <v>3</v>
      </c>
      <c r="AM118" s="55">
        <v>3</v>
      </c>
      <c r="AN118" s="55">
        <v>3</v>
      </c>
      <c r="AO118" s="55">
        <v>3</v>
      </c>
      <c r="AP118" s="38"/>
      <c r="AQ118" s="31"/>
      <c r="AR118" s="31"/>
      <c r="AS118" s="31"/>
      <c r="AT118" s="31"/>
    </row>
    <row r="119" spans="1:46">
      <c r="A119" s="326"/>
      <c r="B119" s="333" t="s">
        <v>3</v>
      </c>
      <c r="C119" s="15" t="s">
        <v>23</v>
      </c>
      <c r="D119" s="23" t="s">
        <v>22</v>
      </c>
      <c r="E119" s="55"/>
      <c r="F119" s="55"/>
      <c r="G119" s="55"/>
      <c r="H119" s="55"/>
      <c r="I119" s="55"/>
      <c r="J119" s="55"/>
      <c r="K119" s="55"/>
      <c r="L119" s="55"/>
      <c r="M119" s="55"/>
      <c r="N119" s="55"/>
      <c r="O119" s="55"/>
      <c r="P119" s="55"/>
      <c r="Q119" s="55"/>
      <c r="R119" s="55"/>
      <c r="S119" s="55"/>
      <c r="T119" s="55"/>
      <c r="U119" s="98"/>
      <c r="V119" s="55"/>
      <c r="W119" s="55">
        <v>0.6</v>
      </c>
      <c r="X119" s="55">
        <v>0.6</v>
      </c>
      <c r="Y119" s="54"/>
      <c r="Z119" s="55">
        <v>0.8</v>
      </c>
      <c r="AA119" s="98">
        <v>1.2</v>
      </c>
      <c r="AB119" s="55">
        <v>1.2</v>
      </c>
      <c r="AC119" s="98">
        <v>1.2</v>
      </c>
      <c r="AD119" s="55">
        <v>1.2</v>
      </c>
      <c r="AE119" s="55">
        <v>1.2</v>
      </c>
      <c r="AF119" s="55">
        <v>1.2</v>
      </c>
      <c r="AG119" s="55">
        <v>1.2</v>
      </c>
      <c r="AH119" s="55">
        <v>1.2</v>
      </c>
      <c r="AI119" s="55">
        <v>1.2</v>
      </c>
      <c r="AJ119" s="55">
        <v>1.2</v>
      </c>
      <c r="AK119" s="438">
        <v>1.2</v>
      </c>
      <c r="AL119" s="71">
        <v>1.2</v>
      </c>
      <c r="AM119" s="71">
        <v>1.2</v>
      </c>
      <c r="AN119" s="71">
        <v>1.2</v>
      </c>
      <c r="AO119" s="71">
        <v>1.2</v>
      </c>
      <c r="AP119" s="38"/>
      <c r="AQ119" s="31"/>
      <c r="AR119" s="31"/>
      <c r="AS119" s="31"/>
      <c r="AT119" s="31"/>
    </row>
    <row r="120" spans="1:46">
      <c r="A120" s="326"/>
      <c r="B120" s="331" t="s">
        <v>3</v>
      </c>
      <c r="C120" s="16" t="s">
        <v>24</v>
      </c>
      <c r="D120" s="26" t="s">
        <v>14</v>
      </c>
      <c r="E120" s="50"/>
      <c r="F120" s="50"/>
      <c r="G120" s="50"/>
      <c r="H120" s="50"/>
      <c r="I120" s="50"/>
      <c r="J120" s="50"/>
      <c r="K120" s="50"/>
      <c r="L120" s="50"/>
      <c r="M120" s="50"/>
      <c r="N120" s="50"/>
      <c r="O120" s="50"/>
      <c r="P120" s="50"/>
      <c r="Q120" s="50"/>
      <c r="R120" s="50"/>
      <c r="S120" s="50"/>
      <c r="T120" s="50"/>
      <c r="U120" s="50"/>
      <c r="V120" s="50"/>
      <c r="W120" s="50"/>
      <c r="X120" s="50"/>
      <c r="Y120" s="54"/>
      <c r="Z120" s="55"/>
      <c r="AA120" s="55"/>
      <c r="AB120" s="55"/>
      <c r="AC120" s="55"/>
      <c r="AD120" s="55"/>
      <c r="AE120" s="55"/>
      <c r="AF120" s="55"/>
      <c r="AG120" s="55"/>
      <c r="AH120" s="55"/>
      <c r="AI120" s="55"/>
      <c r="AJ120" s="55"/>
      <c r="AK120" s="54"/>
      <c r="AL120" s="55"/>
      <c r="AM120" s="55"/>
      <c r="AN120" s="55"/>
      <c r="AO120" s="55"/>
      <c r="AP120" s="38"/>
      <c r="AQ120" s="31"/>
      <c r="AR120" s="31"/>
      <c r="AS120" s="31"/>
      <c r="AT120" s="31"/>
    </row>
    <row r="121" spans="1:46">
      <c r="A121" s="326"/>
      <c r="B121" s="331" t="s">
        <v>3</v>
      </c>
      <c r="C121" s="16" t="s">
        <v>24</v>
      </c>
      <c r="D121" s="27" t="s">
        <v>19</v>
      </c>
      <c r="E121" s="50"/>
      <c r="F121" s="50"/>
      <c r="G121" s="50"/>
      <c r="H121" s="50"/>
      <c r="I121" s="50"/>
      <c r="J121" s="50"/>
      <c r="K121" s="50"/>
      <c r="L121" s="50"/>
      <c r="M121" s="50">
        <f>0.22+0.83</f>
        <v>1.05</v>
      </c>
      <c r="N121" s="50">
        <v>0.82000000000000206</v>
      </c>
      <c r="O121" s="120">
        <v>6.43</v>
      </c>
      <c r="P121" s="120">
        <v>7.3999999999999995</v>
      </c>
      <c r="Q121" s="50">
        <v>5.15</v>
      </c>
      <c r="R121" s="120">
        <v>11.98</v>
      </c>
      <c r="S121" s="120">
        <v>11.4</v>
      </c>
      <c r="T121" s="120">
        <v>13.8</v>
      </c>
      <c r="U121" s="50">
        <v>13.8</v>
      </c>
      <c r="V121" s="120">
        <v>17.5</v>
      </c>
      <c r="W121" s="120">
        <f>3.4-2</f>
        <v>1.4</v>
      </c>
      <c r="X121" s="120">
        <f>0.4+3-1.2+0.6+0.7-0.6</f>
        <v>2.9</v>
      </c>
      <c r="Y121" s="471">
        <v>2.8</v>
      </c>
      <c r="Z121" s="98">
        <f>4.52+0.6+0.6</f>
        <v>5.7199999999999989</v>
      </c>
      <c r="AA121" s="98">
        <f>9.17+1.5</f>
        <v>10.67</v>
      </c>
      <c r="AB121" s="98">
        <v>6.42</v>
      </c>
      <c r="AC121" s="98">
        <v>7.02</v>
      </c>
      <c r="AD121" s="55">
        <v>6.42</v>
      </c>
      <c r="AE121" s="55">
        <v>8.8800000000000008</v>
      </c>
      <c r="AF121" s="55">
        <v>10.88</v>
      </c>
      <c r="AG121" s="55">
        <v>10.88</v>
      </c>
      <c r="AH121" s="55">
        <v>10.88</v>
      </c>
      <c r="AI121" s="55">
        <v>10.88</v>
      </c>
      <c r="AJ121" s="55">
        <v>10.88</v>
      </c>
      <c r="AK121" s="54">
        <v>10.88</v>
      </c>
      <c r="AL121" s="55">
        <v>10.88</v>
      </c>
      <c r="AM121" s="55">
        <v>10.88</v>
      </c>
      <c r="AN121" s="55">
        <v>10.88</v>
      </c>
      <c r="AO121" s="55">
        <v>10.88</v>
      </c>
      <c r="AP121" s="38"/>
      <c r="AQ121" s="31"/>
      <c r="AR121" s="31"/>
      <c r="AS121" s="31"/>
      <c r="AT121" s="31"/>
    </row>
    <row r="122" spans="1:46">
      <c r="A122" s="326"/>
      <c r="B122" s="332" t="s">
        <v>3</v>
      </c>
      <c r="C122" s="447" t="s">
        <v>159</v>
      </c>
      <c r="D122" s="122" t="s">
        <v>19</v>
      </c>
      <c r="E122" s="50"/>
      <c r="F122" s="50"/>
      <c r="G122" s="50"/>
      <c r="H122" s="50"/>
      <c r="I122" s="50"/>
      <c r="J122" s="50"/>
      <c r="K122" s="50"/>
      <c r="L122" s="50"/>
      <c r="M122" s="50"/>
      <c r="N122" s="50"/>
      <c r="O122" s="120"/>
      <c r="P122" s="120"/>
      <c r="Q122" s="50"/>
      <c r="R122" s="120"/>
      <c r="S122" s="120"/>
      <c r="T122" s="120"/>
      <c r="U122" s="50"/>
      <c r="V122" s="50"/>
      <c r="W122" s="50"/>
      <c r="X122" s="50"/>
      <c r="Y122" s="54"/>
      <c r="Z122" s="55"/>
      <c r="AA122" s="55"/>
      <c r="AB122" s="55"/>
      <c r="AC122" s="55"/>
      <c r="AD122" s="55"/>
      <c r="AE122" s="55"/>
      <c r="AF122" s="55"/>
      <c r="AG122" s="55"/>
      <c r="AH122" s="55"/>
      <c r="AI122" s="55"/>
      <c r="AJ122" s="55"/>
      <c r="AK122" s="434"/>
      <c r="AL122" s="72"/>
      <c r="AM122" s="72"/>
      <c r="AN122" s="72"/>
      <c r="AO122" s="72"/>
      <c r="AP122" s="38"/>
      <c r="AQ122" s="31"/>
      <c r="AR122" s="31"/>
      <c r="AS122" s="31"/>
      <c r="AT122" s="31"/>
    </row>
    <row r="123" spans="1:46">
      <c r="A123" s="326"/>
      <c r="B123" s="334" t="s">
        <v>3</v>
      </c>
      <c r="C123" s="17" t="s">
        <v>28</v>
      </c>
      <c r="D123" s="24" t="s">
        <v>14</v>
      </c>
      <c r="E123" s="71"/>
      <c r="F123" s="71"/>
      <c r="G123" s="71"/>
      <c r="H123" s="71"/>
      <c r="I123" s="71"/>
      <c r="J123" s="71"/>
      <c r="K123" s="71"/>
      <c r="L123" s="71"/>
      <c r="M123" s="71"/>
      <c r="N123" s="71"/>
      <c r="O123" s="71"/>
      <c r="P123" s="71"/>
      <c r="Q123" s="71"/>
      <c r="R123" s="71"/>
      <c r="S123" s="71"/>
      <c r="T123" s="71"/>
      <c r="U123" s="71"/>
      <c r="V123" s="71"/>
      <c r="W123" s="71"/>
      <c r="X123" s="71"/>
      <c r="Y123" s="438"/>
      <c r="Z123" s="71"/>
      <c r="AA123" s="71"/>
      <c r="AB123" s="71"/>
      <c r="AC123" s="71"/>
      <c r="AD123" s="71"/>
      <c r="AE123" s="71"/>
      <c r="AF123" s="71"/>
      <c r="AG123" s="71"/>
      <c r="AH123" s="71"/>
      <c r="AI123" s="71"/>
      <c r="AJ123" s="71"/>
      <c r="AK123" s="54"/>
      <c r="AL123" s="55"/>
      <c r="AM123" s="55"/>
      <c r="AN123" s="55"/>
      <c r="AO123" s="55"/>
      <c r="AP123" s="38"/>
      <c r="AQ123" s="31"/>
      <c r="AR123" s="31"/>
      <c r="AS123" s="31"/>
      <c r="AT123" s="31"/>
    </row>
    <row r="124" spans="1:46">
      <c r="A124" s="326"/>
      <c r="B124" s="333" t="s">
        <v>3</v>
      </c>
      <c r="C124" s="18" t="s">
        <v>28</v>
      </c>
      <c r="D124" s="23" t="s">
        <v>19</v>
      </c>
      <c r="E124" s="72"/>
      <c r="F124" s="72"/>
      <c r="G124" s="72"/>
      <c r="H124" s="72"/>
      <c r="I124" s="72"/>
      <c r="J124" s="231">
        <v>1.2</v>
      </c>
      <c r="K124" s="123">
        <v>3.4</v>
      </c>
      <c r="L124" s="123">
        <v>3.1</v>
      </c>
      <c r="M124" s="123">
        <v>1.2</v>
      </c>
      <c r="N124" s="72"/>
      <c r="O124" s="72"/>
      <c r="P124" s="72"/>
      <c r="Q124" s="72"/>
      <c r="R124" s="72"/>
      <c r="S124" s="72"/>
      <c r="T124" s="72"/>
      <c r="U124" s="72"/>
      <c r="V124" s="118">
        <v>1.2</v>
      </c>
      <c r="W124" s="72"/>
      <c r="X124" s="72"/>
      <c r="Y124" s="434"/>
      <c r="Z124" s="72"/>
      <c r="AA124" s="72"/>
      <c r="AB124" s="72"/>
      <c r="AC124" s="72"/>
      <c r="AD124" s="72"/>
      <c r="AE124" s="72"/>
      <c r="AF124" s="72"/>
      <c r="AG124" s="72"/>
      <c r="AH124" s="72"/>
      <c r="AI124" s="72"/>
      <c r="AJ124" s="72"/>
      <c r="AK124" s="54"/>
      <c r="AL124" s="55"/>
      <c r="AM124" s="55"/>
      <c r="AN124" s="55"/>
      <c r="AO124" s="55"/>
      <c r="AP124" s="38"/>
      <c r="AQ124" s="31"/>
      <c r="AR124" s="31"/>
      <c r="AS124" s="31"/>
      <c r="AT124" s="31"/>
    </row>
    <row r="125" spans="1:46">
      <c r="A125" s="326"/>
      <c r="B125" s="334" t="s">
        <v>3</v>
      </c>
      <c r="C125" s="17" t="s">
        <v>162</v>
      </c>
      <c r="D125" s="24" t="s">
        <v>14</v>
      </c>
      <c r="E125" s="50"/>
      <c r="F125" s="50"/>
      <c r="G125" s="50"/>
      <c r="H125" s="50"/>
      <c r="I125" s="50"/>
      <c r="J125" s="50"/>
      <c r="K125" s="50"/>
      <c r="L125" s="50"/>
      <c r="M125" s="50"/>
      <c r="N125" s="50"/>
      <c r="O125" s="50"/>
      <c r="P125" s="50"/>
      <c r="Q125" s="50"/>
      <c r="R125" s="50"/>
      <c r="S125" s="50"/>
      <c r="T125" s="50"/>
      <c r="U125" s="50"/>
      <c r="V125" s="50"/>
      <c r="W125" s="50"/>
      <c r="X125" s="50"/>
      <c r="Y125" s="54"/>
      <c r="Z125" s="55"/>
      <c r="AA125" s="55"/>
      <c r="AB125" s="55"/>
      <c r="AC125" s="55"/>
      <c r="AD125" s="55"/>
      <c r="AE125" s="55"/>
      <c r="AF125" s="55"/>
      <c r="AG125" s="55"/>
      <c r="AH125" s="55"/>
      <c r="AI125" s="55"/>
      <c r="AJ125" s="55"/>
      <c r="AK125" s="438"/>
      <c r="AL125" s="71"/>
      <c r="AM125" s="71"/>
      <c r="AN125" s="71"/>
      <c r="AO125" s="71"/>
      <c r="AP125" s="38"/>
      <c r="AQ125" s="31"/>
      <c r="AR125" s="31"/>
      <c r="AS125" s="31"/>
      <c r="AT125" s="31"/>
    </row>
    <row r="126" spans="1:46">
      <c r="A126" s="326"/>
      <c r="B126" s="333" t="s">
        <v>3</v>
      </c>
      <c r="C126" s="18" t="s">
        <v>162</v>
      </c>
      <c r="D126" s="23" t="s">
        <v>19</v>
      </c>
      <c r="E126" s="50"/>
      <c r="F126" s="50"/>
      <c r="G126" s="50"/>
      <c r="H126" s="50"/>
      <c r="I126" s="50"/>
      <c r="J126" s="50"/>
      <c r="K126" s="50"/>
      <c r="L126" s="50"/>
      <c r="M126" s="50"/>
      <c r="N126" s="50"/>
      <c r="O126" s="50"/>
      <c r="P126" s="50">
        <v>0.65</v>
      </c>
      <c r="Q126" s="50"/>
      <c r="R126" s="50"/>
      <c r="S126" s="50"/>
      <c r="T126" s="50"/>
      <c r="U126" s="50"/>
      <c r="V126" s="50"/>
      <c r="W126" s="50"/>
      <c r="X126" s="50"/>
      <c r="Y126" s="54">
        <v>0</v>
      </c>
      <c r="Z126" s="55">
        <v>0</v>
      </c>
      <c r="AA126" s="55"/>
      <c r="AB126" s="55"/>
      <c r="AC126" s="55"/>
      <c r="AD126" s="55"/>
      <c r="AE126" s="55"/>
      <c r="AF126" s="55"/>
      <c r="AG126" s="55"/>
      <c r="AH126" s="55"/>
      <c r="AI126" s="55"/>
      <c r="AJ126" s="55"/>
      <c r="AK126" s="434"/>
      <c r="AL126" s="72"/>
      <c r="AM126" s="72"/>
      <c r="AN126" s="72"/>
      <c r="AO126" s="72"/>
      <c r="AP126" s="38"/>
      <c r="AQ126" s="31"/>
      <c r="AR126" s="31"/>
      <c r="AS126" s="31"/>
      <c r="AT126" s="31"/>
    </row>
    <row r="127" spans="1:46">
      <c r="A127" s="326"/>
      <c r="B127" s="331" t="s">
        <v>3</v>
      </c>
      <c r="C127" s="19" t="s">
        <v>29</v>
      </c>
      <c r="D127" s="26" t="s">
        <v>14</v>
      </c>
      <c r="E127" s="71"/>
      <c r="F127" s="71"/>
      <c r="G127" s="71"/>
      <c r="H127" s="71"/>
      <c r="I127" s="71"/>
      <c r="J127" s="71"/>
      <c r="K127" s="71"/>
      <c r="L127" s="71"/>
      <c r="M127" s="71"/>
      <c r="N127" s="71"/>
      <c r="O127" s="71"/>
      <c r="P127" s="71"/>
      <c r="Q127" s="71"/>
      <c r="R127" s="71"/>
      <c r="S127" s="71"/>
      <c r="T127" s="71"/>
      <c r="U127" s="71"/>
      <c r="V127" s="71"/>
      <c r="W127" s="71"/>
      <c r="X127" s="71"/>
      <c r="Y127" s="438"/>
      <c r="Z127" s="71"/>
      <c r="AA127" s="71"/>
      <c r="AB127" s="71"/>
      <c r="AC127" s="71"/>
      <c r="AD127" s="71"/>
      <c r="AE127" s="71"/>
      <c r="AF127" s="71"/>
      <c r="AG127" s="71"/>
      <c r="AH127" s="71"/>
      <c r="AI127" s="71"/>
      <c r="AJ127" s="71"/>
      <c r="AK127" s="54"/>
      <c r="AL127" s="55"/>
      <c r="AM127" s="55"/>
      <c r="AN127" s="55"/>
      <c r="AO127" s="55"/>
      <c r="AP127" s="38"/>
      <c r="AQ127" s="31"/>
      <c r="AR127" s="31"/>
      <c r="AS127" s="31"/>
      <c r="AT127" s="31"/>
    </row>
    <row r="128" spans="1:46">
      <c r="A128" s="326"/>
      <c r="B128" s="331" t="s">
        <v>3</v>
      </c>
      <c r="C128" s="19" t="s">
        <v>29</v>
      </c>
      <c r="D128" s="22" t="s">
        <v>21</v>
      </c>
      <c r="E128" s="55"/>
      <c r="F128" s="55"/>
      <c r="G128" s="55"/>
      <c r="H128" s="98"/>
      <c r="I128" s="98"/>
      <c r="J128" s="98"/>
      <c r="K128" s="98"/>
      <c r="L128" s="55"/>
      <c r="M128" s="55"/>
      <c r="N128" s="55"/>
      <c r="O128" s="55"/>
      <c r="P128" s="55"/>
      <c r="Q128" s="55"/>
      <c r="R128" s="55"/>
      <c r="S128" s="55"/>
      <c r="T128" s="55"/>
      <c r="U128" s="55"/>
      <c r="V128" s="55"/>
      <c r="W128" s="55"/>
      <c r="X128" s="55"/>
      <c r="Y128" s="54"/>
      <c r="Z128" s="55"/>
      <c r="AA128" s="55"/>
      <c r="AB128" s="55"/>
      <c r="AC128" s="55"/>
      <c r="AD128" s="55"/>
      <c r="AE128" s="55"/>
      <c r="AF128" s="55"/>
      <c r="AG128" s="55"/>
      <c r="AH128" s="55"/>
      <c r="AI128" s="55"/>
      <c r="AJ128" s="55"/>
      <c r="AK128" s="54"/>
      <c r="AL128" s="55"/>
      <c r="AM128" s="55"/>
      <c r="AN128" s="55"/>
      <c r="AO128" s="55"/>
      <c r="AP128" s="38"/>
      <c r="AQ128" s="31"/>
      <c r="AR128" s="31"/>
      <c r="AS128" s="31"/>
      <c r="AT128" s="31"/>
    </row>
    <row r="129" spans="1:46">
      <c r="A129" s="326"/>
      <c r="B129" s="333" t="s">
        <v>3</v>
      </c>
      <c r="C129" s="19" t="s">
        <v>29</v>
      </c>
      <c r="D129" s="27" t="s">
        <v>19</v>
      </c>
      <c r="E129" s="72"/>
      <c r="F129" s="72"/>
      <c r="G129" s="72"/>
      <c r="H129" s="72"/>
      <c r="I129" s="118">
        <v>3.9</v>
      </c>
      <c r="J129" s="233">
        <v>4.2</v>
      </c>
      <c r="K129" s="72"/>
      <c r="L129" s="72"/>
      <c r="M129" s="72"/>
      <c r="N129" s="72"/>
      <c r="O129" s="72"/>
      <c r="P129" s="72"/>
      <c r="Q129" s="72"/>
      <c r="R129" s="72"/>
      <c r="S129" s="72"/>
      <c r="T129" s="72"/>
      <c r="U129" s="72"/>
      <c r="V129" s="72"/>
      <c r="W129" s="72"/>
      <c r="X129" s="72"/>
      <c r="Y129" s="434"/>
      <c r="Z129" s="72"/>
      <c r="AA129" s="72"/>
      <c r="AB129" s="72"/>
      <c r="AC129" s="72"/>
      <c r="AD129" s="72"/>
      <c r="AE129" s="72"/>
      <c r="AF129" s="72"/>
      <c r="AG129" s="72"/>
      <c r="AH129" s="72"/>
      <c r="AI129" s="72"/>
      <c r="AJ129" s="72"/>
      <c r="AK129" s="54"/>
      <c r="AL129" s="55"/>
      <c r="AM129" s="55"/>
      <c r="AN129" s="55"/>
      <c r="AO129" s="55"/>
      <c r="AP129" s="38"/>
      <c r="AQ129" s="31"/>
      <c r="AR129" s="31"/>
      <c r="AS129" s="31"/>
      <c r="AT129" s="31"/>
    </row>
    <row r="130" spans="1:46">
      <c r="A130" s="326"/>
      <c r="B130" s="333" t="s">
        <v>3</v>
      </c>
      <c r="C130" s="121" t="s">
        <v>51</v>
      </c>
      <c r="D130" s="122" t="s">
        <v>19</v>
      </c>
      <c r="E130" s="55"/>
      <c r="F130" s="55"/>
      <c r="G130" s="55"/>
      <c r="H130" s="55"/>
      <c r="I130" s="55"/>
      <c r="J130" s="55"/>
      <c r="K130" s="55"/>
      <c r="L130" s="55"/>
      <c r="M130" s="55"/>
      <c r="N130" s="55"/>
      <c r="O130" s="55"/>
      <c r="P130" s="55"/>
      <c r="Q130" s="55"/>
      <c r="R130" s="55"/>
      <c r="S130" s="55"/>
      <c r="T130" s="55"/>
      <c r="U130" s="55"/>
      <c r="V130" s="55"/>
      <c r="W130" s="55"/>
      <c r="X130" s="55"/>
      <c r="Y130" s="54"/>
      <c r="Z130" s="55"/>
      <c r="AA130" s="55"/>
      <c r="AB130" s="55"/>
      <c r="AC130" s="55"/>
      <c r="AD130" s="55"/>
      <c r="AE130" s="55"/>
      <c r="AF130" s="55"/>
      <c r="AG130" s="55"/>
      <c r="AH130" s="55"/>
      <c r="AI130" s="55"/>
      <c r="AJ130" s="55"/>
      <c r="AK130" s="435"/>
      <c r="AL130" s="100"/>
      <c r="AM130" s="100"/>
      <c r="AN130" s="100"/>
      <c r="AO130" s="100"/>
      <c r="AP130" s="38"/>
      <c r="AQ130" s="31"/>
      <c r="AR130" s="31"/>
      <c r="AS130" s="31"/>
      <c r="AT130" s="31"/>
    </row>
    <row r="131" spans="1:46" ht="16" thickBot="1">
      <c r="A131" s="326"/>
      <c r="B131" s="331" t="s">
        <v>3</v>
      </c>
      <c r="C131" s="17" t="s">
        <v>79</v>
      </c>
      <c r="D131" s="524" t="s">
        <v>19</v>
      </c>
      <c r="E131" s="55"/>
      <c r="F131" s="55"/>
      <c r="G131" s="55"/>
      <c r="H131" s="55"/>
      <c r="I131" s="55"/>
      <c r="J131" s="55"/>
      <c r="K131" s="100"/>
      <c r="L131" s="100"/>
      <c r="M131" s="245"/>
      <c r="N131" s="245"/>
      <c r="O131" s="245"/>
      <c r="P131" s="245"/>
      <c r="Q131" s="320"/>
      <c r="R131" s="320"/>
      <c r="S131" s="320"/>
      <c r="T131" s="320"/>
      <c r="U131" s="320"/>
      <c r="V131" s="320"/>
      <c r="W131" s="320"/>
      <c r="X131" s="320"/>
      <c r="Y131" s="439"/>
      <c r="Z131" s="320"/>
      <c r="AA131" s="320"/>
      <c r="AB131" s="320"/>
      <c r="AC131" s="320"/>
      <c r="AD131" s="320"/>
      <c r="AE131" s="320"/>
      <c r="AF131" s="320"/>
      <c r="AG131" s="320"/>
      <c r="AH131" s="320"/>
      <c r="AI131" s="320"/>
      <c r="AJ131" s="320"/>
      <c r="AK131" s="439"/>
      <c r="AL131" s="320"/>
      <c r="AM131" s="320"/>
      <c r="AN131" s="320"/>
      <c r="AO131" s="320"/>
      <c r="AP131" s="38"/>
      <c r="AQ131" s="31"/>
      <c r="AR131" s="31"/>
      <c r="AS131" s="31"/>
      <c r="AT131" s="31"/>
    </row>
    <row r="132" spans="1:46">
      <c r="A132" s="326"/>
      <c r="B132" s="49" t="s">
        <v>28</v>
      </c>
      <c r="C132" s="525" t="s">
        <v>20</v>
      </c>
      <c r="D132" s="519" t="s">
        <v>28</v>
      </c>
      <c r="E132" s="55"/>
      <c r="F132" s="55"/>
      <c r="G132" s="55"/>
      <c r="H132" s="55"/>
      <c r="I132" s="55"/>
      <c r="J132" s="55"/>
      <c r="K132" s="71"/>
      <c r="L132" s="71"/>
      <c r="M132" s="320"/>
      <c r="N132" s="320"/>
      <c r="O132" s="236">
        <f>O60</f>
        <v>0.68</v>
      </c>
      <c r="P132" s="240">
        <v>0.7</v>
      </c>
      <c r="Q132" s="240">
        <v>0</v>
      </c>
      <c r="R132" s="240"/>
      <c r="S132" s="240">
        <v>0</v>
      </c>
      <c r="T132" s="240"/>
      <c r="U132" s="240"/>
      <c r="V132" s="320">
        <v>0</v>
      </c>
      <c r="W132" s="240"/>
      <c r="X132" s="320">
        <v>0.68</v>
      </c>
      <c r="Y132" s="528"/>
      <c r="Z132" s="529"/>
      <c r="AA132" s="529"/>
      <c r="AB132" s="529"/>
      <c r="AC132" s="529"/>
      <c r="AD132" s="529"/>
      <c r="AE132" s="529">
        <v>0</v>
      </c>
      <c r="AF132" s="529">
        <v>1.2</v>
      </c>
      <c r="AG132" s="529">
        <v>1.2</v>
      </c>
      <c r="AH132" s="529">
        <v>1.2</v>
      </c>
      <c r="AI132" s="529">
        <v>1.2</v>
      </c>
      <c r="AJ132" s="53">
        <v>1.2</v>
      </c>
      <c r="AK132" s="544">
        <v>0</v>
      </c>
      <c r="AL132" s="53">
        <v>0</v>
      </c>
      <c r="AM132" s="53">
        <v>0</v>
      </c>
      <c r="AN132" s="53">
        <v>0</v>
      </c>
      <c r="AO132" s="53">
        <v>0</v>
      </c>
      <c r="AP132" s="38"/>
      <c r="AQ132" s="38"/>
      <c r="AR132" s="31"/>
      <c r="AS132" s="31"/>
      <c r="AT132" s="31"/>
    </row>
    <row r="133" spans="1:46">
      <c r="A133" s="326"/>
      <c r="B133" s="36" t="s">
        <v>28</v>
      </c>
      <c r="C133" s="16" t="s">
        <v>24</v>
      </c>
      <c r="D133" s="520" t="s">
        <v>28</v>
      </c>
      <c r="E133" s="55"/>
      <c r="F133" s="55"/>
      <c r="G133" s="55"/>
      <c r="H133" s="55"/>
      <c r="I133" s="55"/>
      <c r="J133" s="55"/>
      <c r="K133" s="71"/>
      <c r="L133" s="71"/>
      <c r="M133" s="320"/>
      <c r="N133" s="320"/>
      <c r="O133" s="236"/>
      <c r="P133" s="123"/>
      <c r="Q133" s="123">
        <v>0.6</v>
      </c>
      <c r="R133" s="123">
        <v>0</v>
      </c>
      <c r="S133" s="123">
        <v>0.6</v>
      </c>
      <c r="T133" s="123">
        <v>0.6</v>
      </c>
      <c r="U133" s="118">
        <v>1.2</v>
      </c>
      <c r="V133" s="123"/>
      <c r="W133" s="123">
        <v>0.6</v>
      </c>
      <c r="X133" s="118">
        <f>0.6+0.6</f>
        <v>1.2</v>
      </c>
      <c r="Y133" s="436">
        <v>0</v>
      </c>
      <c r="Z133" s="98">
        <f>1.2+1.2</f>
        <v>2.4</v>
      </c>
      <c r="AA133" s="223">
        <v>1.2</v>
      </c>
      <c r="AB133" s="223">
        <v>1.2</v>
      </c>
      <c r="AC133" s="223">
        <v>1.2</v>
      </c>
      <c r="AD133" s="223">
        <v>1.2</v>
      </c>
      <c r="AE133" s="223"/>
      <c r="AF133" s="223"/>
      <c r="AG133" s="223"/>
      <c r="AH133" s="223"/>
      <c r="AI133" s="223"/>
      <c r="AJ133" s="223"/>
      <c r="AK133" s="436"/>
      <c r="AL133" s="223"/>
      <c r="AM133" s="223"/>
      <c r="AN133" s="223"/>
      <c r="AO133" s="223"/>
      <c r="AP133" s="31"/>
      <c r="AQ133" s="31"/>
      <c r="AR133" s="31"/>
      <c r="AS133" s="31"/>
      <c r="AT133" s="31"/>
    </row>
    <row r="134" spans="1:46" ht="16" thickBot="1">
      <c r="B134" s="526" t="s">
        <v>28</v>
      </c>
      <c r="C134" s="527" t="s">
        <v>162</v>
      </c>
      <c r="D134" s="518" t="s">
        <v>28</v>
      </c>
      <c r="Y134" s="530">
        <f>Y60-Y132-Y133</f>
        <v>0</v>
      </c>
      <c r="Z134" s="531">
        <f t="shared" ref="Z134:AA134" si="151">Z60-Z132-Z133</f>
        <v>0</v>
      </c>
      <c r="AA134" s="531">
        <f t="shared" si="151"/>
        <v>0</v>
      </c>
      <c r="AB134" s="531"/>
      <c r="AC134" s="531"/>
      <c r="AD134" s="531"/>
      <c r="AE134" s="531"/>
      <c r="AF134" s="531"/>
      <c r="AG134" s="531"/>
      <c r="AH134" s="531"/>
      <c r="AI134" s="531"/>
      <c r="AJ134" s="531"/>
      <c r="AK134" s="530"/>
      <c r="AL134" s="531"/>
      <c r="AM134" s="531"/>
      <c r="AN134" s="531"/>
      <c r="AO134" s="531"/>
      <c r="AP134" s="31"/>
      <c r="AQ134" s="31"/>
      <c r="AR134" s="31"/>
    </row>
    <row r="135" spans="1:46">
      <c r="A135" s="326"/>
      <c r="B135" s="36" t="s">
        <v>0</v>
      </c>
      <c r="C135" s="7" t="s">
        <v>20</v>
      </c>
      <c r="D135" s="26" t="s">
        <v>14</v>
      </c>
      <c r="E135" s="71">
        <v>2.7899999999999983</v>
      </c>
      <c r="F135" s="71">
        <v>0.69</v>
      </c>
      <c r="G135" s="216">
        <f>G61-G136-G137-G138-G139-G140-G141-G143-G144-G145-G146-G147-G148-G149-G150</f>
        <v>1.9996938300000009</v>
      </c>
      <c r="H135" s="119">
        <f>H61-H136-H137-H138-H139-H140-H141-H143-H144-H145-H146-H147-H148-H149-H150</f>
        <v>4.1000000000000005</v>
      </c>
      <c r="I135" s="119">
        <f t="shared" ref="I135:X135" si="152">I61-I136-I137-I138-I139-I140-I141-I143-I144-I145-I146-I147-I148-I149-I150</f>
        <v>5.8</v>
      </c>
      <c r="J135" s="119">
        <f t="shared" si="152"/>
        <v>1.7999999999999989</v>
      </c>
      <c r="K135" s="119">
        <f t="shared" si="152"/>
        <v>1.6500000000000021</v>
      </c>
      <c r="L135" s="119">
        <f t="shared" si="152"/>
        <v>2.7800000000000002</v>
      </c>
      <c r="M135" s="119">
        <f t="shared" si="152"/>
        <v>0</v>
      </c>
      <c r="N135" s="119">
        <f t="shared" si="152"/>
        <v>2.0000000000000036</v>
      </c>
      <c r="O135" s="119">
        <f t="shared" si="152"/>
        <v>0</v>
      </c>
      <c r="P135" s="119">
        <f t="shared" si="152"/>
        <v>-2.2204460492503131E-16</v>
      </c>
      <c r="Q135" s="119">
        <f t="shared" si="152"/>
        <v>0.59999999999999898</v>
      </c>
      <c r="R135" s="119">
        <f t="shared" si="152"/>
        <v>0</v>
      </c>
      <c r="S135" s="119">
        <f t="shared" si="152"/>
        <v>4.4408920985006262E-16</v>
      </c>
      <c r="T135" s="119">
        <f t="shared" si="152"/>
        <v>-5.5511151231257827E-17</v>
      </c>
      <c r="U135" s="119">
        <f t="shared" si="152"/>
        <v>0</v>
      </c>
      <c r="V135" s="119">
        <f t="shared" si="152"/>
        <v>0</v>
      </c>
      <c r="W135" s="119">
        <f t="shared" si="152"/>
        <v>0</v>
      </c>
      <c r="X135" s="119">
        <f t="shared" si="152"/>
        <v>0</v>
      </c>
      <c r="Y135" s="430">
        <f>Y61-Y136-Y137-Y138-Y139-Y140-Y141-Y143-Y144-Y145-Y146-Y147-Y148-Y149-Y150-Y142</f>
        <v>0</v>
      </c>
      <c r="Z135" s="425">
        <f t="shared" ref="Z135:AN135" si="153">Z61-Z136-Z137-Z138-Z139-Z140-Z141-Z143-Z144-Z145-Z146-Z147-Z148-Z149-Z150-Z142</f>
        <v>0</v>
      </c>
      <c r="AA135" s="425">
        <f t="shared" si="153"/>
        <v>0</v>
      </c>
      <c r="AB135" s="425">
        <f t="shared" si="153"/>
        <v>0</v>
      </c>
      <c r="AC135" s="425">
        <f t="shared" si="153"/>
        <v>0</v>
      </c>
      <c r="AD135" s="425">
        <f t="shared" si="153"/>
        <v>0</v>
      </c>
      <c r="AE135" s="425">
        <f t="shared" si="153"/>
        <v>0</v>
      </c>
      <c r="AF135" s="425">
        <f t="shared" si="153"/>
        <v>0</v>
      </c>
      <c r="AG135" s="425">
        <f t="shared" si="153"/>
        <v>0</v>
      </c>
      <c r="AH135" s="425">
        <f t="shared" si="153"/>
        <v>0</v>
      </c>
      <c r="AI135" s="425">
        <f t="shared" si="153"/>
        <v>0</v>
      </c>
      <c r="AJ135" s="425">
        <f t="shared" si="153"/>
        <v>0</v>
      </c>
      <c r="AK135" s="425">
        <f t="shared" si="153"/>
        <v>0</v>
      </c>
      <c r="AL135" s="425">
        <f t="shared" si="153"/>
        <v>0</v>
      </c>
      <c r="AM135" s="425">
        <f t="shared" si="153"/>
        <v>0</v>
      </c>
      <c r="AN135" s="425">
        <f t="shared" si="153"/>
        <v>0</v>
      </c>
      <c r="AO135" s="425">
        <f>AO61-AO136-AO137-AO138-AO139-AO140-AO141-AO143-AO144-AO145-AO146-AO147-AO148-AO149-AO150-AO142</f>
        <v>0</v>
      </c>
      <c r="AP135" s="653" t="s">
        <v>325</v>
      </c>
      <c r="AQ135" s="31"/>
      <c r="AR135" s="31"/>
      <c r="AS135" s="31"/>
      <c r="AT135" s="31"/>
    </row>
    <row r="136" spans="1:46">
      <c r="A136" s="326"/>
      <c r="B136" s="36" t="s">
        <v>0</v>
      </c>
      <c r="C136" s="7" t="s">
        <v>20</v>
      </c>
      <c r="D136" s="27" t="s">
        <v>19</v>
      </c>
      <c r="E136" s="55">
        <v>7.9961773800000016</v>
      </c>
      <c r="F136" s="55">
        <v>11.397207600000003</v>
      </c>
      <c r="G136" s="55">
        <v>12.68643397</v>
      </c>
      <c r="H136" s="98">
        <v>12</v>
      </c>
      <c r="I136" s="98">
        <v>12.8</v>
      </c>
      <c r="J136" s="98">
        <v>12</v>
      </c>
      <c r="K136" s="242">
        <v>12.499999999999998</v>
      </c>
      <c r="L136" s="242">
        <v>13</v>
      </c>
      <c r="M136" s="223">
        <v>5.59</v>
      </c>
      <c r="N136" s="223">
        <v>1.7200000000000002</v>
      </c>
      <c r="O136" s="223"/>
      <c r="P136" s="223">
        <v>0</v>
      </c>
      <c r="Q136" s="223">
        <v>2.35</v>
      </c>
      <c r="R136" s="223"/>
      <c r="S136" s="98">
        <f>6.6-4</f>
        <v>2.5999999999999996</v>
      </c>
      <c r="T136" s="223">
        <v>0.9</v>
      </c>
      <c r="U136" s="223"/>
      <c r="V136" s="223"/>
      <c r="W136" s="223"/>
      <c r="X136" s="223">
        <v>0.6</v>
      </c>
      <c r="Y136" s="471">
        <v>10.93</v>
      </c>
      <c r="Z136" s="98">
        <v>15</v>
      </c>
      <c r="AA136" s="223"/>
      <c r="AB136" s="223">
        <v>2</v>
      </c>
      <c r="AC136" s="223"/>
      <c r="AD136" s="223"/>
      <c r="AE136" s="223"/>
      <c r="AF136" s="223"/>
      <c r="AG136" s="223"/>
      <c r="AH136" s="223"/>
      <c r="AI136" s="223"/>
      <c r="AJ136" s="223"/>
      <c r="AK136" s="436"/>
      <c r="AL136" s="223"/>
      <c r="AM136" s="223"/>
      <c r="AN136" s="223"/>
      <c r="AO136" s="223"/>
      <c r="AP136" s="38"/>
      <c r="AQ136" s="31"/>
      <c r="AR136" s="31"/>
      <c r="AS136" s="31"/>
      <c r="AT136" s="31"/>
    </row>
    <row r="137" spans="1:46">
      <c r="A137" s="326"/>
      <c r="B137" s="102" t="s">
        <v>0</v>
      </c>
      <c r="C137" s="8" t="s">
        <v>20</v>
      </c>
      <c r="D137" s="23" t="s">
        <v>22</v>
      </c>
      <c r="E137" s="72">
        <v>1.3822620000000001E-2</v>
      </c>
      <c r="F137" s="72">
        <v>1.388581E-2</v>
      </c>
      <c r="G137" s="72">
        <v>1.3872200000000001E-2</v>
      </c>
      <c r="H137" s="72">
        <v>0.2</v>
      </c>
      <c r="I137" s="72">
        <v>0.2</v>
      </c>
      <c r="J137" s="72">
        <v>0</v>
      </c>
      <c r="K137" s="123">
        <v>0.85</v>
      </c>
      <c r="L137" s="123">
        <v>0.42</v>
      </c>
      <c r="M137" s="123">
        <v>0</v>
      </c>
      <c r="N137" s="123">
        <v>0</v>
      </c>
      <c r="O137" s="123">
        <v>0</v>
      </c>
      <c r="P137" s="123">
        <v>0</v>
      </c>
      <c r="Q137" s="123"/>
      <c r="R137" s="123"/>
      <c r="S137" s="123"/>
      <c r="T137" s="123">
        <v>0.3</v>
      </c>
      <c r="U137" s="123"/>
      <c r="V137" s="123"/>
      <c r="W137" s="72"/>
      <c r="X137" s="72"/>
      <c r="Y137" s="434"/>
      <c r="Z137" s="72"/>
      <c r="AA137" s="72"/>
      <c r="AB137" s="72"/>
      <c r="AC137" s="72"/>
      <c r="AD137" s="72"/>
      <c r="AE137" s="72"/>
      <c r="AF137" s="72"/>
      <c r="AG137" s="72"/>
      <c r="AH137" s="72"/>
      <c r="AI137" s="72"/>
      <c r="AJ137" s="72"/>
      <c r="AK137" s="434"/>
      <c r="AL137" s="72"/>
      <c r="AM137" s="72"/>
      <c r="AN137" s="72"/>
      <c r="AO137" s="72"/>
      <c r="AP137" s="38"/>
      <c r="AQ137" s="31"/>
      <c r="AR137" s="31"/>
      <c r="AS137" s="31"/>
      <c r="AT137" s="31"/>
    </row>
    <row r="138" spans="1:46">
      <c r="A138" s="326"/>
      <c r="B138" s="36" t="s">
        <v>0</v>
      </c>
      <c r="C138" s="20" t="s">
        <v>17</v>
      </c>
      <c r="D138" s="26" t="s">
        <v>14</v>
      </c>
      <c r="E138" s="50"/>
      <c r="F138" s="50"/>
      <c r="G138" s="50"/>
      <c r="H138" s="50"/>
      <c r="I138" s="50"/>
      <c r="J138" s="50"/>
      <c r="K138" s="50"/>
      <c r="L138" s="50"/>
      <c r="M138" s="50"/>
      <c r="N138" s="50"/>
      <c r="O138" s="50"/>
      <c r="P138" s="50"/>
      <c r="Q138" s="50"/>
      <c r="R138" s="50"/>
      <c r="S138" s="50"/>
      <c r="T138" s="50"/>
      <c r="U138" s="50"/>
      <c r="V138" s="50"/>
      <c r="W138" s="50"/>
      <c r="X138" s="50"/>
      <c r="Y138" s="54"/>
      <c r="Z138" s="55"/>
      <c r="AA138" s="55"/>
      <c r="AB138" s="55"/>
      <c r="AC138" s="55"/>
      <c r="AD138" s="55"/>
      <c r="AE138" s="55"/>
      <c r="AF138" s="55"/>
      <c r="AG138" s="55"/>
      <c r="AH138" s="55"/>
      <c r="AI138" s="55"/>
      <c r="AJ138" s="55"/>
      <c r="AK138" s="438"/>
      <c r="AL138" s="71"/>
      <c r="AM138" s="71"/>
      <c r="AN138" s="71"/>
      <c r="AO138" s="71"/>
      <c r="AP138" s="38"/>
      <c r="AQ138" s="31"/>
      <c r="AR138" s="31"/>
      <c r="AS138" s="31"/>
      <c r="AT138" s="31"/>
    </row>
    <row r="139" spans="1:46">
      <c r="A139" s="326"/>
      <c r="B139" s="36" t="s">
        <v>0</v>
      </c>
      <c r="C139" s="20" t="s">
        <v>17</v>
      </c>
      <c r="D139" s="27" t="s">
        <v>19</v>
      </c>
      <c r="E139" s="50"/>
      <c r="F139" s="50"/>
      <c r="G139" s="50"/>
      <c r="H139" s="50"/>
      <c r="I139" s="50"/>
      <c r="J139" s="50"/>
      <c r="K139" s="50"/>
      <c r="L139" s="50"/>
      <c r="M139" s="50"/>
      <c r="N139" s="50"/>
      <c r="O139" s="50"/>
      <c r="P139" s="50"/>
      <c r="Q139" s="50"/>
      <c r="R139" s="50"/>
      <c r="S139" s="50"/>
      <c r="T139" s="50"/>
      <c r="U139" s="50"/>
      <c r="V139" s="50"/>
      <c r="W139" s="50"/>
      <c r="X139" s="50"/>
      <c r="Y139" s="54"/>
      <c r="Z139" s="55"/>
      <c r="AA139" s="55"/>
      <c r="AB139" s="55"/>
      <c r="AC139" s="55"/>
      <c r="AD139" s="55"/>
      <c r="AE139" s="55"/>
      <c r="AF139" s="55"/>
      <c r="AG139" s="55"/>
      <c r="AH139" s="55"/>
      <c r="AI139" s="55"/>
      <c r="AJ139" s="55"/>
      <c r="AK139" s="434"/>
      <c r="AL139" s="72"/>
      <c r="AM139" s="72"/>
      <c r="AN139" s="72"/>
      <c r="AO139" s="72"/>
      <c r="AP139" s="38"/>
      <c r="AQ139" s="31"/>
      <c r="AR139" s="31"/>
      <c r="AS139" s="31"/>
      <c r="AT139" s="31"/>
    </row>
    <row r="140" spans="1:46">
      <c r="A140" s="326"/>
      <c r="B140" s="101" t="s">
        <v>0</v>
      </c>
      <c r="C140" s="14" t="s">
        <v>23</v>
      </c>
      <c r="D140" s="24" t="s">
        <v>14</v>
      </c>
      <c r="E140" s="71"/>
      <c r="F140" s="71"/>
      <c r="G140" s="71"/>
      <c r="H140" s="71"/>
      <c r="I140" s="71"/>
      <c r="J140" s="71"/>
      <c r="K140" s="71"/>
      <c r="L140" s="71"/>
      <c r="M140" s="71"/>
      <c r="N140" s="71"/>
      <c r="O140" s="71"/>
      <c r="P140" s="71"/>
      <c r="Q140" s="71"/>
      <c r="R140" s="71"/>
      <c r="S140" s="71"/>
      <c r="T140" s="71"/>
      <c r="U140" s="71"/>
      <c r="V140" s="71"/>
      <c r="W140" s="71"/>
      <c r="X140" s="503"/>
      <c r="Y140" s="438"/>
      <c r="Z140" s="71"/>
      <c r="AA140" s="71"/>
      <c r="AB140" s="71"/>
      <c r="AC140" s="71"/>
      <c r="AD140" s="71"/>
      <c r="AE140" s="71"/>
      <c r="AF140" s="71"/>
      <c r="AG140" s="71"/>
      <c r="AH140" s="71"/>
      <c r="AI140" s="71"/>
      <c r="AJ140" s="71"/>
      <c r="AK140" s="438"/>
      <c r="AL140" s="71"/>
      <c r="AM140" s="71"/>
      <c r="AN140" s="71"/>
      <c r="AO140" s="71"/>
      <c r="AP140" s="38"/>
      <c r="AQ140" s="31"/>
      <c r="AR140" s="31"/>
      <c r="AS140" s="31"/>
      <c r="AT140" s="31"/>
    </row>
    <row r="141" spans="1:46">
      <c r="A141" s="326"/>
      <c r="B141" s="36" t="s">
        <v>0</v>
      </c>
      <c r="C141" s="327" t="s">
        <v>23</v>
      </c>
      <c r="D141" s="27" t="s">
        <v>19</v>
      </c>
      <c r="E141" s="72">
        <v>1.2</v>
      </c>
      <c r="F141" s="72">
        <v>1.2</v>
      </c>
      <c r="G141" s="123">
        <v>0.6</v>
      </c>
      <c r="H141" s="123">
        <v>1.8</v>
      </c>
      <c r="I141" s="227">
        <v>2.4</v>
      </c>
      <c r="J141" s="123">
        <v>1.8</v>
      </c>
      <c r="K141" s="123">
        <v>2.4</v>
      </c>
      <c r="L141" s="123">
        <v>2.4</v>
      </c>
      <c r="M141" s="123">
        <v>4.33</v>
      </c>
      <c r="N141" s="123">
        <v>4.2</v>
      </c>
      <c r="O141" s="118">
        <v>3</v>
      </c>
      <c r="P141" s="118">
        <v>1.8</v>
      </c>
      <c r="Q141" s="123">
        <v>1.8</v>
      </c>
      <c r="R141" s="123"/>
      <c r="S141" s="123">
        <v>1.4</v>
      </c>
      <c r="T141" s="123"/>
      <c r="U141" s="123"/>
      <c r="V141" s="123"/>
      <c r="W141" s="123"/>
      <c r="X141" s="504"/>
      <c r="Y141" s="436">
        <v>3.6</v>
      </c>
      <c r="Z141" s="223"/>
      <c r="AA141" s="223"/>
      <c r="AB141" s="223"/>
      <c r="AC141" s="223"/>
      <c r="AD141" s="223"/>
      <c r="AE141" s="223"/>
      <c r="AF141" s="223"/>
      <c r="AG141" s="223"/>
      <c r="AH141" s="223"/>
      <c r="AI141" s="223"/>
      <c r="AJ141" s="223"/>
      <c r="AK141" s="436"/>
      <c r="AL141" s="223"/>
      <c r="AM141" s="223"/>
      <c r="AN141" s="223"/>
      <c r="AO141" s="223"/>
      <c r="AP141" s="38"/>
      <c r="AQ141" s="31"/>
      <c r="AR141" s="31"/>
      <c r="AS141" s="31"/>
      <c r="AT141" s="31"/>
    </row>
    <row r="142" spans="1:46">
      <c r="A142" s="326"/>
      <c r="B142" s="102" t="s">
        <v>0</v>
      </c>
      <c r="C142" s="15" t="s">
        <v>23</v>
      </c>
      <c r="D142" s="23" t="s">
        <v>22</v>
      </c>
      <c r="E142" s="55"/>
      <c r="F142" s="55"/>
      <c r="G142" s="223"/>
      <c r="H142" s="223"/>
      <c r="I142" s="242"/>
      <c r="J142" s="223"/>
      <c r="K142" s="223"/>
      <c r="L142" s="223"/>
      <c r="M142" s="223"/>
      <c r="N142" s="223"/>
      <c r="O142" s="98"/>
      <c r="P142" s="98"/>
      <c r="Q142" s="223"/>
      <c r="R142" s="223"/>
      <c r="S142" s="223"/>
      <c r="T142" s="223"/>
      <c r="U142" s="223"/>
      <c r="V142" s="223"/>
      <c r="W142" s="223"/>
      <c r="X142" s="505"/>
      <c r="Y142" s="437">
        <v>0.8</v>
      </c>
      <c r="Z142" s="123"/>
      <c r="AA142" s="123"/>
      <c r="AB142" s="123"/>
      <c r="AC142" s="123"/>
      <c r="AD142" s="123"/>
      <c r="AE142" s="123"/>
      <c r="AF142" s="123"/>
      <c r="AG142" s="123"/>
      <c r="AH142" s="123"/>
      <c r="AI142" s="123"/>
      <c r="AJ142" s="123"/>
      <c r="AK142" s="437"/>
      <c r="AL142" s="123"/>
      <c r="AM142" s="123"/>
      <c r="AN142" s="123"/>
      <c r="AO142" s="123"/>
      <c r="AP142" s="38"/>
      <c r="AQ142" s="31"/>
      <c r="AR142" s="31"/>
      <c r="AS142" s="31"/>
      <c r="AT142" s="31"/>
    </row>
    <row r="143" spans="1:46">
      <c r="A143" s="326"/>
      <c r="B143" s="36" t="s">
        <v>0</v>
      </c>
      <c r="C143" s="16" t="s">
        <v>24</v>
      </c>
      <c r="D143" s="26" t="s">
        <v>14</v>
      </c>
      <c r="E143" s="50">
        <v>0</v>
      </c>
      <c r="F143" s="50">
        <v>0.7</v>
      </c>
      <c r="G143" s="50">
        <v>0.7</v>
      </c>
      <c r="H143" s="50">
        <v>0.7</v>
      </c>
      <c r="I143" s="50">
        <v>0</v>
      </c>
      <c r="J143" s="50">
        <v>0</v>
      </c>
      <c r="K143" s="50">
        <v>0</v>
      </c>
      <c r="L143" s="50">
        <v>0.7</v>
      </c>
      <c r="M143" s="50">
        <v>0</v>
      </c>
      <c r="N143" s="50">
        <v>0</v>
      </c>
      <c r="O143" s="120">
        <v>0</v>
      </c>
      <c r="P143" s="50">
        <v>0</v>
      </c>
      <c r="Q143" s="50">
        <v>0</v>
      </c>
      <c r="R143" s="50">
        <v>0</v>
      </c>
      <c r="S143" s="50"/>
      <c r="T143" s="50"/>
      <c r="U143" s="50"/>
      <c r="V143" s="50"/>
      <c r="W143" s="50"/>
      <c r="X143" s="50">
        <v>0</v>
      </c>
      <c r="Y143" s="54"/>
      <c r="Z143" s="55"/>
      <c r="AA143" s="55"/>
      <c r="AB143" s="55"/>
      <c r="AC143" s="55"/>
      <c r="AD143" s="55"/>
      <c r="AE143" s="55"/>
      <c r="AF143" s="55"/>
      <c r="AG143" s="55"/>
      <c r="AH143" s="55"/>
      <c r="AI143" s="55"/>
      <c r="AJ143" s="55"/>
      <c r="AK143" s="438"/>
      <c r="AL143" s="71"/>
      <c r="AM143" s="71"/>
      <c r="AN143" s="71"/>
      <c r="AO143" s="71"/>
      <c r="AP143" s="38"/>
      <c r="AQ143" s="31"/>
      <c r="AR143" s="31"/>
      <c r="AS143" s="31"/>
      <c r="AT143" s="31"/>
    </row>
    <row r="144" spans="1:46">
      <c r="A144" s="326"/>
      <c r="B144" s="36" t="s">
        <v>0</v>
      </c>
      <c r="C144" s="16" t="s">
        <v>24</v>
      </c>
      <c r="D144" s="27" t="s">
        <v>19</v>
      </c>
      <c r="E144" s="50">
        <v>5</v>
      </c>
      <c r="F144" s="50">
        <v>5</v>
      </c>
      <c r="G144" s="50">
        <v>5</v>
      </c>
      <c r="H144" s="50">
        <v>6.2</v>
      </c>
      <c r="I144" s="50">
        <v>3.8</v>
      </c>
      <c r="J144" s="239">
        <v>6.4</v>
      </c>
      <c r="K144" s="239">
        <v>5.6</v>
      </c>
      <c r="L144" s="239">
        <v>5.7</v>
      </c>
      <c r="M144" s="50">
        <v>10.08</v>
      </c>
      <c r="N144" s="50">
        <v>10.079999999999998</v>
      </c>
      <c r="O144" s="120">
        <v>4</v>
      </c>
      <c r="P144" s="50">
        <v>0.20000000000000018</v>
      </c>
      <c r="Q144" s="50">
        <v>1.2500000000000009</v>
      </c>
      <c r="R144" s="50"/>
      <c r="S144" s="50"/>
      <c r="T144" s="50"/>
      <c r="U144" s="50"/>
      <c r="V144" s="50"/>
      <c r="W144" s="120">
        <v>13</v>
      </c>
      <c r="X144" s="120">
        <f>11+3-3</f>
        <v>11</v>
      </c>
      <c r="Y144" s="471">
        <v>3.67</v>
      </c>
      <c r="Z144" s="55"/>
      <c r="AA144" s="55"/>
      <c r="AB144" s="55"/>
      <c r="AC144" s="55"/>
      <c r="AD144" s="55"/>
      <c r="AE144" s="55"/>
      <c r="AF144" s="55"/>
      <c r="AG144" s="55"/>
      <c r="AH144" s="55"/>
      <c r="AI144" s="55"/>
      <c r="AJ144" s="55"/>
      <c r="AK144" s="434"/>
      <c r="AL144" s="72"/>
      <c r="AM144" s="72"/>
      <c r="AN144" s="72"/>
      <c r="AO144" s="72"/>
      <c r="AP144" s="38"/>
      <c r="AQ144" s="31"/>
      <c r="AR144" s="31"/>
      <c r="AS144" s="31"/>
      <c r="AT144" s="31"/>
    </row>
    <row r="145" spans="1:46">
      <c r="A145" s="326"/>
      <c r="B145" s="101" t="s">
        <v>0</v>
      </c>
      <c r="C145" s="17" t="s">
        <v>28</v>
      </c>
      <c r="D145" s="24" t="s">
        <v>14</v>
      </c>
      <c r="E145" s="71"/>
      <c r="F145" s="71"/>
      <c r="G145" s="71"/>
      <c r="H145" s="71"/>
      <c r="I145" s="71"/>
      <c r="J145" s="71"/>
      <c r="K145" s="71"/>
      <c r="L145" s="71"/>
      <c r="M145" s="71"/>
      <c r="N145" s="71"/>
      <c r="O145" s="71"/>
      <c r="P145" s="71"/>
      <c r="Q145" s="71"/>
      <c r="R145" s="71"/>
      <c r="S145" s="71"/>
      <c r="T145" s="71"/>
      <c r="U145" s="71"/>
      <c r="V145" s="71"/>
      <c r="W145" s="71"/>
      <c r="X145" s="71"/>
      <c r="Y145" s="438"/>
      <c r="Z145" s="71"/>
      <c r="AA145" s="71"/>
      <c r="AB145" s="71"/>
      <c r="AC145" s="71"/>
      <c r="AD145" s="71"/>
      <c r="AE145" s="71"/>
      <c r="AF145" s="71"/>
      <c r="AG145" s="71"/>
      <c r="AH145" s="71"/>
      <c r="AI145" s="71"/>
      <c r="AJ145" s="71"/>
      <c r="AK145" s="438"/>
      <c r="AL145" s="71"/>
      <c r="AM145" s="71"/>
      <c r="AN145" s="71"/>
      <c r="AO145" s="71"/>
      <c r="AP145" s="38"/>
      <c r="AQ145" s="31"/>
      <c r="AR145" s="31"/>
      <c r="AS145" s="31"/>
      <c r="AT145" s="31"/>
    </row>
    <row r="146" spans="1:46">
      <c r="A146" s="326"/>
      <c r="B146" s="102" t="s">
        <v>0</v>
      </c>
      <c r="C146" s="18" t="s">
        <v>28</v>
      </c>
      <c r="D146" s="23" t="s">
        <v>19</v>
      </c>
      <c r="E146" s="72"/>
      <c r="F146" s="72"/>
      <c r="G146" s="72"/>
      <c r="H146" s="72"/>
      <c r="I146" s="72"/>
      <c r="J146" s="72"/>
      <c r="K146" s="72"/>
      <c r="L146" s="72"/>
      <c r="M146" s="72"/>
      <c r="N146" s="72"/>
      <c r="O146" s="72"/>
      <c r="P146" s="72"/>
      <c r="Q146" s="72"/>
      <c r="R146" s="72"/>
      <c r="S146" s="72"/>
      <c r="T146" s="72"/>
      <c r="U146" s="72"/>
      <c r="V146" s="72"/>
      <c r="W146" s="72"/>
      <c r="X146" s="72"/>
      <c r="Y146" s="434"/>
      <c r="Z146" s="72"/>
      <c r="AA146" s="72"/>
      <c r="AB146" s="72"/>
      <c r="AC146" s="72"/>
      <c r="AD146" s="72"/>
      <c r="AE146" s="72"/>
      <c r="AF146" s="72"/>
      <c r="AG146" s="72"/>
      <c r="AH146" s="72"/>
      <c r="AI146" s="72"/>
      <c r="AJ146" s="72"/>
      <c r="AK146" s="434"/>
      <c r="AL146" s="72"/>
      <c r="AM146" s="72"/>
      <c r="AN146" s="72"/>
      <c r="AO146" s="72"/>
      <c r="AP146" s="38"/>
      <c r="AQ146" s="31"/>
      <c r="AR146" s="31"/>
      <c r="AS146" s="31"/>
      <c r="AT146" s="31"/>
    </row>
    <row r="147" spans="1:46">
      <c r="A147" s="326"/>
      <c r="B147" s="101" t="s">
        <v>0</v>
      </c>
      <c r="C147" s="17" t="s">
        <v>162</v>
      </c>
      <c r="D147" s="24" t="s">
        <v>14</v>
      </c>
      <c r="E147" s="50"/>
      <c r="F147" s="50"/>
      <c r="G147" s="50"/>
      <c r="H147" s="50"/>
      <c r="I147" s="50"/>
      <c r="J147" s="50"/>
      <c r="K147" s="50"/>
      <c r="L147" s="50"/>
      <c r="M147" s="50"/>
      <c r="N147" s="50"/>
      <c r="O147" s="50"/>
      <c r="P147" s="50"/>
      <c r="Q147" s="50"/>
      <c r="R147" s="50"/>
      <c r="S147" s="50"/>
      <c r="T147" s="50"/>
      <c r="U147" s="50"/>
      <c r="V147" s="50"/>
      <c r="W147" s="50"/>
      <c r="X147" s="50"/>
      <c r="Y147" s="54"/>
      <c r="Z147" s="55"/>
      <c r="AA147" s="55"/>
      <c r="AB147" s="55"/>
      <c r="AC147" s="55"/>
      <c r="AD147" s="55"/>
      <c r="AE147" s="55"/>
      <c r="AF147" s="55"/>
      <c r="AG147" s="55"/>
      <c r="AH147" s="55"/>
      <c r="AI147" s="55"/>
      <c r="AJ147" s="55"/>
      <c r="AK147" s="438"/>
      <c r="AL147" s="71"/>
      <c r="AM147" s="71"/>
      <c r="AN147" s="71"/>
      <c r="AO147" s="71"/>
      <c r="AP147" s="38"/>
      <c r="AQ147" s="31"/>
      <c r="AR147" s="31"/>
      <c r="AS147" s="31"/>
      <c r="AT147" s="31"/>
    </row>
    <row r="148" spans="1:46">
      <c r="A148" s="326"/>
      <c r="B148" s="102" t="s">
        <v>0</v>
      </c>
      <c r="C148" s="18" t="s">
        <v>162</v>
      </c>
      <c r="D148" s="23" t="s">
        <v>19</v>
      </c>
      <c r="E148" s="50"/>
      <c r="F148" s="50"/>
      <c r="G148" s="50"/>
      <c r="H148" s="50"/>
      <c r="I148" s="50"/>
      <c r="J148" s="50"/>
      <c r="K148" s="50"/>
      <c r="L148" s="50"/>
      <c r="M148" s="50"/>
      <c r="N148" s="50"/>
      <c r="O148" s="50"/>
      <c r="P148" s="50"/>
      <c r="Q148" s="50"/>
      <c r="R148" s="50"/>
      <c r="S148" s="50"/>
      <c r="T148" s="50"/>
      <c r="U148" s="50"/>
      <c r="V148" s="50"/>
      <c r="W148" s="50"/>
      <c r="X148" s="50"/>
      <c r="Y148" s="54"/>
      <c r="Z148" s="55"/>
      <c r="AA148" s="55"/>
      <c r="AB148" s="55"/>
      <c r="AC148" s="55"/>
      <c r="AD148" s="55"/>
      <c r="AE148" s="55"/>
      <c r="AF148" s="55"/>
      <c r="AG148" s="55"/>
      <c r="AH148" s="55"/>
      <c r="AI148" s="55"/>
      <c r="AJ148" s="55"/>
      <c r="AK148" s="434"/>
      <c r="AL148" s="72"/>
      <c r="AM148" s="72"/>
      <c r="AN148" s="72"/>
      <c r="AO148" s="72"/>
      <c r="AP148" s="38"/>
      <c r="AQ148" s="31"/>
      <c r="AR148" s="31"/>
      <c r="AS148" s="31"/>
      <c r="AT148" s="31"/>
    </row>
    <row r="149" spans="1:46">
      <c r="A149" s="326"/>
      <c r="B149" s="101" t="s">
        <v>0</v>
      </c>
      <c r="C149" s="19" t="s">
        <v>29</v>
      </c>
      <c r="D149" s="24" t="s">
        <v>14</v>
      </c>
      <c r="E149" s="71"/>
      <c r="F149" s="71"/>
      <c r="G149" s="71"/>
      <c r="H149" s="71"/>
      <c r="I149" s="71"/>
      <c r="J149" s="71"/>
      <c r="K149" s="71"/>
      <c r="L149" s="71"/>
      <c r="M149" s="71"/>
      <c r="N149" s="71"/>
      <c r="O149" s="71"/>
      <c r="P149" s="71"/>
      <c r="Q149" s="71"/>
      <c r="R149" s="71"/>
      <c r="S149" s="71"/>
      <c r="T149" s="71"/>
      <c r="U149" s="71"/>
      <c r="V149" s="71"/>
      <c r="W149" s="71"/>
      <c r="X149" s="71"/>
      <c r="Y149" s="438"/>
      <c r="Z149" s="71"/>
      <c r="AA149" s="71"/>
      <c r="AB149" s="71"/>
      <c r="AC149" s="71"/>
      <c r="AD149" s="71"/>
      <c r="AE149" s="71"/>
      <c r="AF149" s="71"/>
      <c r="AG149" s="71"/>
      <c r="AH149" s="71"/>
      <c r="AI149" s="71"/>
      <c r="AJ149" s="71"/>
      <c r="AK149" s="438"/>
      <c r="AL149" s="71"/>
      <c r="AM149" s="71"/>
      <c r="AN149" s="71"/>
      <c r="AO149" s="71"/>
      <c r="AP149" s="38"/>
      <c r="AQ149" s="31"/>
      <c r="AR149" s="31"/>
      <c r="AS149" s="31"/>
      <c r="AT149" s="31"/>
    </row>
    <row r="150" spans="1:46">
      <c r="A150" s="326"/>
      <c r="B150" s="102" t="s">
        <v>0</v>
      </c>
      <c r="C150" s="19" t="s">
        <v>29</v>
      </c>
      <c r="D150" s="23" t="s">
        <v>19</v>
      </c>
      <c r="E150" s="72"/>
      <c r="F150" s="72"/>
      <c r="G150" s="72"/>
      <c r="H150" s="72"/>
      <c r="I150" s="72"/>
      <c r="J150" s="72"/>
      <c r="K150" s="72"/>
      <c r="L150" s="72"/>
      <c r="M150" s="72"/>
      <c r="N150" s="72"/>
      <c r="O150" s="72"/>
      <c r="P150" s="72"/>
      <c r="Q150" s="72"/>
      <c r="R150" s="72"/>
      <c r="S150" s="72"/>
      <c r="T150" s="72"/>
      <c r="U150" s="72"/>
      <c r="V150" s="72"/>
      <c r="W150" s="72"/>
      <c r="X150" s="72"/>
      <c r="Y150" s="434"/>
      <c r="Z150" s="72"/>
      <c r="AA150" s="72"/>
      <c r="AB150" s="72"/>
      <c r="AC150" s="72"/>
      <c r="AD150" s="72"/>
      <c r="AE150" s="72"/>
      <c r="AF150" s="72"/>
      <c r="AG150" s="72"/>
      <c r="AH150" s="72"/>
      <c r="AI150" s="72"/>
      <c r="AJ150" s="72"/>
      <c r="AK150" s="434"/>
      <c r="AL150" s="72"/>
      <c r="AM150" s="72"/>
      <c r="AN150" s="72"/>
      <c r="AO150" s="72"/>
      <c r="AP150" s="38"/>
      <c r="AQ150" s="31"/>
      <c r="AR150" s="31"/>
      <c r="AS150" s="31"/>
      <c r="AT150" s="31"/>
    </row>
    <row r="151" spans="1:46">
      <c r="A151" s="326"/>
      <c r="B151" s="335" t="s">
        <v>0</v>
      </c>
      <c r="C151" s="121" t="s">
        <v>79</v>
      </c>
      <c r="D151" s="122" t="s">
        <v>19</v>
      </c>
      <c r="E151" s="55"/>
      <c r="F151" s="55"/>
      <c r="G151" s="55"/>
      <c r="H151" s="55"/>
      <c r="I151" s="55"/>
      <c r="J151" s="55"/>
      <c r="K151" s="100"/>
      <c r="L151" s="100"/>
      <c r="M151" s="100"/>
      <c r="N151" s="100"/>
      <c r="O151" s="100"/>
      <c r="P151" s="100"/>
      <c r="Q151" s="100"/>
      <c r="R151" s="100"/>
      <c r="S151" s="100"/>
      <c r="T151" s="100"/>
      <c r="U151" s="100"/>
      <c r="V151" s="100"/>
      <c r="W151" s="100"/>
      <c r="X151" s="100"/>
      <c r="Y151" s="435"/>
      <c r="Z151" s="100"/>
      <c r="AA151" s="100"/>
      <c r="AB151" s="100"/>
      <c r="AC151" s="100"/>
      <c r="AD151" s="100"/>
      <c r="AE151" s="100"/>
      <c r="AF151" s="100"/>
      <c r="AG151" s="100"/>
      <c r="AH151" s="100"/>
      <c r="AI151" s="100"/>
      <c r="AJ151" s="100"/>
      <c r="AK151" s="435"/>
      <c r="AL151" s="100"/>
      <c r="AM151" s="100"/>
      <c r="AN151" s="100"/>
      <c r="AO151" s="100"/>
      <c r="AP151" s="38"/>
      <c r="AQ151" s="31"/>
      <c r="AR151" s="31"/>
      <c r="AS151" s="31"/>
      <c r="AT151" s="31"/>
    </row>
    <row r="152" spans="1:46">
      <c r="A152" s="326"/>
      <c r="B152" s="36" t="s">
        <v>1</v>
      </c>
      <c r="C152" s="7" t="s">
        <v>15</v>
      </c>
      <c r="D152" s="26" t="s">
        <v>14</v>
      </c>
      <c r="E152" s="55"/>
      <c r="F152" s="55"/>
      <c r="G152" s="55"/>
      <c r="H152" s="55"/>
      <c r="I152" s="55"/>
      <c r="J152" s="55"/>
      <c r="K152" s="55"/>
      <c r="L152" s="55"/>
      <c r="M152" s="55"/>
      <c r="N152" s="55"/>
      <c r="O152" s="55"/>
      <c r="P152" s="55"/>
      <c r="Q152" s="55"/>
      <c r="R152" s="55"/>
      <c r="S152" s="55"/>
      <c r="T152" s="55"/>
      <c r="U152" s="55"/>
      <c r="V152" s="55"/>
      <c r="W152" s="55"/>
      <c r="X152" s="55"/>
      <c r="Y152" s="54"/>
      <c r="Z152" s="55">
        <v>0.6</v>
      </c>
      <c r="AA152" s="55"/>
      <c r="AB152" s="55"/>
      <c r="AC152" s="55"/>
      <c r="AD152" s="55"/>
      <c r="AE152" s="55"/>
      <c r="AF152" s="55"/>
      <c r="AG152" s="55"/>
      <c r="AH152" s="55"/>
      <c r="AI152" s="55"/>
      <c r="AJ152" s="55"/>
      <c r="AK152" s="438"/>
      <c r="AL152" s="71"/>
      <c r="AM152" s="71"/>
      <c r="AN152" s="71"/>
      <c r="AO152" s="71"/>
      <c r="AP152" s="38"/>
      <c r="AQ152" s="31"/>
      <c r="AR152" s="31"/>
      <c r="AS152" s="31"/>
      <c r="AT152" s="31"/>
    </row>
    <row r="153" spans="1:46">
      <c r="A153" s="326"/>
      <c r="B153" s="36" t="s">
        <v>1</v>
      </c>
      <c r="C153" s="7" t="s">
        <v>20</v>
      </c>
      <c r="D153" s="325" t="s">
        <v>25</v>
      </c>
      <c r="E153" s="50">
        <f t="shared" ref="E153:K153" si="154">E62</f>
        <v>8.4</v>
      </c>
      <c r="F153" s="50">
        <f t="shared" si="154"/>
        <v>6.2</v>
      </c>
      <c r="G153" s="50">
        <f t="shared" si="154"/>
        <v>7.2</v>
      </c>
      <c r="H153" s="50">
        <f t="shared" si="154"/>
        <v>7.2</v>
      </c>
      <c r="I153" s="50">
        <f t="shared" si="154"/>
        <v>7.4</v>
      </c>
      <c r="J153" s="112">
        <f t="shared" si="154"/>
        <v>6.7</v>
      </c>
      <c r="K153" s="112">
        <f t="shared" si="154"/>
        <v>0</v>
      </c>
      <c r="L153" s="112">
        <f>L62-L155</f>
        <v>3.96</v>
      </c>
      <c r="M153" s="112">
        <v>2.5</v>
      </c>
      <c r="N153" s="112">
        <v>2</v>
      </c>
      <c r="O153" s="112">
        <v>2</v>
      </c>
      <c r="P153" s="112">
        <f>P62-P154-P155</f>
        <v>1.4</v>
      </c>
      <c r="Q153" s="112">
        <f>Q62-Q154-Q155</f>
        <v>0</v>
      </c>
      <c r="R153" s="112">
        <f>R62-R154-R155</f>
        <v>0</v>
      </c>
      <c r="S153" s="412">
        <v>0</v>
      </c>
      <c r="T153" s="112">
        <f>T62-T154-T155</f>
        <v>3</v>
      </c>
      <c r="U153" s="120">
        <f t="shared" ref="U153:AJ153" si="155">U62-U154-U155-U156</f>
        <v>3</v>
      </c>
      <c r="V153" s="112">
        <f t="shared" si="155"/>
        <v>6.7600000000000007</v>
      </c>
      <c r="W153" s="112">
        <f t="shared" si="155"/>
        <v>6.06</v>
      </c>
      <c r="X153" s="112">
        <f t="shared" si="155"/>
        <v>6.07</v>
      </c>
      <c r="Y153" s="430">
        <f t="shared" si="155"/>
        <v>3.5399999999999991</v>
      </c>
      <c r="Z153" s="425">
        <f>Z62-Z154-Z155-Z156-Z152</f>
        <v>1.9999999999999996</v>
      </c>
      <c r="AA153" s="425">
        <f t="shared" si="155"/>
        <v>2</v>
      </c>
      <c r="AB153" s="425">
        <f t="shared" si="155"/>
        <v>1.3500000000000005</v>
      </c>
      <c r="AC153" s="425">
        <f t="shared" si="155"/>
        <v>1.3999999999999995</v>
      </c>
      <c r="AD153" s="425">
        <f t="shared" si="155"/>
        <v>1.4000000000000004</v>
      </c>
      <c r="AE153" s="425">
        <f t="shared" si="155"/>
        <v>2</v>
      </c>
      <c r="AF153" s="425">
        <f t="shared" si="155"/>
        <v>2</v>
      </c>
      <c r="AG153" s="425">
        <f t="shared" si="155"/>
        <v>2</v>
      </c>
      <c r="AH153" s="425">
        <f t="shared" si="155"/>
        <v>2</v>
      </c>
      <c r="AI153" s="425">
        <f t="shared" si="155"/>
        <v>2</v>
      </c>
      <c r="AJ153" s="425">
        <f t="shared" si="155"/>
        <v>2</v>
      </c>
      <c r="AK153" s="430">
        <f>AK62-AK154-AK155-AK156</f>
        <v>2</v>
      </c>
      <c r="AL153" s="425">
        <f>AL62-AL154-AL155-AL156</f>
        <v>2</v>
      </c>
      <c r="AM153" s="425">
        <f>AM62-AM154-AM155-AM156</f>
        <v>2</v>
      </c>
      <c r="AN153" s="425">
        <f>AN62-AN154-AN155-AN156</f>
        <v>2</v>
      </c>
      <c r="AO153" s="425">
        <f>AO62-AO154-AO155-AO156</f>
        <v>2</v>
      </c>
      <c r="AP153" s="654" t="s">
        <v>326</v>
      </c>
      <c r="AQ153" s="31"/>
      <c r="AR153" s="31"/>
      <c r="AS153" s="31"/>
      <c r="AT153" s="31"/>
    </row>
    <row r="154" spans="1:46">
      <c r="A154" s="326"/>
      <c r="B154" s="36" t="s">
        <v>1</v>
      </c>
      <c r="C154" s="327" t="s">
        <v>23</v>
      </c>
      <c r="D154" s="336" t="s">
        <v>25</v>
      </c>
      <c r="E154" s="50"/>
      <c r="F154" s="50"/>
      <c r="G154" s="50"/>
      <c r="H154" s="50"/>
      <c r="I154" s="50"/>
      <c r="J154" s="112"/>
      <c r="K154" s="112"/>
      <c r="L154" s="112"/>
      <c r="M154" s="112"/>
      <c r="N154" s="112"/>
      <c r="O154" s="112"/>
      <c r="P154" s="112">
        <v>0</v>
      </c>
      <c r="Q154" s="254">
        <v>0</v>
      </c>
      <c r="R154" s="254">
        <v>0</v>
      </c>
      <c r="S154" s="412">
        <v>0</v>
      </c>
      <c r="T154" s="254">
        <v>0</v>
      </c>
      <c r="U154" s="254">
        <v>0</v>
      </c>
      <c r="V154" s="254">
        <v>0</v>
      </c>
      <c r="W154" s="254">
        <v>0</v>
      </c>
      <c r="X154" s="254">
        <v>0</v>
      </c>
      <c r="Y154" s="436">
        <v>0</v>
      </c>
      <c r="Z154" s="223"/>
      <c r="AA154" s="223"/>
      <c r="AB154" s="223"/>
      <c r="AC154" s="223"/>
      <c r="AD154" s="223"/>
      <c r="AE154" s="223"/>
      <c r="AF154" s="223"/>
      <c r="AG154" s="223"/>
      <c r="AH154" s="223"/>
      <c r="AI154" s="223"/>
      <c r="AJ154" s="223"/>
      <c r="AK154" s="436"/>
      <c r="AL154" s="223"/>
      <c r="AM154" s="223"/>
      <c r="AN154" s="223"/>
      <c r="AO154" s="223"/>
      <c r="AP154" s="38"/>
      <c r="AQ154" s="31"/>
      <c r="AR154" s="31"/>
      <c r="AS154" s="31"/>
      <c r="AT154" s="31"/>
    </row>
    <row r="155" spans="1:46">
      <c r="A155" s="326"/>
      <c r="B155" s="36" t="s">
        <v>1</v>
      </c>
      <c r="C155" s="16" t="s">
        <v>24</v>
      </c>
      <c r="D155" s="336" t="s">
        <v>25</v>
      </c>
      <c r="E155" s="50"/>
      <c r="F155" s="50"/>
      <c r="G155" s="50"/>
      <c r="H155" s="50"/>
      <c r="I155" s="50"/>
      <c r="J155" s="50"/>
      <c r="K155" s="50"/>
      <c r="L155" s="50">
        <v>0</v>
      </c>
      <c r="M155" s="50">
        <f>M62-M153</f>
        <v>3.87</v>
      </c>
      <c r="N155" s="50">
        <f>N62-N153</f>
        <v>4.0999999999999996</v>
      </c>
      <c r="O155" s="120">
        <v>3.73</v>
      </c>
      <c r="P155" s="120">
        <v>2.9</v>
      </c>
      <c r="Q155" s="254">
        <v>3</v>
      </c>
      <c r="R155" s="120">
        <v>3</v>
      </c>
      <c r="S155" s="112">
        <f>S62-S153-S154</f>
        <v>3.5</v>
      </c>
      <c r="T155" s="254">
        <v>0</v>
      </c>
      <c r="U155" s="254">
        <v>0.6</v>
      </c>
      <c r="V155" s="254">
        <v>0</v>
      </c>
      <c r="W155" s="254">
        <v>0</v>
      </c>
      <c r="X155" s="254">
        <v>0.6</v>
      </c>
      <c r="Y155" s="471">
        <v>4.83</v>
      </c>
      <c r="Z155" s="223">
        <f>4.48+0.6</f>
        <v>5.08</v>
      </c>
      <c r="AA155" s="223">
        <v>4.63</v>
      </c>
      <c r="AB155" s="223">
        <v>4.38</v>
      </c>
      <c r="AC155" s="98">
        <v>4.3600000000000003</v>
      </c>
      <c r="AD155" s="223">
        <v>4.38</v>
      </c>
      <c r="AE155" s="223">
        <v>4.12</v>
      </c>
      <c r="AF155" s="223">
        <v>4.12</v>
      </c>
      <c r="AG155" s="223">
        <v>4.12</v>
      </c>
      <c r="AH155" s="223">
        <v>4.12</v>
      </c>
      <c r="AI155" s="223">
        <v>4.12</v>
      </c>
      <c r="AJ155" s="223">
        <v>4.12</v>
      </c>
      <c r="AK155" s="436">
        <v>4.12</v>
      </c>
      <c r="AL155" s="223">
        <v>4.12</v>
      </c>
      <c r="AM155" s="223">
        <v>4.12</v>
      </c>
      <c r="AN155" s="223">
        <v>4.12</v>
      </c>
      <c r="AO155" s="223">
        <v>4.12</v>
      </c>
      <c r="AP155" s="38"/>
      <c r="AQ155" s="38"/>
      <c r="AR155" s="31"/>
      <c r="AS155" s="31"/>
      <c r="AT155" s="31"/>
    </row>
    <row r="156" spans="1:46">
      <c r="A156" s="326"/>
      <c r="B156" s="36" t="s">
        <v>1</v>
      </c>
      <c r="C156" s="442" t="s">
        <v>162</v>
      </c>
      <c r="D156" s="336" t="s">
        <v>25</v>
      </c>
      <c r="E156" s="50"/>
      <c r="F156" s="50"/>
      <c r="G156" s="50"/>
      <c r="H156" s="50"/>
      <c r="I156" s="50"/>
      <c r="J156" s="50"/>
      <c r="K156" s="50"/>
      <c r="L156" s="50"/>
      <c r="M156" s="50"/>
      <c r="N156" s="50"/>
      <c r="O156" s="120"/>
      <c r="P156" s="120"/>
      <c r="Q156" s="254"/>
      <c r="R156" s="120"/>
      <c r="S156" s="112"/>
      <c r="T156" s="254"/>
      <c r="U156" s="254">
        <v>0</v>
      </c>
      <c r="V156" s="254">
        <v>0</v>
      </c>
      <c r="W156" s="254">
        <v>0</v>
      </c>
      <c r="X156" s="254">
        <v>0</v>
      </c>
      <c r="Y156" s="436">
        <v>0</v>
      </c>
      <c r="Z156" s="223"/>
      <c r="AA156" s="223"/>
      <c r="AB156" s="223"/>
      <c r="AC156" s="223"/>
      <c r="AD156" s="223"/>
      <c r="AE156" s="223"/>
      <c r="AF156" s="223"/>
      <c r="AG156" s="223"/>
      <c r="AH156" s="223"/>
      <c r="AI156" s="223"/>
      <c r="AJ156" s="223"/>
      <c r="AK156" s="437"/>
      <c r="AL156" s="123"/>
      <c r="AM156" s="123"/>
      <c r="AN156" s="123"/>
      <c r="AO156" s="123"/>
      <c r="AP156" s="38"/>
      <c r="AQ156" s="38"/>
      <c r="AR156" s="31"/>
      <c r="AS156" s="31"/>
      <c r="AT156" s="31"/>
    </row>
    <row r="157" spans="1:46">
      <c r="A157" s="326"/>
      <c r="B157" s="335" t="s">
        <v>2</v>
      </c>
      <c r="C157" s="110" t="s">
        <v>20</v>
      </c>
      <c r="D157" s="337" t="s">
        <v>26</v>
      </c>
      <c r="E157" s="100">
        <f t="shared" ref="E157:AJ157" si="156">E63</f>
        <v>5.89</v>
      </c>
      <c r="F157" s="100">
        <f t="shared" si="156"/>
        <v>6.22</v>
      </c>
      <c r="G157" s="100">
        <f t="shared" si="156"/>
        <v>5.89</v>
      </c>
      <c r="H157" s="100">
        <f t="shared" si="156"/>
        <v>6.05</v>
      </c>
      <c r="I157" s="100">
        <f t="shared" si="156"/>
        <v>5.85</v>
      </c>
      <c r="J157" s="237">
        <f t="shared" si="156"/>
        <v>6.05</v>
      </c>
      <c r="K157" s="237">
        <f t="shared" si="156"/>
        <v>6.7</v>
      </c>
      <c r="L157" s="237">
        <f t="shared" si="156"/>
        <v>6.05</v>
      </c>
      <c r="M157" s="237">
        <f t="shared" si="156"/>
        <v>6.2</v>
      </c>
      <c r="N157" s="237">
        <f t="shared" si="156"/>
        <v>5.66</v>
      </c>
      <c r="O157" s="237">
        <f t="shared" si="156"/>
        <v>6.0449999999999999</v>
      </c>
      <c r="P157" s="237">
        <f t="shared" si="156"/>
        <v>5.85</v>
      </c>
      <c r="Q157" s="237">
        <f t="shared" si="156"/>
        <v>4.5999999999999996</v>
      </c>
      <c r="R157" s="245">
        <f t="shared" si="156"/>
        <v>5.7</v>
      </c>
      <c r="S157" s="237">
        <f t="shared" si="156"/>
        <v>5.7</v>
      </c>
      <c r="T157" s="237">
        <f t="shared" si="156"/>
        <v>5.68</v>
      </c>
      <c r="U157" s="237">
        <f t="shared" si="156"/>
        <v>5.4</v>
      </c>
      <c r="V157" s="237">
        <f t="shared" si="156"/>
        <v>5.8</v>
      </c>
      <c r="W157" s="237">
        <f t="shared" si="156"/>
        <v>5.4</v>
      </c>
      <c r="X157" s="237">
        <f t="shared" si="156"/>
        <v>5.58</v>
      </c>
      <c r="Y157" s="440">
        <f t="shared" si="156"/>
        <v>5.4870000000000001</v>
      </c>
      <c r="Z157" s="237">
        <f t="shared" si="156"/>
        <v>5.32</v>
      </c>
      <c r="AA157" s="237">
        <f t="shared" si="156"/>
        <v>5.74</v>
      </c>
      <c r="AB157" s="237">
        <f t="shared" si="156"/>
        <v>5.8220000000000001</v>
      </c>
      <c r="AC157" s="237">
        <f t="shared" si="156"/>
        <v>5.7350000000000003</v>
      </c>
      <c r="AD157" s="237">
        <f t="shared" si="156"/>
        <v>5.55</v>
      </c>
      <c r="AE157" s="237">
        <f t="shared" si="156"/>
        <v>5.7350000000000003</v>
      </c>
      <c r="AF157" s="237">
        <f t="shared" si="156"/>
        <v>5.7350000000000003</v>
      </c>
      <c r="AG157" s="237">
        <f t="shared" si="156"/>
        <v>5.55</v>
      </c>
      <c r="AH157" s="237">
        <f t="shared" si="156"/>
        <v>5.7350000000000003</v>
      </c>
      <c r="AI157" s="237">
        <f t="shared" si="156"/>
        <v>5.7350000000000003</v>
      </c>
      <c r="AJ157" s="237">
        <f t="shared" si="156"/>
        <v>5.7350000000000003</v>
      </c>
      <c r="AK157" s="440">
        <f t="shared" ref="AK157:AM158" si="157">AK63</f>
        <v>5.7350000000000003</v>
      </c>
      <c r="AL157" s="237">
        <f t="shared" si="157"/>
        <v>5.7350000000000003</v>
      </c>
      <c r="AM157" s="237">
        <f t="shared" si="157"/>
        <v>5.7350000000000003</v>
      </c>
      <c r="AN157" s="237">
        <f t="shared" ref="AN157:AO157" si="158">AN63</f>
        <v>5.7350000000000003</v>
      </c>
      <c r="AO157" s="237">
        <f t="shared" si="158"/>
        <v>5.7350000000000003</v>
      </c>
      <c r="AP157" s="672" t="s">
        <v>327</v>
      </c>
      <c r="AQ157" s="38"/>
      <c r="AR157" s="31"/>
      <c r="AS157" s="31"/>
      <c r="AT157" s="31"/>
    </row>
    <row r="158" spans="1:46" ht="16" thickBot="1">
      <c r="A158" s="330"/>
      <c r="B158" s="103" t="s">
        <v>5</v>
      </c>
      <c r="C158" s="28" t="s">
        <v>20</v>
      </c>
      <c r="D158" s="29" t="s">
        <v>5</v>
      </c>
      <c r="E158" s="56">
        <f t="shared" ref="E158:AJ158" si="159">E64</f>
        <v>15.6</v>
      </c>
      <c r="F158" s="56">
        <f t="shared" si="159"/>
        <v>16.100000000000001</v>
      </c>
      <c r="G158" s="56">
        <f t="shared" si="159"/>
        <v>16.027000000000001</v>
      </c>
      <c r="H158" s="56">
        <f t="shared" si="159"/>
        <v>14</v>
      </c>
      <c r="I158" s="56">
        <f t="shared" si="159"/>
        <v>15.45</v>
      </c>
      <c r="J158" s="238">
        <f t="shared" si="159"/>
        <v>10.85</v>
      </c>
      <c r="K158" s="238">
        <f t="shared" si="159"/>
        <v>13.15</v>
      </c>
      <c r="L158" s="238">
        <f t="shared" si="159"/>
        <v>13.26</v>
      </c>
      <c r="M158" s="238">
        <f t="shared" si="159"/>
        <v>17</v>
      </c>
      <c r="N158" s="238">
        <f t="shared" si="159"/>
        <v>17.5</v>
      </c>
      <c r="O158" s="238">
        <f t="shared" si="159"/>
        <v>15</v>
      </c>
      <c r="P158" s="238">
        <f t="shared" si="159"/>
        <v>16.5</v>
      </c>
      <c r="Q158" s="238">
        <f t="shared" si="159"/>
        <v>15</v>
      </c>
      <c r="R158" s="238">
        <f t="shared" si="159"/>
        <v>14.5</v>
      </c>
      <c r="S158" s="238">
        <f t="shared" si="159"/>
        <v>15.5</v>
      </c>
      <c r="T158" s="238">
        <f t="shared" si="159"/>
        <v>13.04</v>
      </c>
      <c r="U158" s="238">
        <f t="shared" si="159"/>
        <v>17.2</v>
      </c>
      <c r="V158" s="238">
        <f t="shared" si="159"/>
        <v>15.83</v>
      </c>
      <c r="W158" s="238">
        <f t="shared" si="159"/>
        <v>16.2</v>
      </c>
      <c r="X158" s="238">
        <f t="shared" si="159"/>
        <v>15.4</v>
      </c>
      <c r="Y158" s="431">
        <f t="shared" si="159"/>
        <v>11</v>
      </c>
      <c r="Z158" s="238">
        <f t="shared" si="159"/>
        <v>6.72</v>
      </c>
      <c r="AA158" s="596">
        <f t="shared" si="159"/>
        <v>13.5</v>
      </c>
      <c r="AB158" s="238">
        <f t="shared" si="159"/>
        <v>15</v>
      </c>
      <c r="AC158" s="238">
        <f t="shared" si="159"/>
        <v>15.5</v>
      </c>
      <c r="AD158" s="238">
        <f t="shared" si="159"/>
        <v>13.95</v>
      </c>
      <c r="AE158" s="238">
        <f t="shared" si="159"/>
        <v>8.99</v>
      </c>
      <c r="AF158" s="238">
        <f t="shared" si="159"/>
        <v>14.66</v>
      </c>
      <c r="AG158" s="238">
        <f t="shared" si="159"/>
        <v>15</v>
      </c>
      <c r="AH158" s="238">
        <f t="shared" si="159"/>
        <v>15.5</v>
      </c>
      <c r="AI158" s="238">
        <f t="shared" si="159"/>
        <v>15</v>
      </c>
      <c r="AJ158" s="238">
        <f t="shared" si="159"/>
        <v>15.08</v>
      </c>
      <c r="AK158" s="431">
        <f t="shared" si="157"/>
        <v>14.87</v>
      </c>
      <c r="AL158" s="238">
        <f t="shared" si="157"/>
        <v>14</v>
      </c>
      <c r="AM158" s="238">
        <f t="shared" si="157"/>
        <v>15.5</v>
      </c>
      <c r="AN158" s="238">
        <f t="shared" ref="AN158:AO158" si="160">AN64</f>
        <v>15</v>
      </c>
      <c r="AO158" s="238">
        <f t="shared" si="160"/>
        <v>15.5</v>
      </c>
      <c r="AP158" s="672" t="s">
        <v>328</v>
      </c>
      <c r="AQ158" s="38"/>
      <c r="AR158" s="31"/>
      <c r="AS158" s="31"/>
      <c r="AT158" s="31"/>
    </row>
    <row r="159" spans="1:46" s="31" customFormat="1" ht="25" thickBot="1">
      <c r="A159" s="39" t="s">
        <v>125</v>
      </c>
      <c r="B159" s="30"/>
      <c r="L159" s="362"/>
      <c r="M159" s="362"/>
      <c r="N159" s="362"/>
      <c r="O159" s="362"/>
      <c r="P159" s="362"/>
      <c r="Q159" s="85"/>
      <c r="R159" s="85"/>
      <c r="S159" s="85"/>
      <c r="T159" s="85"/>
      <c r="U159" s="85">
        <f>U163-U105-U106</f>
        <v>214.74000000000004</v>
      </c>
      <c r="V159" s="85"/>
      <c r="W159" s="85"/>
      <c r="X159" s="85"/>
      <c r="Y159" s="85"/>
      <c r="Z159" s="85"/>
      <c r="AA159" s="85"/>
      <c r="AB159" s="85"/>
      <c r="AC159" s="85">
        <f>AC160-17</f>
        <v>157.92699999999999</v>
      </c>
      <c r="AD159" s="85"/>
      <c r="AE159" s="85"/>
      <c r="AF159" s="85"/>
      <c r="AG159" s="85"/>
      <c r="AH159" s="85"/>
      <c r="AI159" s="85"/>
      <c r="AJ159" s="85"/>
      <c r="AK159" s="85"/>
      <c r="AL159" s="85"/>
      <c r="AM159" s="85"/>
      <c r="AN159" s="85"/>
      <c r="AO159" s="85"/>
      <c r="AP159" s="38"/>
      <c r="AQ159" s="38"/>
    </row>
    <row r="160" spans="1:46">
      <c r="A160" s="45" t="s">
        <v>36</v>
      </c>
      <c r="B160" s="49" t="s">
        <v>3</v>
      </c>
      <c r="C160" s="369" t="s">
        <v>8</v>
      </c>
      <c r="D160" s="370" t="s">
        <v>3</v>
      </c>
      <c r="E160" s="53">
        <f>E161+E162</f>
        <v>153.96899999999999</v>
      </c>
      <c r="F160" s="53">
        <f>F161+F162</f>
        <v>125.907</v>
      </c>
      <c r="G160" s="404">
        <f>G161+G162</f>
        <v>143.33699999999999</v>
      </c>
      <c r="H160" s="404">
        <f>H161+H162</f>
        <v>137.83699999999999</v>
      </c>
      <c r="I160" s="404">
        <f t="shared" ref="I160:Q160" si="161">I161+I162</f>
        <v>127.547</v>
      </c>
      <c r="J160" s="404">
        <f t="shared" si="161"/>
        <v>134.31700000000001</v>
      </c>
      <c r="K160" s="404">
        <f t="shared" si="161"/>
        <v>133.44200000000001</v>
      </c>
      <c r="L160" s="404">
        <f t="shared" si="161"/>
        <v>127.133</v>
      </c>
      <c r="M160" s="404">
        <f t="shared" si="161"/>
        <v>109.81</v>
      </c>
      <c r="N160" s="404">
        <f t="shared" si="161"/>
        <v>84.705999999999989</v>
      </c>
      <c r="O160" s="404">
        <f t="shared" si="161"/>
        <v>119.328</v>
      </c>
      <c r="P160" s="404">
        <f t="shared" si="161"/>
        <v>121.05</v>
      </c>
      <c r="Q160" s="404">
        <f t="shared" si="161"/>
        <v>73.457999999999998</v>
      </c>
      <c r="R160" s="404">
        <f>R161+R162</f>
        <v>99.144000000000005</v>
      </c>
      <c r="S160" s="404">
        <f t="shared" ref="S160:AO160" si="162">S161+S162</f>
        <v>95.72999999999999</v>
      </c>
      <c r="T160" s="404">
        <f t="shared" si="162"/>
        <v>108.71236263736263</v>
      </c>
      <c r="U160" s="404">
        <f t="shared" si="162"/>
        <v>94.41</v>
      </c>
      <c r="V160" s="404">
        <f t="shared" si="162"/>
        <v>97.06</v>
      </c>
      <c r="W160" s="404">
        <f t="shared" si="162"/>
        <v>100.8</v>
      </c>
      <c r="X160" s="404">
        <f t="shared" si="162"/>
        <v>112.874</v>
      </c>
      <c r="Y160" s="404">
        <f t="shared" si="162"/>
        <v>114.867</v>
      </c>
      <c r="Z160" s="404">
        <f t="shared" si="162"/>
        <v>120.536</v>
      </c>
      <c r="AA160" s="404">
        <f t="shared" si="162"/>
        <v>128.65600000000001</v>
      </c>
      <c r="AB160" s="404">
        <f t="shared" si="162"/>
        <v>128.49099999999999</v>
      </c>
      <c r="AC160" s="404">
        <f t="shared" si="162"/>
        <v>174.92699999999999</v>
      </c>
      <c r="AD160" s="404">
        <f t="shared" si="162"/>
        <v>145.893</v>
      </c>
      <c r="AE160" s="404">
        <f t="shared" si="162"/>
        <v>124.81700000000001</v>
      </c>
      <c r="AF160" s="404">
        <f t="shared" si="162"/>
        <v>138.761</v>
      </c>
      <c r="AG160" s="404">
        <f t="shared" si="162"/>
        <v>130.11700000000002</v>
      </c>
      <c r="AH160" s="404">
        <f t="shared" si="162"/>
        <v>113.414</v>
      </c>
      <c r="AI160" s="404">
        <f t="shared" si="162"/>
        <v>133.29500000000002</v>
      </c>
      <c r="AJ160" s="404">
        <f t="shared" si="162"/>
        <v>119.26600000000001</v>
      </c>
      <c r="AK160" s="404">
        <f t="shared" si="162"/>
        <v>125.89287671232877</v>
      </c>
      <c r="AL160" s="404">
        <f t="shared" si="162"/>
        <v>115.25808219178083</v>
      </c>
      <c r="AM160" s="404">
        <f t="shared" si="162"/>
        <v>125.89287671232877</v>
      </c>
      <c r="AN160" s="404">
        <f t="shared" si="162"/>
        <v>122.34794520547945</v>
      </c>
      <c r="AO160" s="404">
        <f t="shared" si="162"/>
        <v>125.89287671232877</v>
      </c>
      <c r="AP160" s="670" t="s">
        <v>329</v>
      </c>
      <c r="AQ160" s="433"/>
      <c r="AR160" s="31"/>
      <c r="AS160" s="31"/>
      <c r="AT160" s="31"/>
    </row>
    <row r="161" spans="1:46">
      <c r="A161" s="47" t="s">
        <v>37</v>
      </c>
      <c r="B161" s="36" t="s">
        <v>3</v>
      </c>
      <c r="C161" s="365" t="s">
        <v>39</v>
      </c>
      <c r="D161" s="366" t="s">
        <v>3</v>
      </c>
      <c r="E161" s="55">
        <f>E95+E101</f>
        <v>120.66</v>
      </c>
      <c r="F161" s="55">
        <f>F95+F101</f>
        <v>113</v>
      </c>
      <c r="G161" s="55">
        <f>G95+G101</f>
        <v>87</v>
      </c>
      <c r="H161" s="55">
        <f>H95+H101</f>
        <v>81</v>
      </c>
      <c r="I161" s="55">
        <f t="shared" ref="I161:X161" si="163">I95+I99+I101</f>
        <v>70</v>
      </c>
      <c r="J161" s="55">
        <f t="shared" si="163"/>
        <v>69</v>
      </c>
      <c r="K161" s="55">
        <f t="shared" si="163"/>
        <v>71</v>
      </c>
      <c r="L161" s="55">
        <f t="shared" si="163"/>
        <v>78.5</v>
      </c>
      <c r="M161" s="55">
        <f t="shared" si="163"/>
        <v>59</v>
      </c>
      <c r="N161" s="55">
        <f t="shared" si="163"/>
        <v>34</v>
      </c>
      <c r="O161" s="55">
        <f t="shared" si="163"/>
        <v>76</v>
      </c>
      <c r="P161" s="55">
        <f t="shared" si="163"/>
        <v>76.5</v>
      </c>
      <c r="Q161" s="55">
        <f t="shared" si="163"/>
        <v>43.5</v>
      </c>
      <c r="R161" s="55">
        <f t="shared" si="163"/>
        <v>55.5</v>
      </c>
      <c r="S161" s="55">
        <f t="shared" si="163"/>
        <v>47.93</v>
      </c>
      <c r="T161" s="55">
        <f t="shared" si="163"/>
        <v>56.379999999999995</v>
      </c>
      <c r="U161" s="55">
        <f t="shared" si="163"/>
        <v>42.91</v>
      </c>
      <c r="V161" s="55">
        <f t="shared" si="163"/>
        <v>43</v>
      </c>
      <c r="W161" s="55">
        <f t="shared" si="163"/>
        <v>48.4</v>
      </c>
      <c r="X161" s="55">
        <f t="shared" si="163"/>
        <v>58.5</v>
      </c>
      <c r="Y161" s="55">
        <f>Y95+Y99+Y100+Y101+Y93</f>
        <v>56.42</v>
      </c>
      <c r="Z161" s="55">
        <f>Z97+Z98+Z99+Z100+Z101+Z93</f>
        <v>66.66</v>
      </c>
      <c r="AA161" s="55">
        <f t="shared" ref="AA161:AC161" si="164">AA97+AA98+AA99+AA100+AA101+AA93</f>
        <v>65.36</v>
      </c>
      <c r="AB161" s="55">
        <f t="shared" si="164"/>
        <v>84.3</v>
      </c>
      <c r="AC161" s="55">
        <f t="shared" si="164"/>
        <v>125.2</v>
      </c>
      <c r="AD161" s="55">
        <f>AD97+AD98+AD99+AD100+AD101</f>
        <v>85.331999999999994</v>
      </c>
      <c r="AE161" s="55">
        <f t="shared" ref="AE161:AN161" si="165">AE97+AE98+AE99+AE100+AE101</f>
        <v>99.436000000000007</v>
      </c>
      <c r="AF161" s="55">
        <f t="shared" si="165"/>
        <v>81.082999999999998</v>
      </c>
      <c r="AG161" s="55">
        <f t="shared" si="165"/>
        <v>81.533000000000001</v>
      </c>
      <c r="AH161" s="55">
        <f t="shared" si="165"/>
        <v>89.156000000000006</v>
      </c>
      <c r="AI161" s="55">
        <f t="shared" si="165"/>
        <v>75.436000000000007</v>
      </c>
      <c r="AJ161" s="55">
        <f t="shared" si="165"/>
        <v>59.47</v>
      </c>
      <c r="AK161" s="55">
        <f t="shared" si="165"/>
        <v>68.42</v>
      </c>
      <c r="AL161" s="55">
        <f t="shared" si="165"/>
        <v>62.96</v>
      </c>
      <c r="AM161" s="55">
        <f t="shared" si="165"/>
        <v>68.42</v>
      </c>
      <c r="AN161" s="55">
        <f t="shared" si="165"/>
        <v>66.599999999999994</v>
      </c>
      <c r="AO161" s="55">
        <f>AO97+AO98+AO99+AO100+AO101</f>
        <v>68.42</v>
      </c>
      <c r="AP161" s="654" t="s">
        <v>330</v>
      </c>
      <c r="AQ161" s="38"/>
      <c r="AR161" s="31"/>
      <c r="AS161" s="31"/>
      <c r="AT161" s="31"/>
    </row>
    <row r="162" spans="1:46" ht="16" thickBot="1">
      <c r="A162" s="47" t="s">
        <v>38</v>
      </c>
      <c r="B162" s="36" t="s">
        <v>3</v>
      </c>
      <c r="C162" s="365" t="s">
        <v>40</v>
      </c>
      <c r="D162" s="366" t="s">
        <v>3</v>
      </c>
      <c r="E162" s="55">
        <f t="shared" ref="E162:Y162" si="166">E102+E103</f>
        <v>33.308999999999997</v>
      </c>
      <c r="F162" s="55">
        <f t="shared" si="166"/>
        <v>12.907</v>
      </c>
      <c r="G162" s="55">
        <f t="shared" si="166"/>
        <v>56.337000000000003</v>
      </c>
      <c r="H162" s="55">
        <f t="shared" si="166"/>
        <v>56.837000000000003</v>
      </c>
      <c r="I162" s="55">
        <f t="shared" si="166"/>
        <v>57.546999999999997</v>
      </c>
      <c r="J162" s="55">
        <f t="shared" si="166"/>
        <v>65.316999999999993</v>
      </c>
      <c r="K162" s="55">
        <f t="shared" si="166"/>
        <v>62.442</v>
      </c>
      <c r="L162" s="55">
        <f t="shared" si="166"/>
        <v>48.632999999999996</v>
      </c>
      <c r="M162" s="55">
        <f t="shared" si="166"/>
        <v>50.81</v>
      </c>
      <c r="N162" s="55">
        <f t="shared" si="166"/>
        <v>50.705999999999996</v>
      </c>
      <c r="O162" s="55">
        <f t="shared" si="166"/>
        <v>43.327999999999996</v>
      </c>
      <c r="P162" s="55">
        <f t="shared" si="166"/>
        <v>44.55</v>
      </c>
      <c r="Q162" s="55">
        <f t="shared" si="166"/>
        <v>29.957999999999998</v>
      </c>
      <c r="R162" s="55">
        <f t="shared" si="166"/>
        <v>43.643999999999998</v>
      </c>
      <c r="S162" s="55">
        <f t="shared" si="166"/>
        <v>47.8</v>
      </c>
      <c r="T162" s="55">
        <f t="shared" si="166"/>
        <v>52.332362637362635</v>
      </c>
      <c r="U162" s="55">
        <f t="shared" si="166"/>
        <v>51.5</v>
      </c>
      <c r="V162" s="55">
        <f t="shared" si="166"/>
        <v>54.06</v>
      </c>
      <c r="W162" s="55">
        <f t="shared" si="166"/>
        <v>52.4</v>
      </c>
      <c r="X162" s="55">
        <f t="shared" si="166"/>
        <v>54.373999999999995</v>
      </c>
      <c r="Y162" s="55">
        <f t="shared" si="166"/>
        <v>58.447000000000003</v>
      </c>
      <c r="Z162" s="55">
        <f>Z102+Z103+Z104</f>
        <v>53.876000000000005</v>
      </c>
      <c r="AA162" s="55">
        <f t="shared" ref="AA162:AL162" si="167">AA102+AA103+AA104</f>
        <v>63.296000000000006</v>
      </c>
      <c r="AB162" s="55">
        <f t="shared" si="167"/>
        <v>44.191000000000003</v>
      </c>
      <c r="AC162" s="55">
        <f t="shared" si="167"/>
        <v>49.726999999999997</v>
      </c>
      <c r="AD162" s="55">
        <f t="shared" si="167"/>
        <v>60.561000000000007</v>
      </c>
      <c r="AE162" s="55">
        <f t="shared" si="167"/>
        <v>25.381</v>
      </c>
      <c r="AF162" s="55">
        <f t="shared" si="167"/>
        <v>57.678000000000004</v>
      </c>
      <c r="AG162" s="55">
        <f t="shared" si="167"/>
        <v>48.584000000000003</v>
      </c>
      <c r="AH162" s="55">
        <f t="shared" si="167"/>
        <v>24.257999999999999</v>
      </c>
      <c r="AI162" s="55">
        <f t="shared" si="167"/>
        <v>57.858999999999995</v>
      </c>
      <c r="AJ162" s="55">
        <f t="shared" si="167"/>
        <v>59.796000000000006</v>
      </c>
      <c r="AK162" s="55">
        <f t="shared" si="167"/>
        <v>57.47287671232877</v>
      </c>
      <c r="AL162" s="55">
        <f t="shared" si="167"/>
        <v>52.298082191780821</v>
      </c>
      <c r="AM162" s="55">
        <f t="shared" ref="AM162:AN162" si="168">AM102+AM103+AM104</f>
        <v>57.47287671232877</v>
      </c>
      <c r="AN162" s="55">
        <f t="shared" si="168"/>
        <v>55.747945205479454</v>
      </c>
      <c r="AO162" s="55">
        <f>AO102+AO103+AO104</f>
        <v>57.47287671232877</v>
      </c>
      <c r="AP162" s="654" t="s">
        <v>331</v>
      </c>
      <c r="AQ162" s="38"/>
      <c r="AR162" s="31"/>
      <c r="AS162" s="31"/>
      <c r="AT162" s="31"/>
    </row>
    <row r="163" spans="1:46" s="31" customFormat="1">
      <c r="A163" s="34" t="s">
        <v>144</v>
      </c>
      <c r="B163" s="397" t="s">
        <v>140</v>
      </c>
      <c r="C163" s="397" t="s">
        <v>147</v>
      </c>
      <c r="D163" s="400" t="s">
        <v>142</v>
      </c>
      <c r="E163" s="50"/>
      <c r="F163" s="50"/>
      <c r="G163" s="404"/>
      <c r="H163" s="404"/>
      <c r="I163" s="404">
        <f t="shared" ref="I163:AJ163" si="169">SUM(I105:I158)</f>
        <v>242.43</v>
      </c>
      <c r="J163" s="404">
        <f t="shared" si="169"/>
        <v>240.08403429999998</v>
      </c>
      <c r="K163" s="404">
        <f t="shared" si="169"/>
        <v>242.04816493999996</v>
      </c>
      <c r="L163" s="404">
        <f t="shared" si="169"/>
        <v>240.19812309999995</v>
      </c>
      <c r="M163" s="404">
        <f t="shared" si="169"/>
        <v>235.17329082000001</v>
      </c>
      <c r="N163" s="404">
        <f t="shared" si="169"/>
        <v>224.50545953</v>
      </c>
      <c r="O163" s="404">
        <f t="shared" si="169"/>
        <v>207.45499999999998</v>
      </c>
      <c r="P163" s="404">
        <f t="shared" si="169"/>
        <v>172.54</v>
      </c>
      <c r="Q163" s="404">
        <f t="shared" si="169"/>
        <v>170.11859380999999</v>
      </c>
      <c r="R163" s="404">
        <f t="shared" si="169"/>
        <v>183.64617381999997</v>
      </c>
      <c r="S163" s="404">
        <f t="shared" si="169"/>
        <v>206.13</v>
      </c>
      <c r="T163" s="404">
        <f t="shared" si="169"/>
        <v>215.22000000000006</v>
      </c>
      <c r="U163" s="404">
        <f t="shared" si="169"/>
        <v>216.19000000000003</v>
      </c>
      <c r="V163" s="404">
        <f t="shared" si="169"/>
        <v>228.25</v>
      </c>
      <c r="W163" s="404">
        <f t="shared" si="169"/>
        <v>222.56240770999997</v>
      </c>
      <c r="X163" s="404">
        <f t="shared" si="169"/>
        <v>224.22</v>
      </c>
      <c r="Y163" s="404">
        <f t="shared" si="169"/>
        <v>208.93700000000001</v>
      </c>
      <c r="Z163" s="404">
        <f t="shared" si="169"/>
        <v>204.36743945000001</v>
      </c>
      <c r="AA163" s="404">
        <f t="shared" si="169"/>
        <v>225.35999999999999</v>
      </c>
      <c r="AB163" s="404">
        <f t="shared" si="169"/>
        <v>195.85199999999998</v>
      </c>
      <c r="AC163" s="404">
        <f t="shared" si="169"/>
        <v>198.49500000000003</v>
      </c>
      <c r="AD163" s="404">
        <f t="shared" si="169"/>
        <v>198.48999999999995</v>
      </c>
      <c r="AE163" s="404">
        <f t="shared" si="169"/>
        <v>201.09856137000003</v>
      </c>
      <c r="AF163" s="404">
        <f t="shared" si="169"/>
        <v>220.63365578999998</v>
      </c>
      <c r="AG163" s="404">
        <f t="shared" si="169"/>
        <v>218.90812602999998</v>
      </c>
      <c r="AH163" s="404">
        <f t="shared" si="169"/>
        <v>221.28615352999995</v>
      </c>
      <c r="AI163" s="404">
        <f t="shared" si="169"/>
        <v>220.49638480999997</v>
      </c>
      <c r="AJ163" s="404">
        <f t="shared" si="169"/>
        <v>225.22726784999998</v>
      </c>
      <c r="AK163" s="404">
        <f>SUM(AK105:AK158)</f>
        <v>223.2368366</v>
      </c>
      <c r="AL163" s="404">
        <f>SUM(AL105:AL158)</f>
        <v>215.47718817000001</v>
      </c>
      <c r="AM163" s="404">
        <f>SUM(AM105:AM158)</f>
        <v>220.86127196999999</v>
      </c>
      <c r="AN163" s="404">
        <f>SUM(AN105:AN158)</f>
        <v>214.82085520999999</v>
      </c>
      <c r="AO163" s="404">
        <f>SUM(AO105:AO158)</f>
        <v>216.24072226999999</v>
      </c>
      <c r="AP163" s="654" t="s">
        <v>332</v>
      </c>
      <c r="AQ163" s="38"/>
    </row>
    <row r="164" spans="1:46" s="31" customFormat="1">
      <c r="A164" s="33"/>
      <c r="B164" s="5" t="s">
        <v>140</v>
      </c>
      <c r="C164" s="5" t="s">
        <v>148</v>
      </c>
      <c r="D164" s="394" t="s">
        <v>19</v>
      </c>
      <c r="G164" s="84"/>
      <c r="H164" s="84"/>
      <c r="I164" s="84">
        <f>I109+I114+I116+I118+I121+I124+I126+I129+I130+I131+I136+I137+I139+I141+I144+I146+I148+I150+I151</f>
        <v>23.099999999999998</v>
      </c>
      <c r="J164" s="84">
        <f t="shared" ref="J164:U164" si="170">J109+J114+J116+J118+J121+J124+J126+J129+J130+J131+J136+J137+J139+J141+J144+J146+J148+J150+J151</f>
        <v>25.6</v>
      </c>
      <c r="K164" s="84">
        <f t="shared" si="170"/>
        <v>38.35</v>
      </c>
      <c r="L164" s="84">
        <f t="shared" si="170"/>
        <v>24.62</v>
      </c>
      <c r="M164" s="84">
        <f t="shared" si="170"/>
        <v>22.66</v>
      </c>
      <c r="N164" s="84">
        <f t="shared" si="170"/>
        <v>18.09</v>
      </c>
      <c r="O164" s="84">
        <f t="shared" si="170"/>
        <v>17.23</v>
      </c>
      <c r="P164" s="84">
        <f t="shared" si="170"/>
        <v>11.25</v>
      </c>
      <c r="Q164" s="84">
        <f t="shared" si="170"/>
        <v>12.100000000000001</v>
      </c>
      <c r="R164" s="84">
        <f t="shared" si="170"/>
        <v>17.88</v>
      </c>
      <c r="S164" s="84">
        <f t="shared" si="170"/>
        <v>23.200000000000003</v>
      </c>
      <c r="T164" s="84">
        <f t="shared" si="170"/>
        <v>31.1</v>
      </c>
      <c r="U164" s="84">
        <f t="shared" si="170"/>
        <v>28.200000000000003</v>
      </c>
      <c r="V164" s="84">
        <f>V109+V110+V114+V116+V118+V119+V121+V122+V124+V126+V129+V130+V131+V136+V137+V139+V141+V144+V146+V148+V150+V151</f>
        <v>31.5</v>
      </c>
      <c r="W164" s="84">
        <f>W109+W110+W114+W116+W118+W119+W121+W122+W124+W126+W129+W130+W131+W136+W137+W139+W141+W144+W146+W148+W150+W151</f>
        <v>32.200000000000003</v>
      </c>
      <c r="X164" s="84">
        <f>X109+X110+X114+X116+X118+X119+X121+X122+X124+X126+X129+X130+X131+X136+X137+X139+X141+X144+X146+X148+X150+X151</f>
        <v>30.77</v>
      </c>
      <c r="Y164" s="84">
        <f>Y109+Y110+Y114+Y116+Y118+Y119+Y121+Y122+Y124+Y126+Y129+Y130+Y131+Y136+Y137+Y139+Y141+Y144+Y146+Y148+Y150+Y151+Y142</f>
        <v>26.55</v>
      </c>
      <c r="Z164" s="84">
        <f t="shared" ref="Z164:AK164" si="171">Z109+Z110+Z114+Z116+Z118+Z119+Z121+Z122+Z124+Z126+Z129+Z130+Z131+Z136+Z137+Z139+Z141+Z144+Z146+Z148+Z150+Z151+Z142</f>
        <v>32.519999999999996</v>
      </c>
      <c r="AA164" s="84">
        <f t="shared" si="171"/>
        <v>34.83</v>
      </c>
      <c r="AB164" s="84">
        <f t="shared" si="171"/>
        <v>29.07</v>
      </c>
      <c r="AC164" s="84">
        <f t="shared" si="171"/>
        <v>28.019999999999996</v>
      </c>
      <c r="AD164" s="84">
        <f t="shared" si="171"/>
        <v>27.019999999999996</v>
      </c>
      <c r="AE164" s="84">
        <f t="shared" si="171"/>
        <v>28.58</v>
      </c>
      <c r="AF164" s="84">
        <f t="shared" si="171"/>
        <v>30.68</v>
      </c>
      <c r="AG164" s="84">
        <f t="shared" si="171"/>
        <v>30.68</v>
      </c>
      <c r="AH164" s="84">
        <f t="shared" si="171"/>
        <v>30.68</v>
      </c>
      <c r="AI164" s="84">
        <f t="shared" si="171"/>
        <v>30.68</v>
      </c>
      <c r="AJ164" s="84">
        <f t="shared" si="171"/>
        <v>30.68</v>
      </c>
      <c r="AK164" s="84">
        <f t="shared" si="171"/>
        <v>30.68</v>
      </c>
      <c r="AL164" s="84">
        <f t="shared" ref="AL164:AM164" si="172">AL109+AL110+AL114+AL116+AL118+AL119+AL121+AL122+AL124+AL126+AL129+AL130+AL131+AL136+AL137+AL139+AL141+AL144+AL146+AL148+AL150+AL151+AL142</f>
        <v>30.68</v>
      </c>
      <c r="AM164" s="84">
        <f t="shared" si="172"/>
        <v>30.68</v>
      </c>
      <c r="AN164" s="84">
        <f t="shared" ref="AN164" si="173">AN109+AN110+AN114+AN116+AN118+AN119+AN121+AN122+AN124+AN126+AN129+AN130+AN131+AN136+AN137+AN139+AN141+AN144+AN146+AN148+AN150+AN151+AN142</f>
        <v>30.68</v>
      </c>
      <c r="AO164" s="84">
        <f>AO109+AO110+AO114+AO116+AO118+AO119+AO121+AO122+AO124+AO126+AO129+AO130+AO131+AO136+AO137+AO139+AO141+AO144+AO146+AO148+AO150+AO151+AO142</f>
        <v>30.68</v>
      </c>
      <c r="AP164" s="654" t="s">
        <v>333</v>
      </c>
      <c r="AQ164" s="38"/>
    </row>
    <row r="165" spans="1:46" s="31" customFormat="1">
      <c r="A165" s="33"/>
      <c r="B165" s="5" t="s">
        <v>140</v>
      </c>
      <c r="C165" s="5" t="s">
        <v>148</v>
      </c>
      <c r="D165" s="394" t="s">
        <v>88</v>
      </c>
      <c r="G165" s="392"/>
      <c r="H165" s="392"/>
      <c r="I165" s="392">
        <f>I107+I108+I111+I112+I113+I115+I117+I120+I123+I125+I127+I128+I135+I138+I140+I143+I145+I147+I149</f>
        <v>189.82999999999998</v>
      </c>
      <c r="J165" s="392">
        <f t="shared" ref="J165:AJ165" si="174">J107+J108+J111+J112+J113+J115+J117+J120+J123+J125+J127+J128+J135+J138+J140+J143+J145+J147+J149</f>
        <v>190.2437323</v>
      </c>
      <c r="K165" s="392">
        <f t="shared" si="174"/>
        <v>183.23999999999998</v>
      </c>
      <c r="L165" s="392">
        <f t="shared" si="174"/>
        <v>191.20567744999997</v>
      </c>
      <c r="M165" s="392">
        <f t="shared" si="174"/>
        <v>181.64329082</v>
      </c>
      <c r="N165" s="392">
        <f t="shared" si="174"/>
        <v>175.59545953</v>
      </c>
      <c r="O165" s="392">
        <f t="shared" si="174"/>
        <v>161.47</v>
      </c>
      <c r="P165" s="392">
        <f t="shared" si="174"/>
        <v>132.49</v>
      </c>
      <c r="Q165" s="392">
        <f t="shared" si="174"/>
        <v>133.46</v>
      </c>
      <c r="R165" s="392">
        <f t="shared" si="174"/>
        <v>141.44</v>
      </c>
      <c r="S165" s="392">
        <f t="shared" si="174"/>
        <v>156.22999999999999</v>
      </c>
      <c r="T165" s="392">
        <f t="shared" si="174"/>
        <v>160.78</v>
      </c>
      <c r="U165" s="392">
        <f t="shared" si="174"/>
        <v>158.84</v>
      </c>
      <c r="V165" s="392">
        <f t="shared" si="174"/>
        <v>166.91</v>
      </c>
      <c r="W165" s="392">
        <f t="shared" si="174"/>
        <v>160.70240770999999</v>
      </c>
      <c r="X165" s="392">
        <f t="shared" si="174"/>
        <v>162.72</v>
      </c>
      <c r="Y165" s="392">
        <f t="shared" si="174"/>
        <v>156.13</v>
      </c>
      <c r="Z165" s="392">
        <f t="shared" si="174"/>
        <v>148.42743945000001</v>
      </c>
      <c r="AA165" s="392">
        <f t="shared" si="174"/>
        <v>162.11000000000001</v>
      </c>
      <c r="AB165" s="392">
        <f t="shared" si="174"/>
        <v>137.82999999999998</v>
      </c>
      <c r="AC165" s="392">
        <f t="shared" si="174"/>
        <v>140.82999999999998</v>
      </c>
      <c r="AD165" s="392">
        <f t="shared" si="174"/>
        <v>143.88999999999999</v>
      </c>
      <c r="AE165" s="392">
        <f t="shared" si="174"/>
        <v>150.47356137</v>
      </c>
      <c r="AF165" s="392">
        <f t="shared" si="174"/>
        <v>160.83865578999999</v>
      </c>
      <c r="AG165" s="392">
        <f t="shared" si="174"/>
        <v>158.95812603000002</v>
      </c>
      <c r="AH165" s="392">
        <f t="shared" si="174"/>
        <v>160.70115352999997</v>
      </c>
      <c r="AI165" s="392">
        <f t="shared" si="174"/>
        <v>160.56138480999999</v>
      </c>
      <c r="AJ165" s="392">
        <f t="shared" si="174"/>
        <v>165.26226785</v>
      </c>
      <c r="AK165" s="392">
        <f>AK107+AK108+AK111+AK112+AK113+AK115+AK117+AK120+AK123+AK125+AK127+AK128+AK135+AK138+AK140+AK143+AK145+AK147+AK149</f>
        <v>164.8318366</v>
      </c>
      <c r="AL165" s="392">
        <f>AL107+AL108+AL111+AL112+AL113+AL115+AL117+AL120+AL123+AL125+AL127+AL128+AL135+AL138+AL140+AL143+AL145+AL147+AL149</f>
        <v>157.89218817</v>
      </c>
      <c r="AM165" s="392">
        <f>AM107+AM108+AM111+AM112+AM113+AM115+AM117+AM120+AM123+AM125+AM127+AM128+AM135+AM138+AM140+AM143+AM145+AM147+AM149</f>
        <v>161.77627197000001</v>
      </c>
      <c r="AN165" s="392">
        <f>AN107+AN108+AN111+AN112+AN113+AN115+AN117+AN120+AN123+AN125+AN127+AN128+AN135+AN138+AN140+AN143+AN145+AN147+AN149</f>
        <v>156.28585520999999</v>
      </c>
      <c r="AO165" s="392">
        <f>AO107+AO108+AO111+AO112+AO113+AO115+AO117+AO120+AO123+AO125+AO127+AO128+AO135+AO138+AO140+AO143+AO145+AO147+AO149</f>
        <v>157.00572227000001</v>
      </c>
      <c r="AP165" s="654" t="s">
        <v>334</v>
      </c>
      <c r="AQ165" s="38"/>
    </row>
    <row r="166" spans="1:46" s="31" customFormat="1">
      <c r="A166" s="33"/>
      <c r="B166" s="395" t="s">
        <v>3</v>
      </c>
      <c r="C166" s="5" t="s">
        <v>147</v>
      </c>
      <c r="D166" s="394" t="s">
        <v>149</v>
      </c>
      <c r="G166" s="84"/>
      <c r="H166" s="84"/>
      <c r="I166" s="84">
        <f t="shared" ref="I166:AJ166" si="175">I105+I106</f>
        <v>0.8</v>
      </c>
      <c r="J166" s="84">
        <f t="shared" si="175"/>
        <v>0.64030200000000004</v>
      </c>
      <c r="K166" s="84">
        <f t="shared" si="175"/>
        <v>0.60816493999999999</v>
      </c>
      <c r="L166" s="84">
        <f t="shared" si="175"/>
        <v>1.1024456499999999</v>
      </c>
      <c r="M166" s="84">
        <f t="shared" si="175"/>
        <v>1.3</v>
      </c>
      <c r="N166" s="84">
        <f t="shared" si="175"/>
        <v>1.56</v>
      </c>
      <c r="O166" s="84">
        <f t="shared" si="175"/>
        <v>1.3</v>
      </c>
      <c r="P166" s="84">
        <f t="shared" si="175"/>
        <v>1.45</v>
      </c>
      <c r="Q166" s="84">
        <f t="shared" si="175"/>
        <v>1.3585938099999999</v>
      </c>
      <c r="R166" s="84">
        <f t="shared" si="175"/>
        <v>1.12617382</v>
      </c>
      <c r="S166" s="84">
        <f t="shared" si="175"/>
        <v>1.4</v>
      </c>
      <c r="T166" s="84">
        <f t="shared" si="175"/>
        <v>1.02</v>
      </c>
      <c r="U166" s="84">
        <f t="shared" si="175"/>
        <v>1.45</v>
      </c>
      <c r="V166" s="84">
        <f t="shared" si="175"/>
        <v>1.4500000000000002</v>
      </c>
      <c r="W166" s="84">
        <f t="shared" si="175"/>
        <v>1.4</v>
      </c>
      <c r="X166" s="84">
        <f t="shared" si="175"/>
        <v>1.2</v>
      </c>
      <c r="Y166" s="84">
        <f t="shared" si="175"/>
        <v>1.4</v>
      </c>
      <c r="Z166" s="84">
        <f t="shared" si="175"/>
        <v>1.2999999999999998</v>
      </c>
      <c r="AA166" s="84">
        <f t="shared" si="175"/>
        <v>1.35</v>
      </c>
      <c r="AB166" s="84">
        <f t="shared" si="175"/>
        <v>1.2</v>
      </c>
      <c r="AC166" s="84">
        <f t="shared" si="175"/>
        <v>1.45</v>
      </c>
      <c r="AD166" s="84">
        <f t="shared" si="175"/>
        <v>1.1000000000000001</v>
      </c>
      <c r="AE166" s="84">
        <f t="shared" si="175"/>
        <v>1.2</v>
      </c>
      <c r="AF166" s="84">
        <f t="shared" si="175"/>
        <v>1.4</v>
      </c>
      <c r="AG166" s="84">
        <f t="shared" si="175"/>
        <v>1.4</v>
      </c>
      <c r="AH166" s="84">
        <f t="shared" si="175"/>
        <v>1.35</v>
      </c>
      <c r="AI166" s="84">
        <f t="shared" si="175"/>
        <v>1.2</v>
      </c>
      <c r="AJ166" s="84">
        <f t="shared" si="175"/>
        <v>1.1499999999999999</v>
      </c>
      <c r="AK166" s="84">
        <f>AK105+AK106</f>
        <v>1</v>
      </c>
      <c r="AL166" s="84">
        <f>AL105+AL106</f>
        <v>1.05</v>
      </c>
      <c r="AM166" s="84">
        <f>AM105+AM106</f>
        <v>1.05</v>
      </c>
      <c r="AN166" s="84">
        <f>AN105+AN106</f>
        <v>1</v>
      </c>
      <c r="AO166" s="84">
        <f>AO105+AO106</f>
        <v>1.2</v>
      </c>
      <c r="AP166" s="654" t="s">
        <v>335</v>
      </c>
      <c r="AQ166" s="38"/>
    </row>
    <row r="167" spans="1:46" s="31" customFormat="1" ht="16" thickBot="1">
      <c r="A167" s="33"/>
      <c r="B167" s="395" t="s">
        <v>157</v>
      </c>
      <c r="C167" s="5" t="s">
        <v>9</v>
      </c>
      <c r="D167" s="394" t="s">
        <v>146</v>
      </c>
      <c r="G167" s="85"/>
      <c r="H167" s="85"/>
      <c r="I167" s="85">
        <f t="shared" ref="I167:Q167" si="176">SUM(I153:I158)</f>
        <v>28.7</v>
      </c>
      <c r="J167" s="85">
        <f t="shared" si="176"/>
        <v>23.6</v>
      </c>
      <c r="K167" s="85">
        <f t="shared" si="176"/>
        <v>19.850000000000001</v>
      </c>
      <c r="L167" s="85">
        <f t="shared" si="176"/>
        <v>23.27</v>
      </c>
      <c r="M167" s="85">
        <f t="shared" si="176"/>
        <v>29.57</v>
      </c>
      <c r="N167" s="85">
        <f t="shared" si="176"/>
        <v>29.259999999999998</v>
      </c>
      <c r="O167" s="85">
        <f t="shared" si="176"/>
        <v>26.774999999999999</v>
      </c>
      <c r="P167" s="85">
        <f t="shared" si="176"/>
        <v>26.65</v>
      </c>
      <c r="Q167" s="85">
        <f t="shared" si="176"/>
        <v>22.6</v>
      </c>
      <c r="R167" s="85">
        <f>SUM(R153:R158)</f>
        <v>23.2</v>
      </c>
      <c r="S167" s="85">
        <f>SUM(S153:S158)</f>
        <v>24.7</v>
      </c>
      <c r="T167" s="85">
        <f t="shared" ref="T167:AD167" si="177">SUM(T153:T158)</f>
        <v>21.72</v>
      </c>
      <c r="U167" s="85">
        <f t="shared" si="177"/>
        <v>26.2</v>
      </c>
      <c r="V167" s="85">
        <f t="shared" si="177"/>
        <v>28.39</v>
      </c>
      <c r="W167" s="85">
        <f t="shared" si="177"/>
        <v>27.66</v>
      </c>
      <c r="X167" s="85">
        <f t="shared" si="177"/>
        <v>27.65</v>
      </c>
      <c r="Y167" s="85">
        <f t="shared" si="177"/>
        <v>24.856999999999999</v>
      </c>
      <c r="Z167" s="85">
        <f t="shared" si="177"/>
        <v>19.12</v>
      </c>
      <c r="AA167" s="85">
        <f t="shared" si="177"/>
        <v>25.87</v>
      </c>
      <c r="AB167" s="85">
        <f t="shared" si="177"/>
        <v>26.552</v>
      </c>
      <c r="AC167" s="85">
        <f t="shared" si="177"/>
        <v>26.995000000000001</v>
      </c>
      <c r="AD167" s="85">
        <f t="shared" si="177"/>
        <v>25.28</v>
      </c>
      <c r="AE167" s="85">
        <f t="shared" ref="AE167:AK167" si="178">SUM(AE153:AE158)</f>
        <v>20.844999999999999</v>
      </c>
      <c r="AF167" s="85">
        <f t="shared" si="178"/>
        <v>26.515000000000001</v>
      </c>
      <c r="AG167" s="85">
        <f t="shared" si="178"/>
        <v>26.67</v>
      </c>
      <c r="AH167" s="85">
        <f t="shared" si="178"/>
        <v>27.355</v>
      </c>
      <c r="AI167" s="85">
        <f t="shared" si="178"/>
        <v>26.855</v>
      </c>
      <c r="AJ167" s="85">
        <f t="shared" si="178"/>
        <v>26.935000000000002</v>
      </c>
      <c r="AK167" s="85">
        <f t="shared" si="178"/>
        <v>26.725000000000001</v>
      </c>
      <c r="AL167" s="85">
        <f t="shared" ref="AL167:AM167" si="179">SUM(AL153:AL158)</f>
        <v>25.855</v>
      </c>
      <c r="AM167" s="85">
        <f t="shared" si="179"/>
        <v>27.355</v>
      </c>
      <c r="AN167" s="85">
        <f t="shared" ref="AN167" si="180">SUM(AN153:AN158)</f>
        <v>26.855</v>
      </c>
      <c r="AO167" s="85">
        <f>SUM(AO153:AO158)</f>
        <v>27.355</v>
      </c>
      <c r="AP167" s="654" t="s">
        <v>336</v>
      </c>
      <c r="AQ167" s="38"/>
    </row>
    <row r="168" spans="1:46" s="31" customFormat="1">
      <c r="A168" s="326"/>
      <c r="B168" s="444" t="s">
        <v>3</v>
      </c>
      <c r="C168" s="397" t="s">
        <v>151</v>
      </c>
      <c r="D168" s="393" t="s">
        <v>142</v>
      </c>
      <c r="E168" s="443">
        <f t="shared" ref="E168:T168" si="181">SUM(E106:E131)</f>
        <v>156.68</v>
      </c>
      <c r="F168" s="408">
        <f t="shared" si="181"/>
        <v>166.56891165000002</v>
      </c>
      <c r="G168" s="403">
        <f t="shared" si="181"/>
        <v>185.92871692</v>
      </c>
      <c r="H168" s="403">
        <f t="shared" si="181"/>
        <v>177.00768496999999</v>
      </c>
      <c r="I168" s="403">
        <f t="shared" si="181"/>
        <v>187.92999999999998</v>
      </c>
      <c r="J168" s="403">
        <f t="shared" si="181"/>
        <v>193.84373229999997</v>
      </c>
      <c r="K168" s="403">
        <f t="shared" si="181"/>
        <v>198.58999999999997</v>
      </c>
      <c r="L168" s="403">
        <f t="shared" si="181"/>
        <v>191.32567744999997</v>
      </c>
      <c r="M168" s="403">
        <f t="shared" si="181"/>
        <v>184.80329082</v>
      </c>
      <c r="N168" s="403">
        <f t="shared" si="181"/>
        <v>176.30545953000001</v>
      </c>
      <c r="O168" s="403">
        <f t="shared" si="181"/>
        <v>172.35000000000002</v>
      </c>
      <c r="P168" s="403">
        <f t="shared" si="181"/>
        <v>142.49</v>
      </c>
      <c r="Q168" s="403">
        <f t="shared" si="181"/>
        <v>140.31</v>
      </c>
      <c r="R168" s="403">
        <f t="shared" si="181"/>
        <v>160.07</v>
      </c>
      <c r="S168" s="403">
        <f t="shared" si="181"/>
        <v>176.33</v>
      </c>
      <c r="T168" s="403">
        <f t="shared" si="181"/>
        <v>191.43000000000004</v>
      </c>
      <c r="U168" s="403">
        <f>SUM(U105:U131)</f>
        <v>188.79000000000005</v>
      </c>
      <c r="V168" s="403">
        <f>SUM(V106:V131)</f>
        <v>199.20999999999998</v>
      </c>
      <c r="W168" s="403">
        <f>SUM(W106:W131)</f>
        <v>180.70240770999999</v>
      </c>
      <c r="X168" s="403">
        <f>SUM(X106:X131)</f>
        <v>182.49</v>
      </c>
      <c r="Y168" s="403">
        <f>SUM(Y106:Y131)</f>
        <v>164.48000000000002</v>
      </c>
      <c r="Z168" s="403">
        <f t="shared" ref="Z168:AJ168" si="182">SUM(Z106:Z131)</f>
        <v>166.64743945000001</v>
      </c>
      <c r="AA168" s="403">
        <f t="shared" si="182"/>
        <v>197.68999999999997</v>
      </c>
      <c r="AB168" s="403">
        <f t="shared" si="182"/>
        <v>165.49999999999997</v>
      </c>
      <c r="AC168" s="403">
        <f t="shared" si="182"/>
        <v>169.70000000000002</v>
      </c>
      <c r="AD168" s="403">
        <f t="shared" si="182"/>
        <v>171.50999999999996</v>
      </c>
      <c r="AE168" s="403">
        <f t="shared" si="182"/>
        <v>179.75356137</v>
      </c>
      <c r="AF168" s="403">
        <f t="shared" si="182"/>
        <v>192.41865578999997</v>
      </c>
      <c r="AG168" s="403">
        <f t="shared" si="182"/>
        <v>190.53812602999997</v>
      </c>
      <c r="AH168" s="403">
        <f t="shared" si="182"/>
        <v>192.23115352999994</v>
      </c>
      <c r="AI168" s="403">
        <f t="shared" si="182"/>
        <v>191.94138480999996</v>
      </c>
      <c r="AJ168" s="403">
        <f t="shared" si="182"/>
        <v>196.59226784999996</v>
      </c>
      <c r="AK168" s="403">
        <f>SUM(AK106:AK131)</f>
        <v>195.91183659999999</v>
      </c>
      <c r="AL168" s="403">
        <f>SUM(AL106:AL131)</f>
        <v>189.02218816999996</v>
      </c>
      <c r="AM168" s="403">
        <f>SUM(AM106:AM131)</f>
        <v>192.90627196999998</v>
      </c>
      <c r="AN168" s="403">
        <f>SUM(AN106:AN131)</f>
        <v>187.36585520999998</v>
      </c>
      <c r="AO168" s="403">
        <f>SUM(AO106:AO131)</f>
        <v>188.28572226999998</v>
      </c>
      <c r="AP168" s="654" t="s">
        <v>337</v>
      </c>
      <c r="AQ168" s="433"/>
    </row>
    <row r="169" spans="1:46" s="31" customFormat="1">
      <c r="A169" s="326"/>
      <c r="B169" s="445" t="s">
        <v>140</v>
      </c>
      <c r="C169" s="5" t="s">
        <v>150</v>
      </c>
      <c r="D169" s="394" t="s">
        <v>142</v>
      </c>
      <c r="G169" s="251"/>
      <c r="H169" s="251"/>
      <c r="I169" s="251">
        <f t="shared" ref="I169:T169" si="183">SUM(I107:I109,I135:I137,I153,I157,I158,I105,I106,I132)</f>
        <v>186.57</v>
      </c>
      <c r="J169" s="251">
        <f t="shared" si="183"/>
        <v>180.2840343</v>
      </c>
      <c r="K169" s="251">
        <f t="shared" si="183"/>
        <v>184.44816493999997</v>
      </c>
      <c r="L169" s="251">
        <f t="shared" si="183"/>
        <v>182.09812309999998</v>
      </c>
      <c r="M169" s="251">
        <f t="shared" si="183"/>
        <v>170.64329082</v>
      </c>
      <c r="N169" s="251">
        <f t="shared" si="183"/>
        <v>161.30545953000001</v>
      </c>
      <c r="O169" s="251">
        <f t="shared" si="183"/>
        <v>157.29500000000002</v>
      </c>
      <c r="P169" s="251">
        <f t="shared" si="183"/>
        <v>129.58999999999997</v>
      </c>
      <c r="Q169" s="251">
        <f t="shared" si="183"/>
        <v>127.31859380999998</v>
      </c>
      <c r="R169" s="251">
        <f t="shared" si="183"/>
        <v>131.86617382</v>
      </c>
      <c r="S169" s="251">
        <f t="shared" si="183"/>
        <v>149.82999999999998</v>
      </c>
      <c r="T169" s="251">
        <f t="shared" si="183"/>
        <v>159.02000000000004</v>
      </c>
      <c r="U169" s="251">
        <f t="shared" ref="U169:AI169" si="184">SUM(U107:U110,U135:U137,U153,U157,U158,U105,U106,U132)</f>
        <v>157.19</v>
      </c>
      <c r="V169" s="251">
        <f>SUM(V107:V110,V135:V137,V153,V157,V158,V105,V106,V132)</f>
        <v>163.95000000000002</v>
      </c>
      <c r="W169" s="251">
        <f t="shared" si="184"/>
        <v>162.36240770999999</v>
      </c>
      <c r="X169" s="251">
        <f t="shared" si="184"/>
        <v>162.32</v>
      </c>
      <c r="Y169" s="251">
        <f t="shared" si="184"/>
        <v>153.23699999999999</v>
      </c>
      <c r="Z169" s="251">
        <f t="shared" si="184"/>
        <v>146.16743944999999</v>
      </c>
      <c r="AA169" s="251">
        <f t="shared" si="184"/>
        <v>161.66</v>
      </c>
      <c r="AB169" s="251">
        <f t="shared" si="184"/>
        <v>143.65199999999999</v>
      </c>
      <c r="AC169" s="251">
        <f t="shared" si="184"/>
        <v>146.315</v>
      </c>
      <c r="AD169" s="251">
        <f t="shared" si="184"/>
        <v>146.29</v>
      </c>
      <c r="AE169" s="251">
        <f t="shared" si="184"/>
        <v>147.89856137000001</v>
      </c>
      <c r="AF169" s="251">
        <f t="shared" si="184"/>
        <v>159.43365578999999</v>
      </c>
      <c r="AG169" s="251">
        <f t="shared" si="184"/>
        <v>158.70812603000002</v>
      </c>
      <c r="AH169" s="251">
        <f t="shared" si="184"/>
        <v>160.58615352999996</v>
      </c>
      <c r="AI169" s="251">
        <f t="shared" si="184"/>
        <v>159.29638480999998</v>
      </c>
      <c r="AJ169" s="251">
        <f t="shared" ref="AJ169:AN169" si="185">SUM(AJ107:AJ110,AJ135:AJ137,AJ153,AJ157,AJ158,AJ105,AJ106,AJ132)</f>
        <v>164.02726785000002</v>
      </c>
      <c r="AK169" s="251">
        <f t="shared" si="185"/>
        <v>162.03683660000002</v>
      </c>
      <c r="AL169" s="251">
        <f t="shared" si="185"/>
        <v>154.27718816999999</v>
      </c>
      <c r="AM169" s="251">
        <f t="shared" si="185"/>
        <v>159.66127197</v>
      </c>
      <c r="AN169" s="251">
        <f t="shared" si="185"/>
        <v>153.62085521</v>
      </c>
      <c r="AO169" s="251">
        <f>SUM(AO107:AO110,AO135:AO137,AO153,AO157,AO158,AO105,AO106,AO132)</f>
        <v>155.04072227</v>
      </c>
      <c r="AP169" s="654" t="s">
        <v>338</v>
      </c>
      <c r="AQ169" s="433"/>
    </row>
    <row r="170" spans="1:46" s="31" customFormat="1">
      <c r="A170" s="326"/>
      <c r="B170" s="446" t="s">
        <v>140</v>
      </c>
      <c r="C170" s="409" t="s">
        <v>158</v>
      </c>
      <c r="D170" s="410" t="s">
        <v>142</v>
      </c>
      <c r="G170" s="411"/>
      <c r="H170" s="411"/>
      <c r="I170" s="411"/>
      <c r="J170" s="411"/>
      <c r="K170" s="411"/>
      <c r="L170" s="411"/>
      <c r="M170" s="411"/>
      <c r="N170" s="411"/>
      <c r="O170" s="411"/>
      <c r="P170" s="411"/>
      <c r="Q170" s="411"/>
      <c r="R170" s="411">
        <f t="shared" ref="R170:AJ170" si="186">R169-R105-R106</f>
        <v>130.74</v>
      </c>
      <c r="S170" s="411">
        <f t="shared" si="186"/>
        <v>148.42999999999998</v>
      </c>
      <c r="T170" s="411">
        <f t="shared" si="186"/>
        <v>158.00000000000003</v>
      </c>
      <c r="U170" s="411">
        <f t="shared" si="186"/>
        <v>155.74</v>
      </c>
      <c r="V170" s="411">
        <f t="shared" si="186"/>
        <v>162.5</v>
      </c>
      <c r="W170" s="411">
        <f t="shared" si="186"/>
        <v>160.96240770999998</v>
      </c>
      <c r="X170" s="411">
        <f t="shared" si="186"/>
        <v>161.12</v>
      </c>
      <c r="Y170" s="411">
        <f t="shared" si="186"/>
        <v>151.83699999999999</v>
      </c>
      <c r="Z170" s="411">
        <f t="shared" si="186"/>
        <v>144.86743945000001</v>
      </c>
      <c r="AA170" s="411">
        <f t="shared" si="186"/>
        <v>160.31</v>
      </c>
      <c r="AB170" s="411">
        <f t="shared" si="186"/>
        <v>142.452</v>
      </c>
      <c r="AC170" s="411">
        <f t="shared" si="186"/>
        <v>144.86500000000001</v>
      </c>
      <c r="AD170" s="411">
        <f t="shared" si="186"/>
        <v>145.19</v>
      </c>
      <c r="AE170" s="411">
        <f t="shared" si="186"/>
        <v>146.69856137000002</v>
      </c>
      <c r="AF170" s="411">
        <f t="shared" si="186"/>
        <v>158.03365578999998</v>
      </c>
      <c r="AG170" s="411">
        <f t="shared" si="186"/>
        <v>157.30812603000001</v>
      </c>
      <c r="AH170" s="411">
        <f t="shared" si="186"/>
        <v>159.23615352999997</v>
      </c>
      <c r="AI170" s="411">
        <f t="shared" si="186"/>
        <v>158.09638480999999</v>
      </c>
      <c r="AJ170" s="411">
        <f t="shared" si="186"/>
        <v>162.87726785000001</v>
      </c>
      <c r="AK170" s="411">
        <f>AK169-AK105-AK106</f>
        <v>161.03683660000002</v>
      </c>
      <c r="AL170" s="411">
        <f>AL169-AL105-AL106</f>
        <v>153.22718817000001</v>
      </c>
      <c r="AM170" s="411">
        <f>AM169-AM105-AM106</f>
        <v>158.61127197000002</v>
      </c>
      <c r="AN170" s="411">
        <f>AN169-AN105-AN106</f>
        <v>152.62085521</v>
      </c>
      <c r="AO170" s="411">
        <f>AO169-AO105-AO106</f>
        <v>153.84072227000001</v>
      </c>
      <c r="AP170" s="654" t="s">
        <v>339</v>
      </c>
      <c r="AQ170" s="433"/>
    </row>
    <row r="171" spans="1:46" s="31" customFormat="1">
      <c r="A171" s="326"/>
      <c r="B171" s="445" t="s">
        <v>140</v>
      </c>
      <c r="C171" s="5" t="s">
        <v>154</v>
      </c>
      <c r="D171" s="394" t="s">
        <v>142</v>
      </c>
      <c r="G171" s="251"/>
      <c r="H171" s="251"/>
      <c r="I171" s="251">
        <f t="shared" ref="I171:AJ171" si="187">I111+I112</f>
        <v>45.760000000000005</v>
      </c>
      <c r="J171" s="251">
        <f t="shared" si="187"/>
        <v>46.2</v>
      </c>
      <c r="K171" s="251">
        <f t="shared" si="187"/>
        <v>46.2</v>
      </c>
      <c r="L171" s="251">
        <f t="shared" si="187"/>
        <v>46.2</v>
      </c>
      <c r="M171" s="251">
        <f t="shared" si="187"/>
        <v>44</v>
      </c>
      <c r="N171" s="251">
        <f t="shared" si="187"/>
        <v>44</v>
      </c>
      <c r="O171" s="251">
        <f t="shared" si="187"/>
        <v>33</v>
      </c>
      <c r="P171" s="251">
        <f t="shared" si="187"/>
        <v>30</v>
      </c>
      <c r="Q171" s="251">
        <f t="shared" si="187"/>
        <v>31</v>
      </c>
      <c r="R171" s="251">
        <f t="shared" si="187"/>
        <v>35</v>
      </c>
      <c r="S171" s="251">
        <f t="shared" si="187"/>
        <v>39</v>
      </c>
      <c r="T171" s="251">
        <f t="shared" si="187"/>
        <v>40</v>
      </c>
      <c r="U171" s="251">
        <f t="shared" si="187"/>
        <v>41</v>
      </c>
      <c r="V171" s="251">
        <f t="shared" si="187"/>
        <v>43</v>
      </c>
      <c r="W171" s="251">
        <f t="shared" si="187"/>
        <v>41</v>
      </c>
      <c r="X171" s="251">
        <f t="shared" si="187"/>
        <v>42</v>
      </c>
      <c r="Y171" s="251">
        <f t="shared" si="187"/>
        <v>40</v>
      </c>
      <c r="Z171" s="251">
        <f t="shared" si="187"/>
        <v>39.4</v>
      </c>
      <c r="AA171" s="251">
        <f t="shared" si="187"/>
        <v>43</v>
      </c>
      <c r="AB171" s="251">
        <f t="shared" si="187"/>
        <v>36</v>
      </c>
      <c r="AC171" s="251">
        <f t="shared" si="187"/>
        <v>36</v>
      </c>
      <c r="AD171" s="251">
        <f t="shared" si="187"/>
        <v>36</v>
      </c>
      <c r="AE171" s="251">
        <f t="shared" si="187"/>
        <v>36</v>
      </c>
      <c r="AF171" s="251">
        <f t="shared" si="187"/>
        <v>42</v>
      </c>
      <c r="AG171" s="251">
        <f t="shared" si="187"/>
        <v>41</v>
      </c>
      <c r="AH171" s="251">
        <f t="shared" si="187"/>
        <v>41.5</v>
      </c>
      <c r="AI171" s="251">
        <f t="shared" si="187"/>
        <v>42</v>
      </c>
      <c r="AJ171" s="251">
        <f t="shared" si="187"/>
        <v>42</v>
      </c>
      <c r="AK171" s="251">
        <f>AK111+AK112</f>
        <v>42</v>
      </c>
      <c r="AL171" s="251">
        <f>AL111+AL112</f>
        <v>42</v>
      </c>
      <c r="AM171" s="251">
        <f>AM111+AM112</f>
        <v>42</v>
      </c>
      <c r="AN171" s="251">
        <f>AN111+AN112</f>
        <v>42</v>
      </c>
      <c r="AO171" s="251">
        <f>AO111+AO112</f>
        <v>42</v>
      </c>
      <c r="AP171" s="654" t="s">
        <v>340</v>
      </c>
      <c r="AQ171" s="433"/>
    </row>
    <row r="172" spans="1:46" s="31" customFormat="1">
      <c r="A172" s="326"/>
      <c r="B172" s="445" t="s">
        <v>140</v>
      </c>
      <c r="C172" s="5" t="s">
        <v>153</v>
      </c>
      <c r="D172" s="394" t="s">
        <v>142</v>
      </c>
      <c r="G172" s="251"/>
      <c r="H172" s="251"/>
      <c r="I172" s="251">
        <f t="shared" ref="I172:U172" si="188">I117+I118+I140+I141+I154</f>
        <v>2.4</v>
      </c>
      <c r="J172" s="251">
        <f t="shared" si="188"/>
        <v>1.8</v>
      </c>
      <c r="K172" s="251">
        <f t="shared" si="188"/>
        <v>2.4</v>
      </c>
      <c r="L172" s="251">
        <f t="shared" si="188"/>
        <v>2.4</v>
      </c>
      <c r="M172" s="251">
        <f t="shared" si="188"/>
        <v>4.33</v>
      </c>
      <c r="N172" s="251">
        <f t="shared" si="188"/>
        <v>4.2</v>
      </c>
      <c r="O172" s="251">
        <f t="shared" si="188"/>
        <v>3</v>
      </c>
      <c r="P172" s="251">
        <f t="shared" si="188"/>
        <v>1.8</v>
      </c>
      <c r="Q172" s="251">
        <f t="shared" si="188"/>
        <v>1.8</v>
      </c>
      <c r="R172" s="251">
        <f t="shared" si="188"/>
        <v>1.8</v>
      </c>
      <c r="S172" s="251">
        <f t="shared" si="188"/>
        <v>1.8</v>
      </c>
      <c r="T172" s="251">
        <f t="shared" si="188"/>
        <v>1.8</v>
      </c>
      <c r="U172" s="251">
        <f t="shared" si="188"/>
        <v>2.4</v>
      </c>
      <c r="V172" s="251">
        <f>V117+V118+V140+V141+V154+V119</f>
        <v>2.6</v>
      </c>
      <c r="W172" s="251">
        <f>W117+W118+W140+W141+W154+W119</f>
        <v>4.2</v>
      </c>
      <c r="X172" s="251">
        <f>X117+X118+X140+X141+X154+X119</f>
        <v>4.2</v>
      </c>
      <c r="Y172" s="251">
        <f>Y117+Y118+Y140+Y141+Y142+Y154+Y119</f>
        <v>4.4000000000000004</v>
      </c>
      <c r="Z172" s="251">
        <f t="shared" ref="Z172:AJ172" si="189">Z117+Z118+Z140+Z141+Z142+Z154+Z119</f>
        <v>5</v>
      </c>
      <c r="AA172" s="251">
        <f t="shared" si="189"/>
        <v>4.2</v>
      </c>
      <c r="AB172" s="251">
        <f t="shared" si="189"/>
        <v>4.2</v>
      </c>
      <c r="AC172" s="251">
        <f t="shared" si="189"/>
        <v>3.5999999999999996</v>
      </c>
      <c r="AD172" s="251">
        <f t="shared" si="189"/>
        <v>4.2</v>
      </c>
      <c r="AE172" s="251">
        <f t="shared" si="189"/>
        <v>4.2</v>
      </c>
      <c r="AF172" s="251">
        <f t="shared" si="189"/>
        <v>4.2</v>
      </c>
      <c r="AG172" s="251">
        <f t="shared" si="189"/>
        <v>4.2</v>
      </c>
      <c r="AH172" s="251">
        <f t="shared" si="189"/>
        <v>4.2</v>
      </c>
      <c r="AI172" s="251">
        <f t="shared" si="189"/>
        <v>4.2</v>
      </c>
      <c r="AJ172" s="251">
        <f t="shared" si="189"/>
        <v>4.2</v>
      </c>
      <c r="AK172" s="251">
        <f>AK117+AK118+AK140+AK141+AK142+AK154+AK119</f>
        <v>4.2</v>
      </c>
      <c r="AL172" s="251">
        <f>AL117+AL118+AL140+AL141+AL142+AL154+AL119</f>
        <v>4.2</v>
      </c>
      <c r="AM172" s="251">
        <f>AM117+AM118+AM140+AM141+AM142+AM154+AM119</f>
        <v>4.2</v>
      </c>
      <c r="AN172" s="251">
        <f>AN117+AN118+AN140+AN141+AN142+AN154+AN119</f>
        <v>4.2</v>
      </c>
      <c r="AO172" s="251">
        <f>AO117+AO118+AO140+AO141+AO142+AO154+AO119</f>
        <v>4.2</v>
      </c>
      <c r="AP172" s="654" t="s">
        <v>341</v>
      </c>
      <c r="AQ172" s="433"/>
    </row>
    <row r="173" spans="1:46" s="31" customFormat="1" ht="12" customHeight="1">
      <c r="A173" s="326"/>
      <c r="B173" s="445" t="s">
        <v>140</v>
      </c>
      <c r="C173" s="5" t="s">
        <v>152</v>
      </c>
      <c r="D173" s="394" t="s">
        <v>142</v>
      </c>
      <c r="G173" s="251"/>
      <c r="H173" s="251"/>
      <c r="I173" s="251">
        <f t="shared" ref="I173:AK173" si="190">I120+I121+I133+I143+I144+I155</f>
        <v>3.8</v>
      </c>
      <c r="J173" s="251">
        <f t="shared" si="190"/>
        <v>6.4</v>
      </c>
      <c r="K173" s="251">
        <f t="shared" si="190"/>
        <v>5.6</v>
      </c>
      <c r="L173" s="251">
        <f t="shared" si="190"/>
        <v>6.4</v>
      </c>
      <c r="M173" s="251">
        <f t="shared" si="190"/>
        <v>15</v>
      </c>
      <c r="N173" s="251">
        <f t="shared" si="190"/>
        <v>15</v>
      </c>
      <c r="O173" s="251">
        <f t="shared" si="190"/>
        <v>14.16</v>
      </c>
      <c r="P173" s="251">
        <f t="shared" si="190"/>
        <v>10.5</v>
      </c>
      <c r="Q173" s="251">
        <f t="shared" si="190"/>
        <v>10</v>
      </c>
      <c r="R173" s="251">
        <f t="shared" si="190"/>
        <v>14.98</v>
      </c>
      <c r="S173" s="251">
        <f t="shared" si="190"/>
        <v>15.5</v>
      </c>
      <c r="T173" s="251">
        <f t="shared" si="190"/>
        <v>14.4</v>
      </c>
      <c r="U173" s="251">
        <f t="shared" si="190"/>
        <v>15.6</v>
      </c>
      <c r="V173" s="251">
        <f t="shared" si="190"/>
        <v>17.5</v>
      </c>
      <c r="W173" s="251">
        <f t="shared" si="190"/>
        <v>15</v>
      </c>
      <c r="X173" s="251">
        <f t="shared" si="190"/>
        <v>15.7</v>
      </c>
      <c r="Y173" s="251">
        <f t="shared" si="190"/>
        <v>11.3</v>
      </c>
      <c r="Z173" s="251">
        <f t="shared" si="190"/>
        <v>13.2</v>
      </c>
      <c r="AA173" s="251">
        <f t="shared" si="190"/>
        <v>16.5</v>
      </c>
      <c r="AB173" s="251">
        <f t="shared" si="190"/>
        <v>12</v>
      </c>
      <c r="AC173" s="251">
        <f t="shared" si="190"/>
        <v>12.579999999999998</v>
      </c>
      <c r="AD173" s="251">
        <f t="shared" si="190"/>
        <v>12</v>
      </c>
      <c r="AE173" s="251">
        <f t="shared" si="190"/>
        <v>13</v>
      </c>
      <c r="AF173" s="251">
        <f t="shared" si="190"/>
        <v>15</v>
      </c>
      <c r="AG173" s="251">
        <f t="shared" si="190"/>
        <v>15</v>
      </c>
      <c r="AH173" s="251">
        <f t="shared" si="190"/>
        <v>15</v>
      </c>
      <c r="AI173" s="251">
        <f t="shared" si="190"/>
        <v>15</v>
      </c>
      <c r="AJ173" s="251">
        <f t="shared" si="190"/>
        <v>15</v>
      </c>
      <c r="AK173" s="251">
        <f t="shared" si="190"/>
        <v>15</v>
      </c>
      <c r="AL173" s="251">
        <f t="shared" ref="AL173:AM173" si="191">AL120+AL121+AL133+AL143+AL144+AL155</f>
        <v>15</v>
      </c>
      <c r="AM173" s="251">
        <f t="shared" si="191"/>
        <v>15</v>
      </c>
      <c r="AN173" s="251">
        <f t="shared" ref="AN173" si="192">AN120+AN121+AN133+AN143+AN144+AN155</f>
        <v>15</v>
      </c>
      <c r="AO173" s="251">
        <f>AO120+AO121+AO133+AO143+AO144+AO155</f>
        <v>15</v>
      </c>
      <c r="AP173" s="654" t="s">
        <v>342</v>
      </c>
      <c r="AQ173" s="433"/>
    </row>
    <row r="174" spans="1:46" s="31" customFormat="1" ht="12.75" customHeight="1">
      <c r="A174" s="326"/>
      <c r="B174" s="445" t="s">
        <v>140</v>
      </c>
      <c r="C174" s="5" t="s">
        <v>160</v>
      </c>
      <c r="D174" s="394" t="s">
        <v>142</v>
      </c>
      <c r="G174" s="251"/>
      <c r="H174" s="251"/>
      <c r="I174" s="251"/>
      <c r="J174" s="251"/>
      <c r="K174" s="251"/>
      <c r="L174" s="251"/>
      <c r="M174" s="251"/>
      <c r="N174" s="251"/>
      <c r="O174" s="251"/>
      <c r="P174" s="251"/>
      <c r="Q174" s="251"/>
      <c r="R174" s="251"/>
      <c r="S174" s="251"/>
      <c r="T174" s="251">
        <f t="shared" ref="T174:AJ174" si="193">T122+T156</f>
        <v>0</v>
      </c>
      <c r="U174" s="251">
        <f t="shared" si="193"/>
        <v>0</v>
      </c>
      <c r="V174" s="251">
        <f t="shared" si="193"/>
        <v>0</v>
      </c>
      <c r="W174" s="251">
        <f t="shared" si="193"/>
        <v>0</v>
      </c>
      <c r="X174" s="251">
        <f t="shared" si="193"/>
        <v>0</v>
      </c>
      <c r="Y174" s="251">
        <f t="shared" si="193"/>
        <v>0</v>
      </c>
      <c r="Z174" s="251">
        <f t="shared" si="193"/>
        <v>0</v>
      </c>
      <c r="AA174" s="251">
        <f t="shared" si="193"/>
        <v>0</v>
      </c>
      <c r="AB174" s="251">
        <f t="shared" si="193"/>
        <v>0</v>
      </c>
      <c r="AC174" s="251">
        <f t="shared" si="193"/>
        <v>0</v>
      </c>
      <c r="AD174" s="251">
        <f t="shared" si="193"/>
        <v>0</v>
      </c>
      <c r="AE174" s="251">
        <f t="shared" si="193"/>
        <v>0</v>
      </c>
      <c r="AF174" s="251">
        <f t="shared" si="193"/>
        <v>0</v>
      </c>
      <c r="AG174" s="251">
        <f t="shared" si="193"/>
        <v>0</v>
      </c>
      <c r="AH174" s="251">
        <f t="shared" si="193"/>
        <v>0</v>
      </c>
      <c r="AI174" s="251">
        <f t="shared" si="193"/>
        <v>0</v>
      </c>
      <c r="AJ174" s="251">
        <f t="shared" si="193"/>
        <v>0</v>
      </c>
      <c r="AK174" s="251">
        <f>AK122+AK156</f>
        <v>0</v>
      </c>
      <c r="AL174" s="251">
        <f>AL122+AL156</f>
        <v>0</v>
      </c>
      <c r="AM174" s="251">
        <f>AM122+AM156</f>
        <v>0</v>
      </c>
      <c r="AN174" s="251">
        <f>AN122+AN156</f>
        <v>0</v>
      </c>
      <c r="AO174" s="251">
        <f>AO122+AO156</f>
        <v>0</v>
      </c>
      <c r="AP174" s="654" t="s">
        <v>343</v>
      </c>
      <c r="AQ174" s="433"/>
    </row>
    <row r="175" spans="1:46" s="31" customFormat="1" ht="12.75" customHeight="1">
      <c r="A175" s="326"/>
      <c r="B175" s="445" t="s">
        <v>140</v>
      </c>
      <c r="C175" s="5" t="s">
        <v>163</v>
      </c>
      <c r="D175" s="394" t="s">
        <v>142</v>
      </c>
      <c r="G175" s="251"/>
      <c r="H175" s="251"/>
      <c r="I175" s="251"/>
      <c r="J175" s="251"/>
      <c r="K175" s="251"/>
      <c r="L175" s="251"/>
      <c r="M175" s="251"/>
      <c r="N175" s="251"/>
      <c r="O175" s="251"/>
      <c r="P175" s="251"/>
      <c r="Q175" s="251"/>
      <c r="R175" s="251"/>
      <c r="S175" s="251"/>
      <c r="T175" s="251"/>
      <c r="U175" s="251"/>
      <c r="V175" s="251"/>
      <c r="W175" s="251">
        <f>W113+W114+W138+W139</f>
        <v>0</v>
      </c>
      <c r="X175" s="251">
        <f t="shared" ref="X175:AJ175" si="194">X113+X114+X138+X139</f>
        <v>0</v>
      </c>
      <c r="Y175" s="251">
        <f t="shared" si="194"/>
        <v>0</v>
      </c>
      <c r="Z175" s="251">
        <f t="shared" si="194"/>
        <v>0</v>
      </c>
      <c r="AA175" s="251">
        <f t="shared" si="194"/>
        <v>0</v>
      </c>
      <c r="AB175" s="251">
        <f t="shared" si="194"/>
        <v>0</v>
      </c>
      <c r="AC175" s="251">
        <f t="shared" si="194"/>
        <v>0</v>
      </c>
      <c r="AD175" s="251">
        <f t="shared" si="194"/>
        <v>0</v>
      </c>
      <c r="AE175" s="251">
        <f t="shared" si="194"/>
        <v>0</v>
      </c>
      <c r="AF175" s="251">
        <f t="shared" si="194"/>
        <v>0</v>
      </c>
      <c r="AG175" s="251">
        <f t="shared" si="194"/>
        <v>0</v>
      </c>
      <c r="AH175" s="251">
        <f t="shared" si="194"/>
        <v>0</v>
      </c>
      <c r="AI175" s="251">
        <f t="shared" si="194"/>
        <v>0</v>
      </c>
      <c r="AJ175" s="251">
        <f t="shared" si="194"/>
        <v>0</v>
      </c>
      <c r="AK175" s="251">
        <f>AK113+AK114+AK138+AK139</f>
        <v>0</v>
      </c>
      <c r="AL175" s="251">
        <f>AL113+AL114+AL138+AL139</f>
        <v>0</v>
      </c>
      <c r="AM175" s="251">
        <f>AM113+AM114+AM138+AM139</f>
        <v>0</v>
      </c>
      <c r="AN175" s="251">
        <f>AN113+AN114+AN138+AN139</f>
        <v>0</v>
      </c>
      <c r="AO175" s="251">
        <f>AO113+AO114+AO138+AO139</f>
        <v>0</v>
      </c>
      <c r="AP175" s="654" t="s">
        <v>344</v>
      </c>
      <c r="AQ175" s="433"/>
    </row>
    <row r="176" spans="1:46" s="31" customFormat="1" ht="12.75" customHeight="1">
      <c r="A176" s="326"/>
      <c r="B176" s="445" t="s">
        <v>140</v>
      </c>
      <c r="C176" s="5" t="s">
        <v>164</v>
      </c>
      <c r="D176" s="394" t="s">
        <v>142</v>
      </c>
      <c r="G176" s="251"/>
      <c r="H176" s="251"/>
      <c r="I176" s="251"/>
      <c r="J176" s="251"/>
      <c r="K176" s="251"/>
      <c r="L176" s="251"/>
      <c r="M176" s="251"/>
      <c r="N176" s="251"/>
      <c r="O176" s="251"/>
      <c r="P176" s="251"/>
      <c r="Q176" s="251"/>
      <c r="R176" s="251"/>
      <c r="S176" s="251"/>
      <c r="T176" s="251"/>
      <c r="U176" s="251"/>
      <c r="V176" s="251"/>
      <c r="W176" s="251">
        <f>W115+W116</f>
        <v>0</v>
      </c>
      <c r="X176" s="251">
        <f t="shared" ref="X176:AJ176" si="195">X115+X116</f>
        <v>0</v>
      </c>
      <c r="Y176" s="251">
        <f t="shared" si="195"/>
        <v>0</v>
      </c>
      <c r="Z176" s="251">
        <f t="shared" si="195"/>
        <v>0</v>
      </c>
      <c r="AA176" s="251">
        <f t="shared" si="195"/>
        <v>0</v>
      </c>
      <c r="AB176" s="251">
        <f t="shared" si="195"/>
        <v>0</v>
      </c>
      <c r="AC176" s="251">
        <f t="shared" si="195"/>
        <v>0</v>
      </c>
      <c r="AD176" s="251">
        <f t="shared" si="195"/>
        <v>0</v>
      </c>
      <c r="AE176" s="251">
        <f t="shared" si="195"/>
        <v>0</v>
      </c>
      <c r="AF176" s="251">
        <f t="shared" si="195"/>
        <v>0</v>
      </c>
      <c r="AG176" s="251">
        <f t="shared" si="195"/>
        <v>0</v>
      </c>
      <c r="AH176" s="251">
        <f t="shared" si="195"/>
        <v>0</v>
      </c>
      <c r="AI176" s="251">
        <f t="shared" si="195"/>
        <v>0</v>
      </c>
      <c r="AJ176" s="251">
        <f t="shared" si="195"/>
        <v>0</v>
      </c>
      <c r="AK176" s="251">
        <f>AK115+AK116</f>
        <v>0</v>
      </c>
      <c r="AL176" s="251">
        <f>AL115+AL116</f>
        <v>0</v>
      </c>
      <c r="AM176" s="251">
        <f>AM115+AM116</f>
        <v>0</v>
      </c>
      <c r="AN176" s="251">
        <f>AN115+AN116</f>
        <v>0</v>
      </c>
      <c r="AO176" s="251">
        <f>AO115+AO116</f>
        <v>0</v>
      </c>
      <c r="AP176" s="654" t="s">
        <v>345</v>
      </c>
      <c r="AQ176" s="433"/>
    </row>
    <row r="177" spans="1:46" s="31" customFormat="1" ht="12.75" customHeight="1" thickBot="1">
      <c r="A177" s="326"/>
      <c r="B177" s="399" t="s">
        <v>140</v>
      </c>
      <c r="C177" s="398" t="s">
        <v>165</v>
      </c>
      <c r="D177" s="396" t="s">
        <v>142</v>
      </c>
      <c r="G177" s="251"/>
      <c r="H177" s="251"/>
      <c r="I177" s="251"/>
      <c r="J177" s="251"/>
      <c r="K177" s="251"/>
      <c r="L177" s="251"/>
      <c r="M177" s="251"/>
      <c r="N177" s="251"/>
      <c r="O177" s="251"/>
      <c r="P177" s="251"/>
      <c r="Q177" s="251"/>
      <c r="R177" s="251"/>
      <c r="S177" s="251"/>
      <c r="T177" s="251"/>
      <c r="U177" s="251"/>
      <c r="V177" s="251"/>
      <c r="W177" s="251">
        <f>W125+W126+W147+W148</f>
        <v>0</v>
      </c>
      <c r="X177" s="251">
        <f t="shared" ref="X177:AJ177" si="196">X125+X126+X147+X148</f>
        <v>0</v>
      </c>
      <c r="Y177" s="251">
        <f t="shared" si="196"/>
        <v>0</v>
      </c>
      <c r="Z177" s="251">
        <f t="shared" si="196"/>
        <v>0</v>
      </c>
      <c r="AA177" s="251">
        <f t="shared" si="196"/>
        <v>0</v>
      </c>
      <c r="AB177" s="251">
        <f t="shared" si="196"/>
        <v>0</v>
      </c>
      <c r="AC177" s="251">
        <f t="shared" si="196"/>
        <v>0</v>
      </c>
      <c r="AD177" s="251">
        <f t="shared" si="196"/>
        <v>0</v>
      </c>
      <c r="AE177" s="251">
        <f t="shared" si="196"/>
        <v>0</v>
      </c>
      <c r="AF177" s="251">
        <f t="shared" si="196"/>
        <v>0</v>
      </c>
      <c r="AG177" s="251">
        <f t="shared" si="196"/>
        <v>0</v>
      </c>
      <c r="AH177" s="251">
        <f t="shared" si="196"/>
        <v>0</v>
      </c>
      <c r="AI177" s="251">
        <f t="shared" si="196"/>
        <v>0</v>
      </c>
      <c r="AJ177" s="251">
        <f t="shared" si="196"/>
        <v>0</v>
      </c>
      <c r="AK177" s="251">
        <f>AK125+AK126+AK147+AK148</f>
        <v>0</v>
      </c>
      <c r="AL177" s="251">
        <f>AL125+AL126+AL147+AL148</f>
        <v>0</v>
      </c>
      <c r="AM177" s="251">
        <f>AM125+AM126+AM147+AM148</f>
        <v>0</v>
      </c>
      <c r="AN177" s="251">
        <f>AN125+AN126+AN147+AN148</f>
        <v>0</v>
      </c>
      <c r="AO177" s="251">
        <f>AO125+AO126+AO147+AO148</f>
        <v>0</v>
      </c>
      <c r="AP177" s="654" t="s">
        <v>346</v>
      </c>
      <c r="AQ177" s="433"/>
    </row>
    <row r="178" spans="1:46" s="31" customFormat="1" ht="16" thickBot="1">
      <c r="A178" s="330" t="s">
        <v>145</v>
      </c>
      <c r="B178" s="399" t="s">
        <v>143</v>
      </c>
      <c r="C178" s="398" t="s">
        <v>141</v>
      </c>
      <c r="D178" s="396" t="s">
        <v>143</v>
      </c>
      <c r="E178" s="50">
        <f>SUM(E95:E158)</f>
        <v>43944.538999999997</v>
      </c>
      <c r="F178" s="50">
        <f>SUM(F95:F158)</f>
        <v>43958.297005059998</v>
      </c>
      <c r="G178" s="50">
        <f>SUM(G95:G158)</f>
        <v>44027.982716919993</v>
      </c>
      <c r="H178" s="50">
        <f>SUM(H95:H158)</f>
        <v>44046.748237969987</v>
      </c>
      <c r="I178" s="405">
        <f t="shared" ref="I178:Y178" si="197">SUM(I97:I158)</f>
        <v>307.97699999999998</v>
      </c>
      <c r="J178" s="405">
        <f t="shared" si="197"/>
        <v>311.40103429999999</v>
      </c>
      <c r="K178" s="405">
        <f t="shared" si="197"/>
        <v>310.49016493999994</v>
      </c>
      <c r="L178" s="405">
        <f t="shared" si="197"/>
        <v>301.83112309999996</v>
      </c>
      <c r="M178" s="405">
        <f t="shared" si="197"/>
        <v>297.98329081999998</v>
      </c>
      <c r="N178" s="405">
        <f t="shared" si="197"/>
        <v>287.21145953000001</v>
      </c>
      <c r="O178" s="405">
        <f t="shared" si="197"/>
        <v>287.78300000000007</v>
      </c>
      <c r="P178" s="405">
        <f t="shared" si="197"/>
        <v>293.58999999999986</v>
      </c>
      <c r="Q178" s="405">
        <f t="shared" si="197"/>
        <v>243.57659381000002</v>
      </c>
      <c r="R178" s="405">
        <f t="shared" si="197"/>
        <v>282.79017382000001</v>
      </c>
      <c r="S178" s="406">
        <f t="shared" si="197"/>
        <v>301.85999999999996</v>
      </c>
      <c r="T178" s="406">
        <f t="shared" si="197"/>
        <v>323.9323626373627</v>
      </c>
      <c r="U178" s="406">
        <f t="shared" si="197"/>
        <v>310.59999999999997</v>
      </c>
      <c r="V178" s="406">
        <f t="shared" si="197"/>
        <v>325.31</v>
      </c>
      <c r="W178" s="406">
        <f t="shared" si="197"/>
        <v>323.36240770999996</v>
      </c>
      <c r="X178" s="406">
        <f t="shared" si="197"/>
        <v>337.09400000000005</v>
      </c>
      <c r="Y178" s="406">
        <f t="shared" si="197"/>
        <v>323.80400000000009</v>
      </c>
      <c r="Z178" s="406">
        <f>SUM(Z97:Z158)+Z93</f>
        <v>324.90343944999995</v>
      </c>
      <c r="AA178" s="406">
        <f>SUM(AA97:AA158)+AA93</f>
        <v>354.01599999999996</v>
      </c>
      <c r="AB178" s="406">
        <f t="shared" ref="AB178:AC178" si="198">SUM(AB97:AB158)+AB93</f>
        <v>324.34300000000002</v>
      </c>
      <c r="AC178" s="406">
        <f t="shared" si="198"/>
        <v>373.42199999999991</v>
      </c>
      <c r="AD178" s="406">
        <f>SUM(AD97:AD158)</f>
        <v>344.38299999999987</v>
      </c>
      <c r="AE178" s="406">
        <f t="shared" ref="AE178:AN178" si="199">SUM(AE97:AE158)</f>
        <v>325.91556137000003</v>
      </c>
      <c r="AF178" s="406">
        <f t="shared" si="199"/>
        <v>359.39465579000006</v>
      </c>
      <c r="AG178" s="406">
        <f t="shared" si="199"/>
        <v>349.02512603000002</v>
      </c>
      <c r="AH178" s="406">
        <f t="shared" si="199"/>
        <v>334.70015352999997</v>
      </c>
      <c r="AI178" s="406">
        <f t="shared" si="199"/>
        <v>353.79138481000001</v>
      </c>
      <c r="AJ178" s="406">
        <f t="shared" si="199"/>
        <v>344.49326785</v>
      </c>
      <c r="AK178" s="406">
        <f t="shared" si="199"/>
        <v>349.12971331232876</v>
      </c>
      <c r="AL178" s="406">
        <f t="shared" si="199"/>
        <v>330.73527036178081</v>
      </c>
      <c r="AM178" s="406">
        <f t="shared" si="199"/>
        <v>346.75414868232878</v>
      </c>
      <c r="AN178" s="406">
        <f t="shared" si="199"/>
        <v>337.16880041547944</v>
      </c>
      <c r="AO178" s="406">
        <f>SUM(AO97:AO158)</f>
        <v>342.13359898232881</v>
      </c>
      <c r="AP178" s="654" t="s">
        <v>347</v>
      </c>
      <c r="AQ178" s="38"/>
    </row>
    <row r="179" spans="1:46" s="31" customFormat="1" ht="25" thickBot="1">
      <c r="A179" s="39" t="s">
        <v>137</v>
      </c>
      <c r="B179" s="30"/>
      <c r="L179" s="362"/>
      <c r="M179" s="85">
        <f t="shared" ref="M179:Z179" si="200">M178-M160</f>
        <v>188.17329081999998</v>
      </c>
      <c r="N179" s="85">
        <f t="shared" si="200"/>
        <v>202.50545953000002</v>
      </c>
      <c r="O179" s="85">
        <f t="shared" si="200"/>
        <v>168.45500000000007</v>
      </c>
      <c r="P179" s="85">
        <f t="shared" si="200"/>
        <v>172.53999999999985</v>
      </c>
      <c r="Q179" s="85">
        <f t="shared" si="200"/>
        <v>170.11859381000002</v>
      </c>
      <c r="R179" s="85">
        <f t="shared" si="200"/>
        <v>183.64617382</v>
      </c>
      <c r="S179" s="85">
        <f t="shared" si="200"/>
        <v>206.12999999999997</v>
      </c>
      <c r="T179" s="85">
        <f t="shared" si="200"/>
        <v>215.22000000000008</v>
      </c>
      <c r="U179" s="85">
        <f t="shared" si="200"/>
        <v>216.18999999999997</v>
      </c>
      <c r="V179" s="85">
        <f t="shared" si="200"/>
        <v>228.25</v>
      </c>
      <c r="W179" s="85">
        <f t="shared" si="200"/>
        <v>222.56240770999995</v>
      </c>
      <c r="X179" s="85">
        <f t="shared" si="200"/>
        <v>224.22000000000006</v>
      </c>
      <c r="Y179" s="85">
        <f t="shared" si="200"/>
        <v>208.93700000000007</v>
      </c>
      <c r="Z179" s="85">
        <f t="shared" si="200"/>
        <v>204.36743944999995</v>
      </c>
      <c r="AA179" s="85">
        <f>AA178-AA160-AA105-AA106</f>
        <v>224.00999999999996</v>
      </c>
      <c r="AB179" s="85">
        <f t="shared" ref="AB179:AL179" si="201">AB178-AB160-AB105-AB106</f>
        <v>194.65200000000004</v>
      </c>
      <c r="AC179" s="85">
        <f t="shared" si="201"/>
        <v>197.04499999999993</v>
      </c>
      <c r="AD179" s="85">
        <f t="shared" si="201"/>
        <v>197.38999999999987</v>
      </c>
      <c r="AE179" s="85">
        <f t="shared" si="201"/>
        <v>199.89856137000004</v>
      </c>
      <c r="AF179" s="85">
        <f t="shared" si="201"/>
        <v>219.23365579000006</v>
      </c>
      <c r="AG179" s="85">
        <f t="shared" si="201"/>
        <v>217.50812603</v>
      </c>
      <c r="AH179" s="85">
        <f t="shared" si="201"/>
        <v>219.93615352999998</v>
      </c>
      <c r="AI179" s="85">
        <f t="shared" si="201"/>
        <v>219.29638481000001</v>
      </c>
      <c r="AJ179" s="85">
        <f t="shared" si="201"/>
        <v>224.07726784999997</v>
      </c>
      <c r="AK179" s="85">
        <f t="shared" si="201"/>
        <v>222.2368366</v>
      </c>
      <c r="AL179" s="85">
        <f t="shared" si="201"/>
        <v>214.42718816999999</v>
      </c>
      <c r="AM179" s="85">
        <f t="shared" ref="AM179:AN179" si="202">AM178-AM160-AM105-AM106</f>
        <v>219.81127197000004</v>
      </c>
      <c r="AN179" s="85">
        <f t="shared" si="202"/>
        <v>213.82085520999999</v>
      </c>
      <c r="AO179" s="85">
        <f>AO178-AO160-AO105-AO106</f>
        <v>215.04072227000006</v>
      </c>
      <c r="AP179" s="654" t="s">
        <v>348</v>
      </c>
      <c r="AQ179" s="38"/>
    </row>
    <row r="180" spans="1:46">
      <c r="A180" s="384" t="s">
        <v>0</v>
      </c>
      <c r="B180" s="385"/>
      <c r="C180" s="386"/>
      <c r="D180" s="387"/>
      <c r="E180" s="53">
        <f t="shared" ref="E180:T180" si="203">E61-E135-E136-E137-E138-E139-E140-E141-E143-E144-E145-E146-E147-E148-E149-E150-E151</f>
        <v>-1.4270000000000005</v>
      </c>
      <c r="F180" s="53">
        <f t="shared" si="203"/>
        <v>-3.0010934100000028</v>
      </c>
      <c r="G180" s="53">
        <f t="shared" si="203"/>
        <v>-8.8817841970012523E-16</v>
      </c>
      <c r="H180" s="53">
        <f t="shared" si="203"/>
        <v>-8.8817841970012523E-16</v>
      </c>
      <c r="I180" s="53">
        <f t="shared" si="203"/>
        <v>-1.3322676295501878E-15</v>
      </c>
      <c r="J180" s="53">
        <f t="shared" si="203"/>
        <v>2.6645352591003757E-15</v>
      </c>
      <c r="K180" s="53">
        <f t="shared" si="203"/>
        <v>0</v>
      </c>
      <c r="L180" s="53">
        <f t="shared" si="203"/>
        <v>-1.7763568394002505E-15</v>
      </c>
      <c r="M180" s="53">
        <f t="shared" si="203"/>
        <v>0</v>
      </c>
      <c r="N180" s="53">
        <f t="shared" si="203"/>
        <v>-3.5527136788005009E-15</v>
      </c>
      <c r="O180" s="53">
        <f t="shared" si="203"/>
        <v>0</v>
      </c>
      <c r="P180" s="53">
        <f t="shared" si="203"/>
        <v>-2.2204460492503131E-16</v>
      </c>
      <c r="Q180" s="53">
        <f t="shared" si="203"/>
        <v>2.2204460492503131E-16</v>
      </c>
      <c r="R180" s="53">
        <f t="shared" si="203"/>
        <v>0</v>
      </c>
      <c r="S180" s="53">
        <f t="shared" si="203"/>
        <v>0</v>
      </c>
      <c r="T180" s="53">
        <f t="shared" si="203"/>
        <v>-5.5511151231257827E-17</v>
      </c>
      <c r="U180" s="53">
        <f>U61-U135-U136-U137-U138-U139-U140-U141-U143-U144-U145-U146-U147-U148-U149-U150-U151</f>
        <v>0</v>
      </c>
      <c r="V180" s="53">
        <f t="shared" ref="V180:AJ180" si="204">V61-V135-V136-V137-V138-V139-V140-V141-V143-V144-V145-V146-V147-V148-V149-V150-V151</f>
        <v>0</v>
      </c>
      <c r="W180" s="53">
        <f t="shared" si="204"/>
        <v>0</v>
      </c>
      <c r="X180" s="53">
        <f t="shared" si="204"/>
        <v>0</v>
      </c>
      <c r="Y180" s="53">
        <f t="shared" si="204"/>
        <v>0.80000000000000071</v>
      </c>
      <c r="Z180" s="53">
        <f t="shared" si="204"/>
        <v>0</v>
      </c>
      <c r="AA180" s="53">
        <f t="shared" si="204"/>
        <v>0</v>
      </c>
      <c r="AB180" s="53">
        <f t="shared" si="204"/>
        <v>0</v>
      </c>
      <c r="AC180" s="53">
        <f t="shared" si="204"/>
        <v>0</v>
      </c>
      <c r="AD180" s="53">
        <f t="shared" si="204"/>
        <v>0</v>
      </c>
      <c r="AE180" s="53">
        <f t="shared" si="204"/>
        <v>0</v>
      </c>
      <c r="AF180" s="53">
        <f t="shared" si="204"/>
        <v>0</v>
      </c>
      <c r="AG180" s="53">
        <f t="shared" si="204"/>
        <v>0</v>
      </c>
      <c r="AH180" s="53">
        <f t="shared" si="204"/>
        <v>0</v>
      </c>
      <c r="AI180" s="53">
        <f t="shared" si="204"/>
        <v>0</v>
      </c>
      <c r="AJ180" s="53">
        <f t="shared" si="204"/>
        <v>0</v>
      </c>
      <c r="AK180" s="53">
        <f>AK61-AK135-AK136-AK137-AK138-AK139-AK140-AK141-AK143-AK144-AK145-AK146-AK147-AK148-AK149-AK150-AK151</f>
        <v>0</v>
      </c>
      <c r="AL180" s="53">
        <f>AL61-AL135-AL136-AL137-AL138-AL139-AL140-AL141-AL143-AL144-AL145-AL146-AL147-AL148-AL149-AL150-AL151</f>
        <v>0</v>
      </c>
      <c r="AM180" s="53">
        <f>AM61-AM135-AM136-AM137-AM138-AM139-AM140-AM141-AM143-AM144-AM145-AM146-AM147-AM148-AM149-AM150-AM151</f>
        <v>0</v>
      </c>
      <c r="AN180" s="53">
        <f>AN61-AN135-AN136-AN137-AN138-AN139-AN140-AN141-AN143-AN144-AN145-AN146-AN147-AN148-AN149-AN150-AN151</f>
        <v>0</v>
      </c>
      <c r="AO180" s="53">
        <f>AO61-AO135-AO136-AO137-AO138-AO139-AO140-AO141-AO143-AO144-AO145-AO146-AO147-AO148-AO149-AO150-AO151</f>
        <v>0</v>
      </c>
      <c r="AP180" s="654" t="s">
        <v>349</v>
      </c>
      <c r="AQ180" s="38"/>
      <c r="AR180" s="31"/>
      <c r="AS180" s="31"/>
      <c r="AT180" s="31"/>
    </row>
    <row r="181" spans="1:46">
      <c r="A181" s="104" t="s">
        <v>1</v>
      </c>
      <c r="B181" s="105"/>
      <c r="C181" s="106"/>
      <c r="D181" s="388"/>
      <c r="E181" s="84">
        <f t="shared" ref="E181:U181" si="205">E62-E153-E155-E154-E156</f>
        <v>0</v>
      </c>
      <c r="F181" s="84">
        <f t="shared" si="205"/>
        <v>0</v>
      </c>
      <c r="G181" s="84">
        <f t="shared" si="205"/>
        <v>0</v>
      </c>
      <c r="H181" s="84">
        <f t="shared" si="205"/>
        <v>0</v>
      </c>
      <c r="I181" s="84">
        <f t="shared" si="205"/>
        <v>0</v>
      </c>
      <c r="J181" s="84">
        <f t="shared" si="205"/>
        <v>0</v>
      </c>
      <c r="K181" s="84">
        <f t="shared" si="205"/>
        <v>0</v>
      </c>
      <c r="L181" s="84">
        <f t="shared" si="205"/>
        <v>0</v>
      </c>
      <c r="M181" s="84">
        <f t="shared" si="205"/>
        <v>0</v>
      </c>
      <c r="N181" s="84">
        <f t="shared" si="205"/>
        <v>0</v>
      </c>
      <c r="O181" s="84">
        <f t="shared" si="205"/>
        <v>0.74999999999999956</v>
      </c>
      <c r="P181" s="84">
        <f t="shared" si="205"/>
        <v>0</v>
      </c>
      <c r="Q181" s="84">
        <f t="shared" si="205"/>
        <v>0</v>
      </c>
      <c r="R181" s="84">
        <f t="shared" si="205"/>
        <v>0</v>
      </c>
      <c r="S181" s="84">
        <f t="shared" si="205"/>
        <v>0</v>
      </c>
      <c r="T181" s="84">
        <f t="shared" si="205"/>
        <v>0</v>
      </c>
      <c r="U181" s="84">
        <f t="shared" si="205"/>
        <v>1.1102230246251565E-16</v>
      </c>
      <c r="V181" s="84">
        <f>V62-V153-V155-V154-V156</f>
        <v>0</v>
      </c>
      <c r="W181" s="84">
        <f t="shared" ref="W181:AJ181" si="206">W62-W153-W155-W154-W156</f>
        <v>0</v>
      </c>
      <c r="X181" s="84">
        <f t="shared" si="206"/>
        <v>-3.3306690738754696E-16</v>
      </c>
      <c r="Y181" s="84">
        <f t="shared" si="206"/>
        <v>0</v>
      </c>
      <c r="Z181" s="84">
        <f t="shared" si="206"/>
        <v>0.59999999999999964</v>
      </c>
      <c r="AA181" s="84">
        <f t="shared" si="206"/>
        <v>0</v>
      </c>
      <c r="AB181" s="84">
        <f t="shared" si="206"/>
        <v>0</v>
      </c>
      <c r="AC181" s="84">
        <f t="shared" si="206"/>
        <v>0</v>
      </c>
      <c r="AD181" s="84">
        <f t="shared" si="206"/>
        <v>0</v>
      </c>
      <c r="AE181" s="84">
        <f t="shared" si="206"/>
        <v>0</v>
      </c>
      <c r="AF181" s="84">
        <f t="shared" si="206"/>
        <v>0</v>
      </c>
      <c r="AG181" s="84">
        <f t="shared" si="206"/>
        <v>0</v>
      </c>
      <c r="AH181" s="84">
        <f t="shared" si="206"/>
        <v>0</v>
      </c>
      <c r="AI181" s="84">
        <f t="shared" si="206"/>
        <v>0</v>
      </c>
      <c r="AJ181" s="84">
        <f t="shared" si="206"/>
        <v>0</v>
      </c>
      <c r="AK181" s="84">
        <f>AK62-AK153-AK155-AK154-AK156</f>
        <v>0</v>
      </c>
      <c r="AL181" s="84">
        <f>AL62-AL153-AL155-AL154-AL156</f>
        <v>0</v>
      </c>
      <c r="AM181" s="84">
        <f>AM62-AM153-AM155-AM154-AM156</f>
        <v>0</v>
      </c>
      <c r="AN181" s="84">
        <f>AN62-AN153-AN155-AN154-AN156</f>
        <v>0</v>
      </c>
      <c r="AO181" s="84">
        <f>AO62-AO153-AO155-AO154-AO156</f>
        <v>0</v>
      </c>
      <c r="AP181" s="654" t="s">
        <v>350</v>
      </c>
      <c r="AQ181" s="38"/>
      <c r="AR181" s="31"/>
      <c r="AS181" s="31"/>
      <c r="AT181" s="31"/>
    </row>
    <row r="182" spans="1:46">
      <c r="A182" s="104" t="s">
        <v>27</v>
      </c>
      <c r="B182" s="105"/>
      <c r="C182" s="106"/>
      <c r="D182" s="388"/>
      <c r="E182" s="84">
        <f t="shared" ref="E182:AJ182" si="207">E63-E157</f>
        <v>0</v>
      </c>
      <c r="F182" s="84">
        <f t="shared" si="207"/>
        <v>0</v>
      </c>
      <c r="G182" s="84">
        <f t="shared" si="207"/>
        <v>0</v>
      </c>
      <c r="H182" s="84">
        <f t="shared" si="207"/>
        <v>0</v>
      </c>
      <c r="I182" s="84">
        <f t="shared" si="207"/>
        <v>0</v>
      </c>
      <c r="J182" s="84">
        <f t="shared" si="207"/>
        <v>0</v>
      </c>
      <c r="K182" s="84">
        <f t="shared" si="207"/>
        <v>0</v>
      </c>
      <c r="L182" s="84">
        <f t="shared" si="207"/>
        <v>0</v>
      </c>
      <c r="M182" s="84">
        <f t="shared" si="207"/>
        <v>0</v>
      </c>
      <c r="N182" s="84">
        <f t="shared" si="207"/>
        <v>0</v>
      </c>
      <c r="O182" s="84">
        <f t="shared" si="207"/>
        <v>0</v>
      </c>
      <c r="P182" s="84">
        <f t="shared" si="207"/>
        <v>0</v>
      </c>
      <c r="Q182" s="84">
        <f t="shared" si="207"/>
        <v>0</v>
      </c>
      <c r="R182" s="390">
        <f t="shared" si="207"/>
        <v>0</v>
      </c>
      <c r="S182" s="84">
        <f t="shared" si="207"/>
        <v>0</v>
      </c>
      <c r="T182" s="84">
        <f t="shared" si="207"/>
        <v>0</v>
      </c>
      <c r="U182" s="84">
        <f t="shared" si="207"/>
        <v>0</v>
      </c>
      <c r="V182" s="84">
        <f t="shared" si="207"/>
        <v>0</v>
      </c>
      <c r="W182" s="84">
        <f t="shared" si="207"/>
        <v>0</v>
      </c>
      <c r="X182" s="84">
        <f t="shared" si="207"/>
        <v>0</v>
      </c>
      <c r="Y182" s="84">
        <f t="shared" si="207"/>
        <v>0</v>
      </c>
      <c r="Z182" s="84">
        <f t="shared" si="207"/>
        <v>0</v>
      </c>
      <c r="AA182" s="84">
        <f t="shared" si="207"/>
        <v>0</v>
      </c>
      <c r="AB182" s="84">
        <f t="shared" si="207"/>
        <v>0</v>
      </c>
      <c r="AC182" s="84">
        <f t="shared" si="207"/>
        <v>0</v>
      </c>
      <c r="AD182" s="84">
        <f t="shared" si="207"/>
        <v>0</v>
      </c>
      <c r="AE182" s="84">
        <f t="shared" si="207"/>
        <v>0</v>
      </c>
      <c r="AF182" s="84">
        <f t="shared" si="207"/>
        <v>0</v>
      </c>
      <c r="AG182" s="84">
        <f t="shared" si="207"/>
        <v>0</v>
      </c>
      <c r="AH182" s="84">
        <f t="shared" si="207"/>
        <v>0</v>
      </c>
      <c r="AI182" s="84">
        <f t="shared" si="207"/>
        <v>0</v>
      </c>
      <c r="AJ182" s="84">
        <f t="shared" si="207"/>
        <v>0</v>
      </c>
      <c r="AK182" s="84">
        <f t="shared" ref="AK182:AM183" si="208">AK63-AK157</f>
        <v>0</v>
      </c>
      <c r="AL182" s="84">
        <f t="shared" si="208"/>
        <v>0</v>
      </c>
      <c r="AM182" s="84">
        <f t="shared" si="208"/>
        <v>0</v>
      </c>
      <c r="AN182" s="84">
        <f t="shared" ref="AN182" si="209">AN63-AN157</f>
        <v>0</v>
      </c>
      <c r="AO182" s="84">
        <f>AO63-AO157</f>
        <v>0</v>
      </c>
      <c r="AP182" s="654" t="s">
        <v>351</v>
      </c>
      <c r="AQ182" s="38"/>
      <c r="AR182" s="31"/>
      <c r="AS182" s="31"/>
      <c r="AT182" s="31"/>
    </row>
    <row r="183" spans="1:46" ht="16" thickBot="1">
      <c r="A183" s="107" t="s">
        <v>5</v>
      </c>
      <c r="B183" s="108"/>
      <c r="C183" s="109"/>
      <c r="D183" s="389"/>
      <c r="E183" s="85">
        <f t="shared" ref="E183:AJ183" si="210">E64-E158</f>
        <v>0</v>
      </c>
      <c r="F183" s="85">
        <f t="shared" si="210"/>
        <v>0</v>
      </c>
      <c r="G183" s="85">
        <f t="shared" si="210"/>
        <v>0</v>
      </c>
      <c r="H183" s="85">
        <f t="shared" si="210"/>
        <v>0</v>
      </c>
      <c r="I183" s="85">
        <f t="shared" si="210"/>
        <v>0</v>
      </c>
      <c r="J183" s="85">
        <f t="shared" si="210"/>
        <v>0</v>
      </c>
      <c r="K183" s="85">
        <f t="shared" si="210"/>
        <v>0</v>
      </c>
      <c r="L183" s="85">
        <f t="shared" si="210"/>
        <v>0</v>
      </c>
      <c r="M183" s="85">
        <f t="shared" si="210"/>
        <v>0</v>
      </c>
      <c r="N183" s="85">
        <f t="shared" si="210"/>
        <v>0</v>
      </c>
      <c r="O183" s="85">
        <f t="shared" si="210"/>
        <v>0</v>
      </c>
      <c r="P183" s="85">
        <f t="shared" si="210"/>
        <v>0</v>
      </c>
      <c r="Q183" s="85">
        <f t="shared" si="210"/>
        <v>0</v>
      </c>
      <c r="R183" s="391">
        <f t="shared" si="210"/>
        <v>0</v>
      </c>
      <c r="S183" s="85">
        <f t="shared" si="210"/>
        <v>0</v>
      </c>
      <c r="T183" s="85">
        <f t="shared" si="210"/>
        <v>0</v>
      </c>
      <c r="U183" s="85">
        <f t="shared" si="210"/>
        <v>0</v>
      </c>
      <c r="V183" s="85">
        <f t="shared" si="210"/>
        <v>0</v>
      </c>
      <c r="W183" s="85">
        <f t="shared" si="210"/>
        <v>0</v>
      </c>
      <c r="X183" s="85">
        <f t="shared" si="210"/>
        <v>0</v>
      </c>
      <c r="Y183" s="85">
        <f t="shared" si="210"/>
        <v>0</v>
      </c>
      <c r="Z183" s="85">
        <f t="shared" si="210"/>
        <v>0</v>
      </c>
      <c r="AA183" s="85">
        <f t="shared" si="210"/>
        <v>0</v>
      </c>
      <c r="AB183" s="85">
        <f t="shared" si="210"/>
        <v>0</v>
      </c>
      <c r="AC183" s="85">
        <f t="shared" si="210"/>
        <v>0</v>
      </c>
      <c r="AD183" s="85">
        <f t="shared" si="210"/>
        <v>0</v>
      </c>
      <c r="AE183" s="85">
        <f t="shared" si="210"/>
        <v>0</v>
      </c>
      <c r="AF183" s="85">
        <f t="shared" si="210"/>
        <v>0</v>
      </c>
      <c r="AG183" s="85">
        <f t="shared" si="210"/>
        <v>0</v>
      </c>
      <c r="AH183" s="85">
        <f t="shared" si="210"/>
        <v>0</v>
      </c>
      <c r="AI183" s="85">
        <f t="shared" si="210"/>
        <v>0</v>
      </c>
      <c r="AJ183" s="85">
        <f t="shared" si="210"/>
        <v>0</v>
      </c>
      <c r="AK183" s="85">
        <f t="shared" si="208"/>
        <v>0</v>
      </c>
      <c r="AL183" s="85">
        <f t="shared" si="208"/>
        <v>0</v>
      </c>
      <c r="AM183" s="85">
        <f t="shared" si="208"/>
        <v>0</v>
      </c>
      <c r="AN183" s="85">
        <f t="shared" ref="AN183" si="211">AN64-AN158</f>
        <v>0</v>
      </c>
      <c r="AO183" s="85">
        <f>AO64-AO158</f>
        <v>0</v>
      </c>
      <c r="AP183" s="654" t="s">
        <v>352</v>
      </c>
      <c r="AQ183" s="38"/>
      <c r="AR183" s="31"/>
      <c r="AS183" s="31"/>
      <c r="AT183" s="31"/>
    </row>
    <row r="184" spans="1:46">
      <c r="F184" s="214"/>
      <c r="G184" s="214"/>
      <c r="H184" s="214"/>
      <c r="I184" s="214"/>
      <c r="J184" s="214"/>
      <c r="K184" s="214"/>
      <c r="L184" s="214"/>
      <c r="M184" s="214"/>
      <c r="N184" s="214"/>
      <c r="O184" s="214"/>
      <c r="P184" s="214"/>
      <c r="Q184" s="214"/>
      <c r="R184" s="214"/>
      <c r="S184" s="214"/>
      <c r="T184" s="214"/>
      <c r="U184" s="214"/>
      <c r="V184" s="214"/>
      <c r="W184" s="214"/>
      <c r="X184" s="214"/>
      <c r="Y184" s="214"/>
      <c r="Z184" s="214"/>
      <c r="AA184" s="214"/>
      <c r="AB184" s="214"/>
      <c r="AC184" s="214"/>
      <c r="AD184" s="354"/>
      <c r="AE184" s="415"/>
      <c r="AF184" s="421"/>
      <c r="AG184" s="421"/>
      <c r="AH184" s="421"/>
      <c r="AI184" s="421"/>
      <c r="AJ184" s="421"/>
      <c r="AK184" s="512"/>
      <c r="AL184" s="512"/>
      <c r="AM184" s="512"/>
      <c r="AN184" s="595"/>
      <c r="AO184" s="595"/>
    </row>
    <row r="185" spans="1:46">
      <c r="D185" t="s">
        <v>161</v>
      </c>
      <c r="F185" s="214"/>
      <c r="G185" s="214"/>
      <c r="H185" s="214"/>
      <c r="I185" s="214"/>
      <c r="J185" s="214"/>
      <c r="K185" s="214"/>
      <c r="L185" s="214"/>
      <c r="M185" s="214"/>
      <c r="N185" s="214"/>
      <c r="O185" s="214"/>
      <c r="P185" s="214"/>
      <c r="Q185" s="214"/>
      <c r="R185" s="214"/>
      <c r="S185" s="214"/>
      <c r="T185" s="214"/>
      <c r="U185" s="214"/>
      <c r="V185" s="214">
        <f>V170-156-V157</f>
        <v>0.70000000000000018</v>
      </c>
      <c r="W185" s="421">
        <f t="shared" ref="W185:AJ185" si="212">W170-156-W157</f>
        <v>-0.43759229000002087</v>
      </c>
      <c r="X185" s="421">
        <f t="shared" si="212"/>
        <v>-0.45999999999999552</v>
      </c>
      <c r="Y185" s="421">
        <f t="shared" si="212"/>
        <v>-9.650000000000011</v>
      </c>
      <c r="Z185" s="421">
        <f t="shared" si="212"/>
        <v>-16.452560549999994</v>
      </c>
      <c r="AA185" s="421">
        <f t="shared" si="212"/>
        <v>-1.4299999999999979</v>
      </c>
      <c r="AB185" s="421">
        <f t="shared" si="212"/>
        <v>-19.37</v>
      </c>
      <c r="AC185" s="421">
        <f t="shared" si="212"/>
        <v>-16.86999999999999</v>
      </c>
      <c r="AD185" s="421">
        <f t="shared" si="212"/>
        <v>-16.360000000000003</v>
      </c>
      <c r="AE185" s="421">
        <f t="shared" si="212"/>
        <v>-15.036438629999978</v>
      </c>
      <c r="AF185" s="421">
        <f t="shared" si="212"/>
        <v>-3.7013442100000171</v>
      </c>
      <c r="AG185" s="421">
        <f t="shared" si="212"/>
        <v>-4.2418739699999888</v>
      </c>
      <c r="AH185" s="421">
        <f t="shared" si="212"/>
        <v>-2.498846470000033</v>
      </c>
      <c r="AI185" s="421">
        <f t="shared" si="212"/>
        <v>-3.638615190000011</v>
      </c>
      <c r="AJ185" s="421">
        <f t="shared" si="212"/>
        <v>1.1422678500000094</v>
      </c>
      <c r="AK185" s="512">
        <f>AK170-156-AK157</f>
        <v>-0.69816339999998522</v>
      </c>
      <c r="AL185" s="512">
        <f>AL170-156-AL157</f>
        <v>-8.5078118299999943</v>
      </c>
      <c r="AM185" s="512">
        <f>AM170-156-AM157</f>
        <v>-3.1237280299999819</v>
      </c>
      <c r="AN185" s="595">
        <f>AN170-156-AN157</f>
        <v>-9.1141447899999974</v>
      </c>
      <c r="AO185" s="595">
        <f>AO170-156-AO157</f>
        <v>-7.8942777299999856</v>
      </c>
    </row>
    <row r="186" spans="1:46">
      <c r="T186" s="420"/>
      <c r="U186" s="420"/>
      <c r="X186" s="468"/>
      <c r="Y186" s="468"/>
      <c r="Z186" s="468"/>
      <c r="AA186" s="468"/>
      <c r="AB186" s="468"/>
      <c r="AC186" s="468"/>
      <c r="AD186" s="468"/>
      <c r="AE186" s="468"/>
      <c r="AF186" s="468"/>
      <c r="AG186" s="468"/>
      <c r="AH186" s="468"/>
      <c r="AI186" s="468"/>
      <c r="AJ186" s="468"/>
      <c r="AK186" s="512"/>
      <c r="AL186" s="512"/>
      <c r="AM186" s="512"/>
      <c r="AN186" s="595"/>
      <c r="AO186" s="595"/>
    </row>
    <row r="187" spans="1:46">
      <c r="V187" s="448"/>
      <c r="W187" s="448"/>
      <c r="X187" s="448"/>
      <c r="Y187" s="448"/>
      <c r="Z187" s="448"/>
      <c r="AA187" s="448"/>
      <c r="AB187" s="448"/>
      <c r="AC187" s="448"/>
      <c r="AD187" s="448"/>
      <c r="AE187" s="448"/>
      <c r="AF187" s="448"/>
      <c r="AG187" s="448"/>
      <c r="AH187" s="448"/>
      <c r="AI187" s="448"/>
    </row>
    <row r="198" spans="25:41">
      <c r="Y198" s="468"/>
      <c r="Z198" s="468"/>
      <c r="AA198" s="468"/>
      <c r="AB198" s="468"/>
      <c r="AC198" s="468"/>
      <c r="AD198" s="468"/>
      <c r="AE198" s="468"/>
      <c r="AF198" s="468"/>
      <c r="AG198" s="468"/>
      <c r="AH198" s="468"/>
      <c r="AI198" s="468"/>
      <c r="AJ198" s="468"/>
      <c r="AK198" s="512"/>
      <c r="AL198" s="512"/>
      <c r="AM198" s="512"/>
      <c r="AN198" s="595"/>
      <c r="AO198" s="595"/>
    </row>
    <row r="199" spans="25:41">
      <c r="Y199" s="468"/>
      <c r="Z199" s="468"/>
      <c r="AA199" s="468"/>
      <c r="AB199" s="468"/>
      <c r="AC199" s="468"/>
      <c r="AD199" s="468"/>
      <c r="AE199" s="468"/>
      <c r="AF199" s="468"/>
      <c r="AG199" s="468"/>
      <c r="AH199" s="468"/>
      <c r="AI199" s="468"/>
      <c r="AJ199" s="468"/>
      <c r="AK199" s="512"/>
      <c r="AL199" s="512"/>
      <c r="AM199" s="512"/>
      <c r="AN199" s="595"/>
      <c r="AO199" s="595"/>
    </row>
    <row r="200" spans="25:41">
      <c r="Y200" s="468"/>
      <c r="Z200" s="468"/>
      <c r="AA200" s="468"/>
      <c r="AB200" s="468"/>
      <c r="AC200" s="468"/>
      <c r="AD200" s="468"/>
      <c r="AE200" s="468"/>
      <c r="AF200" s="468"/>
      <c r="AG200" s="468"/>
      <c r="AH200" s="468"/>
      <c r="AI200" s="468"/>
      <c r="AJ200" s="468"/>
      <c r="AK200" s="512"/>
      <c r="AL200" s="512"/>
      <c r="AM200" s="512"/>
      <c r="AN200" s="595"/>
      <c r="AO200" s="595"/>
    </row>
    <row r="201" spans="25:41">
      <c r="Y201" s="468"/>
      <c r="Z201" s="468"/>
      <c r="AA201" s="468"/>
      <c r="AB201" s="468"/>
      <c r="AC201" s="468"/>
      <c r="AD201" s="468"/>
      <c r="AE201" s="468"/>
      <c r="AF201" s="468"/>
      <c r="AG201" s="468"/>
      <c r="AH201" s="468"/>
      <c r="AI201" s="468"/>
      <c r="AJ201" s="468"/>
      <c r="AK201" s="512"/>
      <c r="AL201" s="512"/>
      <c r="AM201" s="512"/>
      <c r="AN201" s="595"/>
      <c r="AO201" s="595"/>
    </row>
    <row r="202" spans="25:41">
      <c r="Y202" s="468"/>
      <c r="Z202" s="468"/>
      <c r="AA202" s="468"/>
      <c r="AB202" s="468"/>
      <c r="AC202" s="468"/>
      <c r="AD202" s="468"/>
      <c r="AE202" s="468"/>
      <c r="AF202" s="468"/>
      <c r="AG202" s="468"/>
      <c r="AH202" s="468"/>
      <c r="AI202" s="468"/>
      <c r="AJ202" s="468"/>
      <c r="AK202" s="512"/>
      <c r="AL202" s="512"/>
      <c r="AM202" s="512"/>
      <c r="AN202" s="595"/>
      <c r="AO202" s="595"/>
    </row>
    <row r="203" spans="25:41">
      <c r="Y203" s="468"/>
      <c r="Z203" s="468"/>
      <c r="AA203" s="468"/>
      <c r="AB203" s="468"/>
      <c r="AC203" s="468"/>
      <c r="AD203" s="468"/>
      <c r="AE203" s="468"/>
      <c r="AF203" s="468"/>
      <c r="AG203" s="468"/>
      <c r="AH203" s="468"/>
      <c r="AI203" s="468"/>
      <c r="AJ203" s="468"/>
      <c r="AK203" s="512"/>
      <c r="AL203" s="512"/>
      <c r="AM203" s="512"/>
      <c r="AN203" s="595"/>
      <c r="AO203" s="595"/>
    </row>
  </sheetData>
  <mergeCells count="41">
    <mergeCell ref="C72:D72"/>
    <mergeCell ref="C73:D73"/>
    <mergeCell ref="C74:D74"/>
    <mergeCell ref="C75:D75"/>
    <mergeCell ref="C76:D76"/>
    <mergeCell ref="A77:D77"/>
    <mergeCell ref="A21:B21"/>
    <mergeCell ref="A13:B13"/>
    <mergeCell ref="A67:B67"/>
    <mergeCell ref="C67:D67"/>
    <mergeCell ref="C50:D50"/>
    <mergeCell ref="C51:D51"/>
    <mergeCell ref="A52:D52"/>
    <mergeCell ref="C56:D56"/>
    <mergeCell ref="A54:B54"/>
    <mergeCell ref="C54:D54"/>
    <mergeCell ref="C59:D59"/>
    <mergeCell ref="C61:D61"/>
    <mergeCell ref="C68:D68"/>
    <mergeCell ref="C69:D69"/>
    <mergeCell ref="C63:D63"/>
    <mergeCell ref="A3:B3"/>
    <mergeCell ref="A41:B41"/>
    <mergeCell ref="C41:D41"/>
    <mergeCell ref="C46:D46"/>
    <mergeCell ref="C48:D48"/>
    <mergeCell ref="C47:D47"/>
    <mergeCell ref="C42:D42"/>
    <mergeCell ref="C43:D43"/>
    <mergeCell ref="A27:B27"/>
    <mergeCell ref="A34:B34"/>
    <mergeCell ref="C44:D44"/>
    <mergeCell ref="C45:D45"/>
    <mergeCell ref="C64:D64"/>
    <mergeCell ref="A65:D65"/>
    <mergeCell ref="C60:D60"/>
    <mergeCell ref="C49:D49"/>
    <mergeCell ref="C55:D55"/>
    <mergeCell ref="C62:D62"/>
    <mergeCell ref="C57:D57"/>
    <mergeCell ref="C58:D58"/>
  </mergeCells>
  <conditionalFormatting sqref="Q182:Q183 E181:AJ181">
    <cfRule type="colorScale" priority="67">
      <colorScale>
        <cfvo type="min"/>
        <cfvo type="percentile" val="50"/>
        <cfvo type="max"/>
        <color rgb="FFF8696B"/>
        <color rgb="FFFFEB84"/>
        <color rgb="FF63BE7B"/>
      </colorScale>
    </cfRule>
  </conditionalFormatting>
  <conditionalFormatting sqref="R182:AD183 E180:AJ180">
    <cfRule type="colorScale" priority="70">
      <colorScale>
        <cfvo type="min"/>
        <cfvo type="percentile" val="50"/>
        <cfvo type="max"/>
        <color rgb="FFF8696B"/>
        <color rgb="FFFFEB84"/>
        <color rgb="FF63BE7B"/>
      </colorScale>
    </cfRule>
  </conditionalFormatting>
  <conditionalFormatting sqref="E182:P183">
    <cfRule type="colorScale" priority="72">
      <colorScale>
        <cfvo type="min"/>
        <cfvo type="percentile" val="50"/>
        <cfvo type="max"/>
        <color rgb="FFF8696B"/>
        <color rgb="FFFFEB84"/>
        <color rgb="FF63BE7B"/>
      </colorScale>
    </cfRule>
  </conditionalFormatting>
  <conditionalFormatting sqref="A168:D168">
    <cfRule type="duplicateValues" dxfId="0" priority="30"/>
  </conditionalFormatting>
  <conditionalFormatting sqref="AE182:AE183">
    <cfRule type="colorScale" priority="29">
      <colorScale>
        <cfvo type="min"/>
        <cfvo type="percentile" val="50"/>
        <cfvo type="max"/>
        <color rgb="FFF8696B"/>
        <color rgb="FFFFEB84"/>
        <color rgb="FF63BE7B"/>
      </colorScale>
    </cfRule>
  </conditionalFormatting>
  <conditionalFormatting sqref="AF182:AF183">
    <cfRule type="colorScale" priority="27">
      <colorScale>
        <cfvo type="min"/>
        <cfvo type="percentile" val="50"/>
        <cfvo type="max"/>
        <color rgb="FFF8696B"/>
        <color rgb="FFFFEB84"/>
        <color rgb="FF63BE7B"/>
      </colorScale>
    </cfRule>
  </conditionalFormatting>
  <conditionalFormatting sqref="AG182:AG183">
    <cfRule type="colorScale" priority="25">
      <colorScale>
        <cfvo type="min"/>
        <cfvo type="percentile" val="50"/>
        <cfvo type="max"/>
        <color rgb="FFF8696B"/>
        <color rgb="FFFFEB84"/>
        <color rgb="FF63BE7B"/>
      </colorScale>
    </cfRule>
  </conditionalFormatting>
  <conditionalFormatting sqref="AH182:AH183">
    <cfRule type="colorScale" priority="23">
      <colorScale>
        <cfvo type="min"/>
        <cfvo type="percentile" val="50"/>
        <cfvo type="max"/>
        <color rgb="FFF8696B"/>
        <color rgb="FFFFEB84"/>
        <color rgb="FF63BE7B"/>
      </colorScale>
    </cfRule>
  </conditionalFormatting>
  <conditionalFormatting sqref="AI182:AI183">
    <cfRule type="colorScale" priority="21">
      <colorScale>
        <cfvo type="min"/>
        <cfvo type="percentile" val="50"/>
        <cfvo type="max"/>
        <color rgb="FFF8696B"/>
        <color rgb="FFFFEB84"/>
        <color rgb="FF63BE7B"/>
      </colorScale>
    </cfRule>
  </conditionalFormatting>
  <conditionalFormatting sqref="AJ182:AJ183">
    <cfRule type="colorScale" priority="19">
      <colorScale>
        <cfvo type="min"/>
        <cfvo type="percentile" val="50"/>
        <cfvo type="max"/>
        <color rgb="FFF8696B"/>
        <color rgb="FFFFEB84"/>
        <color rgb="FF63BE7B"/>
      </colorScale>
    </cfRule>
  </conditionalFormatting>
  <conditionalFormatting sqref="AK181">
    <cfRule type="colorScale" priority="14">
      <colorScale>
        <cfvo type="min"/>
        <cfvo type="percentile" val="50"/>
        <cfvo type="max"/>
        <color rgb="FFF8696B"/>
        <color rgb="FFFFEB84"/>
        <color rgb="FF63BE7B"/>
      </colorScale>
    </cfRule>
  </conditionalFormatting>
  <conditionalFormatting sqref="AK180">
    <cfRule type="colorScale" priority="15">
      <colorScale>
        <cfvo type="min"/>
        <cfvo type="percentile" val="50"/>
        <cfvo type="max"/>
        <color rgb="FFF8696B"/>
        <color rgb="FFFFEB84"/>
        <color rgb="FF63BE7B"/>
      </colorScale>
    </cfRule>
  </conditionalFormatting>
  <conditionalFormatting sqref="AK182:AK183">
    <cfRule type="colorScale" priority="13">
      <colorScale>
        <cfvo type="min"/>
        <cfvo type="percentile" val="50"/>
        <cfvo type="max"/>
        <color rgb="FFF8696B"/>
        <color rgb="FFFFEB84"/>
        <color rgb="FF63BE7B"/>
      </colorScale>
    </cfRule>
  </conditionalFormatting>
  <conditionalFormatting sqref="AL181">
    <cfRule type="colorScale" priority="11">
      <colorScale>
        <cfvo type="min"/>
        <cfvo type="percentile" val="50"/>
        <cfvo type="max"/>
        <color rgb="FFF8696B"/>
        <color rgb="FFFFEB84"/>
        <color rgb="FF63BE7B"/>
      </colorScale>
    </cfRule>
  </conditionalFormatting>
  <conditionalFormatting sqref="AL180">
    <cfRule type="colorScale" priority="12">
      <colorScale>
        <cfvo type="min"/>
        <cfvo type="percentile" val="50"/>
        <cfvo type="max"/>
        <color rgb="FFF8696B"/>
        <color rgb="FFFFEB84"/>
        <color rgb="FF63BE7B"/>
      </colorScale>
    </cfRule>
  </conditionalFormatting>
  <conditionalFormatting sqref="AL182:AL183">
    <cfRule type="colorScale" priority="10">
      <colorScale>
        <cfvo type="min"/>
        <cfvo type="percentile" val="50"/>
        <cfvo type="max"/>
        <color rgb="FFF8696B"/>
        <color rgb="FFFFEB84"/>
        <color rgb="FF63BE7B"/>
      </colorScale>
    </cfRule>
  </conditionalFormatting>
  <conditionalFormatting sqref="AM181">
    <cfRule type="colorScale" priority="8">
      <colorScale>
        <cfvo type="min"/>
        <cfvo type="percentile" val="50"/>
        <cfvo type="max"/>
        <color rgb="FFF8696B"/>
        <color rgb="FFFFEB84"/>
        <color rgb="FF63BE7B"/>
      </colorScale>
    </cfRule>
  </conditionalFormatting>
  <conditionalFormatting sqref="AM180">
    <cfRule type="colorScale" priority="9">
      <colorScale>
        <cfvo type="min"/>
        <cfvo type="percentile" val="50"/>
        <cfvo type="max"/>
        <color rgb="FFF8696B"/>
        <color rgb="FFFFEB84"/>
        <color rgb="FF63BE7B"/>
      </colorScale>
    </cfRule>
  </conditionalFormatting>
  <conditionalFormatting sqref="AM182:AM183">
    <cfRule type="colorScale" priority="7">
      <colorScale>
        <cfvo type="min"/>
        <cfvo type="percentile" val="50"/>
        <cfvo type="max"/>
        <color rgb="FFF8696B"/>
        <color rgb="FFFFEB84"/>
        <color rgb="FF63BE7B"/>
      </colorScale>
    </cfRule>
  </conditionalFormatting>
  <conditionalFormatting sqref="AN181">
    <cfRule type="colorScale" priority="5">
      <colorScale>
        <cfvo type="min"/>
        <cfvo type="percentile" val="50"/>
        <cfvo type="max"/>
        <color rgb="FFF8696B"/>
        <color rgb="FFFFEB84"/>
        <color rgb="FF63BE7B"/>
      </colorScale>
    </cfRule>
  </conditionalFormatting>
  <conditionalFormatting sqref="AN180">
    <cfRule type="colorScale" priority="6">
      <colorScale>
        <cfvo type="min"/>
        <cfvo type="percentile" val="50"/>
        <cfvo type="max"/>
        <color rgb="FFF8696B"/>
        <color rgb="FFFFEB84"/>
        <color rgb="FF63BE7B"/>
      </colorScale>
    </cfRule>
  </conditionalFormatting>
  <conditionalFormatting sqref="AN182:AN183">
    <cfRule type="colorScale" priority="4">
      <colorScale>
        <cfvo type="min"/>
        <cfvo type="percentile" val="50"/>
        <cfvo type="max"/>
        <color rgb="FFF8696B"/>
        <color rgb="FFFFEB84"/>
        <color rgb="FF63BE7B"/>
      </colorScale>
    </cfRule>
  </conditionalFormatting>
  <conditionalFormatting sqref="AO181">
    <cfRule type="colorScale" priority="2">
      <colorScale>
        <cfvo type="min"/>
        <cfvo type="percentile" val="50"/>
        <cfvo type="max"/>
        <color rgb="FFF8696B"/>
        <color rgb="FFFFEB84"/>
        <color rgb="FF63BE7B"/>
      </colorScale>
    </cfRule>
  </conditionalFormatting>
  <conditionalFormatting sqref="AO180">
    <cfRule type="colorScale" priority="3">
      <colorScale>
        <cfvo type="min"/>
        <cfvo type="percentile" val="50"/>
        <cfvo type="max"/>
        <color rgb="FFF8696B"/>
        <color rgb="FFFFEB84"/>
        <color rgb="FF63BE7B"/>
      </colorScale>
    </cfRule>
  </conditionalFormatting>
  <conditionalFormatting sqref="AO182:AO18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CS37"/>
  <sheetViews>
    <sheetView tabSelected="1" zoomScale="140" zoomScaleNormal="140" workbookViewId="0">
      <pane xSplit="2" ySplit="3" topLeftCell="BX4" activePane="bottomRight" state="frozen"/>
      <selection activeCell="G41" sqref="G41"/>
      <selection pane="topRight" activeCell="G41" sqref="G41"/>
      <selection pane="bottomLeft" activeCell="G41" sqref="G41"/>
      <selection pane="bottomRight" activeCell="CB25" sqref="CB25"/>
    </sheetView>
  </sheetViews>
  <sheetFormatPr baseColWidth="10" defaultColWidth="8.1640625" defaultRowHeight="15"/>
  <cols>
    <col min="1" max="1" width="15" style="126" bestFit="1" customWidth="1"/>
    <col min="2" max="2" width="34.83203125" style="126" customWidth="1"/>
    <col min="3" max="9" width="8.1640625" style="126" hidden="1" customWidth="1"/>
    <col min="10" max="26" width="9.1640625" style="126" hidden="1" customWidth="1"/>
    <col min="27" max="27" width="8.83203125" style="126" hidden="1" customWidth="1"/>
    <col min="28" max="28" width="10.1640625" style="126" hidden="1" customWidth="1"/>
    <col min="29" max="29" width="8.1640625" style="126" hidden="1" customWidth="1"/>
    <col min="30" max="31" width="10.1640625" style="126" hidden="1" customWidth="1"/>
    <col min="32" max="32" width="8.1640625" style="126" hidden="1" customWidth="1"/>
    <col min="33" max="34" width="9.1640625" style="126" hidden="1" customWidth="1"/>
    <col min="35" max="35" width="8.1640625" style="126" hidden="1" customWidth="1"/>
    <col min="36" max="62" width="9" style="126" hidden="1" customWidth="1"/>
    <col min="63" max="79" width="9" style="126" customWidth="1"/>
    <col min="80" max="80" width="41.5" style="719" bestFit="1" customWidth="1"/>
    <col min="81" max="87" width="9" style="667" customWidth="1"/>
    <col min="88" max="89" width="9" style="126" bestFit="1" customWidth="1"/>
    <col min="90" max="90" width="8.1640625" style="126"/>
    <col min="91" max="95" width="9" style="126" bestFit="1" customWidth="1"/>
    <col min="96" max="16384" width="8.1640625" style="126"/>
  </cols>
  <sheetData>
    <row r="1" spans="1:97">
      <c r="B1" s="148" t="s">
        <v>212</v>
      </c>
      <c r="AM1" s="127">
        <v>69</v>
      </c>
      <c r="AN1" s="127">
        <v>68.959999999999994</v>
      </c>
      <c r="AO1" s="127">
        <v>83</v>
      </c>
      <c r="AP1" s="127">
        <v>80.008456709956704</v>
      </c>
      <c r="AQ1" s="127">
        <v>80.637</v>
      </c>
      <c r="AR1" s="127">
        <v>78</v>
      </c>
      <c r="AS1" s="127">
        <v>85.386547619047604</v>
      </c>
      <c r="AT1" s="127">
        <v>83.894000000000005</v>
      </c>
      <c r="AU1" s="127">
        <v>82.285551948051932</v>
      </c>
      <c r="AV1" s="127">
        <v>80.510000000000005</v>
      </c>
      <c r="AW1" s="127">
        <v>82.3</v>
      </c>
      <c r="AX1" s="127">
        <v>85.6</v>
      </c>
      <c r="AY1" s="127">
        <v>80.5</v>
      </c>
      <c r="AZ1" s="127">
        <v>75.5</v>
      </c>
      <c r="BA1" s="127">
        <v>80.8</v>
      </c>
      <c r="BB1" s="127">
        <v>77.786000000000001</v>
      </c>
      <c r="BC1" s="127">
        <v>60.347000000000001</v>
      </c>
      <c r="BD1" s="127">
        <v>59.180454545454538</v>
      </c>
      <c r="BE1" s="127">
        <v>62.7</v>
      </c>
      <c r="BF1" s="127">
        <v>71.587909090909093</v>
      </c>
      <c r="BG1" s="127">
        <v>73.900000000000006</v>
      </c>
      <c r="BH1" s="127">
        <v>79.302000000000007</v>
      </c>
      <c r="BI1" s="127">
        <v>71.215000000000003</v>
      </c>
      <c r="BJ1" s="127">
        <v>69.162000000000006</v>
      </c>
      <c r="BK1" s="127">
        <v>81.400000000000006</v>
      </c>
      <c r="BL1" s="127">
        <v>73.696513482172435</v>
      </c>
      <c r="BM1" s="127">
        <v>82.295560574202909</v>
      </c>
      <c r="BN1" s="127">
        <v>78.086476881859795</v>
      </c>
      <c r="BO1" s="127">
        <v>82.831999999999994</v>
      </c>
      <c r="BP1" s="127">
        <v>78.059999999999988</v>
      </c>
      <c r="BQ1" s="127">
        <v>63.390738636363636</v>
      </c>
      <c r="BR1" s="127">
        <v>76.944999999999993</v>
      </c>
      <c r="BS1" s="127">
        <v>71.358999999999995</v>
      </c>
      <c r="BT1" s="127">
        <v>64.580317311041441</v>
      </c>
      <c r="BU1" s="127">
        <v>72.844310663404428</v>
      </c>
      <c r="BV1" s="127">
        <v>74.768213718344072</v>
      </c>
      <c r="BW1" s="127">
        <v>74.768213718344072</v>
      </c>
      <c r="BX1" s="127">
        <v>67.532580132697873</v>
      </c>
      <c r="BY1" s="127">
        <v>74.774213718344072</v>
      </c>
      <c r="BZ1" s="127">
        <v>72.359335856461996</v>
      </c>
      <c r="CA1" s="127">
        <v>72.359335856461996</v>
      </c>
      <c r="CB1" s="713"/>
      <c r="CC1" s="657"/>
      <c r="CD1" s="657"/>
      <c r="CE1" s="657"/>
      <c r="CF1" s="657"/>
      <c r="CG1" s="657"/>
      <c r="CH1" s="657"/>
      <c r="CI1" s="657"/>
    </row>
    <row r="2" spans="1:97" ht="16" thickBot="1">
      <c r="AM2" s="343">
        <f>AM6-AM1</f>
        <v>0.93000000000000682</v>
      </c>
      <c r="AN2" s="343">
        <f>AN6-AN1</f>
        <v>1.3840000000000003</v>
      </c>
      <c r="AO2" s="343">
        <f t="shared" ref="AO2:BP2" si="0">AO6-AO1</f>
        <v>1</v>
      </c>
      <c r="AP2" s="343">
        <f t="shared" si="0"/>
        <v>0.99154329004329611</v>
      </c>
      <c r="AQ2" s="343">
        <f t="shared" si="0"/>
        <v>0</v>
      </c>
      <c r="AR2" s="343">
        <f t="shared" si="0"/>
        <v>0</v>
      </c>
      <c r="AS2" s="343">
        <f t="shared" si="0"/>
        <v>-0.9865476190475988</v>
      </c>
      <c r="AT2" s="343">
        <f t="shared" si="0"/>
        <v>0</v>
      </c>
      <c r="AU2" s="343">
        <f t="shared" si="0"/>
        <v>-1.6015519480519345</v>
      </c>
      <c r="AV2" s="343">
        <f t="shared" si="0"/>
        <v>0.78999999999999204</v>
      </c>
      <c r="AW2" s="343">
        <f t="shared" si="0"/>
        <v>0.70000000000000284</v>
      </c>
      <c r="AX2" s="343">
        <f t="shared" si="0"/>
        <v>0</v>
      </c>
      <c r="AY2" s="343">
        <f t="shared" si="0"/>
        <v>0</v>
      </c>
      <c r="AZ2" s="343">
        <f t="shared" si="0"/>
        <v>-5.7000000000000028</v>
      </c>
      <c r="BA2" s="343">
        <f t="shared" si="0"/>
        <v>0</v>
      </c>
      <c r="BB2" s="343">
        <f t="shared" si="0"/>
        <v>-13.286000000000001</v>
      </c>
      <c r="BC2" s="343">
        <f t="shared" si="0"/>
        <v>-3.1829999999999998</v>
      </c>
      <c r="BD2" s="343">
        <f>BD6-BD1</f>
        <v>2.0195454545454652</v>
      </c>
      <c r="BE2" s="343">
        <f>BE6-BE1</f>
        <v>3.5</v>
      </c>
      <c r="BF2" s="343">
        <f>BF6-BF1</f>
        <v>2.8710909090909098</v>
      </c>
      <c r="BG2" s="343">
        <f>BG6-BG1</f>
        <v>2.6999999999999886</v>
      </c>
      <c r="BH2" s="343">
        <f>BH6-BH1</f>
        <v>-1.2310000000000088</v>
      </c>
      <c r="BI2" s="343">
        <f t="shared" si="0"/>
        <v>0.86399999999999011</v>
      </c>
      <c r="BJ2" s="343">
        <f t="shared" si="0"/>
        <v>9.8379999999999939</v>
      </c>
      <c r="BK2" s="343">
        <f t="shared" si="0"/>
        <v>0.48458356309541273</v>
      </c>
      <c r="BL2" s="343">
        <f t="shared" si="0"/>
        <v>0.39782810199932328</v>
      </c>
      <c r="BM2" s="343">
        <f t="shared" si="0"/>
        <v>-0.34890938240690161</v>
      </c>
      <c r="BN2" s="343">
        <f t="shared" si="0"/>
        <v>-3.7664342467194984</v>
      </c>
      <c r="BO2" s="343">
        <f t="shared" si="0"/>
        <v>-2.1319999999999908</v>
      </c>
      <c r="BP2" s="343">
        <f t="shared" si="0"/>
        <v>-5.9999999999988063E-2</v>
      </c>
      <c r="BQ2" s="343">
        <f t="shared" ref="BQ2:BW2" si="1">BQ6-BQ1</f>
        <v>0.37126136363636419</v>
      </c>
      <c r="BR2" s="343">
        <f t="shared" si="1"/>
        <v>3.3449999999999989</v>
      </c>
      <c r="BS2" s="427">
        <f t="shared" si="1"/>
        <v>0.23099999999999454</v>
      </c>
      <c r="BT2" s="427">
        <f t="shared" si="1"/>
        <v>0</v>
      </c>
      <c r="BU2" s="427">
        <f t="shared" si="1"/>
        <v>0</v>
      </c>
      <c r="BV2" s="427">
        <f t="shared" si="1"/>
        <v>0</v>
      </c>
      <c r="BW2" s="470">
        <f t="shared" si="1"/>
        <v>-1.0677777777777777</v>
      </c>
      <c r="BX2" s="470">
        <f t="shared" ref="BX2:BY2" si="2">BX6-BX1</f>
        <v>-0.96444444444443889</v>
      </c>
      <c r="BY2" s="540">
        <f t="shared" si="2"/>
        <v>-1.0677777777777777</v>
      </c>
      <c r="BZ2" s="540">
        <f t="shared" ref="BZ2" si="3">BZ6-BZ1</f>
        <v>-1.0333333333333314</v>
      </c>
      <c r="CA2" s="540">
        <f>CA6-CA1</f>
        <v>1.3471000841042979</v>
      </c>
      <c r="CB2" s="707" t="s">
        <v>353</v>
      </c>
      <c r="CC2" s="658"/>
      <c r="CD2" s="658"/>
      <c r="CE2" s="658"/>
      <c r="CF2" s="658"/>
      <c r="CG2" s="658"/>
      <c r="CH2" s="658"/>
      <c r="CI2" s="658"/>
    </row>
    <row r="3" spans="1:97" ht="16" thickBot="1">
      <c r="A3" s="700" t="s">
        <v>52</v>
      </c>
      <c r="B3" s="701"/>
      <c r="C3" s="128">
        <v>42370</v>
      </c>
      <c r="D3" s="129">
        <v>42401</v>
      </c>
      <c r="E3" s="128">
        <v>42430</v>
      </c>
      <c r="F3" s="129">
        <v>42461</v>
      </c>
      <c r="G3" s="128">
        <v>42491</v>
      </c>
      <c r="H3" s="129">
        <v>42522</v>
      </c>
      <c r="I3" s="130">
        <v>42552</v>
      </c>
      <c r="J3" s="129">
        <v>42583</v>
      </c>
      <c r="K3" s="129">
        <v>42614</v>
      </c>
      <c r="L3" s="131">
        <v>42644</v>
      </c>
      <c r="M3" s="132">
        <v>42675</v>
      </c>
      <c r="N3" s="129">
        <v>42705</v>
      </c>
      <c r="O3" s="133">
        <v>42736</v>
      </c>
      <c r="P3" s="133">
        <v>42767</v>
      </c>
      <c r="Q3" s="134">
        <v>42795</v>
      </c>
      <c r="R3" s="135">
        <v>42826</v>
      </c>
      <c r="S3" s="136">
        <v>42856</v>
      </c>
      <c r="T3" s="135">
        <v>42887</v>
      </c>
      <c r="U3" s="137">
        <v>42917</v>
      </c>
      <c r="V3" s="135">
        <v>42948</v>
      </c>
      <c r="W3" s="137">
        <v>42979</v>
      </c>
      <c r="X3" s="135">
        <v>43009</v>
      </c>
      <c r="Y3" s="137">
        <v>43040</v>
      </c>
      <c r="Z3" s="137">
        <v>43070</v>
      </c>
      <c r="AA3" s="137">
        <v>43101</v>
      </c>
      <c r="AB3" s="137">
        <v>43132</v>
      </c>
      <c r="AC3" s="137">
        <v>43160</v>
      </c>
      <c r="AD3" s="137">
        <v>43191</v>
      </c>
      <c r="AE3" s="137">
        <v>43221</v>
      </c>
      <c r="AF3" s="137">
        <v>43252</v>
      </c>
      <c r="AG3" s="137">
        <v>43282</v>
      </c>
      <c r="AH3" s="137">
        <v>43313</v>
      </c>
      <c r="AI3" s="137">
        <v>43344</v>
      </c>
      <c r="AJ3" s="137">
        <v>43374</v>
      </c>
      <c r="AK3" s="137">
        <v>43405</v>
      </c>
      <c r="AL3" s="137">
        <v>43435</v>
      </c>
      <c r="AM3" s="137">
        <v>43466</v>
      </c>
      <c r="AN3" s="137">
        <v>43497</v>
      </c>
      <c r="AO3" s="137">
        <v>43525</v>
      </c>
      <c r="AP3" s="137">
        <v>43556</v>
      </c>
      <c r="AQ3" s="137">
        <v>43586</v>
      </c>
      <c r="AR3" s="137">
        <v>43617</v>
      </c>
      <c r="AS3" s="137">
        <v>43647</v>
      </c>
      <c r="AT3" s="137">
        <v>43678</v>
      </c>
      <c r="AU3" s="137">
        <v>43709</v>
      </c>
      <c r="AV3" s="137">
        <v>43739</v>
      </c>
      <c r="AW3" s="137">
        <v>43770</v>
      </c>
      <c r="AX3" s="137">
        <v>43800</v>
      </c>
      <c r="AY3" s="137">
        <v>43831</v>
      </c>
      <c r="AZ3" s="137">
        <v>43862</v>
      </c>
      <c r="BA3" s="137">
        <v>43891</v>
      </c>
      <c r="BB3" s="138">
        <v>43922</v>
      </c>
      <c r="BC3" s="352">
        <v>43952</v>
      </c>
      <c r="BD3" s="352">
        <v>43983</v>
      </c>
      <c r="BE3" s="138">
        <v>44013</v>
      </c>
      <c r="BF3" s="138">
        <v>44044</v>
      </c>
      <c r="BG3" s="138">
        <v>44075</v>
      </c>
      <c r="BH3" s="138">
        <v>44105</v>
      </c>
      <c r="BI3" s="138">
        <v>44136</v>
      </c>
      <c r="BJ3" s="138">
        <v>44166</v>
      </c>
      <c r="BK3" s="138">
        <v>44197</v>
      </c>
      <c r="BL3" s="138">
        <v>44228</v>
      </c>
      <c r="BM3" s="138">
        <v>44256</v>
      </c>
      <c r="BN3" s="138">
        <v>44287</v>
      </c>
      <c r="BO3" s="138">
        <v>44317</v>
      </c>
      <c r="BP3" s="138">
        <v>44348</v>
      </c>
      <c r="BQ3" s="138">
        <v>44378</v>
      </c>
      <c r="BR3" s="138">
        <v>44409</v>
      </c>
      <c r="BS3" s="138">
        <v>44440</v>
      </c>
      <c r="BT3" s="138">
        <v>44470</v>
      </c>
      <c r="BU3" s="138">
        <v>44501</v>
      </c>
      <c r="BV3" s="138">
        <v>44531</v>
      </c>
      <c r="BW3" s="138">
        <v>44562</v>
      </c>
      <c r="BX3" s="138">
        <v>44593</v>
      </c>
      <c r="BY3" s="138">
        <v>44621</v>
      </c>
      <c r="BZ3" s="138">
        <v>44652</v>
      </c>
      <c r="CA3" s="138">
        <v>44682</v>
      </c>
      <c r="CB3" s="714"/>
      <c r="CC3" s="659"/>
      <c r="CD3" s="659"/>
      <c r="CE3" s="659"/>
      <c r="CF3" s="659"/>
      <c r="CG3" s="659"/>
      <c r="CH3" s="659"/>
      <c r="CI3" s="659"/>
    </row>
    <row r="4" spans="1:97">
      <c r="A4" s="139"/>
      <c r="B4" s="139"/>
      <c r="C4" s="140"/>
      <c r="D4" s="140"/>
      <c r="E4" s="140"/>
      <c r="F4" s="140"/>
      <c r="G4" s="140"/>
      <c r="H4" s="141"/>
      <c r="I4" s="141"/>
      <c r="J4" s="141"/>
      <c r="K4" s="141"/>
      <c r="L4" s="141"/>
      <c r="M4" s="141"/>
      <c r="N4" s="141"/>
      <c r="O4" s="141">
        <v>31</v>
      </c>
      <c r="P4" s="141">
        <v>28</v>
      </c>
      <c r="Q4" s="141">
        <v>31</v>
      </c>
      <c r="R4" s="142">
        <v>30</v>
      </c>
      <c r="S4" s="142">
        <v>31</v>
      </c>
      <c r="T4" s="142">
        <v>30</v>
      </c>
      <c r="U4" s="142">
        <v>31</v>
      </c>
      <c r="V4" s="142">
        <v>31</v>
      </c>
      <c r="W4" s="142">
        <v>30</v>
      </c>
      <c r="X4" s="142">
        <v>31</v>
      </c>
      <c r="Y4" s="142">
        <v>30</v>
      </c>
      <c r="Z4" s="142">
        <v>31</v>
      </c>
      <c r="AA4" s="142">
        <v>31</v>
      </c>
      <c r="AB4" s="142">
        <v>28</v>
      </c>
      <c r="AC4" s="143">
        <v>31</v>
      </c>
      <c r="AD4" s="143">
        <v>30</v>
      </c>
      <c r="AE4" s="143">
        <v>31</v>
      </c>
      <c r="AF4" s="143">
        <v>30</v>
      </c>
      <c r="AG4" s="143">
        <v>31</v>
      </c>
      <c r="AH4" s="143">
        <v>31</v>
      </c>
      <c r="AI4" s="143">
        <v>30</v>
      </c>
      <c r="AJ4" s="143">
        <v>31</v>
      </c>
      <c r="AK4" s="143">
        <v>30</v>
      </c>
      <c r="AL4" s="143">
        <v>31</v>
      </c>
      <c r="AM4" s="143">
        <v>31</v>
      </c>
      <c r="AN4" s="143">
        <v>28</v>
      </c>
      <c r="AO4" s="143">
        <v>31</v>
      </c>
      <c r="AP4" s="143">
        <v>30</v>
      </c>
      <c r="AQ4" s="143">
        <v>31</v>
      </c>
      <c r="AR4" s="143">
        <v>30</v>
      </c>
      <c r="AS4" s="143">
        <v>31</v>
      </c>
      <c r="AT4" s="143">
        <v>31</v>
      </c>
      <c r="AU4" s="143">
        <v>30</v>
      </c>
      <c r="AV4" s="143">
        <v>31</v>
      </c>
      <c r="AW4" s="143">
        <v>30</v>
      </c>
      <c r="AX4" s="143">
        <v>31</v>
      </c>
      <c r="AY4" s="143">
        <v>31</v>
      </c>
      <c r="AZ4" s="143">
        <v>29</v>
      </c>
      <c r="BA4" s="143">
        <v>31</v>
      </c>
      <c r="BB4" s="143">
        <v>30</v>
      </c>
      <c r="BC4" s="143">
        <v>31</v>
      </c>
      <c r="BD4" s="143">
        <v>30</v>
      </c>
      <c r="BE4" s="143">
        <v>31</v>
      </c>
      <c r="BF4" s="143">
        <v>31</v>
      </c>
      <c r="BG4" s="143">
        <v>30</v>
      </c>
      <c r="BH4" s="143">
        <v>31</v>
      </c>
      <c r="BI4" s="143">
        <v>30</v>
      </c>
      <c r="BJ4" s="143">
        <v>31</v>
      </c>
      <c r="BK4" s="143">
        <v>31</v>
      </c>
      <c r="BL4" s="547">
        <v>28</v>
      </c>
      <c r="BM4" s="547">
        <v>31</v>
      </c>
      <c r="BN4" s="547">
        <v>30</v>
      </c>
      <c r="BO4" s="547">
        <v>31</v>
      </c>
      <c r="BP4" s="547">
        <v>30</v>
      </c>
      <c r="BQ4" s="547">
        <v>31</v>
      </c>
      <c r="BR4" s="547">
        <v>31</v>
      </c>
      <c r="BS4" s="547">
        <v>30</v>
      </c>
      <c r="BT4" s="547">
        <v>31</v>
      </c>
      <c r="BU4" s="547">
        <v>30</v>
      </c>
      <c r="BV4" s="547">
        <v>31</v>
      </c>
      <c r="BW4" s="547">
        <v>31</v>
      </c>
      <c r="BX4" s="547">
        <v>28</v>
      </c>
      <c r="BY4" s="547">
        <v>31</v>
      </c>
      <c r="BZ4" s="547">
        <v>30</v>
      </c>
      <c r="CA4" s="547">
        <v>30</v>
      </c>
      <c r="CB4" s="641" t="s">
        <v>223</v>
      </c>
      <c r="CC4" s="660"/>
      <c r="CD4" s="660"/>
      <c r="CE4" s="660"/>
      <c r="CF4" s="660"/>
      <c r="CG4" s="660"/>
      <c r="CH4" s="660"/>
      <c r="CI4" s="660"/>
      <c r="CJ4" s="126" t="s">
        <v>53</v>
      </c>
      <c r="CK4" s="126" t="s">
        <v>43</v>
      </c>
      <c r="CM4" s="451" t="s">
        <v>53</v>
      </c>
      <c r="CN4" s="452" t="s">
        <v>43</v>
      </c>
      <c r="CO4" s="451" t="s">
        <v>53</v>
      </c>
      <c r="CP4" s="452" t="s">
        <v>43</v>
      </c>
    </row>
    <row r="5" spans="1:97" ht="16" thickBot="1">
      <c r="A5" s="139"/>
      <c r="B5" s="139"/>
      <c r="C5" s="140"/>
      <c r="D5" s="140"/>
      <c r="E5" s="140"/>
      <c r="F5" s="140"/>
      <c r="G5" s="140"/>
      <c r="H5" s="141"/>
      <c r="I5" s="141"/>
      <c r="J5" s="141"/>
      <c r="K5" s="141"/>
      <c r="L5" s="141"/>
      <c r="M5" s="141"/>
      <c r="N5" s="141"/>
      <c r="O5" s="141"/>
      <c r="P5" s="141"/>
      <c r="Q5" s="144">
        <v>87.28</v>
      </c>
      <c r="R5" s="144">
        <v>80.59</v>
      </c>
      <c r="S5" s="144"/>
      <c r="T5" s="144"/>
      <c r="U5" s="144"/>
      <c r="V5" s="145"/>
      <c r="W5" s="144"/>
      <c r="X5" s="144"/>
      <c r="Y5" s="144"/>
      <c r="Z5" s="144"/>
      <c r="AA5" s="144"/>
      <c r="AB5" s="144"/>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715"/>
      <c r="CC5" s="661"/>
      <c r="CD5" s="661"/>
      <c r="CE5" s="661"/>
      <c r="CF5" s="661"/>
      <c r="CG5" s="661"/>
      <c r="CH5" s="661"/>
      <c r="CI5" s="661"/>
      <c r="CJ5" s="147">
        <v>2019</v>
      </c>
      <c r="CM5" s="453">
        <v>2020</v>
      </c>
      <c r="CN5" s="454">
        <v>2020</v>
      </c>
      <c r="CO5" s="453">
        <v>2021</v>
      </c>
      <c r="CP5" s="454">
        <v>2021</v>
      </c>
    </row>
    <row r="6" spans="1:97" s="147" customFormat="1" ht="16" thickBot="1">
      <c r="A6" s="148" t="s">
        <v>54</v>
      </c>
      <c r="B6" s="422" t="s">
        <v>216</v>
      </c>
      <c r="C6" s="149"/>
      <c r="D6" s="150">
        <v>81.403073829000007</v>
      </c>
      <c r="E6" s="150">
        <v>82.923235591999997</v>
      </c>
      <c r="F6" s="150">
        <v>88.145956060999993</v>
      </c>
      <c r="G6" s="150">
        <v>86.867129508999994</v>
      </c>
      <c r="H6" s="150">
        <v>85.79563047900001</v>
      </c>
      <c r="I6" s="150">
        <v>90.18</v>
      </c>
      <c r="J6" s="151">
        <v>86.242000000000004</v>
      </c>
      <c r="K6" s="150">
        <v>87.343999999999994</v>
      </c>
      <c r="L6" s="150">
        <v>91.8</v>
      </c>
      <c r="M6" s="152">
        <v>87.174999999999997</v>
      </c>
      <c r="N6" s="150">
        <v>88.4</v>
      </c>
      <c r="O6" s="152">
        <v>87.058000000000007</v>
      </c>
      <c r="P6" s="150">
        <v>80.992999999999995</v>
      </c>
      <c r="Q6" s="150">
        <v>90.6</v>
      </c>
      <c r="R6" s="153">
        <v>76.8</v>
      </c>
      <c r="S6" s="154">
        <v>86.93</v>
      </c>
      <c r="T6" s="155">
        <v>79.861000000000004</v>
      </c>
      <c r="U6" s="156">
        <v>76.353999999999999</v>
      </c>
      <c r="V6" s="156">
        <v>82.415999999999997</v>
      </c>
      <c r="W6" s="156">
        <v>77.09</v>
      </c>
      <c r="X6" s="156">
        <f>88.073</f>
        <v>88.072999999999993</v>
      </c>
      <c r="Y6" s="156">
        <v>90.5</v>
      </c>
      <c r="Z6" s="156">
        <v>89.215999999999994</v>
      </c>
      <c r="AA6" s="156">
        <v>86.5</v>
      </c>
      <c r="AB6" s="156">
        <v>75.268000000000001</v>
      </c>
      <c r="AC6" s="156">
        <v>82</v>
      </c>
      <c r="AD6" s="156">
        <v>77.295000000000002</v>
      </c>
      <c r="AE6" s="156">
        <v>82.748999999999995</v>
      </c>
      <c r="AF6" s="156">
        <v>81.87</v>
      </c>
      <c r="AG6" s="156">
        <v>80.123000000000005</v>
      </c>
      <c r="AH6" s="156">
        <v>82.5</v>
      </c>
      <c r="AI6" s="157">
        <v>72.971090909090918</v>
      </c>
      <c r="AJ6" s="156">
        <v>82.519000000000005</v>
      </c>
      <c r="AK6" s="156">
        <v>78.2</v>
      </c>
      <c r="AL6" s="156">
        <v>79.95</v>
      </c>
      <c r="AM6" s="156">
        <v>69.930000000000007</v>
      </c>
      <c r="AN6" s="156">
        <v>70.343999999999994</v>
      </c>
      <c r="AO6" s="156">
        <v>84</v>
      </c>
      <c r="AP6" s="156">
        <v>81</v>
      </c>
      <c r="AQ6" s="156">
        <v>80.637</v>
      </c>
      <c r="AR6" s="156">
        <v>78</v>
      </c>
      <c r="AS6" s="156">
        <v>84.4</v>
      </c>
      <c r="AT6" s="156">
        <v>83.894000000000005</v>
      </c>
      <c r="AU6" s="156">
        <v>80.683999999999997</v>
      </c>
      <c r="AV6" s="156">
        <v>81.3</v>
      </c>
      <c r="AW6" s="156">
        <v>83</v>
      </c>
      <c r="AX6" s="156">
        <v>85.6</v>
      </c>
      <c r="AY6" s="156">
        <v>80.5</v>
      </c>
      <c r="AZ6" s="156">
        <v>69.8</v>
      </c>
      <c r="BA6" s="252">
        <v>80.8</v>
      </c>
      <c r="BB6" s="346">
        <v>64.5</v>
      </c>
      <c r="BC6" s="253">
        <v>57.164000000000001</v>
      </c>
      <c r="BD6" s="253">
        <v>61.2</v>
      </c>
      <c r="BE6" s="419">
        <v>66.2</v>
      </c>
      <c r="BF6" s="423">
        <v>74.459000000000003</v>
      </c>
      <c r="BG6" s="423">
        <v>76.599999999999994</v>
      </c>
      <c r="BH6" s="423">
        <v>78.070999999999998</v>
      </c>
      <c r="BI6" s="423">
        <v>72.078999999999994</v>
      </c>
      <c r="BJ6" s="423">
        <v>79</v>
      </c>
      <c r="BK6" s="423">
        <v>81.884583563095418</v>
      </c>
      <c r="BL6" s="423">
        <v>74.094341584171758</v>
      </c>
      <c r="BM6" s="423">
        <v>81.946651191796008</v>
      </c>
      <c r="BN6" s="423">
        <f>77.8200426351403-2-1.5</f>
        <v>74.320042635140297</v>
      </c>
      <c r="BO6" s="423">
        <v>80.7</v>
      </c>
      <c r="BP6" s="423">
        <v>78</v>
      </c>
      <c r="BQ6" s="423">
        <v>63.762</v>
      </c>
      <c r="BR6" s="423">
        <v>80.289999999999992</v>
      </c>
      <c r="BS6" s="423">
        <v>71.589999999999989</v>
      </c>
      <c r="BT6" s="423">
        <v>64.580317311041441</v>
      </c>
      <c r="BU6" s="423">
        <v>72.844310663404428</v>
      </c>
      <c r="BV6" s="423">
        <v>74.768213718344072</v>
      </c>
      <c r="BW6" s="423">
        <v>73.700435940566294</v>
      </c>
      <c r="BX6" s="423">
        <v>66.568135688253435</v>
      </c>
      <c r="BY6" s="423">
        <v>73.706435940566294</v>
      </c>
      <c r="BZ6" s="423">
        <v>71.326002523128665</v>
      </c>
      <c r="CA6" s="423">
        <v>73.706435940566294</v>
      </c>
      <c r="CB6" s="716"/>
      <c r="CC6" s="662"/>
      <c r="CD6" s="662"/>
      <c r="CE6" s="662"/>
      <c r="CF6" s="662"/>
      <c r="CG6" s="662"/>
      <c r="CH6" s="662"/>
      <c r="CI6" s="662"/>
      <c r="CJ6" s="158">
        <v>73.448999999999998</v>
      </c>
      <c r="CK6" s="158">
        <f>CJ6*0.648</f>
        <v>47.594951999999999</v>
      </c>
      <c r="CL6" s="234"/>
      <c r="CM6" s="455">
        <f>SUM(AY6:BJ6)</f>
        <v>860.37300000000005</v>
      </c>
      <c r="CN6" s="456">
        <f>CM6*0.648</f>
        <v>557.521704</v>
      </c>
      <c r="CO6" s="455">
        <f>SUM(BK6:BV6)</f>
        <v>898.78046066699346</v>
      </c>
      <c r="CP6" s="456">
        <f>CO6*0.648</f>
        <v>582.40973851221179</v>
      </c>
    </row>
    <row r="7" spans="1:97" s="147" customFormat="1">
      <c r="A7" s="702" t="s">
        <v>55</v>
      </c>
      <c r="B7" s="416" t="s">
        <v>56</v>
      </c>
      <c r="C7" s="159">
        <v>53.985610000000001</v>
      </c>
      <c r="D7" s="160">
        <v>45.941310999999999</v>
      </c>
      <c r="E7" s="160">
        <v>46.670610000000003</v>
      </c>
      <c r="F7" s="160">
        <v>49.345337000000001</v>
      </c>
      <c r="G7" s="160">
        <v>50.110622999999997</v>
      </c>
      <c r="H7" s="160">
        <v>50.597169999999998</v>
      </c>
      <c r="I7" s="161">
        <v>52.5</v>
      </c>
      <c r="J7" s="162">
        <v>52.5</v>
      </c>
      <c r="K7" s="161">
        <v>52.5</v>
      </c>
      <c r="L7" s="161">
        <v>55</v>
      </c>
      <c r="M7" s="163">
        <v>58</v>
      </c>
      <c r="N7" s="161">
        <v>55.648000000000003</v>
      </c>
      <c r="O7" s="161">
        <v>31</v>
      </c>
      <c r="P7" s="161">
        <v>28.548999999999999</v>
      </c>
      <c r="Q7" s="162">
        <v>30</v>
      </c>
      <c r="R7" s="162">
        <v>26.234000000000002</v>
      </c>
      <c r="S7" s="162">
        <v>21.6</v>
      </c>
      <c r="T7" s="162">
        <v>4.5999999999999996</v>
      </c>
      <c r="U7" s="162">
        <v>23</v>
      </c>
      <c r="V7" s="162">
        <v>25</v>
      </c>
      <c r="W7" s="162">
        <v>21.5</v>
      </c>
      <c r="X7" s="162">
        <f>27.8+3.4</f>
        <v>31.2</v>
      </c>
      <c r="Y7" s="162">
        <v>34</v>
      </c>
      <c r="Z7" s="162">
        <f>33.179+2</f>
        <v>35.179000000000002</v>
      </c>
      <c r="AA7" s="164">
        <f>1000*AA4/1000</f>
        <v>31</v>
      </c>
      <c r="AB7" s="165">
        <f>1050*AB4/1000</f>
        <v>29.4</v>
      </c>
      <c r="AC7" s="165">
        <v>23.6</v>
      </c>
      <c r="AD7" s="165">
        <v>27.78</v>
      </c>
      <c r="AE7" s="165">
        <v>23</v>
      </c>
      <c r="AF7" s="165">
        <v>28.56</v>
      </c>
      <c r="AG7" s="165">
        <v>27.32</v>
      </c>
      <c r="AH7" s="165">
        <v>22.5</v>
      </c>
      <c r="AI7" s="166">
        <v>15</v>
      </c>
      <c r="AJ7" s="165">
        <v>23.8</v>
      </c>
      <c r="AK7" s="165">
        <f>23/0.648</f>
        <v>35.493827160493829</v>
      </c>
      <c r="AL7" s="165">
        <f>19.5/0.648</f>
        <v>30.092592592592592</v>
      </c>
      <c r="AM7" s="165">
        <f>12/0.648</f>
        <v>18.518518518518519</v>
      </c>
      <c r="AN7" s="165">
        <f>15/0.648</f>
        <v>23.148148148148149</v>
      </c>
      <c r="AO7" s="165">
        <f>21/0.648</f>
        <v>32.407407407407405</v>
      </c>
      <c r="AP7" s="165">
        <f>21/0.648</f>
        <v>32.407407407407405</v>
      </c>
      <c r="AQ7" s="165">
        <f>17/0.648</f>
        <v>26.234567901234566</v>
      </c>
      <c r="AR7" s="165">
        <f>19/0.648</f>
        <v>29.320987654320987</v>
      </c>
      <c r="AS7" s="165">
        <f>18.5/0.648</f>
        <v>28.549382716049383</v>
      </c>
      <c r="AT7" s="165">
        <f>20/0.648</f>
        <v>30.864197530864196</v>
      </c>
      <c r="AU7" s="165">
        <f>19/0.648</f>
        <v>29.320987654320987</v>
      </c>
      <c r="AV7" s="165">
        <f>18/0.648</f>
        <v>27.777777777777779</v>
      </c>
      <c r="AW7" s="165">
        <f>17.5/0.648</f>
        <v>27.006172839506171</v>
      </c>
      <c r="AX7" s="165">
        <v>32.407407407407398</v>
      </c>
      <c r="AY7" s="165">
        <f>(15+3+1)/0.648</f>
        <v>29.320987654320987</v>
      </c>
      <c r="AZ7" s="165">
        <f>5.8/0.648</f>
        <v>8.9506172839506171</v>
      </c>
      <c r="BA7" s="172">
        <f>(22.5+2.7)/0.648</f>
        <v>38.888888888888886</v>
      </c>
      <c r="BB7" s="172">
        <f>15/0.648</f>
        <v>23.148148148148149</v>
      </c>
      <c r="BC7" s="172">
        <f>9/0.648</f>
        <v>13.888888888888889</v>
      </c>
      <c r="BD7" s="172">
        <f>5/0.648</f>
        <v>7.716049382716049</v>
      </c>
      <c r="BE7" s="172">
        <f>5/0.648</f>
        <v>7.716049382716049</v>
      </c>
      <c r="BF7" s="172">
        <f>15/0.648</f>
        <v>23.148148148148149</v>
      </c>
      <c r="BG7" s="172">
        <f>23/0.648</f>
        <v>35.493827160493829</v>
      </c>
      <c r="BH7" s="172">
        <f>25.5/0.648</f>
        <v>39.351851851851848</v>
      </c>
      <c r="BI7" s="172">
        <f>(21.5-1.5)/0.648</f>
        <v>30.864197530864196</v>
      </c>
      <c r="BJ7" s="172">
        <f>22/0.648</f>
        <v>33.950617283950614</v>
      </c>
      <c r="BK7" s="172">
        <f>24.5/0.648</f>
        <v>37.808641975308639</v>
      </c>
      <c r="BL7" s="172">
        <f>(23+1.5)/0.648</f>
        <v>37.808641975308639</v>
      </c>
      <c r="BM7" s="172">
        <f>26/0.648</f>
        <v>40.123456790123456</v>
      </c>
      <c r="BN7" s="172">
        <f>(19)/0.648</f>
        <v>29.320987654320987</v>
      </c>
      <c r="BO7" s="172">
        <f>(26/0.648)</f>
        <v>40.123456790123456</v>
      </c>
      <c r="BP7" s="172">
        <f>21.5/0.648</f>
        <v>33.179012345679013</v>
      </c>
      <c r="BQ7" s="172">
        <f>19/0.648</f>
        <v>29.320987654320987</v>
      </c>
      <c r="BR7" s="173">
        <f>24/0.648</f>
        <v>37.037037037037038</v>
      </c>
      <c r="BS7" s="173">
        <f>19/0.648</f>
        <v>29.320987654320987</v>
      </c>
      <c r="BT7" s="173">
        <f>16.5/0.648</f>
        <v>25.462962962962962</v>
      </c>
      <c r="BU7" s="173">
        <f>20/0.648</f>
        <v>30.864197530864196</v>
      </c>
      <c r="BV7" s="173">
        <f>20/0.648</f>
        <v>30.864197530864196</v>
      </c>
      <c r="BW7" s="173">
        <f>19.5/0.648</f>
        <v>30.092592592592592</v>
      </c>
      <c r="BX7" s="173">
        <f>17.5/0.648</f>
        <v>27.006172839506171</v>
      </c>
      <c r="BY7" s="173">
        <f>19.5/0.648</f>
        <v>30.092592592592592</v>
      </c>
      <c r="BZ7" s="173">
        <f>19/0.648</f>
        <v>29.320987654320987</v>
      </c>
      <c r="CA7" s="173">
        <f>20/0.648</f>
        <v>30.864197530864196</v>
      </c>
      <c r="CB7" s="708" t="s">
        <v>317</v>
      </c>
      <c r="CC7" s="663"/>
      <c r="CD7" s="663"/>
      <c r="CE7" s="663"/>
      <c r="CF7" s="663"/>
      <c r="CG7" s="663"/>
      <c r="CH7" s="663"/>
      <c r="CI7" s="663"/>
      <c r="CJ7" s="158">
        <f>SUM(AM7:AX7)</f>
        <v>337.96296296296299</v>
      </c>
      <c r="CK7" s="158">
        <f>CJ7*0.648</f>
        <v>219.00000000000003</v>
      </c>
      <c r="CL7" s="147">
        <f>CJ7/CJ6</f>
        <v>4.6013283089349484</v>
      </c>
      <c r="CM7" s="455">
        <f>SUM(AY7:BJ7)</f>
        <v>292.43827160493828</v>
      </c>
      <c r="CN7" s="456">
        <f>CM7*0.648</f>
        <v>189.5</v>
      </c>
      <c r="CO7" s="455">
        <f>SUM(BK7:BV7)</f>
        <v>401.23456790123453</v>
      </c>
      <c r="CP7" s="456">
        <f>CO7*0.648</f>
        <v>260</v>
      </c>
      <c r="CQ7" s="463">
        <f>CP7*0.9</f>
        <v>234</v>
      </c>
      <c r="CS7" s="463"/>
    </row>
    <row r="8" spans="1:97" s="147" customFormat="1" ht="16" thickBot="1">
      <c r="A8" s="703"/>
      <c r="B8" s="417" t="s">
        <v>183</v>
      </c>
      <c r="C8" s="167">
        <v>30.989631000000003</v>
      </c>
      <c r="D8" s="168">
        <v>29.898712</v>
      </c>
      <c r="E8" s="168">
        <v>32.193482000000003</v>
      </c>
      <c r="F8" s="168">
        <v>31.362504000000001</v>
      </c>
      <c r="G8" s="168">
        <v>31.123810000000002</v>
      </c>
      <c r="H8" s="168">
        <v>33.331128</v>
      </c>
      <c r="I8" s="169">
        <v>32</v>
      </c>
      <c r="J8" s="170">
        <v>33</v>
      </c>
      <c r="K8" s="169">
        <v>30</v>
      </c>
      <c r="L8" s="169">
        <v>30</v>
      </c>
      <c r="M8" s="171">
        <v>25</v>
      </c>
      <c r="N8" s="169">
        <v>29.111000000000001</v>
      </c>
      <c r="O8" s="169">
        <v>50</v>
      </c>
      <c r="P8" s="169">
        <v>53</v>
      </c>
      <c r="Q8" s="169">
        <f>53+0.8</f>
        <v>53.8</v>
      </c>
      <c r="R8" s="169">
        <v>53</v>
      </c>
      <c r="S8" s="169">
        <v>58</v>
      </c>
      <c r="T8" s="169">
        <v>56</v>
      </c>
      <c r="U8" s="169">
        <v>56</v>
      </c>
      <c r="V8" s="169">
        <v>55</v>
      </c>
      <c r="W8" s="169">
        <v>54</v>
      </c>
      <c r="X8" s="169">
        <v>58</v>
      </c>
      <c r="Y8" s="169">
        <v>56</v>
      </c>
      <c r="Z8" s="169">
        <v>55</v>
      </c>
      <c r="AA8" s="172">
        <f>48/0.648*AA4*24/1000</f>
        <v>55.111111111111114</v>
      </c>
      <c r="AB8" s="172">
        <f t="shared" ref="AB8:AG8" si="4">48/0.648*AB4*24/1000</f>
        <v>49.777777777777771</v>
      </c>
      <c r="AC8" s="172">
        <f t="shared" si="4"/>
        <v>55.111111111111114</v>
      </c>
      <c r="AD8" s="172">
        <f t="shared" si="4"/>
        <v>53.333333333333329</v>
      </c>
      <c r="AE8" s="172">
        <f t="shared" si="4"/>
        <v>55.111111111111114</v>
      </c>
      <c r="AF8" s="172">
        <f t="shared" si="4"/>
        <v>53.333333333333329</v>
      </c>
      <c r="AG8" s="172">
        <f t="shared" si="4"/>
        <v>55.111111111111114</v>
      </c>
      <c r="AH8" s="172">
        <f>48/0.648*AH4*24/1000</f>
        <v>55.111111111111114</v>
      </c>
      <c r="AI8" s="172">
        <v>46.9</v>
      </c>
      <c r="AJ8" s="172">
        <v>45</v>
      </c>
      <c r="AK8" s="172">
        <v>40</v>
      </c>
      <c r="AL8" s="172">
        <f>48/0.648*AL4*24/1000</f>
        <v>55.111111111111114</v>
      </c>
      <c r="AM8" s="172">
        <f>52-7</f>
        <v>45</v>
      </c>
      <c r="AN8" s="172">
        <v>48</v>
      </c>
      <c r="AO8" s="172">
        <v>55</v>
      </c>
      <c r="AP8" s="172">
        <v>53</v>
      </c>
      <c r="AQ8" s="172">
        <v>55</v>
      </c>
      <c r="AR8" s="172">
        <v>53</v>
      </c>
      <c r="AS8" s="172">
        <v>55</v>
      </c>
      <c r="AT8" s="172">
        <v>55</v>
      </c>
      <c r="AU8" s="172">
        <v>51.5</v>
      </c>
      <c r="AV8" s="172">
        <f>48*AV4/0.648/1000*24</f>
        <v>55.111111111111114</v>
      </c>
      <c r="AW8" s="172">
        <f>48*AW4/0.648/1000*24</f>
        <v>53.333333333333336</v>
      </c>
      <c r="AX8" s="172">
        <v>55</v>
      </c>
      <c r="AY8" s="172">
        <f>53+2</f>
        <v>55</v>
      </c>
      <c r="AZ8" s="172">
        <f>48/0.648*AZ4*24/1000</f>
        <v>51.555555555555564</v>
      </c>
      <c r="BA8" s="172">
        <v>43.6</v>
      </c>
      <c r="BB8" s="172">
        <v>42.2</v>
      </c>
      <c r="BC8" s="172">
        <v>42.2</v>
      </c>
      <c r="BD8" s="172">
        <f>48/0.648*BD4*24/1000</f>
        <v>53.333333333333329</v>
      </c>
      <c r="BE8" s="172">
        <v>58.857999999999997</v>
      </c>
      <c r="BF8" s="172">
        <f>48/0.648*BF4*24/1000</f>
        <v>55.111111111111114</v>
      </c>
      <c r="BG8" s="172">
        <f>38/0.648*BG4*24/1000</f>
        <v>42.222222222222221</v>
      </c>
      <c r="BH8" s="172">
        <f>38/0.648*BH4*24/1000</f>
        <v>43.629629629629626</v>
      </c>
      <c r="BI8" s="172">
        <f>(38/0.648*BI4*24/1000)-2.22</f>
        <v>40.002222222222223</v>
      </c>
      <c r="BJ8" s="172">
        <f>(38/0.648*BJ4*24/1000)-3.03+2</f>
        <v>42.599629629629625</v>
      </c>
      <c r="BK8" s="172">
        <v>45</v>
      </c>
      <c r="BL8" s="172">
        <v>39</v>
      </c>
      <c r="BM8" s="172">
        <f>38/0.648*BM4*24/1000</f>
        <v>43.629629629629626</v>
      </c>
      <c r="BN8" s="172">
        <v>43.7</v>
      </c>
      <c r="BO8" s="172">
        <f t="shared" ref="BO8:BX8" si="5">38/0.648*BO4*24/1000</f>
        <v>43.629629629629626</v>
      </c>
      <c r="BP8" s="172">
        <f t="shared" si="5"/>
        <v>42.222222222222221</v>
      </c>
      <c r="BQ8" s="172">
        <v>33</v>
      </c>
      <c r="BR8" s="173">
        <f t="shared" si="5"/>
        <v>43.629629629629626</v>
      </c>
      <c r="BS8" s="173">
        <f t="shared" si="5"/>
        <v>42.222222222222221</v>
      </c>
      <c r="BT8" s="459">
        <f>34/0.648*BT4*24/1000</f>
        <v>39.037037037037038</v>
      </c>
      <c r="BU8" s="173">
        <f t="shared" si="5"/>
        <v>42.222222222222221</v>
      </c>
      <c r="BV8" s="173">
        <f t="shared" si="5"/>
        <v>43.629629629629626</v>
      </c>
      <c r="BW8" s="173">
        <f t="shared" si="5"/>
        <v>43.629629629629626</v>
      </c>
      <c r="BX8" s="173">
        <f t="shared" si="5"/>
        <v>39.407407407407412</v>
      </c>
      <c r="BY8" s="173">
        <f t="shared" ref="BY8:BZ8" si="6">38/0.648*BY4*24/1000</f>
        <v>43.629629629629626</v>
      </c>
      <c r="BZ8" s="173">
        <f t="shared" si="6"/>
        <v>42.222222222222221</v>
      </c>
      <c r="CA8" s="173">
        <f>38/0.648*CA4*24/1000</f>
        <v>42.222222222222221</v>
      </c>
      <c r="CB8" s="709" t="s">
        <v>355</v>
      </c>
      <c r="CD8" s="663"/>
      <c r="CE8" s="663"/>
      <c r="CG8" s="663"/>
      <c r="CH8" s="706" t="s">
        <v>354</v>
      </c>
      <c r="CI8" s="663"/>
      <c r="CJ8" s="158">
        <f>SUM(AM8:AX8)</f>
        <v>633.94444444444446</v>
      </c>
      <c r="CK8" s="158">
        <f>CJ8*0.648</f>
        <v>410.79600000000005</v>
      </c>
      <c r="CL8" s="147">
        <f>CJ8/CJ6</f>
        <v>8.631083397247675</v>
      </c>
      <c r="CM8" s="457">
        <f>SUM(AY8:BJ8)</f>
        <v>570.31170370370364</v>
      </c>
      <c r="CN8" s="458">
        <f>CM8*0.648</f>
        <v>369.561984</v>
      </c>
      <c r="CO8" s="457">
        <f>SUM(BK8:BV8)</f>
        <v>500.92222222222222</v>
      </c>
      <c r="CP8" s="458">
        <f>CO8*0.648</f>
        <v>324.5976</v>
      </c>
      <c r="CQ8" s="463">
        <f>CP8*0.9</f>
        <v>292.13783999999998</v>
      </c>
    </row>
    <row r="9" spans="1:97" s="147" customFormat="1">
      <c r="A9" s="703"/>
      <c r="B9" s="417" t="s">
        <v>182</v>
      </c>
      <c r="C9" s="167">
        <v>0.78237099999999993</v>
      </c>
      <c r="D9" s="168">
        <v>0.7522279999999999</v>
      </c>
      <c r="E9" s="168">
        <v>0.775474</v>
      </c>
      <c r="F9" s="168">
        <v>0.79658699999999993</v>
      </c>
      <c r="G9" s="168">
        <v>0.84058900000000003</v>
      </c>
      <c r="H9" s="168">
        <v>0.81647700000000001</v>
      </c>
      <c r="I9" s="169">
        <v>0.8</v>
      </c>
      <c r="J9" s="170">
        <v>0.8</v>
      </c>
      <c r="K9" s="169">
        <v>0.8</v>
      </c>
      <c r="L9" s="169">
        <v>0.8</v>
      </c>
      <c r="M9" s="174">
        <v>0.8</v>
      </c>
      <c r="N9" s="169">
        <v>0.8</v>
      </c>
      <c r="O9" s="169">
        <v>0.8</v>
      </c>
      <c r="P9" s="169">
        <v>0.8</v>
      </c>
      <c r="Q9" s="170">
        <v>0.8</v>
      </c>
      <c r="R9" s="170">
        <v>0</v>
      </c>
      <c r="S9" s="170">
        <v>0</v>
      </c>
      <c r="T9" s="170">
        <v>0</v>
      </c>
      <c r="U9" s="170">
        <v>0</v>
      </c>
      <c r="V9" s="170">
        <v>0</v>
      </c>
      <c r="W9" s="170">
        <v>0</v>
      </c>
      <c r="X9" s="170"/>
      <c r="Y9" s="170"/>
      <c r="Z9" s="170">
        <v>0</v>
      </c>
      <c r="AA9" s="172"/>
      <c r="AB9" s="175"/>
      <c r="AC9" s="175">
        <v>0</v>
      </c>
      <c r="AD9" s="176">
        <v>-2.5</v>
      </c>
      <c r="AE9" s="175">
        <v>0</v>
      </c>
      <c r="AF9" s="175">
        <v>0</v>
      </c>
      <c r="AG9" s="175">
        <v>0</v>
      </c>
      <c r="AH9" s="175">
        <v>0</v>
      </c>
      <c r="AI9" s="175">
        <v>0</v>
      </c>
      <c r="AJ9" s="175">
        <v>0</v>
      </c>
      <c r="AK9" s="177"/>
      <c r="AL9" s="175"/>
      <c r="AM9" s="175"/>
      <c r="AN9" s="175">
        <v>0</v>
      </c>
      <c r="AO9" s="175"/>
      <c r="AP9" s="175"/>
      <c r="AQ9" s="175"/>
      <c r="AR9" s="175">
        <v>0</v>
      </c>
      <c r="AS9" s="175">
        <v>0</v>
      </c>
      <c r="AT9" s="175">
        <v>0</v>
      </c>
      <c r="AU9" s="175">
        <v>0</v>
      </c>
      <c r="AV9" s="175">
        <v>0</v>
      </c>
      <c r="AW9" s="175">
        <v>0</v>
      </c>
      <c r="AX9" s="175">
        <v>0</v>
      </c>
      <c r="AY9" s="175">
        <v>0</v>
      </c>
      <c r="AZ9" s="175"/>
      <c r="BA9" s="175"/>
      <c r="BB9" s="175"/>
      <c r="BC9" s="175">
        <v>0</v>
      </c>
      <c r="BD9" s="175">
        <v>0</v>
      </c>
      <c r="BE9" s="175"/>
      <c r="BF9" s="175">
        <v>0</v>
      </c>
      <c r="BG9" s="175">
        <v>0</v>
      </c>
      <c r="BH9" s="175">
        <v>0</v>
      </c>
      <c r="BI9" s="175">
        <v>0</v>
      </c>
      <c r="BJ9" s="175">
        <v>0</v>
      </c>
      <c r="BK9" s="177"/>
      <c r="BL9" s="175"/>
      <c r="BM9" s="175">
        <v>0</v>
      </c>
      <c r="BN9" s="175">
        <v>0</v>
      </c>
      <c r="BO9" s="175">
        <v>0</v>
      </c>
      <c r="BP9" s="175">
        <v>0</v>
      </c>
      <c r="BQ9" s="175"/>
      <c r="BR9" s="175">
        <v>0</v>
      </c>
      <c r="BS9" s="175">
        <v>0</v>
      </c>
      <c r="BT9" s="175">
        <v>0</v>
      </c>
      <c r="BU9" s="175">
        <v>0</v>
      </c>
      <c r="BV9" s="175">
        <v>0</v>
      </c>
      <c r="BW9" s="175">
        <v>0</v>
      </c>
      <c r="BX9" s="175">
        <v>0</v>
      </c>
      <c r="BY9" s="175">
        <v>0</v>
      </c>
      <c r="BZ9" s="175">
        <v>0</v>
      </c>
      <c r="CA9" s="175">
        <v>0</v>
      </c>
      <c r="CB9" s="717"/>
      <c r="CC9" s="664"/>
      <c r="CD9" s="664"/>
      <c r="CE9" s="664"/>
      <c r="CF9" s="664"/>
      <c r="CG9" s="664"/>
      <c r="CH9" s="664"/>
      <c r="CI9" s="664"/>
      <c r="CJ9" s="158">
        <f>SUM(AM9:BI9)</f>
        <v>0</v>
      </c>
      <c r="CK9" s="158">
        <f>CJ9*0.648</f>
        <v>0</v>
      </c>
      <c r="CM9" s="234"/>
    </row>
    <row r="10" spans="1:97" s="147" customFormat="1" ht="16" thickBot="1">
      <c r="A10" s="703"/>
      <c r="B10" s="178" t="s">
        <v>57</v>
      </c>
      <c r="C10" s="179">
        <v>0</v>
      </c>
      <c r="D10" s="180">
        <v>4.7416499999999999</v>
      </c>
      <c r="E10" s="180">
        <v>0</v>
      </c>
      <c r="F10" s="180">
        <v>5.2014629999999995</v>
      </c>
      <c r="G10" s="180">
        <v>0</v>
      </c>
      <c r="H10" s="180">
        <v>0</v>
      </c>
      <c r="I10" s="181">
        <v>5</v>
      </c>
      <c r="J10" s="182">
        <v>0</v>
      </c>
      <c r="K10" s="181">
        <f>4.697+4.9</f>
        <v>9.5970000000000013</v>
      </c>
      <c r="L10" s="181">
        <v>4.524</v>
      </c>
      <c r="M10" s="183">
        <v>0</v>
      </c>
      <c r="N10" s="181">
        <f>3.85+4.8+3.7</f>
        <v>12.350000000000001</v>
      </c>
      <c r="O10" s="181">
        <v>0</v>
      </c>
      <c r="P10" s="184"/>
      <c r="Q10" s="182"/>
      <c r="R10" s="181">
        <v>5</v>
      </c>
      <c r="S10" s="185">
        <v>10</v>
      </c>
      <c r="T10" s="185">
        <f>15+2.4</f>
        <v>17.399999999999999</v>
      </c>
      <c r="U10" s="181">
        <v>0</v>
      </c>
      <c r="V10" s="181" t="s">
        <v>58</v>
      </c>
      <c r="W10" s="181">
        <v>0</v>
      </c>
      <c r="X10" s="181"/>
      <c r="Y10" s="181">
        <v>0</v>
      </c>
      <c r="Z10" s="181">
        <v>5</v>
      </c>
      <c r="AA10" s="186">
        <v>0</v>
      </c>
      <c r="AB10" s="186">
        <v>4.2</v>
      </c>
      <c r="AC10" s="186">
        <v>0</v>
      </c>
      <c r="AD10" s="186">
        <v>0</v>
      </c>
      <c r="AE10" s="187"/>
      <c r="AF10" s="186">
        <v>0</v>
      </c>
      <c r="AG10" s="188">
        <v>1.9</v>
      </c>
      <c r="AH10" s="188"/>
      <c r="AI10" s="188"/>
      <c r="AJ10" s="188">
        <v>1.9</v>
      </c>
      <c r="AK10" s="186">
        <v>1.9</v>
      </c>
      <c r="AL10" s="186">
        <v>0</v>
      </c>
      <c r="AM10" s="186"/>
      <c r="AN10" s="186"/>
      <c r="AO10" s="186"/>
      <c r="AP10" s="186"/>
      <c r="AQ10" s="186"/>
      <c r="AR10" s="186"/>
      <c r="AS10" s="186"/>
      <c r="AT10" s="186"/>
      <c r="AU10" s="186"/>
      <c r="AV10" s="186"/>
      <c r="AW10" s="186">
        <v>0</v>
      </c>
      <c r="AX10" s="186"/>
      <c r="AY10" s="186"/>
      <c r="AZ10" s="186">
        <f>0.5+0.6</f>
        <v>1.1000000000000001</v>
      </c>
      <c r="BA10" s="186">
        <f>1.9+1.2</f>
        <v>3.0999999999999996</v>
      </c>
      <c r="BB10" s="186"/>
      <c r="BC10" s="186"/>
      <c r="BD10" s="186"/>
      <c r="BE10" s="186"/>
      <c r="BF10" s="172"/>
      <c r="BG10" s="172"/>
      <c r="BH10" s="173"/>
      <c r="BI10" s="186"/>
      <c r="BJ10" s="186"/>
      <c r="BK10" s="186">
        <v>0.6</v>
      </c>
      <c r="BL10" s="186"/>
      <c r="BM10" s="186"/>
      <c r="BN10" s="186"/>
      <c r="BO10" s="186"/>
      <c r="BP10" s="186"/>
      <c r="BQ10" s="177">
        <v>1.8</v>
      </c>
      <c r="BR10" s="186"/>
      <c r="BS10" s="186"/>
      <c r="BT10" s="186"/>
      <c r="BU10" s="186"/>
      <c r="BV10" s="186"/>
      <c r="BW10" s="186"/>
      <c r="BX10" s="186"/>
      <c r="BY10" s="186"/>
      <c r="BZ10" s="186"/>
      <c r="CA10" s="186"/>
      <c r="CB10" s="717"/>
      <c r="CC10" s="664"/>
      <c r="CD10" s="664"/>
      <c r="CE10" s="664"/>
      <c r="CF10" s="664"/>
      <c r="CG10" s="664"/>
      <c r="CH10" s="664"/>
      <c r="CI10" s="664"/>
      <c r="CJ10" s="158">
        <f>SUM(AM10:BI10)</f>
        <v>4.1999999999999993</v>
      </c>
      <c r="CK10" s="158">
        <f>CJ10*0.648</f>
        <v>2.7215999999999996</v>
      </c>
    </row>
    <row r="11" spans="1:97">
      <c r="A11" s="704" t="s">
        <v>59</v>
      </c>
      <c r="B11" s="189" t="s">
        <v>60</v>
      </c>
      <c r="C11" s="190">
        <v>12801</v>
      </c>
      <c r="D11" s="191">
        <v>11978</v>
      </c>
      <c r="E11" s="191">
        <v>11819</v>
      </c>
      <c r="F11" s="191">
        <v>12516</v>
      </c>
      <c r="G11" s="191">
        <v>15372</v>
      </c>
      <c r="H11" s="191">
        <v>14218</v>
      </c>
      <c r="I11" s="191">
        <v>15829</v>
      </c>
      <c r="J11" s="191">
        <v>16938</v>
      </c>
      <c r="K11" s="191">
        <v>12542</v>
      </c>
      <c r="L11" s="191">
        <v>14998.005565862706</v>
      </c>
      <c r="M11" s="191">
        <v>17756</v>
      </c>
      <c r="N11" s="192">
        <v>10570</v>
      </c>
      <c r="O11" s="191">
        <v>14582</v>
      </c>
      <c r="P11" s="191">
        <v>10587</v>
      </c>
      <c r="Q11" s="191">
        <v>18260</v>
      </c>
      <c r="R11" s="191">
        <v>10952</v>
      </c>
      <c r="S11" s="191">
        <v>10878</v>
      </c>
      <c r="T11" s="191">
        <v>13661</v>
      </c>
      <c r="U11" s="191">
        <v>8620</v>
      </c>
      <c r="V11" s="191">
        <v>12250</v>
      </c>
      <c r="W11" s="191">
        <v>15873</v>
      </c>
      <c r="X11" s="191">
        <v>16544</v>
      </c>
      <c r="Y11" s="191">
        <v>17135.611999511748</v>
      </c>
      <c r="Z11" s="191">
        <v>12707</v>
      </c>
      <c r="AA11" s="191">
        <v>13801</v>
      </c>
      <c r="AB11" s="191">
        <v>6198</v>
      </c>
      <c r="AC11" s="191">
        <v>9407</v>
      </c>
      <c r="AD11" s="191">
        <v>6916</v>
      </c>
      <c r="AE11" s="191">
        <v>9122.472412109375</v>
      </c>
      <c r="AF11" s="191">
        <v>9923.3910827636719</v>
      </c>
      <c r="AG11" s="191">
        <f>AF11+((AG6-AG13)*1000)</f>
        <v>5715.2799716525633</v>
      </c>
      <c r="AH11" s="191">
        <v>2608</v>
      </c>
      <c r="AI11" s="191">
        <v>5452</v>
      </c>
      <c r="AJ11" s="191">
        <v>12416</v>
      </c>
      <c r="AK11" s="191">
        <v>13315</v>
      </c>
      <c r="AL11" s="191">
        <v>8617</v>
      </c>
      <c r="AM11" s="191">
        <v>15252.196105957031</v>
      </c>
      <c r="AN11" s="191">
        <v>15784</v>
      </c>
      <c r="AO11" s="191">
        <v>14297</v>
      </c>
      <c r="AP11" s="191">
        <v>11185.101745605469</v>
      </c>
      <c r="AQ11" s="191">
        <v>10090.282043457031</v>
      </c>
      <c r="AR11" s="191">
        <v>10986</v>
      </c>
      <c r="AS11" s="191">
        <v>12870</v>
      </c>
      <c r="AT11" s="191">
        <v>9734</v>
      </c>
      <c r="AU11" s="191">
        <v>8503.5310573577881</v>
      </c>
      <c r="AV11" s="191">
        <v>7993.1530246734619</v>
      </c>
      <c r="AW11" s="191">
        <v>11222.628784179688</v>
      </c>
      <c r="AX11" s="191">
        <v>10678.500749588013</v>
      </c>
      <c r="AY11" s="191">
        <v>6267.9736328125</v>
      </c>
      <c r="AZ11" s="191">
        <v>14970.42724609375</v>
      </c>
      <c r="BA11" s="191">
        <v>10564.156494140625</v>
      </c>
      <c r="BB11" s="191">
        <v>10702</v>
      </c>
      <c r="BC11" s="191">
        <v>13927</v>
      </c>
      <c r="BD11" s="191">
        <v>16225.431045145331</v>
      </c>
      <c r="BE11" s="191">
        <v>17232.923314780463</v>
      </c>
      <c r="BF11" s="191">
        <v>15020</v>
      </c>
      <c r="BG11" s="191">
        <v>13565</v>
      </c>
      <c r="BH11" s="191">
        <v>8818</v>
      </c>
      <c r="BI11" s="191">
        <v>11744</v>
      </c>
      <c r="BJ11" s="191">
        <v>14198.392</v>
      </c>
      <c r="BK11" s="191">
        <v>12896</v>
      </c>
      <c r="BL11" s="191">
        <v>10073</v>
      </c>
      <c r="BM11" s="191">
        <v>8688.06</v>
      </c>
      <c r="BN11" s="191">
        <v>11362</v>
      </c>
      <c r="BO11" s="191">
        <f t="shared" ref="BO11:BV11" si="7">BN11+((BO6-BO13)*1000)</f>
        <v>8308.9135802469136</v>
      </c>
      <c r="BP11" s="191">
        <f t="shared" si="7"/>
        <v>10907.679012345672</v>
      </c>
      <c r="BQ11" s="191">
        <f t="shared" si="7"/>
        <v>10548.691358024687</v>
      </c>
      <c r="BR11" s="191">
        <f t="shared" si="7"/>
        <v>10172.024691358023</v>
      </c>
      <c r="BS11" s="191">
        <f t="shared" si="7"/>
        <v>10218.814814814796</v>
      </c>
      <c r="BT11" s="191">
        <f t="shared" si="7"/>
        <v>10299.132125856237</v>
      </c>
      <c r="BU11" s="191">
        <f t="shared" si="7"/>
        <v>10057.023036174247</v>
      </c>
      <c r="BV11" s="191">
        <f t="shared" si="7"/>
        <v>10331.409594024497</v>
      </c>
      <c r="BW11" s="191">
        <f>BV11+((BW6-BW13)*1000)</f>
        <v>10309.623312368576</v>
      </c>
      <c r="BX11" s="191">
        <f>BW11+((BX6-BX13)*1000)</f>
        <v>10464.178753708427</v>
      </c>
      <c r="BY11" s="191">
        <f>BX11+((BY6-BY13)*1000)</f>
        <v>10448.392472052506</v>
      </c>
      <c r="BZ11" s="191">
        <f>BY11+((BZ6-BZ13)*1000)</f>
        <v>10231.185118637955</v>
      </c>
      <c r="CA11" s="191">
        <f>BZ11+((CA6-CA13)*1000)</f>
        <v>10851.201306117831</v>
      </c>
      <c r="CB11" s="710" t="s">
        <v>356</v>
      </c>
      <c r="CC11" s="665"/>
      <c r="CD11" s="665"/>
      <c r="CE11" s="665"/>
      <c r="CF11" s="665"/>
      <c r="CG11" s="665"/>
      <c r="CH11" s="665"/>
      <c r="CI11" s="665"/>
    </row>
    <row r="12" spans="1:97" s="197" customFormat="1" ht="16" thickBot="1">
      <c r="A12" s="705"/>
      <c r="B12" s="193" t="s">
        <v>61</v>
      </c>
      <c r="C12" s="194">
        <f>C11/49624.4*100</f>
        <v>25.795777883460552</v>
      </c>
      <c r="D12" s="195">
        <f>D11/49624.4*100</f>
        <v>24.137319544417664</v>
      </c>
      <c r="E12" s="195">
        <f>E11/45790.8*100</f>
        <v>25.810861570446463</v>
      </c>
      <c r="F12" s="195">
        <f>F11/45790.8*100</f>
        <v>27.333001388925283</v>
      </c>
      <c r="G12" s="195">
        <f>G11/45790.8*100</f>
        <v>33.57006210854582</v>
      </c>
      <c r="H12" s="195">
        <f>H11/45790.8*100</f>
        <v>31.049905221136122</v>
      </c>
      <c r="I12" s="195">
        <f>I11/22600*100</f>
        <v>70.039823008849552</v>
      </c>
      <c r="J12" s="195">
        <f t="shared" ref="J12:AS12" si="8">J11/22600*100</f>
        <v>74.946902654867259</v>
      </c>
      <c r="K12" s="195">
        <f t="shared" si="8"/>
        <v>55.495575221238937</v>
      </c>
      <c r="L12" s="195">
        <f t="shared" si="8"/>
        <v>66.362856486118176</v>
      </c>
      <c r="M12" s="195">
        <f t="shared" si="8"/>
        <v>78.56637168141593</v>
      </c>
      <c r="N12" s="195">
        <f t="shared" si="8"/>
        <v>46.769911504424776</v>
      </c>
      <c r="O12" s="195">
        <f t="shared" si="8"/>
        <v>64.522123893805301</v>
      </c>
      <c r="P12" s="195">
        <f t="shared" si="8"/>
        <v>46.845132743362832</v>
      </c>
      <c r="Q12" s="195">
        <f t="shared" si="8"/>
        <v>80.796460176991147</v>
      </c>
      <c r="R12" s="195">
        <f t="shared" si="8"/>
        <v>48.460176991150448</v>
      </c>
      <c r="S12" s="195">
        <f t="shared" si="8"/>
        <v>48.13274336283186</v>
      </c>
      <c r="T12" s="195">
        <f t="shared" si="8"/>
        <v>60.446902654867252</v>
      </c>
      <c r="U12" s="195">
        <f t="shared" si="8"/>
        <v>38.141592920353986</v>
      </c>
      <c r="V12" s="195">
        <f t="shared" si="8"/>
        <v>54.203539823008853</v>
      </c>
      <c r="W12" s="195">
        <f t="shared" si="8"/>
        <v>70.23451327433628</v>
      </c>
      <c r="X12" s="195">
        <f t="shared" si="8"/>
        <v>73.203539823008839</v>
      </c>
      <c r="Y12" s="195">
        <f t="shared" si="8"/>
        <v>75.821292033237825</v>
      </c>
      <c r="Z12" s="195">
        <f t="shared" si="8"/>
        <v>56.225663716814154</v>
      </c>
      <c r="AA12" s="195">
        <f t="shared" si="8"/>
        <v>61.06637168141593</v>
      </c>
      <c r="AB12" s="195">
        <f t="shared" si="8"/>
        <v>27.424778761061948</v>
      </c>
      <c r="AC12" s="195">
        <f t="shared" si="8"/>
        <v>41.623893805309734</v>
      </c>
      <c r="AD12" s="195">
        <f t="shared" si="8"/>
        <v>30.601769911504423</v>
      </c>
      <c r="AE12" s="195">
        <f t="shared" si="8"/>
        <v>40.364922177475108</v>
      </c>
      <c r="AF12" s="195">
        <f t="shared" si="8"/>
        <v>43.90881010072421</v>
      </c>
      <c r="AG12" s="195">
        <f t="shared" si="8"/>
        <v>25.288849432090988</v>
      </c>
      <c r="AH12" s="195">
        <f t="shared" si="8"/>
        <v>11.539823008849558</v>
      </c>
      <c r="AI12" s="195">
        <f>AI11/22600*100</f>
        <v>24.123893805309734</v>
      </c>
      <c r="AJ12" s="195">
        <f t="shared" si="8"/>
        <v>54.938053097345133</v>
      </c>
      <c r="AK12" s="195">
        <f t="shared" si="8"/>
        <v>58.915929203539818</v>
      </c>
      <c r="AL12" s="195">
        <f t="shared" si="8"/>
        <v>38.128318584070797</v>
      </c>
      <c r="AM12" s="195">
        <f t="shared" si="8"/>
        <v>67.487593389190408</v>
      </c>
      <c r="AN12" s="195">
        <f t="shared" si="8"/>
        <v>69.840707964601762</v>
      </c>
      <c r="AO12" s="195">
        <f t="shared" si="8"/>
        <v>63.26106194690265</v>
      </c>
      <c r="AP12" s="195">
        <f t="shared" si="8"/>
        <v>49.49160064427199</v>
      </c>
      <c r="AQ12" s="195">
        <f t="shared" si="8"/>
        <v>44.647265679013415</v>
      </c>
      <c r="AR12" s="195">
        <f t="shared" si="8"/>
        <v>48.610619469026553</v>
      </c>
      <c r="AS12" s="195">
        <f t="shared" si="8"/>
        <v>56.946902654867259</v>
      </c>
      <c r="AT12" s="196">
        <f t="shared" ref="AT12:AY12" si="9">AT11/18350*100</f>
        <v>53.046321525885553</v>
      </c>
      <c r="AU12" s="196">
        <f t="shared" si="9"/>
        <v>46.340768704947074</v>
      </c>
      <c r="AV12" s="196">
        <f t="shared" si="9"/>
        <v>43.559417028193252</v>
      </c>
      <c r="AW12" s="196">
        <f t="shared" si="9"/>
        <v>61.158739968281672</v>
      </c>
      <c r="AX12" s="196">
        <f t="shared" si="9"/>
        <v>58.193464575411511</v>
      </c>
      <c r="AY12" s="195">
        <f t="shared" si="9"/>
        <v>34.157894456743868</v>
      </c>
      <c r="AZ12" s="315">
        <f>AZ11/22600</f>
        <v>0.66240828522538719</v>
      </c>
      <c r="BA12" s="315">
        <f t="shared" ref="BA12:BP12" si="10">BA11/22600</f>
        <v>0.46744055283808073</v>
      </c>
      <c r="BB12" s="315">
        <f t="shared" si="10"/>
        <v>0.47353982300884956</v>
      </c>
      <c r="BC12" s="315">
        <f t="shared" si="10"/>
        <v>0.61623893805309737</v>
      </c>
      <c r="BD12" s="315">
        <f t="shared" si="10"/>
        <v>0.71793942677634204</v>
      </c>
      <c r="BE12" s="315">
        <f t="shared" si="10"/>
        <v>0.76251873074249832</v>
      </c>
      <c r="BF12" s="315">
        <f t="shared" si="10"/>
        <v>0.66460176991150444</v>
      </c>
      <c r="BG12" s="315">
        <f t="shared" si="10"/>
        <v>0.60022123893805313</v>
      </c>
      <c r="BH12" s="315">
        <f t="shared" si="10"/>
        <v>0.39017699115044246</v>
      </c>
      <c r="BI12" s="315">
        <f t="shared" si="10"/>
        <v>0.519646017699115</v>
      </c>
      <c r="BJ12" s="315">
        <f t="shared" si="10"/>
        <v>0.62824743362831859</v>
      </c>
      <c r="BK12" s="315">
        <f t="shared" si="10"/>
        <v>0.5706194690265487</v>
      </c>
      <c r="BL12" s="315">
        <f t="shared" si="10"/>
        <v>0.44570796460176992</v>
      </c>
      <c r="BM12" s="315">
        <f t="shared" si="10"/>
        <v>0.38442743362831855</v>
      </c>
      <c r="BN12" s="315">
        <f t="shared" si="10"/>
        <v>0.50274336283185839</v>
      </c>
      <c r="BO12" s="315">
        <f t="shared" si="10"/>
        <v>0.36765104337375726</v>
      </c>
      <c r="BP12" s="315">
        <f t="shared" si="10"/>
        <v>0.48264066426308283</v>
      </c>
      <c r="BQ12" s="315">
        <f t="shared" ref="BQ12:BW12" si="11">BQ11/22600</f>
        <v>0.46675625477985344</v>
      </c>
      <c r="BR12" s="315">
        <f t="shared" si="11"/>
        <v>0.45008958811318689</v>
      </c>
      <c r="BS12" s="315">
        <f t="shared" si="11"/>
        <v>0.45215994755817679</v>
      </c>
      <c r="BT12" s="315">
        <f t="shared" si="11"/>
        <v>0.45571381087859453</v>
      </c>
      <c r="BU12" s="315">
        <f t="shared" si="11"/>
        <v>0.44500101929974545</v>
      </c>
      <c r="BV12" s="315">
        <f t="shared" si="11"/>
        <v>0.45714201743471228</v>
      </c>
      <c r="BW12" s="315">
        <f t="shared" si="11"/>
        <v>0.45617802267117591</v>
      </c>
      <c r="BX12" s="315">
        <f t="shared" ref="BX12:BY12" si="12">BX11/22600</f>
        <v>0.46301675901364725</v>
      </c>
      <c r="BY12" s="315">
        <f t="shared" si="12"/>
        <v>0.46231825097577461</v>
      </c>
      <c r="BZ12" s="315">
        <f t="shared" ref="BZ12:CA12" si="13">BZ11/22600</f>
        <v>0.45270730613442278</v>
      </c>
      <c r="CA12" s="315">
        <f>CA11/22600</f>
        <v>0.48014165071317838</v>
      </c>
      <c r="CB12" s="711" t="s">
        <v>357</v>
      </c>
      <c r="CC12" s="666"/>
      <c r="CD12" s="666"/>
      <c r="CE12" s="666"/>
      <c r="CF12" s="666"/>
      <c r="CG12" s="666"/>
      <c r="CH12" s="666"/>
      <c r="CI12" s="666"/>
    </row>
    <row r="13" spans="1:97" s="200" customFormat="1">
      <c r="A13" s="198"/>
      <c r="B13" s="198" t="s">
        <v>48</v>
      </c>
      <c r="C13" s="199">
        <f t="shared" ref="C13:T13" si="14">SUM(C7:C10)</f>
        <v>85.757612000000009</v>
      </c>
      <c r="D13" s="199">
        <f t="shared" si="14"/>
        <v>81.333900999999997</v>
      </c>
      <c r="E13" s="199">
        <f t="shared" si="14"/>
        <v>79.639566000000002</v>
      </c>
      <c r="F13" s="199">
        <f t="shared" si="14"/>
        <v>86.705891000000008</v>
      </c>
      <c r="G13" s="199">
        <f t="shared" si="14"/>
        <v>82.07502199999999</v>
      </c>
      <c r="H13" s="199">
        <f t="shared" si="14"/>
        <v>84.744775000000004</v>
      </c>
      <c r="I13" s="199">
        <f t="shared" si="14"/>
        <v>90.3</v>
      </c>
      <c r="J13" s="199">
        <f t="shared" si="14"/>
        <v>86.3</v>
      </c>
      <c r="K13" s="199">
        <f t="shared" si="14"/>
        <v>92.896999999999991</v>
      </c>
      <c r="L13" s="199">
        <f t="shared" si="14"/>
        <v>90.323999999999998</v>
      </c>
      <c r="M13" s="199">
        <f t="shared" si="14"/>
        <v>83.8</v>
      </c>
      <c r="N13" s="199">
        <f t="shared" si="14"/>
        <v>97.908999999999992</v>
      </c>
      <c r="O13" s="199">
        <f t="shared" si="14"/>
        <v>81.8</v>
      </c>
      <c r="P13" s="199">
        <f t="shared" si="14"/>
        <v>82.349000000000004</v>
      </c>
      <c r="Q13" s="199">
        <f t="shared" si="14"/>
        <v>84.6</v>
      </c>
      <c r="R13" s="199">
        <f t="shared" si="14"/>
        <v>84.234000000000009</v>
      </c>
      <c r="S13" s="199">
        <f t="shared" si="14"/>
        <v>89.6</v>
      </c>
      <c r="T13" s="199">
        <f t="shared" si="14"/>
        <v>78</v>
      </c>
      <c r="U13" s="199">
        <f>SUM(U7:U10)</f>
        <v>79</v>
      </c>
      <c r="V13" s="199">
        <f>SUM(V7:V10)</f>
        <v>80</v>
      </c>
      <c r="W13" s="199">
        <f>SUM(W7:W10)</f>
        <v>75.5</v>
      </c>
      <c r="X13" s="199">
        <f>SUM(X7:X10)</f>
        <v>89.2</v>
      </c>
      <c r="Y13" s="199">
        <f>SUM(Y7:Y10)</f>
        <v>90</v>
      </c>
      <c r="Z13" s="199">
        <f t="shared" ref="Z13:BP13" si="15">SUM(Z7:Z10)</f>
        <v>95.179000000000002</v>
      </c>
      <c r="AA13" s="199">
        <f t="shared" si="15"/>
        <v>86.111111111111114</v>
      </c>
      <c r="AB13" s="199">
        <f t="shared" si="15"/>
        <v>83.37777777777778</v>
      </c>
      <c r="AC13" s="199">
        <f t="shared" si="15"/>
        <v>78.711111111111109</v>
      </c>
      <c r="AD13" s="199">
        <f t="shared" si="15"/>
        <v>78.61333333333333</v>
      </c>
      <c r="AE13" s="199">
        <f t="shared" si="15"/>
        <v>78.111111111111114</v>
      </c>
      <c r="AF13" s="199">
        <f t="shared" si="15"/>
        <v>81.893333333333331</v>
      </c>
      <c r="AG13" s="199">
        <f t="shared" si="15"/>
        <v>84.331111111111113</v>
      </c>
      <c r="AH13" s="199">
        <f t="shared" si="15"/>
        <v>77.611111111111114</v>
      </c>
      <c r="AI13" s="199">
        <f t="shared" si="15"/>
        <v>61.9</v>
      </c>
      <c r="AJ13" s="199">
        <f t="shared" si="15"/>
        <v>70.7</v>
      </c>
      <c r="AK13" s="199">
        <f t="shared" si="15"/>
        <v>77.393827160493828</v>
      </c>
      <c r="AL13" s="199">
        <f t="shared" si="15"/>
        <v>85.203703703703709</v>
      </c>
      <c r="AM13" s="199">
        <f t="shared" si="15"/>
        <v>63.518518518518519</v>
      </c>
      <c r="AN13" s="199">
        <f t="shared" si="15"/>
        <v>71.148148148148152</v>
      </c>
      <c r="AO13" s="199">
        <f>SUM(AO7:AO10)</f>
        <v>87.407407407407405</v>
      </c>
      <c r="AP13" s="199">
        <f t="shared" si="15"/>
        <v>85.407407407407405</v>
      </c>
      <c r="AQ13" s="199">
        <f t="shared" si="15"/>
        <v>81.23456790123457</v>
      </c>
      <c r="AR13" s="199">
        <f t="shared" si="15"/>
        <v>82.320987654320987</v>
      </c>
      <c r="AS13" s="199">
        <f t="shared" si="15"/>
        <v>83.549382716049379</v>
      </c>
      <c r="AT13" s="199">
        <f t="shared" si="15"/>
        <v>85.864197530864203</v>
      </c>
      <c r="AU13" s="199">
        <f t="shared" si="15"/>
        <v>80.820987654320987</v>
      </c>
      <c r="AV13" s="199">
        <f t="shared" si="15"/>
        <v>82.888888888888886</v>
      </c>
      <c r="AW13" s="199">
        <f t="shared" si="15"/>
        <v>80.339506172839506</v>
      </c>
      <c r="AX13" s="199">
        <f t="shared" si="15"/>
        <v>87.407407407407391</v>
      </c>
      <c r="AY13" s="199">
        <f t="shared" si="15"/>
        <v>84.320987654320987</v>
      </c>
      <c r="AZ13" s="199">
        <f t="shared" si="15"/>
        <v>61.606172839506179</v>
      </c>
      <c r="BA13" s="199">
        <f t="shared" si="15"/>
        <v>85.588888888888874</v>
      </c>
      <c r="BB13" s="199">
        <f t="shared" si="15"/>
        <v>65.348148148148155</v>
      </c>
      <c r="BC13" s="199">
        <f t="shared" si="15"/>
        <v>56.088888888888889</v>
      </c>
      <c r="BD13" s="199">
        <f>SUM(BD7:BD10)</f>
        <v>61.049382716049379</v>
      </c>
      <c r="BE13" s="199">
        <f>SUM(BE7:BE10)</f>
        <v>66.574049382716041</v>
      </c>
      <c r="BF13" s="199">
        <f>SUM(BF7:BF10)</f>
        <v>78.259259259259267</v>
      </c>
      <c r="BG13" s="199">
        <f>SUM(BG7:BG10)</f>
        <v>77.716049382716051</v>
      </c>
      <c r="BH13" s="199">
        <f>SUM(BH7:BH10)</f>
        <v>82.981481481481467</v>
      </c>
      <c r="BI13" s="199">
        <f t="shared" si="15"/>
        <v>70.866419753086419</v>
      </c>
      <c r="BJ13" s="199">
        <f t="shared" si="15"/>
        <v>76.550246913580239</v>
      </c>
      <c r="BK13" s="199">
        <f t="shared" si="15"/>
        <v>83.408641975308626</v>
      </c>
      <c r="BL13" s="199">
        <f t="shared" si="15"/>
        <v>76.808641975308632</v>
      </c>
      <c r="BM13" s="199">
        <f t="shared" si="15"/>
        <v>83.753086419753089</v>
      </c>
      <c r="BN13" s="199">
        <f t="shared" si="15"/>
        <v>73.02098765432099</v>
      </c>
      <c r="BO13" s="199">
        <f t="shared" si="15"/>
        <v>83.753086419753089</v>
      </c>
      <c r="BP13" s="199">
        <f t="shared" si="15"/>
        <v>75.401234567901241</v>
      </c>
      <c r="BQ13" s="199">
        <f t="shared" ref="BQ13:BW13" si="16">SUM(BQ7:BQ10)</f>
        <v>64.120987654320984</v>
      </c>
      <c r="BR13" s="199">
        <f t="shared" si="16"/>
        <v>80.666666666666657</v>
      </c>
      <c r="BS13" s="199">
        <f t="shared" si="16"/>
        <v>71.543209876543216</v>
      </c>
      <c r="BT13" s="199">
        <f t="shared" si="16"/>
        <v>64.5</v>
      </c>
      <c r="BU13" s="199">
        <f t="shared" si="16"/>
        <v>73.086419753086417</v>
      </c>
      <c r="BV13" s="199">
        <f t="shared" si="16"/>
        <v>74.493827160493822</v>
      </c>
      <c r="BW13" s="199">
        <f t="shared" si="16"/>
        <v>73.722222222222214</v>
      </c>
      <c r="BX13" s="199">
        <f t="shared" ref="BX13:BY13" si="17">SUM(BX7:BX10)</f>
        <v>66.413580246913583</v>
      </c>
      <c r="BY13" s="199">
        <f t="shared" si="17"/>
        <v>73.722222222222214</v>
      </c>
      <c r="BZ13" s="199">
        <f t="shared" ref="BZ13:CA13" si="18">SUM(BZ7:BZ10)</f>
        <v>71.543209876543216</v>
      </c>
      <c r="CA13" s="199">
        <f>SUM(CA7:CA10)</f>
        <v>73.086419753086417</v>
      </c>
      <c r="CB13" s="712" t="s">
        <v>358</v>
      </c>
      <c r="CC13" s="199"/>
      <c r="CD13" s="199"/>
      <c r="CE13" s="199"/>
      <c r="CF13" s="199"/>
      <c r="CG13" s="199"/>
      <c r="CH13" s="199"/>
      <c r="CI13" s="199"/>
      <c r="CJ13" s="201" t="s">
        <v>62</v>
      </c>
      <c r="CP13" s="464"/>
    </row>
    <row r="14" spans="1:97" s="200" customFormat="1">
      <c r="A14" s="198"/>
      <c r="B14" s="198" t="s">
        <v>63</v>
      </c>
      <c r="C14" s="199">
        <f t="shared" ref="C14:BN14" si="19">C6-C13</f>
        <v>-85.757612000000009</v>
      </c>
      <c r="D14" s="199">
        <f t="shared" si="19"/>
        <v>6.9172829000009983E-2</v>
      </c>
      <c r="E14" s="199">
        <f t="shared" si="19"/>
        <v>3.2836695919999954</v>
      </c>
      <c r="F14" s="199">
        <f t="shared" si="19"/>
        <v>1.4400650609999843</v>
      </c>
      <c r="G14" s="199">
        <f t="shared" si="19"/>
        <v>4.7921075090000045</v>
      </c>
      <c r="H14" s="199">
        <f t="shared" si="19"/>
        <v>1.0508554790000062</v>
      </c>
      <c r="I14" s="199">
        <f t="shared" si="19"/>
        <v>-0.11999999999999034</v>
      </c>
      <c r="J14" s="199">
        <f t="shared" si="19"/>
        <v>-5.7999999999992724E-2</v>
      </c>
      <c r="K14" s="199">
        <f t="shared" si="19"/>
        <v>-5.5529999999999973</v>
      </c>
      <c r="L14" s="199">
        <f t="shared" si="19"/>
        <v>1.4759999999999991</v>
      </c>
      <c r="M14" s="199">
        <f t="shared" si="19"/>
        <v>3.375</v>
      </c>
      <c r="N14" s="199">
        <f t="shared" si="19"/>
        <v>-9.5089999999999861</v>
      </c>
      <c r="O14" s="199">
        <f t="shared" si="19"/>
        <v>5.2580000000000098</v>
      </c>
      <c r="P14" s="199">
        <f t="shared" si="19"/>
        <v>-1.3560000000000088</v>
      </c>
      <c r="Q14" s="199">
        <f t="shared" si="19"/>
        <v>6</v>
      </c>
      <c r="R14" s="199">
        <f t="shared" si="19"/>
        <v>-7.4340000000000117</v>
      </c>
      <c r="S14" s="199">
        <f t="shared" si="19"/>
        <v>-2.6699999999999875</v>
      </c>
      <c r="T14" s="199">
        <f t="shared" si="19"/>
        <v>1.8610000000000042</v>
      </c>
      <c r="U14" s="199">
        <f t="shared" si="19"/>
        <v>-2.6460000000000008</v>
      </c>
      <c r="V14" s="199">
        <f t="shared" si="19"/>
        <v>2.4159999999999968</v>
      </c>
      <c r="W14" s="199">
        <f t="shared" si="19"/>
        <v>1.5900000000000034</v>
      </c>
      <c r="X14" s="199">
        <f t="shared" si="19"/>
        <v>-1.1270000000000095</v>
      </c>
      <c r="Y14" s="199">
        <f t="shared" si="19"/>
        <v>0.5</v>
      </c>
      <c r="Z14" s="199">
        <f t="shared" si="19"/>
        <v>-5.9630000000000081</v>
      </c>
      <c r="AA14" s="199">
        <f t="shared" si="19"/>
        <v>0.38888888888888573</v>
      </c>
      <c r="AB14" s="199">
        <f t="shared" si="19"/>
        <v>-8.1097777777777793</v>
      </c>
      <c r="AC14" s="199">
        <f t="shared" si="19"/>
        <v>3.2888888888888914</v>
      </c>
      <c r="AD14" s="199">
        <f t="shared" si="19"/>
        <v>-1.318333333333328</v>
      </c>
      <c r="AE14" s="199">
        <f t="shared" si="19"/>
        <v>4.637888888888881</v>
      </c>
      <c r="AF14" s="199">
        <f t="shared" si="19"/>
        <v>-2.3333333333326323E-2</v>
      </c>
      <c r="AG14" s="199">
        <f t="shared" si="19"/>
        <v>-4.2081111111111085</v>
      </c>
      <c r="AH14" s="199">
        <f t="shared" si="19"/>
        <v>4.8888888888888857</v>
      </c>
      <c r="AI14" s="199">
        <f t="shared" si="19"/>
        <v>11.07109090909092</v>
      </c>
      <c r="AJ14" s="199">
        <f t="shared" si="19"/>
        <v>11.819000000000003</v>
      </c>
      <c r="AK14" s="199">
        <f t="shared" si="19"/>
        <v>0.80617283950617491</v>
      </c>
      <c r="AL14" s="199">
        <f t="shared" si="19"/>
        <v>-5.2537037037037067</v>
      </c>
      <c r="AM14" s="199">
        <f t="shared" si="19"/>
        <v>6.4114814814814878</v>
      </c>
      <c r="AN14" s="199">
        <f t="shared" si="19"/>
        <v>-0.80414814814815827</v>
      </c>
      <c r="AO14" s="199">
        <f t="shared" si="19"/>
        <v>-3.4074074074074048</v>
      </c>
      <c r="AP14" s="199">
        <f t="shared" si="19"/>
        <v>-4.4074074074074048</v>
      </c>
      <c r="AQ14" s="199">
        <f t="shared" si="19"/>
        <v>-0.59756790123456938</v>
      </c>
      <c r="AR14" s="199">
        <f t="shared" si="19"/>
        <v>-4.3209876543209873</v>
      </c>
      <c r="AS14" s="199">
        <f t="shared" si="19"/>
        <v>0.8506172839506263</v>
      </c>
      <c r="AT14" s="199">
        <f t="shared" si="19"/>
        <v>-1.9701975308641977</v>
      </c>
      <c r="AU14" s="199">
        <f t="shared" si="19"/>
        <v>-0.1369876543209898</v>
      </c>
      <c r="AV14" s="199">
        <f t="shared" si="19"/>
        <v>-1.5888888888888886</v>
      </c>
      <c r="AW14" s="199">
        <f t="shared" si="19"/>
        <v>2.6604938271604937</v>
      </c>
      <c r="AX14" s="199">
        <f t="shared" si="19"/>
        <v>-1.8074074074073962</v>
      </c>
      <c r="AY14" s="199">
        <f t="shared" si="19"/>
        <v>-3.8209876543209873</v>
      </c>
      <c r="AZ14" s="199">
        <f t="shared" si="19"/>
        <v>8.193827160493818</v>
      </c>
      <c r="BA14" s="199">
        <f t="shared" si="19"/>
        <v>-4.7888888888888772</v>
      </c>
      <c r="BB14" s="199">
        <f t="shared" si="19"/>
        <v>-0.8481481481481552</v>
      </c>
      <c r="BC14" s="199">
        <f t="shared" si="19"/>
        <v>1.0751111111111129</v>
      </c>
      <c r="BD14" s="199">
        <f>BD6-BD13</f>
        <v>0.15061728395062346</v>
      </c>
      <c r="BE14" s="199">
        <f>BE6-BE13</f>
        <v>-0.37404938271603783</v>
      </c>
      <c r="BF14" s="199">
        <f>BF6-BF13</f>
        <v>-3.8002592592592634</v>
      </c>
      <c r="BG14" s="199">
        <f>BG6-BG13</f>
        <v>-1.1160493827160565</v>
      </c>
      <c r="BH14" s="199">
        <f>BH6-BH13</f>
        <v>-4.9104814814814688</v>
      </c>
      <c r="BI14" s="199">
        <f t="shared" si="19"/>
        <v>1.2125802469135749</v>
      </c>
      <c r="BJ14" s="199">
        <f t="shared" si="19"/>
        <v>2.4497530864197614</v>
      </c>
      <c r="BK14" s="199">
        <f t="shared" si="19"/>
        <v>-1.5240584122132077</v>
      </c>
      <c r="BL14" s="199">
        <f t="shared" si="19"/>
        <v>-2.7143003911368737</v>
      </c>
      <c r="BM14" s="199">
        <f t="shared" si="19"/>
        <v>-1.8064352279570812</v>
      </c>
      <c r="BN14" s="199">
        <f t="shared" si="19"/>
        <v>1.2990549808193066</v>
      </c>
      <c r="BO14" s="199">
        <f t="shared" ref="BO14:BW14" si="20">BO6-BO13</f>
        <v>-3.053086419753086</v>
      </c>
      <c r="BP14" s="199">
        <f t="shared" si="20"/>
        <v>2.5987654320987588</v>
      </c>
      <c r="BQ14" s="199">
        <f t="shared" si="20"/>
        <v>-0.35898765432098401</v>
      </c>
      <c r="BR14" s="199">
        <f t="shared" si="20"/>
        <v>-0.37666666666666515</v>
      </c>
      <c r="BS14" s="199">
        <f t="shared" si="20"/>
        <v>4.6790123456773358E-2</v>
      </c>
      <c r="BT14" s="199">
        <f t="shared" si="20"/>
        <v>8.0317311041440576E-2</v>
      </c>
      <c r="BU14" s="199">
        <f t="shared" si="20"/>
        <v>-0.24210908968198908</v>
      </c>
      <c r="BV14" s="199">
        <f t="shared" si="20"/>
        <v>0.27438655785024935</v>
      </c>
      <c r="BW14" s="199">
        <f t="shared" si="20"/>
        <v>-2.1786281655920448E-2</v>
      </c>
      <c r="BX14" s="199">
        <f t="shared" ref="BX14:BY14" si="21">BX6-BX13</f>
        <v>0.154555441339852</v>
      </c>
      <c r="BY14" s="199">
        <f t="shared" si="21"/>
        <v>-1.578628165592022E-2</v>
      </c>
      <c r="BZ14" s="199">
        <f t="shared" ref="BZ14:CA14" si="22">BZ6-BZ13</f>
        <v>-0.21720735341455111</v>
      </c>
      <c r="CA14" s="199">
        <f>CA6-CA13</f>
        <v>0.62001618747987663</v>
      </c>
      <c r="CB14" s="712" t="s">
        <v>359</v>
      </c>
      <c r="CC14" s="199"/>
      <c r="CD14" s="199"/>
      <c r="CE14" s="199"/>
      <c r="CF14" s="199"/>
      <c r="CG14" s="199"/>
      <c r="CH14" s="199"/>
      <c r="CI14" s="199"/>
    </row>
    <row r="15" spans="1:97">
      <c r="B15" s="126" t="s">
        <v>64</v>
      </c>
      <c r="C15" s="343">
        <f t="shared" ref="C15:BN15" si="23">C16+C17</f>
        <v>85.757612000000009</v>
      </c>
      <c r="D15" s="343">
        <f t="shared" si="23"/>
        <v>81.333900999999997</v>
      </c>
      <c r="E15" s="343">
        <f t="shared" si="23"/>
        <v>79.639566000000002</v>
      </c>
      <c r="F15" s="343">
        <f t="shared" si="23"/>
        <v>86.705891000000008</v>
      </c>
      <c r="G15" s="343">
        <f t="shared" si="23"/>
        <v>82.075022000000004</v>
      </c>
      <c r="H15" s="343">
        <f t="shared" si="23"/>
        <v>84.744775000000004</v>
      </c>
      <c r="I15" s="343">
        <f t="shared" si="23"/>
        <v>85.3</v>
      </c>
      <c r="J15" s="343">
        <f t="shared" si="23"/>
        <v>86.3</v>
      </c>
      <c r="K15" s="343">
        <f t="shared" si="23"/>
        <v>92.897000000000006</v>
      </c>
      <c r="L15" s="343">
        <f t="shared" si="23"/>
        <v>90.323999999999998</v>
      </c>
      <c r="M15" s="343">
        <f t="shared" si="23"/>
        <v>83.8</v>
      </c>
      <c r="N15" s="343">
        <f t="shared" si="23"/>
        <v>97.909000000000006</v>
      </c>
      <c r="O15" s="343">
        <f>O16+O17</f>
        <v>81.8</v>
      </c>
      <c r="P15" s="343">
        <f t="shared" si="23"/>
        <v>82.34899999999999</v>
      </c>
      <c r="Q15" s="343">
        <f t="shared" si="23"/>
        <v>84.6</v>
      </c>
      <c r="R15" s="343">
        <f t="shared" si="23"/>
        <v>84.234000000000009</v>
      </c>
      <c r="S15" s="343">
        <f t="shared" si="23"/>
        <v>89.6</v>
      </c>
      <c r="T15" s="343">
        <f t="shared" si="23"/>
        <v>78</v>
      </c>
      <c r="U15" s="343">
        <f t="shared" si="23"/>
        <v>79</v>
      </c>
      <c r="V15" s="343" t="e">
        <f t="shared" si="23"/>
        <v>#VALUE!</v>
      </c>
      <c r="W15" s="343">
        <f t="shared" si="23"/>
        <v>75.5</v>
      </c>
      <c r="X15" s="343">
        <f t="shared" si="23"/>
        <v>89.2</v>
      </c>
      <c r="Y15" s="343">
        <f t="shared" si="23"/>
        <v>90</v>
      </c>
      <c r="Z15" s="343">
        <f t="shared" si="23"/>
        <v>95.179000000000002</v>
      </c>
      <c r="AA15" s="343">
        <f>AA16+AA17</f>
        <v>86.111111111111114</v>
      </c>
      <c r="AB15" s="343">
        <f t="shared" ref="AB15:AR15" si="24">AB16+AB17</f>
        <v>83.377777777777766</v>
      </c>
      <c r="AC15" s="343">
        <f t="shared" si="24"/>
        <v>78.711111111111109</v>
      </c>
      <c r="AD15" s="343">
        <f t="shared" si="24"/>
        <v>78.61333333333333</v>
      </c>
      <c r="AE15" s="343">
        <f t="shared" si="24"/>
        <v>78.111111111111114</v>
      </c>
      <c r="AF15" s="343">
        <f t="shared" si="24"/>
        <v>81.893333333333331</v>
      </c>
      <c r="AG15" s="343">
        <f t="shared" si="24"/>
        <v>82.431111111111107</v>
      </c>
      <c r="AH15" s="343">
        <f t="shared" si="24"/>
        <v>77.611111111111114</v>
      </c>
      <c r="AI15" s="343">
        <f t="shared" si="24"/>
        <v>61.9</v>
      </c>
      <c r="AJ15" s="343">
        <f t="shared" si="24"/>
        <v>68.8</v>
      </c>
      <c r="AK15" s="343">
        <f t="shared" si="24"/>
        <v>75.493827160493822</v>
      </c>
      <c r="AL15" s="343">
        <f t="shared" si="24"/>
        <v>85.203703703703709</v>
      </c>
      <c r="AM15" s="343">
        <f t="shared" si="24"/>
        <v>63.518518518518519</v>
      </c>
      <c r="AN15" s="343">
        <f t="shared" si="24"/>
        <v>71.148148148148152</v>
      </c>
      <c r="AO15" s="343">
        <f t="shared" si="24"/>
        <v>87.407407407407405</v>
      </c>
      <c r="AP15" s="343">
        <f t="shared" si="24"/>
        <v>85.407407407407405</v>
      </c>
      <c r="AQ15" s="343">
        <f t="shared" si="24"/>
        <v>81.23456790123457</v>
      </c>
      <c r="AR15" s="343">
        <f t="shared" si="24"/>
        <v>82.320987654320987</v>
      </c>
      <c r="AS15" s="343">
        <f t="shared" si="23"/>
        <v>83.549382716049379</v>
      </c>
      <c r="AT15" s="343">
        <f t="shared" si="23"/>
        <v>85.864197530864203</v>
      </c>
      <c r="AU15" s="343">
        <f t="shared" si="23"/>
        <v>80.820987654320987</v>
      </c>
      <c r="AV15" s="343">
        <f t="shared" si="23"/>
        <v>82.888888888888886</v>
      </c>
      <c r="AW15" s="343">
        <f t="shared" si="23"/>
        <v>80.339506172839506</v>
      </c>
      <c r="AX15" s="343">
        <f t="shared" si="23"/>
        <v>87.407407407407391</v>
      </c>
      <c r="AY15" s="343">
        <f t="shared" si="23"/>
        <v>84.320987654320987</v>
      </c>
      <c r="AZ15" s="343">
        <f t="shared" si="23"/>
        <v>60.506172839506178</v>
      </c>
      <c r="BA15" s="343">
        <f t="shared" si="23"/>
        <v>82.48888888888888</v>
      </c>
      <c r="BB15" s="343">
        <f t="shared" si="23"/>
        <v>65.348148148148155</v>
      </c>
      <c r="BC15" s="343">
        <f t="shared" si="23"/>
        <v>56.088888888888889</v>
      </c>
      <c r="BD15" s="343">
        <f>BD16+BD17</f>
        <v>61.049382716049379</v>
      </c>
      <c r="BE15" s="343">
        <f>BE16+BE17</f>
        <v>66.574049382716041</v>
      </c>
      <c r="BF15" s="343">
        <f>BF16+BF17</f>
        <v>78.259259259259267</v>
      </c>
      <c r="BG15" s="343">
        <f>BG16+BG17</f>
        <v>77.716049382716051</v>
      </c>
      <c r="BH15" s="343">
        <f>BH16+BH17</f>
        <v>82.981481481481467</v>
      </c>
      <c r="BI15" s="343">
        <f t="shared" si="23"/>
        <v>70.866419753086419</v>
      </c>
      <c r="BJ15" s="343">
        <f t="shared" si="23"/>
        <v>76.550246913580239</v>
      </c>
      <c r="BK15" s="343">
        <f t="shared" si="23"/>
        <v>82.808641975308632</v>
      </c>
      <c r="BL15" s="343">
        <f t="shared" si="23"/>
        <v>76.808641975308632</v>
      </c>
      <c r="BM15" s="343">
        <f t="shared" si="23"/>
        <v>83.753086419753089</v>
      </c>
      <c r="BN15" s="343">
        <f t="shared" si="23"/>
        <v>73.02098765432099</v>
      </c>
      <c r="BO15" s="343">
        <f t="shared" ref="BO15:BW15" si="25">BO16+BO17</f>
        <v>83.753086419753089</v>
      </c>
      <c r="BP15" s="343">
        <f t="shared" si="25"/>
        <v>75.401234567901241</v>
      </c>
      <c r="BQ15" s="343">
        <f t="shared" si="25"/>
        <v>62.320987654320987</v>
      </c>
      <c r="BR15" s="343">
        <f t="shared" si="25"/>
        <v>80.666666666666657</v>
      </c>
      <c r="BS15" s="427">
        <f t="shared" si="25"/>
        <v>71.543209876543216</v>
      </c>
      <c r="BT15" s="427">
        <f t="shared" si="25"/>
        <v>64.5</v>
      </c>
      <c r="BU15" s="427">
        <f t="shared" si="25"/>
        <v>73.086419753086417</v>
      </c>
      <c r="BV15" s="427">
        <f t="shared" si="25"/>
        <v>74.493827160493822</v>
      </c>
      <c r="BW15" s="470">
        <f t="shared" si="25"/>
        <v>73.722222222222214</v>
      </c>
      <c r="BX15" s="470">
        <f t="shared" ref="BX15:BY15" si="26">BX16+BX17</f>
        <v>66.413580246913583</v>
      </c>
      <c r="BY15" s="540">
        <f t="shared" si="26"/>
        <v>73.722222222222214</v>
      </c>
      <c r="BZ15" s="540">
        <f t="shared" ref="BZ15:CA15" si="27">BZ16+BZ17</f>
        <v>71.543209876543216</v>
      </c>
      <c r="CA15" s="540">
        <f t="shared" si="27"/>
        <v>73.086419753086417</v>
      </c>
      <c r="CB15" s="721" t="s">
        <v>360</v>
      </c>
      <c r="CC15" s="658"/>
      <c r="CD15" s="658"/>
      <c r="CE15" s="658"/>
      <c r="CF15" s="658"/>
      <c r="CG15" s="658"/>
      <c r="CH15" s="658"/>
      <c r="CI15" s="658"/>
    </row>
    <row r="16" spans="1:97">
      <c r="B16" s="126" t="s">
        <v>9</v>
      </c>
      <c r="C16" s="343">
        <f t="shared" ref="C16:Z16" si="28">C7</f>
        <v>53.985610000000001</v>
      </c>
      <c r="D16" s="343">
        <f t="shared" si="28"/>
        <v>45.941310999999999</v>
      </c>
      <c r="E16" s="343">
        <f t="shared" si="28"/>
        <v>46.670610000000003</v>
      </c>
      <c r="F16" s="343">
        <f t="shared" si="28"/>
        <v>49.345337000000001</v>
      </c>
      <c r="G16" s="343">
        <f t="shared" si="28"/>
        <v>50.110622999999997</v>
      </c>
      <c r="H16" s="343">
        <f t="shared" si="28"/>
        <v>50.597169999999998</v>
      </c>
      <c r="I16" s="343">
        <f t="shared" si="28"/>
        <v>52.5</v>
      </c>
      <c r="J16" s="343">
        <f t="shared" si="28"/>
        <v>52.5</v>
      </c>
      <c r="K16" s="343">
        <f t="shared" si="28"/>
        <v>52.5</v>
      </c>
      <c r="L16" s="343">
        <f t="shared" si="28"/>
        <v>55</v>
      </c>
      <c r="M16" s="343">
        <f t="shared" si="28"/>
        <v>58</v>
      </c>
      <c r="N16" s="343">
        <f t="shared" si="28"/>
        <v>55.648000000000003</v>
      </c>
      <c r="O16" s="343">
        <f>O7</f>
        <v>31</v>
      </c>
      <c r="P16" s="343">
        <f t="shared" si="28"/>
        <v>28.548999999999999</v>
      </c>
      <c r="Q16" s="343">
        <f t="shared" si="28"/>
        <v>30</v>
      </c>
      <c r="R16" s="343">
        <f t="shared" si="28"/>
        <v>26.234000000000002</v>
      </c>
      <c r="S16" s="343">
        <f t="shared" si="28"/>
        <v>21.6</v>
      </c>
      <c r="T16" s="343">
        <f t="shared" si="28"/>
        <v>4.5999999999999996</v>
      </c>
      <c r="U16" s="343">
        <f t="shared" si="28"/>
        <v>23</v>
      </c>
      <c r="V16" s="343">
        <f t="shared" si="28"/>
        <v>25</v>
      </c>
      <c r="W16" s="343">
        <f t="shared" si="28"/>
        <v>21.5</v>
      </c>
      <c r="X16" s="343">
        <f t="shared" si="28"/>
        <v>31.2</v>
      </c>
      <c r="Y16" s="343">
        <f t="shared" si="28"/>
        <v>34</v>
      </c>
      <c r="Z16" s="343">
        <f t="shared" si="28"/>
        <v>35.179000000000002</v>
      </c>
      <c r="AA16" s="343">
        <f>AA7</f>
        <v>31</v>
      </c>
      <c r="AB16" s="343">
        <f>AB7</f>
        <v>29.4</v>
      </c>
      <c r="AC16" s="343">
        <f>AC7+AC8</f>
        <v>78.711111111111109</v>
      </c>
      <c r="AD16" s="343">
        <f t="shared" ref="AD16:BP16" si="29">AD7+AD8</f>
        <v>81.11333333333333</v>
      </c>
      <c r="AE16" s="343">
        <f t="shared" si="29"/>
        <v>78.111111111111114</v>
      </c>
      <c r="AF16" s="343">
        <f t="shared" si="29"/>
        <v>81.893333333333331</v>
      </c>
      <c r="AG16" s="343">
        <f t="shared" si="29"/>
        <v>82.431111111111107</v>
      </c>
      <c r="AH16" s="343">
        <f t="shared" si="29"/>
        <v>77.611111111111114</v>
      </c>
      <c r="AI16" s="343">
        <f t="shared" si="29"/>
        <v>61.9</v>
      </c>
      <c r="AJ16" s="343">
        <f t="shared" si="29"/>
        <v>68.8</v>
      </c>
      <c r="AK16" s="343">
        <f t="shared" si="29"/>
        <v>75.493827160493822</v>
      </c>
      <c r="AL16" s="343">
        <f t="shared" si="29"/>
        <v>85.203703703703709</v>
      </c>
      <c r="AM16" s="343">
        <f t="shared" si="29"/>
        <v>63.518518518518519</v>
      </c>
      <c r="AN16" s="343">
        <f t="shared" si="29"/>
        <v>71.148148148148152</v>
      </c>
      <c r="AO16" s="343">
        <f>AO7+AO8</f>
        <v>87.407407407407405</v>
      </c>
      <c r="AP16" s="343">
        <f>AP7+AP8</f>
        <v>85.407407407407405</v>
      </c>
      <c r="AQ16" s="343">
        <f>AQ7+AQ8</f>
        <v>81.23456790123457</v>
      </c>
      <c r="AR16" s="343">
        <f>AR7+AR8</f>
        <v>82.320987654320987</v>
      </c>
      <c r="AS16" s="343">
        <f t="shared" si="29"/>
        <v>83.549382716049379</v>
      </c>
      <c r="AT16" s="343">
        <f t="shared" si="29"/>
        <v>85.864197530864203</v>
      </c>
      <c r="AU16" s="343">
        <f t="shared" si="29"/>
        <v>80.820987654320987</v>
      </c>
      <c r="AV16" s="343">
        <f t="shared" si="29"/>
        <v>82.888888888888886</v>
      </c>
      <c r="AW16" s="343">
        <f t="shared" si="29"/>
        <v>80.339506172839506</v>
      </c>
      <c r="AX16" s="343">
        <f t="shared" si="29"/>
        <v>87.407407407407391</v>
      </c>
      <c r="AY16" s="343">
        <f t="shared" si="29"/>
        <v>84.320987654320987</v>
      </c>
      <c r="AZ16" s="343">
        <f t="shared" si="29"/>
        <v>60.506172839506178</v>
      </c>
      <c r="BA16" s="343">
        <f t="shared" si="29"/>
        <v>82.48888888888888</v>
      </c>
      <c r="BB16" s="343">
        <f t="shared" si="29"/>
        <v>65.348148148148155</v>
      </c>
      <c r="BC16" s="343">
        <f t="shared" si="29"/>
        <v>56.088888888888889</v>
      </c>
      <c r="BD16" s="343">
        <f>BD7+BD8</f>
        <v>61.049382716049379</v>
      </c>
      <c r="BE16" s="343">
        <f>BE7+BE8</f>
        <v>66.574049382716041</v>
      </c>
      <c r="BF16" s="343">
        <f>BF7+BF8</f>
        <v>78.259259259259267</v>
      </c>
      <c r="BG16" s="343">
        <f>BG7+BG8</f>
        <v>77.716049382716051</v>
      </c>
      <c r="BH16" s="343">
        <f>BH7+BH8</f>
        <v>82.981481481481467</v>
      </c>
      <c r="BI16" s="343">
        <f t="shared" si="29"/>
        <v>70.866419753086419</v>
      </c>
      <c r="BJ16" s="343">
        <f t="shared" si="29"/>
        <v>76.550246913580239</v>
      </c>
      <c r="BK16" s="343">
        <f t="shared" si="29"/>
        <v>82.808641975308632</v>
      </c>
      <c r="BL16" s="343">
        <f t="shared" si="29"/>
        <v>76.808641975308632</v>
      </c>
      <c r="BM16" s="343">
        <f t="shared" si="29"/>
        <v>83.753086419753089</v>
      </c>
      <c r="BN16" s="343">
        <f t="shared" si="29"/>
        <v>73.02098765432099</v>
      </c>
      <c r="BO16" s="343">
        <f t="shared" si="29"/>
        <v>83.753086419753089</v>
      </c>
      <c r="BP16" s="343">
        <f t="shared" si="29"/>
        <v>75.401234567901241</v>
      </c>
      <c r="BQ16" s="343">
        <f t="shared" ref="BQ16:BW16" si="30">BQ7+BQ8</f>
        <v>62.320987654320987</v>
      </c>
      <c r="BR16" s="343">
        <f t="shared" si="30"/>
        <v>80.666666666666657</v>
      </c>
      <c r="BS16" s="427">
        <f t="shared" si="30"/>
        <v>71.543209876543216</v>
      </c>
      <c r="BT16" s="427">
        <f t="shared" si="30"/>
        <v>64.5</v>
      </c>
      <c r="BU16" s="427">
        <f t="shared" si="30"/>
        <v>73.086419753086417</v>
      </c>
      <c r="BV16" s="427">
        <f t="shared" si="30"/>
        <v>74.493827160493822</v>
      </c>
      <c r="BW16" s="470">
        <f t="shared" si="30"/>
        <v>73.722222222222214</v>
      </c>
      <c r="BX16" s="470">
        <f t="shared" ref="BX16:BY16" si="31">BX7+BX8</f>
        <v>66.413580246913583</v>
      </c>
      <c r="BY16" s="540">
        <f t="shared" si="31"/>
        <v>73.722222222222214</v>
      </c>
      <c r="BZ16" s="540">
        <f t="shared" ref="BZ16:CA16" si="32">BZ7+BZ8</f>
        <v>71.543209876543216</v>
      </c>
      <c r="CA16" s="540">
        <f>CA7+CA8</f>
        <v>73.086419753086417</v>
      </c>
      <c r="CB16" s="721" t="s">
        <v>361</v>
      </c>
      <c r="CC16" s="658"/>
      <c r="CD16" s="658"/>
      <c r="CE16" s="658"/>
      <c r="CF16" s="658"/>
      <c r="CG16" s="658"/>
      <c r="CH16" s="658"/>
      <c r="CI16" s="658"/>
    </row>
    <row r="17" spans="1:88" ht="16" thickBot="1">
      <c r="B17" s="126" t="s">
        <v>65</v>
      </c>
      <c r="C17" s="343">
        <f t="shared" ref="C17:Z17" si="33">C8+C9+C10</f>
        <v>31.772002000000004</v>
      </c>
      <c r="D17" s="343">
        <f t="shared" si="33"/>
        <v>35.392589999999998</v>
      </c>
      <c r="E17" s="343">
        <f t="shared" si="33"/>
        <v>32.968956000000006</v>
      </c>
      <c r="F17" s="343">
        <f t="shared" si="33"/>
        <v>37.360554</v>
      </c>
      <c r="G17" s="343">
        <f t="shared" si="33"/>
        <v>31.964399000000004</v>
      </c>
      <c r="H17" s="343">
        <f t="shared" si="33"/>
        <v>34.147604999999999</v>
      </c>
      <c r="I17" s="343">
        <f>I8+I9</f>
        <v>32.799999999999997</v>
      </c>
      <c r="J17" s="343">
        <f t="shared" si="33"/>
        <v>33.799999999999997</v>
      </c>
      <c r="K17" s="343">
        <f t="shared" si="33"/>
        <v>40.397000000000006</v>
      </c>
      <c r="L17" s="343">
        <f t="shared" si="33"/>
        <v>35.323999999999998</v>
      </c>
      <c r="M17" s="343">
        <f t="shared" si="33"/>
        <v>25.8</v>
      </c>
      <c r="N17" s="343">
        <f t="shared" si="33"/>
        <v>42.261000000000003</v>
      </c>
      <c r="O17" s="343">
        <f>O8+O9+O10</f>
        <v>50.8</v>
      </c>
      <c r="P17" s="343">
        <f t="shared" si="33"/>
        <v>53.8</v>
      </c>
      <c r="Q17" s="343">
        <f t="shared" si="33"/>
        <v>54.599999999999994</v>
      </c>
      <c r="R17" s="343">
        <f t="shared" si="33"/>
        <v>58</v>
      </c>
      <c r="S17" s="343">
        <f t="shared" si="33"/>
        <v>68</v>
      </c>
      <c r="T17" s="343">
        <f t="shared" si="33"/>
        <v>73.400000000000006</v>
      </c>
      <c r="U17" s="343">
        <f t="shared" si="33"/>
        <v>56</v>
      </c>
      <c r="V17" s="343" t="e">
        <f t="shared" si="33"/>
        <v>#VALUE!</v>
      </c>
      <c r="W17" s="343">
        <f t="shared" si="33"/>
        <v>54</v>
      </c>
      <c r="X17" s="343">
        <f t="shared" si="33"/>
        <v>58</v>
      </c>
      <c r="Y17" s="343">
        <f t="shared" si="33"/>
        <v>56</v>
      </c>
      <c r="Z17" s="343">
        <f t="shared" si="33"/>
        <v>60</v>
      </c>
      <c r="AA17" s="343">
        <f>AA8+AA9+AA10</f>
        <v>55.111111111111114</v>
      </c>
      <c r="AB17" s="343">
        <f>AB8+AB9+AB10</f>
        <v>53.977777777777774</v>
      </c>
      <c r="AC17" s="343">
        <f>AC9</f>
        <v>0</v>
      </c>
      <c r="AD17" s="343">
        <f t="shared" ref="AD17:BP17" si="34">AD9</f>
        <v>-2.5</v>
      </c>
      <c r="AE17" s="343">
        <f t="shared" si="34"/>
        <v>0</v>
      </c>
      <c r="AF17" s="343">
        <f t="shared" si="34"/>
        <v>0</v>
      </c>
      <c r="AG17" s="343">
        <f t="shared" si="34"/>
        <v>0</v>
      </c>
      <c r="AH17" s="343">
        <f t="shared" si="34"/>
        <v>0</v>
      </c>
      <c r="AI17" s="343">
        <f t="shared" si="34"/>
        <v>0</v>
      </c>
      <c r="AJ17" s="343">
        <f t="shared" si="34"/>
        <v>0</v>
      </c>
      <c r="AK17" s="343">
        <f t="shared" si="34"/>
        <v>0</v>
      </c>
      <c r="AL17" s="343">
        <f t="shared" si="34"/>
        <v>0</v>
      </c>
      <c r="AM17" s="343">
        <f t="shared" si="34"/>
        <v>0</v>
      </c>
      <c r="AN17" s="343">
        <f t="shared" si="34"/>
        <v>0</v>
      </c>
      <c r="AO17" s="343">
        <f>AO9</f>
        <v>0</v>
      </c>
      <c r="AP17" s="343">
        <f>AP9</f>
        <v>0</v>
      </c>
      <c r="AQ17" s="343">
        <f>AQ9</f>
        <v>0</v>
      </c>
      <c r="AR17" s="343">
        <f>AR9</f>
        <v>0</v>
      </c>
      <c r="AS17" s="343">
        <f t="shared" si="34"/>
        <v>0</v>
      </c>
      <c r="AT17" s="343">
        <f t="shared" si="34"/>
        <v>0</v>
      </c>
      <c r="AU17" s="343">
        <f t="shared" si="34"/>
        <v>0</v>
      </c>
      <c r="AV17" s="343">
        <f t="shared" si="34"/>
        <v>0</v>
      </c>
      <c r="AW17" s="343">
        <f t="shared" si="34"/>
        <v>0</v>
      </c>
      <c r="AX17" s="343">
        <f t="shared" si="34"/>
        <v>0</v>
      </c>
      <c r="AY17" s="343">
        <f t="shared" si="34"/>
        <v>0</v>
      </c>
      <c r="AZ17" s="343">
        <f t="shared" si="34"/>
        <v>0</v>
      </c>
      <c r="BA17" s="343">
        <f t="shared" si="34"/>
        <v>0</v>
      </c>
      <c r="BB17" s="343">
        <f t="shared" si="34"/>
        <v>0</v>
      </c>
      <c r="BC17" s="343">
        <f t="shared" si="34"/>
        <v>0</v>
      </c>
      <c r="BD17" s="343">
        <f>BD9</f>
        <v>0</v>
      </c>
      <c r="BE17" s="343">
        <f>BE9</f>
        <v>0</v>
      </c>
      <c r="BF17" s="343">
        <f>BF9</f>
        <v>0</v>
      </c>
      <c r="BG17" s="343">
        <f>BG9</f>
        <v>0</v>
      </c>
      <c r="BH17" s="343">
        <f>BH9</f>
        <v>0</v>
      </c>
      <c r="BI17" s="343">
        <f t="shared" si="34"/>
        <v>0</v>
      </c>
      <c r="BJ17" s="343">
        <f t="shared" si="34"/>
        <v>0</v>
      </c>
      <c r="BK17" s="343">
        <f>BK9</f>
        <v>0</v>
      </c>
      <c r="BL17" s="343">
        <f t="shared" si="34"/>
        <v>0</v>
      </c>
      <c r="BM17" s="343">
        <f t="shared" si="34"/>
        <v>0</v>
      </c>
      <c r="BN17" s="343">
        <f t="shared" si="34"/>
        <v>0</v>
      </c>
      <c r="BO17" s="343">
        <f t="shared" si="34"/>
        <v>0</v>
      </c>
      <c r="BP17" s="343">
        <f t="shared" si="34"/>
        <v>0</v>
      </c>
      <c r="BQ17" s="343">
        <f t="shared" ref="BQ17:BW17" si="35">BQ9</f>
        <v>0</v>
      </c>
      <c r="BR17" s="343">
        <f t="shared" si="35"/>
        <v>0</v>
      </c>
      <c r="BS17" s="427">
        <f t="shared" si="35"/>
        <v>0</v>
      </c>
      <c r="BT17" s="427">
        <f t="shared" si="35"/>
        <v>0</v>
      </c>
      <c r="BU17" s="427">
        <f t="shared" si="35"/>
        <v>0</v>
      </c>
      <c r="BV17" s="427">
        <f t="shared" si="35"/>
        <v>0</v>
      </c>
      <c r="BW17" s="470">
        <f t="shared" si="35"/>
        <v>0</v>
      </c>
      <c r="BX17" s="470">
        <f t="shared" ref="BX17:BY17" si="36">BX9</f>
        <v>0</v>
      </c>
      <c r="BY17" s="540">
        <f t="shared" si="36"/>
        <v>0</v>
      </c>
      <c r="BZ17" s="540">
        <f t="shared" ref="BZ17:CA17" si="37">BZ9</f>
        <v>0</v>
      </c>
      <c r="CA17" s="540">
        <f t="shared" si="37"/>
        <v>0</v>
      </c>
      <c r="CB17" s="721" t="s">
        <v>362</v>
      </c>
      <c r="CC17" s="658"/>
      <c r="CD17" s="658"/>
      <c r="CE17" s="658"/>
      <c r="CF17" s="658"/>
      <c r="CG17" s="658"/>
      <c r="CH17" s="658"/>
      <c r="CI17" s="658"/>
    </row>
    <row r="18" spans="1:88" ht="16" thickBot="1">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c r="AA18" s="343"/>
      <c r="AB18" s="343"/>
      <c r="AC18" s="343"/>
      <c r="AD18" s="343"/>
      <c r="AE18" s="343"/>
      <c r="AF18" s="343"/>
      <c r="AG18" s="343"/>
      <c r="AH18" s="343"/>
      <c r="AI18" s="343"/>
      <c r="AJ18" s="343"/>
      <c r="AK18" s="343"/>
      <c r="AL18" s="343"/>
      <c r="AM18" s="343"/>
      <c r="AN18" s="343"/>
      <c r="AO18" s="343"/>
      <c r="AP18" s="343"/>
      <c r="AQ18" s="343"/>
      <c r="AR18" s="343"/>
      <c r="AS18" s="343"/>
      <c r="AT18" s="343"/>
      <c r="AU18" s="343"/>
      <c r="AV18" s="343"/>
      <c r="AW18" s="343"/>
      <c r="AX18" s="343"/>
      <c r="AY18" s="343"/>
      <c r="AZ18" s="343"/>
      <c r="BA18" s="343"/>
      <c r="BB18" s="343"/>
      <c r="BC18" s="204">
        <f>BC6*0.648</f>
        <v>37.042272000000004</v>
      </c>
      <c r="BD18" s="204">
        <f>BD6*0.648</f>
        <v>39.657600000000002</v>
      </c>
      <c r="BE18" s="343"/>
      <c r="BF18" s="343"/>
      <c r="BG18" s="343"/>
      <c r="BH18" s="343"/>
      <c r="BI18" s="343"/>
      <c r="BJ18" s="343"/>
      <c r="BK18" s="343"/>
      <c r="BL18" s="343"/>
      <c r="BM18" s="343"/>
      <c r="BN18" s="343"/>
      <c r="BO18" s="343"/>
      <c r="BP18" s="343"/>
      <c r="BQ18" s="343"/>
      <c r="BR18" s="343"/>
      <c r="BS18" s="427"/>
      <c r="BT18" s="427"/>
      <c r="BU18" s="427"/>
      <c r="BV18" s="427"/>
      <c r="BW18" s="470"/>
      <c r="BX18" s="470"/>
      <c r="BY18" s="540"/>
      <c r="BZ18" s="540"/>
      <c r="CA18" s="540"/>
      <c r="CB18" s="718"/>
      <c r="CC18" s="658"/>
      <c r="CD18" s="658"/>
      <c r="CE18" s="658"/>
      <c r="CF18" s="658"/>
      <c r="CG18" s="658"/>
      <c r="CH18" s="658"/>
      <c r="CI18" s="658"/>
    </row>
    <row r="19" spans="1:88" ht="16" thickBot="1">
      <c r="A19" s="202" t="s">
        <v>55</v>
      </c>
      <c r="B19" s="202" t="s">
        <v>66</v>
      </c>
      <c r="C19" s="203">
        <f t="shared" ref="C19:BN20" si="38">C7*0.648</f>
        <v>34.982675280000002</v>
      </c>
      <c r="D19" s="203">
        <f t="shared" si="38"/>
        <v>29.769969528000001</v>
      </c>
      <c r="E19" s="203">
        <f t="shared" si="38"/>
        <v>30.242555280000005</v>
      </c>
      <c r="F19" s="203">
        <f t="shared" si="38"/>
        <v>31.975778376000001</v>
      </c>
      <c r="G19" s="203">
        <f t="shared" si="38"/>
        <v>32.471683704</v>
      </c>
      <c r="H19" s="203">
        <f t="shared" si="38"/>
        <v>32.786966159999999</v>
      </c>
      <c r="I19" s="204">
        <f t="shared" si="38"/>
        <v>34.020000000000003</v>
      </c>
      <c r="J19" s="204">
        <f t="shared" si="38"/>
        <v>34.020000000000003</v>
      </c>
      <c r="K19" s="204">
        <f t="shared" si="38"/>
        <v>34.020000000000003</v>
      </c>
      <c r="L19" s="204">
        <f t="shared" si="38"/>
        <v>35.64</v>
      </c>
      <c r="M19" s="204">
        <f t="shared" si="38"/>
        <v>37.584000000000003</v>
      </c>
      <c r="N19" s="204">
        <f t="shared" si="38"/>
        <v>36.059904000000003</v>
      </c>
      <c r="O19" s="204">
        <f t="shared" si="38"/>
        <v>20.088000000000001</v>
      </c>
      <c r="P19" s="204">
        <f t="shared" si="38"/>
        <v>18.499752000000001</v>
      </c>
      <c r="Q19" s="204">
        <f t="shared" si="38"/>
        <v>19.440000000000001</v>
      </c>
      <c r="R19" s="204">
        <f t="shared" si="38"/>
        <v>16.999632000000002</v>
      </c>
      <c r="S19" s="204">
        <f t="shared" si="38"/>
        <v>13.996800000000002</v>
      </c>
      <c r="T19" s="204">
        <f t="shared" si="38"/>
        <v>2.9807999999999999</v>
      </c>
      <c r="U19" s="204">
        <f t="shared" si="38"/>
        <v>14.904</v>
      </c>
      <c r="V19" s="204">
        <f t="shared" si="38"/>
        <v>16.2</v>
      </c>
      <c r="W19" s="204">
        <f t="shared" si="38"/>
        <v>13.932</v>
      </c>
      <c r="X19" s="204">
        <f t="shared" si="38"/>
        <v>20.217600000000001</v>
      </c>
      <c r="Y19" s="204">
        <f t="shared" si="38"/>
        <v>22.032</v>
      </c>
      <c r="Z19" s="204">
        <f t="shared" si="38"/>
        <v>22.795992000000002</v>
      </c>
      <c r="AA19" s="204">
        <f t="shared" si="38"/>
        <v>20.088000000000001</v>
      </c>
      <c r="AB19" s="204">
        <f t="shared" si="38"/>
        <v>19.051199999999998</v>
      </c>
      <c r="AC19" s="204">
        <f t="shared" si="38"/>
        <v>15.292800000000002</v>
      </c>
      <c r="AD19" s="204">
        <f t="shared" si="38"/>
        <v>18.001440000000002</v>
      </c>
      <c r="AE19" s="204">
        <f t="shared" si="38"/>
        <v>14.904</v>
      </c>
      <c r="AF19" s="204">
        <f t="shared" si="38"/>
        <v>18.506879999999999</v>
      </c>
      <c r="AG19" s="204">
        <f t="shared" si="38"/>
        <v>17.70336</v>
      </c>
      <c r="AH19" s="204">
        <f t="shared" si="38"/>
        <v>14.58</v>
      </c>
      <c r="AI19" s="204">
        <f t="shared" si="38"/>
        <v>9.7200000000000006</v>
      </c>
      <c r="AJ19" s="204">
        <f t="shared" si="38"/>
        <v>15.422400000000001</v>
      </c>
      <c r="AK19" s="204">
        <f t="shared" si="38"/>
        <v>23.000000000000004</v>
      </c>
      <c r="AL19" s="204">
        <f t="shared" si="38"/>
        <v>19.5</v>
      </c>
      <c r="AM19" s="204">
        <f t="shared" si="38"/>
        <v>12</v>
      </c>
      <c r="AN19" s="204">
        <f t="shared" si="38"/>
        <v>15.000000000000002</v>
      </c>
      <c r="AO19" s="204">
        <f t="shared" si="38"/>
        <v>21</v>
      </c>
      <c r="AP19" s="204">
        <f t="shared" si="38"/>
        <v>21</v>
      </c>
      <c r="AQ19" s="204">
        <f t="shared" si="38"/>
        <v>17</v>
      </c>
      <c r="AR19" s="204">
        <f t="shared" si="38"/>
        <v>19</v>
      </c>
      <c r="AS19" s="204">
        <f t="shared" si="38"/>
        <v>18.5</v>
      </c>
      <c r="AT19" s="204">
        <f t="shared" si="38"/>
        <v>20</v>
      </c>
      <c r="AU19" s="204">
        <f t="shared" si="38"/>
        <v>19</v>
      </c>
      <c r="AV19" s="204">
        <f t="shared" si="38"/>
        <v>18</v>
      </c>
      <c r="AW19" s="204">
        <f t="shared" si="38"/>
        <v>17.5</v>
      </c>
      <c r="AX19" s="204">
        <f t="shared" si="38"/>
        <v>20.999999999999993</v>
      </c>
      <c r="AY19" s="225">
        <f t="shared" si="38"/>
        <v>19</v>
      </c>
      <c r="AZ19" s="225">
        <f t="shared" si="38"/>
        <v>5.8</v>
      </c>
      <c r="BA19" s="204">
        <f t="shared" si="38"/>
        <v>25.2</v>
      </c>
      <c r="BB19" s="204">
        <f t="shared" si="38"/>
        <v>15.000000000000002</v>
      </c>
      <c r="BC19" s="204">
        <f t="shared" si="38"/>
        <v>9</v>
      </c>
      <c r="BD19" s="204">
        <f t="shared" si="38"/>
        <v>5</v>
      </c>
      <c r="BE19" s="204">
        <f t="shared" si="38"/>
        <v>5</v>
      </c>
      <c r="BF19" s="204">
        <f t="shared" si="38"/>
        <v>15.000000000000002</v>
      </c>
      <c r="BG19" s="204">
        <f t="shared" si="38"/>
        <v>23.000000000000004</v>
      </c>
      <c r="BH19" s="204">
        <f t="shared" si="38"/>
        <v>25.499999999999996</v>
      </c>
      <c r="BI19" s="204">
        <f t="shared" si="38"/>
        <v>20</v>
      </c>
      <c r="BJ19" s="204">
        <f t="shared" si="38"/>
        <v>22</v>
      </c>
      <c r="BK19" s="204">
        <f t="shared" si="38"/>
        <v>24.5</v>
      </c>
      <c r="BL19" s="204">
        <f t="shared" si="38"/>
        <v>24.5</v>
      </c>
      <c r="BM19" s="204">
        <f t="shared" si="38"/>
        <v>26</v>
      </c>
      <c r="BN19" s="608">
        <f t="shared" si="38"/>
        <v>19</v>
      </c>
      <c r="BO19" s="608">
        <f t="shared" ref="BO19:BV20" si="39">BO7*0.648</f>
        <v>26</v>
      </c>
      <c r="BP19" s="608">
        <f t="shared" si="39"/>
        <v>21.5</v>
      </c>
      <c r="BQ19" s="608">
        <f t="shared" ref="BQ19:BW19" si="40">BQ7*0.648</f>
        <v>19</v>
      </c>
      <c r="BR19" s="608">
        <f t="shared" si="40"/>
        <v>24</v>
      </c>
      <c r="BS19" s="608">
        <f t="shared" si="40"/>
        <v>19</v>
      </c>
      <c r="BT19" s="608">
        <f t="shared" si="40"/>
        <v>16.5</v>
      </c>
      <c r="BU19" s="608">
        <f t="shared" si="40"/>
        <v>20</v>
      </c>
      <c r="BV19" s="608">
        <f t="shared" si="40"/>
        <v>20</v>
      </c>
      <c r="BW19" s="608">
        <f t="shared" si="40"/>
        <v>19.5</v>
      </c>
      <c r="BX19" s="608">
        <f t="shared" ref="BX19:BY19" si="41">BX7*0.648</f>
        <v>17.5</v>
      </c>
      <c r="BY19" s="608">
        <f t="shared" si="41"/>
        <v>19.5</v>
      </c>
      <c r="BZ19" s="608">
        <f t="shared" ref="BZ19:CA19" si="42">BZ7*0.648</f>
        <v>19</v>
      </c>
      <c r="CA19" s="608">
        <f>CA7*0.648</f>
        <v>20</v>
      </c>
      <c r="CB19" s="722" t="s">
        <v>363</v>
      </c>
      <c r="CC19" s="662"/>
      <c r="CD19" s="662"/>
      <c r="CE19" s="662"/>
      <c r="CF19" s="662"/>
      <c r="CG19" s="662"/>
      <c r="CH19" s="662"/>
      <c r="CI19" s="662"/>
    </row>
    <row r="20" spans="1:88" ht="16" thickBot="1">
      <c r="H20" s="343"/>
      <c r="I20" s="343"/>
      <c r="J20" s="343"/>
      <c r="K20" s="343"/>
      <c r="L20" s="343"/>
      <c r="M20" s="343"/>
      <c r="N20" s="343"/>
      <c r="O20" s="343"/>
      <c r="P20" s="343">
        <v>2500</v>
      </c>
      <c r="Q20" s="343">
        <v>1500</v>
      </c>
      <c r="R20" s="343"/>
      <c r="S20" s="343"/>
      <c r="T20" s="343"/>
      <c r="U20" s="343"/>
      <c r="V20" s="343"/>
      <c r="W20" s="343"/>
      <c r="X20" s="343"/>
      <c r="Y20" s="343"/>
      <c r="Z20" s="343"/>
      <c r="AA20" s="343"/>
      <c r="AB20" s="343"/>
      <c r="AC20" s="343"/>
      <c r="AD20" s="343"/>
      <c r="AE20" s="343"/>
      <c r="AF20" s="343"/>
      <c r="AG20" s="343"/>
      <c r="AH20" s="343"/>
      <c r="AI20" s="343"/>
      <c r="AJ20" s="343"/>
      <c r="AK20" s="343"/>
      <c r="AL20" s="343"/>
      <c r="AM20" s="343"/>
      <c r="AN20" s="343"/>
      <c r="AO20" s="343"/>
      <c r="AP20" s="343"/>
      <c r="AQ20" s="343"/>
      <c r="AR20" s="343"/>
      <c r="AS20" s="343"/>
      <c r="AT20" s="343"/>
      <c r="AU20" s="343"/>
      <c r="AV20" s="343"/>
      <c r="AW20" s="343"/>
      <c r="AX20" s="343"/>
      <c r="AY20" s="226" t="s">
        <v>73</v>
      </c>
      <c r="AZ20" s="226" t="s">
        <v>76</v>
      </c>
      <c r="BA20" s="343"/>
      <c r="BB20" s="343"/>
      <c r="BC20" s="204">
        <f t="shared" si="38"/>
        <v>27.345600000000001</v>
      </c>
      <c r="BD20" s="204">
        <f t="shared" si="38"/>
        <v>34.559999999999995</v>
      </c>
      <c r="BE20" s="204">
        <f t="shared" si="38"/>
        <v>38.139983999999998</v>
      </c>
      <c r="BF20" s="204">
        <f t="shared" si="38"/>
        <v>35.712000000000003</v>
      </c>
      <c r="BG20" s="204">
        <f t="shared" si="38"/>
        <v>27.36</v>
      </c>
      <c r="BH20" s="204">
        <f t="shared" si="38"/>
        <v>28.271999999999998</v>
      </c>
      <c r="BI20" s="204">
        <f t="shared" si="38"/>
        <v>25.92144</v>
      </c>
      <c r="BJ20" s="204">
        <f t="shared" si="38"/>
        <v>27.604559999999999</v>
      </c>
      <c r="BK20" s="204">
        <f t="shared" si="38"/>
        <v>29.16</v>
      </c>
      <c r="BL20" s="204">
        <f t="shared" si="38"/>
        <v>25.272000000000002</v>
      </c>
      <c r="BM20" s="204">
        <f t="shared" si="38"/>
        <v>28.271999999999998</v>
      </c>
      <c r="BN20" s="608">
        <f t="shared" si="38"/>
        <v>28.317600000000002</v>
      </c>
      <c r="BO20" s="608">
        <f t="shared" si="39"/>
        <v>28.271999999999998</v>
      </c>
      <c r="BP20" s="608">
        <f t="shared" si="39"/>
        <v>27.36</v>
      </c>
      <c r="BQ20" s="608">
        <f t="shared" si="39"/>
        <v>21.384</v>
      </c>
      <c r="BR20" s="608">
        <f t="shared" si="39"/>
        <v>28.271999999999998</v>
      </c>
      <c r="BS20" s="608">
        <f t="shared" si="39"/>
        <v>27.36</v>
      </c>
      <c r="BT20" s="608">
        <f t="shared" si="39"/>
        <v>25.296000000000003</v>
      </c>
      <c r="BU20" s="608">
        <f t="shared" si="39"/>
        <v>27.36</v>
      </c>
      <c r="BV20" s="608">
        <f t="shared" si="39"/>
        <v>28.271999999999998</v>
      </c>
      <c r="BW20" s="608">
        <f>BW8*0.648</f>
        <v>28.271999999999998</v>
      </c>
      <c r="BX20" s="608">
        <f>BX8*0.648</f>
        <v>25.536000000000005</v>
      </c>
      <c r="BY20" s="608">
        <f>BY8*0.648</f>
        <v>28.271999999999998</v>
      </c>
      <c r="BZ20" s="608">
        <f>BZ8*0.648</f>
        <v>27.36</v>
      </c>
      <c r="CA20" s="608">
        <f>CA8*0.648</f>
        <v>27.36</v>
      </c>
      <c r="CB20" s="723" t="s">
        <v>364</v>
      </c>
      <c r="CC20" s="662"/>
      <c r="CD20" s="662"/>
      <c r="CE20" s="662"/>
      <c r="CF20" s="662"/>
      <c r="CG20" s="662"/>
      <c r="CH20" s="662"/>
      <c r="CI20" s="662"/>
    </row>
    <row r="21" spans="1:88">
      <c r="AI21" s="126">
        <v>8.8000000000000007</v>
      </c>
      <c r="AN21" s="126" t="s">
        <v>0</v>
      </c>
      <c r="AQ21" s="126" t="s">
        <v>43</v>
      </c>
      <c r="BL21" s="540"/>
      <c r="BM21" s="540"/>
      <c r="BN21" s="540"/>
      <c r="BO21" s="540"/>
      <c r="BP21" s="540"/>
      <c r="BQ21" s="540"/>
      <c r="BR21" s="540"/>
      <c r="BS21" s="540"/>
      <c r="BT21" s="540"/>
      <c r="BU21" s="540"/>
      <c r="BV21" s="540"/>
    </row>
    <row r="22" spans="1:88">
      <c r="A22" s="213" t="s">
        <v>208</v>
      </c>
      <c r="B22" s="208" t="s">
        <v>211</v>
      </c>
      <c r="AM22" s="126">
        <v>79.371857142857138</v>
      </c>
      <c r="AN22" s="126" t="s">
        <v>67</v>
      </c>
      <c r="AO22" s="126">
        <v>1</v>
      </c>
      <c r="AP22" s="126">
        <v>4</v>
      </c>
      <c r="AQ22" s="126" t="s">
        <v>53</v>
      </c>
      <c r="BT22" s="126">
        <f>SUM(BT23:BT24)</f>
        <v>78.629629629629619</v>
      </c>
      <c r="BU22" s="209">
        <f>BT22-BT26</f>
        <v>16.667629629629616</v>
      </c>
    </row>
    <row r="23" spans="1:88">
      <c r="A23" s="609" t="s">
        <v>209</v>
      </c>
      <c r="B23" s="208" t="s">
        <v>210</v>
      </c>
      <c r="AI23" s="126">
        <f>5000/0.648</f>
        <v>7716.049382716049</v>
      </c>
      <c r="AM23" s="343">
        <v>77.8</v>
      </c>
      <c r="AO23" s="343"/>
      <c r="AP23" s="343"/>
      <c r="AQ23" s="343"/>
      <c r="AY23" s="343">
        <f t="shared" ref="AY23:BH23" si="43">AY8+AY7</f>
        <v>84.320987654320987</v>
      </c>
      <c r="AZ23" s="343">
        <f t="shared" si="43"/>
        <v>60.506172839506178</v>
      </c>
      <c r="BA23" s="343">
        <f t="shared" si="43"/>
        <v>82.48888888888888</v>
      </c>
      <c r="BB23" s="343">
        <f t="shared" si="43"/>
        <v>65.348148148148155</v>
      </c>
      <c r="BC23" s="343">
        <f t="shared" si="43"/>
        <v>56.088888888888889</v>
      </c>
      <c r="BD23" s="343">
        <f t="shared" si="43"/>
        <v>61.049382716049379</v>
      </c>
      <c r="BE23" s="343">
        <f t="shared" si="43"/>
        <v>66.574049382716041</v>
      </c>
      <c r="BF23" s="343">
        <f t="shared" si="43"/>
        <v>78.259259259259267</v>
      </c>
      <c r="BG23" s="343">
        <f t="shared" si="43"/>
        <v>77.716049382716051</v>
      </c>
      <c r="BH23" s="343">
        <f t="shared" si="43"/>
        <v>82.981481481481467</v>
      </c>
      <c r="BI23" s="343">
        <v>37.037037037037038</v>
      </c>
      <c r="BJ23" s="343">
        <f>4/$BI$25*BI23</f>
        <v>1.8365472910927461</v>
      </c>
      <c r="BK23" s="470">
        <f>BI23-BJ23</f>
        <v>35.200489745944289</v>
      </c>
      <c r="BL23" s="470">
        <f>BK23*0.648</f>
        <v>22.809917355371901</v>
      </c>
      <c r="BP23" s="126">
        <v>37.037037037037038</v>
      </c>
      <c r="BQ23" s="126">
        <f>BP23*-20/$BP$25</f>
        <v>-9.1827364554637292</v>
      </c>
      <c r="BR23" s="126">
        <f>BP23+BQ23</f>
        <v>27.854300581573309</v>
      </c>
      <c r="BS23" s="126">
        <f>BR23*0.648</f>
        <v>18.049586776859506</v>
      </c>
      <c r="BT23" s="126">
        <v>35</v>
      </c>
      <c r="BU23" s="209">
        <f>BT23/BT22*BU22</f>
        <v>7.4191756947715444</v>
      </c>
      <c r="BV23" s="126">
        <f>BT23-BU23</f>
        <v>27.580824305228454</v>
      </c>
    </row>
    <row r="24" spans="1:88">
      <c r="BF24" s="427">
        <f>BF6*0.648</f>
        <v>48.249432000000006</v>
      </c>
      <c r="BI24" s="126">
        <v>43.629629629629626</v>
      </c>
      <c r="BJ24" s="460">
        <f>4/$BI$25*BI24</f>
        <v>2.1634527089072546</v>
      </c>
      <c r="BK24" s="470">
        <f>BI24-BJ24</f>
        <v>41.466176920722368</v>
      </c>
      <c r="BL24" s="470"/>
      <c r="BN24" s="126">
        <f>38.1*0.648</f>
        <v>24.688800000000001</v>
      </c>
      <c r="BP24" s="126">
        <v>43.629629629629626</v>
      </c>
      <c r="BQ24" s="126">
        <f>BP24*-20/$BP$25</f>
        <v>-10.817263544536273</v>
      </c>
      <c r="BR24" s="126">
        <f>BP24+BQ24</f>
        <v>32.812366085093352</v>
      </c>
      <c r="BT24" s="126">
        <v>43.629629629629626</v>
      </c>
      <c r="BU24" s="209">
        <f>BT24/BT22*BU22</f>
        <v>9.2484539348580732</v>
      </c>
      <c r="BV24" s="126">
        <f>BT24-BU24</f>
        <v>34.381175694771557</v>
      </c>
    </row>
    <row r="25" spans="1:88">
      <c r="Z25" s="126">
        <v>31</v>
      </c>
      <c r="AA25" s="126">
        <v>30</v>
      </c>
      <c r="AB25" s="126">
        <v>31</v>
      </c>
      <c r="AC25" s="126">
        <v>31</v>
      </c>
      <c r="AD25" s="126">
        <v>28</v>
      </c>
      <c r="AE25" s="126">
        <v>31</v>
      </c>
      <c r="AW25" s="197" t="s">
        <v>68</v>
      </c>
      <c r="AX25" s="197"/>
      <c r="AY25" s="197"/>
      <c r="AZ25" s="197"/>
      <c r="BB25" s="197" t="s">
        <v>120</v>
      </c>
      <c r="BF25" s="427">
        <f>BF19+BF20</f>
        <v>50.712000000000003</v>
      </c>
      <c r="BG25" s="427">
        <f>BG19+BG20</f>
        <v>50.36</v>
      </c>
      <c r="BH25" s="427">
        <f>BH19+BH20</f>
        <v>53.771999999999991</v>
      </c>
      <c r="BI25" s="427">
        <f>SUM(BI23:BI24)</f>
        <v>80.666666666666657</v>
      </c>
      <c r="BJ25" s="427"/>
      <c r="BL25" s="126">
        <f>2*0.648</f>
        <v>1.296</v>
      </c>
      <c r="BP25" s="126">
        <f>SUM(BP23:BP24)</f>
        <v>80.666666666666657</v>
      </c>
      <c r="BT25" s="126">
        <v>1.8</v>
      </c>
    </row>
    <row r="26" spans="1:88">
      <c r="Z26" s="126">
        <v>80</v>
      </c>
      <c r="AA26" s="126">
        <v>68</v>
      </c>
      <c r="AB26" s="126">
        <v>72</v>
      </c>
      <c r="AC26" s="126">
        <v>72</v>
      </c>
      <c r="AD26" s="126">
        <v>65</v>
      </c>
      <c r="AE26" s="126">
        <v>73</v>
      </c>
      <c r="AW26" s="197" t="s">
        <v>0</v>
      </c>
      <c r="AX26" s="205">
        <v>200</v>
      </c>
      <c r="AY26" s="205" t="s">
        <v>43</v>
      </c>
      <c r="AZ26" s="206" t="s">
        <v>69</v>
      </c>
      <c r="BB26" s="197" t="s">
        <v>0</v>
      </c>
      <c r="BC26" s="205">
        <v>250</v>
      </c>
      <c r="BD26" s="205" t="s">
        <v>43</v>
      </c>
      <c r="BE26" s="206" t="s">
        <v>119</v>
      </c>
      <c r="BK26" s="207"/>
      <c r="BL26" s="207"/>
      <c r="BM26" s="207"/>
      <c r="BN26" s="207"/>
      <c r="BO26" s="207"/>
      <c r="BP26" s="207"/>
      <c r="BQ26" s="207"/>
      <c r="BR26" s="207"/>
      <c r="BS26" s="207"/>
      <c r="BT26" s="207">
        <f>BQ6-1.8</f>
        <v>61.962000000000003</v>
      </c>
      <c r="BU26" s="207"/>
      <c r="BV26" s="207"/>
      <c r="BW26" s="207"/>
      <c r="BX26" s="207"/>
      <c r="BY26" s="207"/>
      <c r="BZ26" s="207"/>
      <c r="CA26" s="207"/>
      <c r="CB26" s="720"/>
      <c r="CC26" s="668"/>
      <c r="CD26" s="668"/>
      <c r="CE26" s="668"/>
      <c r="CF26" s="668"/>
      <c r="CG26" s="668"/>
      <c r="CH26" s="668"/>
      <c r="CI26" s="668"/>
    </row>
    <row r="27" spans="1:88">
      <c r="B27" s="472" t="s">
        <v>0</v>
      </c>
      <c r="Z27" s="126">
        <f t="shared" ref="Z27:AE27" si="44">Z26*1000</f>
        <v>80000</v>
      </c>
      <c r="AA27" s="126">
        <f t="shared" si="44"/>
        <v>68000</v>
      </c>
      <c r="AB27" s="126">
        <f t="shared" si="44"/>
        <v>72000</v>
      </c>
      <c r="AC27" s="126">
        <f t="shared" si="44"/>
        <v>72000</v>
      </c>
      <c r="AD27" s="126">
        <f t="shared" si="44"/>
        <v>65000</v>
      </c>
      <c r="AE27" s="126">
        <f t="shared" si="44"/>
        <v>73000</v>
      </c>
      <c r="AW27" s="197" t="s">
        <v>67</v>
      </c>
      <c r="AX27" s="205">
        <v>640</v>
      </c>
      <c r="AY27" s="205" t="s">
        <v>53</v>
      </c>
      <c r="AZ27" s="206" t="s">
        <v>70</v>
      </c>
      <c r="BB27" s="197" t="s">
        <v>67</v>
      </c>
      <c r="BC27" s="345">
        <f>380/0.648</f>
        <v>586.41975308641975</v>
      </c>
      <c r="BD27" s="205" t="s">
        <v>53</v>
      </c>
      <c r="BE27" s="206" t="s">
        <v>70</v>
      </c>
      <c r="BG27" s="345">
        <f>38*24*366/0.648/1000</f>
        <v>515.11111111111109</v>
      </c>
      <c r="BH27" s="205" t="s">
        <v>53</v>
      </c>
      <c r="BI27" s="473">
        <v>20</v>
      </c>
      <c r="BJ27" s="473">
        <v>18.5</v>
      </c>
      <c r="BK27" s="473">
        <v>22.5</v>
      </c>
    </row>
    <row r="28" spans="1:88">
      <c r="B28" s="472" t="s">
        <v>118</v>
      </c>
      <c r="Z28" s="207">
        <f t="shared" ref="Z28:AE28" si="45">Z25*720</f>
        <v>22320</v>
      </c>
      <c r="AA28" s="207">
        <f t="shared" si="45"/>
        <v>21600</v>
      </c>
      <c r="AB28" s="207">
        <f t="shared" si="45"/>
        <v>22320</v>
      </c>
      <c r="AC28" s="207">
        <f t="shared" si="45"/>
        <v>22320</v>
      </c>
      <c r="AD28" s="207">
        <f t="shared" si="45"/>
        <v>20160</v>
      </c>
      <c r="AE28" s="207">
        <f t="shared" si="45"/>
        <v>22320</v>
      </c>
      <c r="AS28" s="208"/>
      <c r="BI28" s="473">
        <v>40.002222222222223</v>
      </c>
      <c r="BJ28" s="473">
        <v>40.599629629629625</v>
      </c>
      <c r="BK28" s="473">
        <v>42</v>
      </c>
    </row>
    <row r="29" spans="1:88">
      <c r="B29" s="126" t="s">
        <v>71</v>
      </c>
      <c r="Z29" s="207">
        <f t="shared" ref="Z29:AE29" si="46">Z27-Z28</f>
        <v>57680</v>
      </c>
      <c r="AA29" s="207">
        <f t="shared" si="46"/>
        <v>46400</v>
      </c>
      <c r="AB29" s="207">
        <f t="shared" si="46"/>
        <v>49680</v>
      </c>
      <c r="AC29" s="207">
        <f t="shared" si="46"/>
        <v>49680</v>
      </c>
      <c r="AD29" s="207">
        <f t="shared" si="46"/>
        <v>44840</v>
      </c>
      <c r="AE29" s="207">
        <f t="shared" si="46"/>
        <v>50680</v>
      </c>
      <c r="AM29" s="343">
        <v>16</v>
      </c>
      <c r="AN29" s="343"/>
      <c r="AO29" s="343"/>
      <c r="AP29" s="343"/>
      <c r="AQ29" s="343"/>
      <c r="AR29" s="343"/>
      <c r="AS29" s="343"/>
      <c r="AT29" s="343"/>
      <c r="AU29" s="343"/>
      <c r="AV29" s="343"/>
      <c r="AW29" s="343"/>
      <c r="AX29" s="343"/>
      <c r="AY29" s="343"/>
      <c r="AZ29" s="343"/>
      <c r="BA29" s="343"/>
      <c r="BB29" s="343"/>
      <c r="BC29" s="343"/>
      <c r="BD29" s="343"/>
      <c r="BE29" s="343"/>
      <c r="BF29" s="343"/>
      <c r="BG29" s="343"/>
      <c r="BH29" s="343"/>
      <c r="BI29" s="343"/>
      <c r="BJ29" s="343"/>
      <c r="BK29" s="343"/>
      <c r="BL29" s="343"/>
      <c r="BM29" s="343"/>
      <c r="BW29" s="470"/>
      <c r="BX29" s="470"/>
      <c r="BY29" s="540"/>
      <c r="BZ29" s="540"/>
      <c r="CA29" s="540"/>
      <c r="CB29" s="718"/>
      <c r="CC29" s="658"/>
      <c r="CD29" s="658"/>
      <c r="CE29" s="658"/>
      <c r="CF29" s="658"/>
      <c r="CG29" s="658"/>
      <c r="CH29" s="658"/>
      <c r="CI29" s="658"/>
    </row>
    <row r="30" spans="1:88">
      <c r="Z30" s="207">
        <v>80000</v>
      </c>
      <c r="AA30" s="207">
        <v>68000</v>
      </c>
      <c r="AB30" s="207">
        <v>72000</v>
      </c>
      <c r="AC30" s="207">
        <v>72000</v>
      </c>
      <c r="AD30" s="207">
        <v>65000</v>
      </c>
      <c r="AE30" s="207">
        <v>73000</v>
      </c>
      <c r="AX30" s="235" t="s">
        <v>77</v>
      </c>
      <c r="AY30" s="127">
        <v>77.541738095238088</v>
      </c>
      <c r="AZ30" s="127">
        <v>72.94177463254114</v>
      </c>
      <c r="BA30" s="127">
        <v>82.342019420294847</v>
      </c>
      <c r="BB30" s="127">
        <v>82.342019420294847</v>
      </c>
      <c r="BC30" s="127">
        <v>73.662688686701856</v>
      </c>
      <c r="BD30" s="127">
        <v>82.342019420294847</v>
      </c>
      <c r="BE30" s="127">
        <v>82.342019420294847</v>
      </c>
      <c r="BF30" s="127">
        <v>81.632019420294853</v>
      </c>
      <c r="BG30" s="127">
        <v>81.602019420294852</v>
      </c>
      <c r="BH30" s="127">
        <v>81.632019420294853</v>
      </c>
      <c r="BI30" s="127">
        <v>81.602019420294852</v>
      </c>
      <c r="BJ30" s="127">
        <v>81.632019420294853</v>
      </c>
      <c r="BK30" s="127">
        <v>81.632019420294853</v>
      </c>
      <c r="BL30" s="127">
        <v>81.632019420294853</v>
      </c>
      <c r="BM30" s="127">
        <v>81.632019420294853</v>
      </c>
      <c r="BN30" s="127">
        <v>81.632019420294853</v>
      </c>
      <c r="BO30" s="127">
        <v>81.632019420294853</v>
      </c>
      <c r="BP30" s="127">
        <v>81.632019420294853</v>
      </c>
      <c r="BQ30" s="127">
        <v>81.632019420294853</v>
      </c>
      <c r="BR30" s="127">
        <v>81.632019420294853</v>
      </c>
      <c r="BS30" s="127">
        <v>81.632019420294853</v>
      </c>
      <c r="BT30" s="127">
        <v>81.632019420294853</v>
      </c>
      <c r="BU30" s="127">
        <v>81.632019420294853</v>
      </c>
      <c r="BV30" s="127">
        <v>81.632019420294853</v>
      </c>
      <c r="BW30" s="127">
        <v>81.632019420294853</v>
      </c>
      <c r="BX30" s="127">
        <v>81.632019420294853</v>
      </c>
      <c r="BY30" s="127">
        <v>81.632019420294853</v>
      </c>
      <c r="BZ30" s="127">
        <v>81.632019420294853</v>
      </c>
      <c r="CA30" s="127">
        <v>81.632019420294853</v>
      </c>
      <c r="CB30" s="713"/>
      <c r="CC30" s="657"/>
      <c r="CD30" s="657"/>
      <c r="CE30" s="657"/>
      <c r="CF30" s="657"/>
      <c r="CG30" s="657"/>
      <c r="CH30" s="657"/>
      <c r="CI30" s="657"/>
    </row>
    <row r="31" spans="1:88">
      <c r="AM31" s="207"/>
      <c r="AN31" s="207"/>
      <c r="AO31" s="207"/>
      <c r="AP31" s="207"/>
      <c r="AQ31" s="207"/>
      <c r="AR31" s="207"/>
      <c r="AS31" s="207"/>
      <c r="AT31" s="207"/>
      <c r="AU31" s="207"/>
      <c r="AV31" s="207"/>
      <c r="AW31" s="207"/>
      <c r="AX31" s="235" t="s">
        <v>78</v>
      </c>
      <c r="AY31" s="127">
        <f t="shared" ref="AY31:BP31" si="47">AY30-(50*AY4/1000)</f>
        <v>75.991738095238091</v>
      </c>
      <c r="AZ31" s="127">
        <f t="shared" si="47"/>
        <v>71.491774632541137</v>
      </c>
      <c r="BA31" s="127">
        <f t="shared" si="47"/>
        <v>80.792019420294849</v>
      </c>
      <c r="BB31" s="127">
        <f t="shared" si="47"/>
        <v>80.842019420294847</v>
      </c>
      <c r="BC31" s="127">
        <f t="shared" si="47"/>
        <v>72.112688686701858</v>
      </c>
      <c r="BD31" s="127">
        <f t="shared" si="47"/>
        <v>80.842019420294847</v>
      </c>
      <c r="BE31" s="127">
        <f t="shared" si="47"/>
        <v>80.792019420294849</v>
      </c>
      <c r="BF31" s="127">
        <f t="shared" si="47"/>
        <v>80.082019420294856</v>
      </c>
      <c r="BG31" s="127">
        <f t="shared" si="47"/>
        <v>80.102019420294852</v>
      </c>
      <c r="BH31" s="127">
        <f t="shared" si="47"/>
        <v>80.082019420294856</v>
      </c>
      <c r="BI31" s="127">
        <f t="shared" si="47"/>
        <v>80.102019420294852</v>
      </c>
      <c r="BJ31" s="127">
        <f t="shared" si="47"/>
        <v>80.082019420294856</v>
      </c>
      <c r="BK31" s="127">
        <f t="shared" si="47"/>
        <v>80.082019420294856</v>
      </c>
      <c r="BL31" s="127">
        <f t="shared" si="47"/>
        <v>80.232019420294847</v>
      </c>
      <c r="BM31" s="127">
        <f t="shared" si="47"/>
        <v>80.082019420294856</v>
      </c>
      <c r="BN31" s="127">
        <f t="shared" si="47"/>
        <v>80.132019420294853</v>
      </c>
      <c r="BO31" s="127">
        <f t="shared" si="47"/>
        <v>80.082019420294856</v>
      </c>
      <c r="BP31" s="127">
        <f t="shared" si="47"/>
        <v>80.132019420294853</v>
      </c>
      <c r="BQ31" s="127">
        <f t="shared" ref="BQ31:BW31" si="48">BQ30-(50*BQ4/1000)</f>
        <v>80.082019420294856</v>
      </c>
      <c r="BR31" s="127">
        <f t="shared" si="48"/>
        <v>80.082019420294856</v>
      </c>
      <c r="BS31" s="127">
        <f t="shared" si="48"/>
        <v>80.132019420294853</v>
      </c>
      <c r="BT31" s="127">
        <f t="shared" si="48"/>
        <v>80.082019420294856</v>
      </c>
      <c r="BU31" s="127">
        <f t="shared" si="48"/>
        <v>80.132019420294853</v>
      </c>
      <c r="BV31" s="127">
        <f t="shared" si="48"/>
        <v>80.082019420294856</v>
      </c>
      <c r="BW31" s="127">
        <f t="shared" si="48"/>
        <v>80.082019420294856</v>
      </c>
      <c r="BX31" s="127">
        <f t="shared" ref="BX31:BY31" si="49">BX30-(50*BX4/1000)</f>
        <v>80.232019420294847</v>
      </c>
      <c r="BY31" s="127">
        <f t="shared" si="49"/>
        <v>80.082019420294856</v>
      </c>
      <c r="BZ31" s="127">
        <f t="shared" ref="BZ31:CA31" si="50">BZ30-(50*BZ4/1000)</f>
        <v>80.132019420294853</v>
      </c>
      <c r="CA31" s="127">
        <f t="shared" si="50"/>
        <v>80.132019420294853</v>
      </c>
      <c r="CB31" s="713"/>
      <c r="CC31" s="657"/>
      <c r="CD31" s="657"/>
      <c r="CE31" s="657"/>
      <c r="CF31" s="657"/>
      <c r="CG31" s="657"/>
      <c r="CH31" s="657"/>
      <c r="CI31" s="657"/>
      <c r="CJ31" s="209"/>
    </row>
    <row r="32" spans="1:88">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c r="BQ32" s="207"/>
      <c r="BR32" s="207"/>
      <c r="BS32" s="207"/>
      <c r="BT32" s="207"/>
      <c r="BU32" s="207"/>
      <c r="BV32" s="207"/>
      <c r="BW32" s="207"/>
      <c r="BX32" s="207"/>
      <c r="BY32" s="207"/>
      <c r="BZ32" s="207"/>
      <c r="CA32" s="207"/>
      <c r="CB32" s="720"/>
      <c r="CC32" s="668"/>
      <c r="CD32" s="668"/>
      <c r="CE32" s="668"/>
      <c r="CF32" s="668"/>
      <c r="CG32" s="668"/>
      <c r="CH32" s="668"/>
      <c r="CI32" s="668"/>
      <c r="CJ32" s="209"/>
    </row>
    <row r="33" spans="39:88">
      <c r="AT33" s="207"/>
      <c r="AU33" s="207"/>
      <c r="AV33" s="207"/>
      <c r="AW33" s="207"/>
      <c r="AX33" s="207"/>
      <c r="AY33" s="207"/>
      <c r="BK33" s="510"/>
      <c r="BL33" s="510"/>
      <c r="BM33" s="510"/>
      <c r="BN33" s="510"/>
      <c r="BO33" s="510"/>
      <c r="BP33" s="510"/>
    </row>
    <row r="34" spans="39:88">
      <c r="AM34" s="207"/>
      <c r="AN34" s="207"/>
      <c r="AO34" s="207"/>
      <c r="AP34" s="207"/>
      <c r="AQ34" s="207"/>
      <c r="AR34" s="207"/>
      <c r="AS34" s="207"/>
      <c r="AT34" s="207"/>
      <c r="AU34" s="207"/>
      <c r="AV34" s="207"/>
      <c r="AW34" s="207"/>
      <c r="AX34" s="207"/>
      <c r="AY34" s="127">
        <f>15/0.648</f>
        <v>23.148148148148149</v>
      </c>
      <c r="AZ34" s="207"/>
      <c r="BA34" s="207"/>
      <c r="BB34" s="207"/>
      <c r="BC34" s="207"/>
      <c r="BD34" s="207"/>
      <c r="BE34" s="207"/>
      <c r="BF34" s="207"/>
      <c r="BG34" s="207"/>
      <c r="BH34" s="207"/>
      <c r="BI34" s="207"/>
      <c r="BJ34" s="207"/>
      <c r="BK34" s="207"/>
      <c r="BL34" s="207"/>
      <c r="BM34" s="207"/>
      <c r="BN34" s="207"/>
      <c r="BO34" s="207"/>
      <c r="BP34" s="207"/>
      <c r="BQ34" s="207"/>
      <c r="BR34" s="207"/>
      <c r="BS34" s="207"/>
      <c r="BT34" s="207"/>
      <c r="BU34" s="207"/>
      <c r="BV34" s="207"/>
      <c r="BW34" s="207"/>
      <c r="BX34" s="207"/>
      <c r="BY34" s="207"/>
      <c r="BZ34" s="207"/>
      <c r="CA34" s="207"/>
      <c r="CB34" s="720"/>
      <c r="CC34" s="668"/>
      <c r="CD34" s="668"/>
      <c r="CE34" s="668"/>
      <c r="CF34" s="668"/>
      <c r="CG34" s="668"/>
      <c r="CH34" s="668"/>
      <c r="CI34" s="668"/>
    </row>
    <row r="35" spans="39:88">
      <c r="AY35" s="343">
        <f>AY7-AY34</f>
        <v>6.1728395061728385</v>
      </c>
      <c r="BK35" s="511"/>
      <c r="BL35" s="511"/>
      <c r="BM35" s="511"/>
      <c r="BN35" s="511"/>
      <c r="BO35" s="511"/>
      <c r="BP35" s="511"/>
      <c r="BQ35" s="460"/>
      <c r="BR35" s="460"/>
      <c r="BS35" s="460"/>
      <c r="BT35" s="460"/>
      <c r="BU35" s="460"/>
      <c r="BV35" s="460"/>
      <c r="BW35" s="470"/>
      <c r="BX35" s="470"/>
      <c r="BY35" s="540"/>
      <c r="BZ35" s="540"/>
      <c r="CA35" s="540"/>
      <c r="CB35" s="718"/>
      <c r="CC35" s="658"/>
      <c r="CD35" s="658"/>
      <c r="CE35" s="658"/>
      <c r="CF35" s="658"/>
      <c r="CG35" s="658"/>
      <c r="CH35" s="658"/>
      <c r="CI35" s="658"/>
    </row>
    <row r="36" spans="39:88">
      <c r="BK36" s="460"/>
      <c r="BL36" s="460"/>
      <c r="BM36" s="460"/>
      <c r="BN36" s="460"/>
      <c r="BO36" s="460"/>
      <c r="BP36" s="460"/>
      <c r="BQ36" s="460"/>
      <c r="BR36" s="460"/>
      <c r="BS36" s="460"/>
      <c r="BT36" s="460"/>
      <c r="BU36" s="460"/>
      <c r="BV36" s="460"/>
      <c r="BW36" s="470"/>
      <c r="BX36" s="470"/>
      <c r="BY36" s="540"/>
      <c r="BZ36" s="540"/>
      <c r="CA36" s="540"/>
      <c r="CB36" s="718"/>
      <c r="CC36" s="658"/>
      <c r="CD36" s="658"/>
      <c r="CE36" s="658"/>
      <c r="CF36" s="658"/>
      <c r="CG36" s="658"/>
      <c r="CH36" s="658"/>
      <c r="CI36" s="658"/>
    </row>
    <row r="37" spans="39:88">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c r="BM37" s="207"/>
      <c r="BN37" s="207"/>
      <c r="BO37" s="207"/>
      <c r="BP37" s="207"/>
      <c r="BQ37" s="207"/>
      <c r="BR37" s="207"/>
      <c r="BS37" s="207"/>
      <c r="BT37" s="207"/>
      <c r="BU37" s="207"/>
      <c r="BV37" s="207"/>
      <c r="BW37" s="207"/>
      <c r="BX37" s="207"/>
      <c r="BY37" s="207"/>
      <c r="BZ37" s="207"/>
      <c r="CA37" s="207"/>
      <c r="CB37" s="720"/>
      <c r="CC37" s="668"/>
      <c r="CD37" s="668"/>
      <c r="CE37" s="668"/>
      <c r="CF37" s="668"/>
      <c r="CG37" s="668"/>
      <c r="CH37" s="668"/>
      <c r="CI37" s="668"/>
      <c r="CJ37" s="209"/>
    </row>
  </sheetData>
  <mergeCells count="3">
    <mergeCell ref="A3:B3"/>
    <mergeCell ref="A7:A10"/>
    <mergeCell ref="A11:A12"/>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5D27B4072D024A8708C2C521771828" ma:contentTypeVersion="8" ma:contentTypeDescription="Create a new document." ma:contentTypeScope="" ma:versionID="59a0a348a753819957977010d4b7c231">
  <xsd:schema xmlns:xsd="http://www.w3.org/2001/XMLSchema" xmlns:xs="http://www.w3.org/2001/XMLSchema" xmlns:p="http://schemas.microsoft.com/office/2006/metadata/properties" xmlns:ns2="beae4695-f877-4d5d-aa76-e3e79b9186c6" targetNamespace="http://schemas.microsoft.com/office/2006/metadata/properties" ma:root="true" ma:fieldsID="1cca3e3215836158e85bcd9c4d98d105" ns2:_="">
    <xsd:import namespace="beae4695-f877-4d5d-aa76-e3e79b9186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ae4695-f877-4d5d-aa76-e3e79b9186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AF825C-6320-4547-9AA9-9314CC6615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ae4695-f877-4d5d-aa76-e3e79b9186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FBAFB9-15FA-42CA-8FAC-FAF27D69A047}">
  <ds:schemaRefs>
    <ds:schemaRef ds:uri="http://www.w3.org/XML/1998/namespace"/>
    <ds:schemaRef ds:uri="http://purl.org/dc/elements/1.1/"/>
    <ds:schemaRef ds:uri="http://schemas.microsoft.com/office/infopath/2007/PartnerControls"/>
    <ds:schemaRef ds:uri="http://schemas.microsoft.com/office/2006/metadata/properties"/>
    <ds:schemaRef ds:uri="http://purl.org/dc/terms/"/>
    <ds:schemaRef ds:uri="http://schemas.microsoft.com/office/2006/documentManagement/types"/>
    <ds:schemaRef ds:uri="http://schemas.openxmlformats.org/package/2006/metadata/core-properties"/>
    <ds:schemaRef ds:uri="beae4695-f877-4d5d-aa76-e3e79b9186c6"/>
    <ds:schemaRef ds:uri="http://purl.org/dc/dcmitype/"/>
  </ds:schemaRefs>
</ds:datastoreItem>
</file>

<file path=customXml/itemProps3.xml><?xml version="1.0" encoding="utf-8"?>
<ds:datastoreItem xmlns:ds="http://schemas.openxmlformats.org/officeDocument/2006/customXml" ds:itemID="{361F267E-69E7-45F6-8175-8DE6BEB965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C2</vt:lpstr>
      <vt:lpstr>LR monthly</vt:lpstr>
      <vt:lpstr>C3LPG</vt:lpstr>
      <vt:lpstr>NGL</vt:lpstr>
    </vt:vector>
  </TitlesOfParts>
  <Company>PTTPLC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Quantumuser</dc:creator>
  <cp:lastModifiedBy>Microsoft Office User</cp:lastModifiedBy>
  <dcterms:created xsi:type="dcterms:W3CDTF">2019-05-28T06:56:10Z</dcterms:created>
  <dcterms:modified xsi:type="dcterms:W3CDTF">2021-07-16T11:20:42Z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0x010100BE5D27B4072D024A8708C2C521771828</vt:lpwstr>
  </property>
</Properties>
</file>