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au583430\OneDrive - Aarhus Universitet\Dokumenter\GitHub\slurry-sep-man\lit_data\"/>
    </mc:Choice>
  </mc:AlternateContent>
  <xr:revisionPtr revIDLastSave="0" documentId="13_ncr:1_{0B884A39-CF75-409E-BF3B-8837CB992668}" xr6:coauthVersionLast="44" xr6:coauthVersionMax="47" xr10:uidLastSave="{00000000-0000-0000-0000-000000000000}"/>
  <bookViews>
    <workbookView xWindow="3900" yWindow="1395" windowWidth="21600" windowHeight="9165" xr2:uid="{00000000-000D-0000-FFFF-FFFF00000000}"/>
  </bookViews>
  <sheets>
    <sheet name="emission data" sheetId="3" r:id="rId1"/>
    <sheet name="separation efficiency data" sheetId="5"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08" i="5" l="1"/>
  <c r="H209" i="5"/>
  <c r="F113" i="5" l="1"/>
  <c r="F110" i="5"/>
  <c r="F107" i="5" l="1"/>
  <c r="F104" i="5"/>
  <c r="H85" i="5"/>
  <c r="H86" i="5" s="1"/>
  <c r="H82" i="5"/>
  <c r="F82" i="5" s="1"/>
  <c r="H32" i="5"/>
  <c r="F32" i="5" s="1"/>
  <c r="J34" i="5"/>
  <c r="J35" i="5"/>
  <c r="H35" i="5" l="1"/>
  <c r="F35" i="5" s="1"/>
  <c r="G85" i="5"/>
  <c r="F86" i="5"/>
  <c r="G86" i="5"/>
  <c r="H83" i="5"/>
  <c r="G32" i="5"/>
  <c r="F85" i="5"/>
  <c r="H33" i="5"/>
  <c r="G82" i="5"/>
  <c r="G202" i="5"/>
  <c r="H202" i="5"/>
  <c r="F202" i="5"/>
  <c r="G199" i="5"/>
  <c r="H199" i="5"/>
  <c r="F199" i="5"/>
  <c r="G196" i="5"/>
  <c r="H196" i="5"/>
  <c r="F196" i="5"/>
  <c r="G193" i="5"/>
  <c r="H193" i="5"/>
  <c r="F193" i="5"/>
  <c r="H190" i="5"/>
  <c r="G190" i="5"/>
  <c r="F190" i="5"/>
  <c r="G187" i="5"/>
  <c r="H187" i="5"/>
  <c r="F187" i="5"/>
  <c r="G184" i="5"/>
  <c r="H184" i="5"/>
  <c r="F184" i="5"/>
  <c r="G181" i="5"/>
  <c r="H181" i="5"/>
  <c r="F181" i="5"/>
  <c r="G178" i="5"/>
  <c r="H178" i="5"/>
  <c r="F178" i="5"/>
  <c r="G175" i="5"/>
  <c r="H175" i="5"/>
  <c r="F175" i="5"/>
  <c r="G172" i="5"/>
  <c r="H172" i="5"/>
  <c r="F172" i="5"/>
  <c r="G169" i="5"/>
  <c r="H169" i="5"/>
  <c r="F169" i="5"/>
  <c r="G166" i="5"/>
  <c r="H166" i="5"/>
  <c r="F166" i="5"/>
  <c r="G163" i="5"/>
  <c r="H163" i="5"/>
  <c r="F163" i="5"/>
  <c r="H27" i="5"/>
  <c r="H30" i="5"/>
  <c r="H29" i="5"/>
  <c r="F29" i="5" s="1"/>
  <c r="F122" i="5"/>
  <c r="F137" i="5"/>
  <c r="F161" i="5"/>
  <c r="F158" i="5"/>
  <c r="F155" i="5"/>
  <c r="F152" i="5"/>
  <c r="F149" i="5"/>
  <c r="F146" i="5"/>
  <c r="F143" i="5"/>
  <c r="F140" i="5"/>
  <c r="F134" i="5"/>
  <c r="F131" i="5"/>
  <c r="F128" i="5"/>
  <c r="F125" i="5"/>
  <c r="F119" i="5"/>
  <c r="F116" i="5"/>
  <c r="H160" i="5"/>
  <c r="F160" i="5" s="1"/>
  <c r="H157" i="5"/>
  <c r="F157" i="5" s="1"/>
  <c r="H154" i="5"/>
  <c r="F154" i="5" s="1"/>
  <c r="H151" i="5"/>
  <c r="F151" i="5" s="1"/>
  <c r="H148" i="5"/>
  <c r="F148" i="5" s="1"/>
  <c r="H145" i="5"/>
  <c r="F145" i="5" s="1"/>
  <c r="H142" i="5"/>
  <c r="F142" i="5" s="1"/>
  <c r="H139" i="5"/>
  <c r="F139" i="5" s="1"/>
  <c r="H136" i="5"/>
  <c r="F136" i="5" s="1"/>
  <c r="H133" i="5"/>
  <c r="F133" i="5" s="1"/>
  <c r="H130" i="5"/>
  <c r="F130" i="5" s="1"/>
  <c r="H127" i="5"/>
  <c r="F127" i="5" s="1"/>
  <c r="H124" i="5"/>
  <c r="F124" i="5" s="1"/>
  <c r="H121" i="5"/>
  <c r="F121" i="5" s="1"/>
  <c r="H118" i="5"/>
  <c r="F118" i="5" s="1"/>
  <c r="H115" i="5"/>
  <c r="F115" i="5" s="1"/>
  <c r="G83" i="5" l="1"/>
  <c r="F83" i="5"/>
  <c r="F33" i="5"/>
  <c r="G33" i="5"/>
  <c r="F27" i="5"/>
  <c r="F30" i="5"/>
  <c r="H58" i="5"/>
  <c r="H217" i="5"/>
  <c r="H206" i="5"/>
  <c r="L210" i="5"/>
  <c r="K210" i="5"/>
  <c r="J210" i="5"/>
  <c r="L209" i="5"/>
  <c r="K209" i="5"/>
  <c r="J209" i="5"/>
  <c r="L208" i="5"/>
  <c r="K208" i="5"/>
  <c r="J208" i="5"/>
  <c r="L211" i="5"/>
  <c r="K211" i="5"/>
  <c r="J211" i="5"/>
  <c r="L207" i="5"/>
  <c r="K207" i="5"/>
  <c r="J207" i="5"/>
  <c r="F208" i="5" l="1"/>
  <c r="L204" i="5"/>
  <c r="J204" i="5"/>
  <c r="J206" i="5"/>
  <c r="J205" i="5"/>
  <c r="G209" i="5" l="1"/>
  <c r="G208" i="5"/>
  <c r="H250" i="5"/>
  <c r="H251" i="5" s="1"/>
  <c r="F209" i="5" l="1"/>
  <c r="H100" i="5"/>
  <c r="F100" i="5" s="1"/>
  <c r="H247" i="5"/>
  <c r="G100" i="5" l="1"/>
  <c r="H101" i="5"/>
  <c r="L248" i="5"/>
  <c r="L247" i="5"/>
  <c r="L246" i="5"/>
  <c r="L245" i="5"/>
  <c r="L244" i="5"/>
  <c r="L243" i="5"/>
  <c r="L242" i="5"/>
  <c r="L241" i="5"/>
  <c r="L240" i="5"/>
  <c r="L239" i="5"/>
  <c r="L238" i="5"/>
  <c r="L237" i="5"/>
  <c r="L236" i="5"/>
  <c r="L235" i="5"/>
  <c r="L234" i="5"/>
  <c r="L233" i="5"/>
  <c r="L232" i="5"/>
  <c r="L231" i="5"/>
  <c r="L230" i="5"/>
  <c r="L229" i="5"/>
  <c r="L228" i="5"/>
  <c r="L227" i="5"/>
  <c r="L226" i="5"/>
  <c r="L225" i="5"/>
  <c r="L224" i="5"/>
  <c r="L223" i="5"/>
  <c r="L222" i="5"/>
  <c r="L221" i="5"/>
  <c r="L220" i="5"/>
  <c r="L219" i="5"/>
  <c r="L218" i="5"/>
  <c r="L217" i="5"/>
  <c r="L216" i="5"/>
  <c r="H248" i="5"/>
  <c r="H244" i="5"/>
  <c r="H245" i="5" s="1"/>
  <c r="H241" i="5"/>
  <c r="H238" i="5"/>
  <c r="H239" i="5" s="1"/>
  <c r="H235" i="5"/>
  <c r="H236" i="5" s="1"/>
  <c r="H232" i="5"/>
  <c r="H233" i="5" s="1"/>
  <c r="H229" i="5"/>
  <c r="H226" i="5"/>
  <c r="H227" i="5" s="1"/>
  <c r="H223" i="5"/>
  <c r="H224" i="5" s="1"/>
  <c r="H220" i="5"/>
  <c r="H221" i="5" s="1"/>
  <c r="H218" i="5"/>
  <c r="H112" i="5"/>
  <c r="F112" i="5" s="1"/>
  <c r="H109" i="5"/>
  <c r="F109" i="5" s="1"/>
  <c r="H106" i="5"/>
  <c r="F106" i="5" s="1"/>
  <c r="H103" i="5"/>
  <c r="F103" i="5" s="1"/>
  <c r="H67" i="5"/>
  <c r="H64" i="5"/>
  <c r="H65" i="5" s="1"/>
  <c r="G65" i="5" s="1"/>
  <c r="H61" i="5"/>
  <c r="G61" i="5" s="1"/>
  <c r="H59" i="5"/>
  <c r="G59" i="5" s="1"/>
  <c r="H55" i="5"/>
  <c r="H56" i="5" s="1"/>
  <c r="H26" i="5"/>
  <c r="F26" i="5" s="1"/>
  <c r="H23" i="5"/>
  <c r="H20" i="5"/>
  <c r="H17" i="5"/>
  <c r="H14" i="5"/>
  <c r="H11" i="5"/>
  <c r="H8" i="5"/>
  <c r="H5" i="5"/>
  <c r="L38" i="5"/>
  <c r="L37" i="5"/>
  <c r="L36" i="5"/>
  <c r="K38" i="5"/>
  <c r="K37" i="5"/>
  <c r="K36" i="5"/>
  <c r="J38" i="5"/>
  <c r="J37" i="5"/>
  <c r="J36" i="5"/>
  <c r="L30" i="5"/>
  <c r="L29" i="5"/>
  <c r="L28" i="5"/>
  <c r="L27" i="5"/>
  <c r="L26" i="5"/>
  <c r="L25" i="5"/>
  <c r="L24" i="5"/>
  <c r="L23" i="5"/>
  <c r="L22" i="5"/>
  <c r="L21" i="5"/>
  <c r="L20" i="5"/>
  <c r="L19" i="5"/>
  <c r="L18" i="5"/>
  <c r="L17" i="5"/>
  <c r="L16" i="5"/>
  <c r="L15" i="5"/>
  <c r="L14" i="5"/>
  <c r="L13" i="5"/>
  <c r="L12" i="5"/>
  <c r="L11" i="5"/>
  <c r="L10" i="5"/>
  <c r="L9" i="5"/>
  <c r="L8" i="5"/>
  <c r="L7" i="5"/>
  <c r="L6" i="5"/>
  <c r="L5" i="5"/>
  <c r="L4" i="5"/>
  <c r="H79" i="5"/>
  <c r="H80" i="5" s="1"/>
  <c r="H76" i="5"/>
  <c r="H77" i="5" s="1"/>
  <c r="H73" i="5"/>
  <c r="H74" i="5" s="1"/>
  <c r="H70" i="5"/>
  <c r="H71" i="5" s="1"/>
  <c r="L212" i="5"/>
  <c r="L213" i="5"/>
  <c r="L214" i="5"/>
  <c r="L215" i="5"/>
  <c r="J213" i="5"/>
  <c r="J214" i="5"/>
  <c r="J215" i="5"/>
  <c r="J212" i="5"/>
  <c r="K42" i="5"/>
  <c r="L42" i="5"/>
  <c r="K43" i="5"/>
  <c r="L43" i="5"/>
  <c r="K44" i="5"/>
  <c r="L44" i="5"/>
  <c r="K45" i="5"/>
  <c r="L45" i="5"/>
  <c r="K46" i="5"/>
  <c r="L46" i="5"/>
  <c r="K47" i="5"/>
  <c r="L47" i="5"/>
  <c r="K48" i="5"/>
  <c r="L48" i="5"/>
  <c r="K49" i="5"/>
  <c r="L49" i="5"/>
  <c r="K50" i="5"/>
  <c r="L50" i="5"/>
  <c r="K51" i="5"/>
  <c r="L51" i="5"/>
  <c r="K52" i="5"/>
  <c r="L52" i="5"/>
  <c r="K53" i="5"/>
  <c r="L53" i="5"/>
  <c r="J43" i="5"/>
  <c r="J44" i="5"/>
  <c r="J45" i="5"/>
  <c r="J46" i="5"/>
  <c r="J47" i="5"/>
  <c r="J48" i="5"/>
  <c r="J49" i="5"/>
  <c r="J50" i="5"/>
  <c r="J51" i="5"/>
  <c r="J52" i="5"/>
  <c r="J53" i="5"/>
  <c r="J42" i="5"/>
  <c r="K35" i="5"/>
  <c r="L35" i="5"/>
  <c r="K34" i="5"/>
  <c r="L34" i="5"/>
  <c r="F49" i="5" l="1"/>
  <c r="F50" i="5"/>
  <c r="G49" i="5"/>
  <c r="F53" i="5"/>
  <c r="F52" i="5"/>
  <c r="G50" i="5"/>
  <c r="H215" i="5"/>
  <c r="G53" i="5"/>
  <c r="G35" i="5"/>
  <c r="G52" i="5"/>
  <c r="H43" i="5"/>
  <c r="H44" i="5" s="1"/>
  <c r="F44" i="5" s="1"/>
  <c r="H46" i="5"/>
  <c r="H47" i="5" s="1"/>
  <c r="F47" i="5" s="1"/>
  <c r="H213" i="5"/>
  <c r="G8" i="5"/>
  <c r="G29" i="5"/>
  <c r="G30" i="5"/>
  <c r="G26" i="5"/>
  <c r="G27" i="5"/>
  <c r="G17" i="5"/>
  <c r="H15" i="5"/>
  <c r="F15" i="5" s="1"/>
  <c r="F14" i="5"/>
  <c r="H12" i="5"/>
  <c r="F12" i="5" s="1"/>
  <c r="F11" i="5"/>
  <c r="H18" i="5"/>
  <c r="F18" i="5" s="1"/>
  <c r="F17" i="5"/>
  <c r="H21" i="5"/>
  <c r="F21" i="5" s="1"/>
  <c r="F20" i="5"/>
  <c r="G20" i="5"/>
  <c r="H24" i="5"/>
  <c r="F24" i="5" s="1"/>
  <c r="F23" i="5"/>
  <c r="G5" i="5"/>
  <c r="G14" i="5"/>
  <c r="H6" i="5"/>
  <c r="F6" i="5" s="1"/>
  <c r="F5" i="5"/>
  <c r="G11" i="5"/>
  <c r="G23" i="5"/>
  <c r="H9" i="5"/>
  <c r="F9" i="5" s="1"/>
  <c r="F8" i="5"/>
  <c r="G248" i="5"/>
  <c r="G247" i="5"/>
  <c r="F67" i="5"/>
  <c r="G67" i="5"/>
  <c r="H205" i="5"/>
  <c r="F205" i="5" s="1"/>
  <c r="F206" i="5"/>
  <c r="G244" i="5"/>
  <c r="G241" i="5"/>
  <c r="G233" i="5"/>
  <c r="F64" i="5"/>
  <c r="G221" i="5"/>
  <c r="G239" i="5"/>
  <c r="G220" i="5"/>
  <c r="G229" i="5"/>
  <c r="H242" i="5"/>
  <c r="G242" i="5" s="1"/>
  <c r="H62" i="5"/>
  <c r="G62" i="5" s="1"/>
  <c r="H230" i="5"/>
  <c r="G230" i="5" s="1"/>
  <c r="F101" i="5"/>
  <c r="G101" i="5"/>
  <c r="F58" i="5"/>
  <c r="G236" i="5"/>
  <c r="G58" i="5"/>
  <c r="G64" i="5"/>
  <c r="G238" i="5"/>
  <c r="F61" i="5"/>
  <c r="G232" i="5"/>
  <c r="H68" i="5"/>
  <c r="G68" i="5" s="1"/>
  <c r="G245" i="5"/>
  <c r="G235" i="5"/>
  <c r="G226" i="5"/>
  <c r="G227" i="5"/>
  <c r="G223" i="5"/>
  <c r="G224" i="5"/>
  <c r="G218" i="5"/>
  <c r="G217" i="5"/>
  <c r="G43" i="5" l="1"/>
  <c r="G44" i="5"/>
  <c r="G47" i="5"/>
  <c r="G46" i="5"/>
  <c r="F46" i="5"/>
  <c r="F43" i="5"/>
  <c r="G15" i="5"/>
  <c r="G18" i="5"/>
  <c r="G12" i="5"/>
  <c r="G6" i="5"/>
  <c r="G21" i="5"/>
  <c r="G9" i="5"/>
  <c r="G24" i="5"/>
  <c r="K45" i="3"/>
  <c r="W45" i="3" s="1"/>
  <c r="K53" i="3"/>
  <c r="W53" i="3" s="1"/>
  <c r="K52" i="3"/>
  <c r="W52" i="3" s="1"/>
  <c r="K51" i="3"/>
  <c r="W51" i="3" s="1"/>
  <c r="K50" i="3"/>
  <c r="W50" i="3" s="1"/>
  <c r="K49" i="3"/>
  <c r="W49" i="3" s="1"/>
  <c r="K48" i="3"/>
  <c r="W48" i="3" s="1"/>
  <c r="K47" i="3"/>
  <c r="W47" i="3" s="1"/>
  <c r="K46" i="3"/>
  <c r="W46" i="3" s="1"/>
  <c r="W5" i="3"/>
  <c r="W4" i="3"/>
  <c r="W20" i="3"/>
  <c r="W19" i="3"/>
  <c r="W18" i="3"/>
  <c r="W17" i="3"/>
  <c r="W16" i="3"/>
  <c r="W15" i="3"/>
  <c r="K20" i="3"/>
  <c r="K19" i="3"/>
  <c r="K18" i="3"/>
  <c r="K17" i="3"/>
  <c r="K16" i="3"/>
  <c r="K15" i="3"/>
  <c r="W14" i="3"/>
  <c r="W13" i="3"/>
  <c r="W12" i="3"/>
  <c r="W11" i="3"/>
  <c r="W10" i="3"/>
  <c r="W9" i="3"/>
  <c r="K14" i="3"/>
  <c r="K11" i="3"/>
  <c r="K9" i="3"/>
  <c r="K115" i="3" l="1"/>
  <c r="K116" i="3"/>
  <c r="K114" i="3"/>
  <c r="K113" i="3"/>
  <c r="K83" i="3" l="1"/>
  <c r="W83" i="3" s="1"/>
  <c r="K84" i="3"/>
  <c r="W84" i="3" s="1"/>
  <c r="K85" i="3"/>
  <c r="W85" i="3" s="1"/>
  <c r="K86" i="3"/>
  <c r="W86" i="3" s="1"/>
  <c r="K87" i="3"/>
  <c r="W87" i="3" s="1"/>
  <c r="K88" i="3"/>
  <c r="W88" i="3" s="1"/>
  <c r="K89" i="3"/>
  <c r="W89" i="3" s="1"/>
  <c r="K90" i="3"/>
  <c r="W90" i="3" s="1"/>
  <c r="K91" i="3"/>
  <c r="W91" i="3" s="1"/>
  <c r="K92" i="3"/>
  <c r="W92" i="3" s="1"/>
  <c r="K93" i="3"/>
  <c r="W93" i="3" s="1"/>
  <c r="K94" i="3"/>
  <c r="W94" i="3" s="1"/>
  <c r="K95" i="3"/>
  <c r="W95" i="3" s="1"/>
  <c r="K96" i="3"/>
  <c r="W96" i="3" s="1"/>
  <c r="K82" i="3"/>
  <c r="W82" i="3" s="1"/>
  <c r="K108" i="3"/>
  <c r="G215" i="5" l="1"/>
  <c r="F215" i="5"/>
  <c r="G213" i="5"/>
  <c r="F213" i="5"/>
  <c r="X77" i="3" l="1"/>
  <c r="X76" i="3"/>
  <c r="X75" i="3"/>
  <c r="X74" i="3"/>
  <c r="X73" i="3"/>
  <c r="X72" i="3"/>
  <c r="K76" i="3"/>
  <c r="K73" i="3"/>
  <c r="K71" i="3"/>
  <c r="K13" i="3" l="1"/>
  <c r="K12" i="3"/>
  <c r="K10" i="3"/>
  <c r="K69" i="3" l="1"/>
  <c r="K151" i="3" l="1"/>
  <c r="K152" i="3"/>
  <c r="K153" i="3"/>
  <c r="K154" i="3"/>
  <c r="K155" i="3"/>
  <c r="K156" i="3"/>
  <c r="K157" i="3"/>
  <c r="K150" i="3"/>
  <c r="K77" i="3" l="1"/>
  <c r="K75" i="3"/>
  <c r="K74" i="3"/>
  <c r="K72" i="3"/>
  <c r="K107" i="3" l="1"/>
  <c r="Q187" i="3" l="1"/>
  <c r="Q186" i="3"/>
  <c r="Q185" i="3"/>
  <c r="Q184" i="3"/>
</calcChain>
</file>

<file path=xl/sharedStrings.xml><?xml version="1.0" encoding="utf-8"?>
<sst xmlns="http://schemas.openxmlformats.org/spreadsheetml/2006/main" count="3582" uniqueCount="321">
  <si>
    <t>General information</t>
  </si>
  <si>
    <t>Application</t>
  </si>
  <si>
    <t>Slurry information</t>
  </si>
  <si>
    <t>Soil information</t>
  </si>
  <si>
    <t>Emission</t>
  </si>
  <si>
    <t>Application notes</t>
  </si>
  <si>
    <t>Source</t>
  </si>
  <si>
    <t>Separation method</t>
  </si>
  <si>
    <t>Separation scale</t>
  </si>
  <si>
    <t>Slurry source</t>
  </si>
  <si>
    <t>Fraction</t>
  </si>
  <si>
    <t>FractionA</t>
  </si>
  <si>
    <t>Emission measuring method</t>
  </si>
  <si>
    <t>Duration (h)</t>
  </si>
  <si>
    <t>Set</t>
  </si>
  <si>
    <t>Application method</t>
  </si>
  <si>
    <t>Amount (ton/ha)</t>
  </si>
  <si>
    <t>Temperature at application (°C)</t>
  </si>
  <si>
    <t>Average temperature (°C)</t>
  </si>
  <si>
    <t>Precipitation during measurements (mm)</t>
  </si>
  <si>
    <t>Dry matter (%)</t>
  </si>
  <si>
    <t>pH</t>
  </si>
  <si>
    <t>Total ammoniacal nitrogen (TAN) (g/kg)</t>
  </si>
  <si>
    <t>Type</t>
  </si>
  <si>
    <t>Clay content (%)</t>
  </si>
  <si>
    <t>Crop</t>
  </si>
  <si>
    <t>Dry bulk density (g/cm3)</t>
  </si>
  <si>
    <t>Gravimetric water content (g/g)</t>
  </si>
  <si>
    <t>Emission (% applied total ammoniacal nitrogen)</t>
  </si>
  <si>
    <t>Emission (% initial raw total ammoniacal nitrogen)</t>
  </si>
  <si>
    <t>Source of emission data in original publication</t>
  </si>
  <si>
    <t>Experiment ID in original publication</t>
  </si>
  <si>
    <t>Notes</t>
  </si>
  <si>
    <t>source</t>
  </si>
  <si>
    <t>sep.meth</t>
  </si>
  <si>
    <t>sep.scale</t>
  </si>
  <si>
    <t>slurry.source</t>
  </si>
  <si>
    <t>frac.stud</t>
  </si>
  <si>
    <t>frac.studA</t>
  </si>
  <si>
    <t>meas.meth</t>
  </si>
  <si>
    <t>duration</t>
  </si>
  <si>
    <t>set</t>
  </si>
  <si>
    <t>app.meth</t>
  </si>
  <si>
    <t>amount</t>
  </si>
  <si>
    <t>temp.app</t>
  </si>
  <si>
    <t>temp.avg</t>
  </si>
  <si>
    <t>pres</t>
  </si>
  <si>
    <t>DM</t>
  </si>
  <si>
    <t>TAN</t>
  </si>
  <si>
    <t>soil.type</t>
  </si>
  <si>
    <t>soil.clay</t>
  </si>
  <si>
    <t>crop</t>
  </si>
  <si>
    <t>soil.dens</t>
  </si>
  <si>
    <t>soil.water</t>
  </si>
  <si>
    <t>emis.perc</t>
  </si>
  <si>
    <t>emis.ini</t>
  </si>
  <si>
    <t>emis.source</t>
  </si>
  <si>
    <t>emis.ID</t>
  </si>
  <si>
    <t>notes</t>
  </si>
  <si>
    <t>Amon et al. (2006)</t>
  </si>
  <si>
    <t>full</t>
  </si>
  <si>
    <t>cattle</t>
  </si>
  <si>
    <t>dynamic chambers</t>
  </si>
  <si>
    <t>trailing hose</t>
  </si>
  <si>
    <t>grass</t>
  </si>
  <si>
    <t>Calculation based on Table 2 and 3.</t>
  </si>
  <si>
    <r>
      <rPr>
        <i/>
        <sz val="11"/>
        <color theme="1"/>
        <rFont val="Calibri"/>
        <family val="2"/>
        <scheme val="minor"/>
      </rPr>
      <t>Untreated</t>
    </r>
    <r>
      <rPr>
        <sz val="11"/>
        <color theme="1"/>
        <rFont val="Calibri"/>
        <family val="2"/>
        <scheme val="minor"/>
      </rPr>
      <t xml:space="preserve"> and </t>
    </r>
    <r>
      <rPr>
        <i/>
        <sz val="11"/>
        <color theme="1"/>
        <rFont val="Calibri"/>
        <family val="2"/>
        <scheme val="minor"/>
      </rPr>
      <t>Separated</t>
    </r>
  </si>
  <si>
    <t>Only measurements for 48 h</t>
  </si>
  <si>
    <t xml:space="preserve">screw press </t>
  </si>
  <si>
    <t>Anderson et al, in prep</t>
  </si>
  <si>
    <t>silty clay</t>
  </si>
  <si>
    <t>Manuscript draft from K. Andersson 16 Sep 2021 to jp@bce.au.dk.</t>
  </si>
  <si>
    <r>
      <rPr>
        <i/>
        <sz val="11"/>
        <color theme="1"/>
        <rFont val="Calibri"/>
        <family val="2"/>
        <scheme val="minor"/>
      </rPr>
      <t>Experiment 4</t>
    </r>
    <r>
      <rPr>
        <sz val="11"/>
        <color theme="1"/>
        <rFont val="Calibri"/>
        <family val="2"/>
        <scheme val="minor"/>
      </rPr>
      <t xml:space="preserve">: </t>
    </r>
    <r>
      <rPr>
        <i/>
        <sz val="11"/>
        <color theme="1"/>
        <rFont val="Calibri"/>
        <family val="2"/>
        <scheme val="minor"/>
      </rPr>
      <t>Separated</t>
    </r>
    <r>
      <rPr>
        <sz val="11"/>
        <color theme="1"/>
        <rFont val="Calibri"/>
        <family val="2"/>
        <scheme val="minor"/>
      </rPr>
      <t xml:space="preserve"> and </t>
    </r>
    <r>
      <rPr>
        <i/>
        <sz val="11"/>
        <color theme="1"/>
        <rFont val="Calibri"/>
        <family val="2"/>
        <scheme val="minor"/>
      </rPr>
      <t>Untreated</t>
    </r>
  </si>
  <si>
    <t>Balsari et al. (2008a)</t>
  </si>
  <si>
    <t>pig</t>
  </si>
  <si>
    <t>broadcast</t>
  </si>
  <si>
    <t>loamy sand</t>
  </si>
  <si>
    <t>Read of Fig. 2</t>
  </si>
  <si>
    <r>
      <rPr>
        <i/>
        <sz val="11"/>
        <color theme="1"/>
        <rFont val="Calibri"/>
        <family val="2"/>
        <scheme val="minor"/>
      </rPr>
      <t>All three fractions</t>
    </r>
    <r>
      <rPr>
        <sz val="11"/>
        <color theme="1"/>
        <rFont val="Calibri"/>
        <family val="2"/>
        <scheme val="minor"/>
      </rPr>
      <t>, Schmidt tunnels with airflow of 0.6 m/s</t>
    </r>
  </si>
  <si>
    <t xml:space="preserve">Amounts (ton/ha) are calculated based on applicatoin rate of 70 kgN/ha and info in Table 1. Unsure if it should be TAN. Emission is calulated from read of Fig 2. and the TAN/TKN ratio in Table 1. Did not include data with air speed of ~0 m/s as it has been shown that static chambers are not usefull for NH3 measurements. Unknown application method, assumed broadcast. </t>
  </si>
  <si>
    <t>Balsari et al. (2008b)</t>
  </si>
  <si>
    <t>Table 3</t>
  </si>
  <si>
    <t xml:space="preserve">Amounts (ton/ha) are calculated based on applicatoin rate of 70 kgN/ha and info in Table 2. Unsure if it should be TAN. Emission is calulated from data in Table 3. and the TAN/TKN ratio in Table 2. Did not include data with air speed of ~0 m/s as it has been shown that static chambers are not usefull for NH3 measurements. Unknown application method, assumed broadcast. </t>
  </si>
  <si>
    <t>Bhandral et al. (2009)</t>
  </si>
  <si>
    <t>silty to sandy loam</t>
  </si>
  <si>
    <t>none</t>
  </si>
  <si>
    <t>All experiments</t>
  </si>
  <si>
    <t xml:space="preserve"> Duration is minimum 11 days = 264 h, the longest exp was 15 d.</t>
  </si>
  <si>
    <t>decanter</t>
  </si>
  <si>
    <t>band spread on slots</t>
  </si>
  <si>
    <t>Chantigny et al. (2007)</t>
  </si>
  <si>
    <t>pilot</t>
  </si>
  <si>
    <t xml:space="preserve">loam and sandy loam </t>
  </si>
  <si>
    <t>Calculated from Table 1 and 2 and calculated application rate.</t>
  </si>
  <si>
    <r>
      <rPr>
        <i/>
        <sz val="11"/>
        <color theme="1"/>
        <rFont val="Calibri"/>
        <family val="2"/>
        <scheme val="minor"/>
      </rPr>
      <t>Raw</t>
    </r>
    <r>
      <rPr>
        <sz val="11"/>
        <color theme="1"/>
        <rFont val="Calibri"/>
        <family val="2"/>
        <scheme val="minor"/>
      </rPr>
      <t xml:space="preserve">, </t>
    </r>
    <r>
      <rPr>
        <i/>
        <sz val="11"/>
        <color theme="1"/>
        <rFont val="Calibri"/>
        <family val="2"/>
        <scheme val="minor"/>
      </rPr>
      <t>Decanted,</t>
    </r>
    <r>
      <rPr>
        <sz val="11"/>
        <color theme="1"/>
        <rFont val="Calibri"/>
        <family val="2"/>
        <scheme val="minor"/>
      </rPr>
      <t xml:space="preserve"> and </t>
    </r>
    <r>
      <rPr>
        <i/>
        <sz val="11"/>
        <color theme="1"/>
        <rFont val="Calibri"/>
        <family val="2"/>
        <scheme val="minor"/>
      </rPr>
      <t>Filtered</t>
    </r>
    <r>
      <rPr>
        <sz val="11"/>
        <color theme="1"/>
        <rFont val="Calibri"/>
        <family val="2"/>
        <scheme val="minor"/>
      </rPr>
      <t>.</t>
    </r>
  </si>
  <si>
    <t xml:space="preserve">Did not include 'flocculated' as it has anoter origin than the others. Application rate calculated from Table 1 and Total N content in Table 2. </t>
  </si>
  <si>
    <t>filter</t>
  </si>
  <si>
    <t>Chantigny et al. (2009)</t>
  </si>
  <si>
    <t>Table 4</t>
  </si>
  <si>
    <r>
      <rPr>
        <i/>
        <sz val="11"/>
        <color theme="1"/>
        <rFont val="Calibri"/>
        <family val="2"/>
        <scheme val="minor"/>
      </rPr>
      <t>Untreated</t>
    </r>
    <r>
      <rPr>
        <sz val="11"/>
        <color theme="1"/>
        <rFont val="Calibri"/>
        <family val="2"/>
        <scheme val="minor"/>
      </rPr>
      <t xml:space="preserve">, </t>
    </r>
    <r>
      <rPr>
        <i/>
        <sz val="11"/>
        <color theme="1"/>
        <rFont val="Calibri"/>
        <family val="2"/>
        <scheme val="minor"/>
      </rPr>
      <t>Decanted</t>
    </r>
    <r>
      <rPr>
        <sz val="11"/>
        <color theme="1"/>
        <rFont val="Calibri"/>
        <family val="2"/>
        <scheme val="minor"/>
      </rPr>
      <t xml:space="preserve">, </t>
    </r>
    <r>
      <rPr>
        <i/>
        <sz val="11"/>
        <color theme="1"/>
        <rFont val="Calibri"/>
        <family val="2"/>
        <scheme val="minor"/>
      </rPr>
      <t>Filtered</t>
    </r>
    <r>
      <rPr>
        <sz val="11"/>
        <color theme="1"/>
        <rFont val="Calibri"/>
        <family val="2"/>
        <scheme val="minor"/>
      </rPr>
      <t xml:space="preserve">, and </t>
    </r>
    <r>
      <rPr>
        <i/>
        <sz val="11"/>
        <color theme="1"/>
        <rFont val="Calibri"/>
        <family val="2"/>
        <scheme val="minor"/>
      </rPr>
      <t>Flocculated</t>
    </r>
  </si>
  <si>
    <t>unknown</t>
  </si>
  <si>
    <t>flocculant</t>
  </si>
  <si>
    <t>Dinuccio et al. (2011)</t>
  </si>
  <si>
    <t>laboratory</t>
  </si>
  <si>
    <t>Table 2</t>
  </si>
  <si>
    <r>
      <rPr>
        <i/>
        <sz val="11"/>
        <color theme="1"/>
        <rFont val="Calibri"/>
        <family val="2"/>
        <scheme val="minor"/>
      </rPr>
      <t>Raw slurry</t>
    </r>
    <r>
      <rPr>
        <sz val="11"/>
        <color theme="1"/>
        <rFont val="Calibri"/>
        <family val="2"/>
        <scheme val="minor"/>
      </rPr>
      <t xml:space="preserve"> and </t>
    </r>
    <r>
      <rPr>
        <i/>
        <sz val="11"/>
        <color theme="1"/>
        <rFont val="Calibri"/>
        <family val="2"/>
        <scheme val="minor"/>
      </rPr>
      <t>Liquid fraction</t>
    </r>
  </si>
  <si>
    <t>mehcanical</t>
  </si>
  <si>
    <t>mechanical</t>
  </si>
  <si>
    <r>
      <rPr>
        <i/>
        <sz val="11"/>
        <color rgb="FF000000"/>
        <rFont val="Calibri"/>
        <family val="2"/>
        <scheme val="minor"/>
      </rPr>
      <t>Raw slurry</t>
    </r>
    <r>
      <rPr>
        <sz val="11"/>
        <color rgb="FF000000"/>
        <rFont val="Calibri"/>
        <family val="2"/>
        <scheme val="minor"/>
      </rPr>
      <t xml:space="preserve"> and </t>
    </r>
    <r>
      <rPr>
        <i/>
        <sz val="11"/>
        <color rgb="FF000000"/>
        <rFont val="Calibri"/>
        <family val="2"/>
        <scheme val="minor"/>
      </rPr>
      <t>Liquid fraction</t>
    </r>
  </si>
  <si>
    <t>Dinuccio et al. (2012)</t>
  </si>
  <si>
    <t>Table 2 and Figure 6</t>
  </si>
  <si>
    <t xml:space="preserve">Amounts (ton/ha) calculated from Table 1 tot N and application rate og 70 kgN/ha. </t>
  </si>
  <si>
    <t>chemo-mechanical</t>
  </si>
  <si>
    <t>Fangueiro et al. (2015)</t>
  </si>
  <si>
    <t>laboratory aerobic incubation and acid traps</t>
  </si>
  <si>
    <t>Haplic Cambisol (sandy texture, 9% clay), sieved</t>
  </si>
  <si>
    <r>
      <t>S-S</t>
    </r>
    <r>
      <rPr>
        <sz val="11"/>
        <color rgb="FF000000"/>
        <rFont val="Calibri"/>
        <family val="2"/>
        <scheme val="minor"/>
      </rPr>
      <t xml:space="preserve"> and </t>
    </r>
    <r>
      <rPr>
        <i/>
        <sz val="11"/>
        <color rgb="FF000000"/>
        <rFont val="Calibri"/>
        <family val="2"/>
        <scheme val="minor"/>
      </rPr>
      <t>LF-S</t>
    </r>
  </si>
  <si>
    <t>centrifuge</t>
  </si>
  <si>
    <t xml:space="preserve">Haplic Cambisol </t>
  </si>
  <si>
    <r>
      <t>S-S</t>
    </r>
    <r>
      <rPr>
        <sz val="11"/>
        <color theme="1"/>
        <rFont val="Calibri"/>
        <family val="2"/>
        <scheme val="minor"/>
      </rPr>
      <t xml:space="preserve"> and </t>
    </r>
    <r>
      <rPr>
        <i/>
        <sz val="11"/>
        <color theme="1"/>
        <rFont val="Calibri"/>
        <family val="2"/>
        <scheme val="minor"/>
      </rPr>
      <t>LF-S</t>
    </r>
  </si>
  <si>
    <t>Fangueiro et al. (2017)</t>
  </si>
  <si>
    <t>broadcast and incorporated</t>
  </si>
  <si>
    <t xml:space="preserve">Cambic Arenosol </t>
  </si>
  <si>
    <r>
      <rPr>
        <i/>
        <sz val="11"/>
        <color theme="1"/>
        <rFont val="Calibri"/>
        <family val="2"/>
        <scheme val="minor"/>
      </rPr>
      <t>S-tillage</t>
    </r>
    <r>
      <rPr>
        <sz val="11"/>
        <color theme="1"/>
        <rFont val="Calibri"/>
        <family val="2"/>
        <scheme val="minor"/>
      </rPr>
      <t xml:space="preserve">  and </t>
    </r>
    <r>
      <rPr>
        <i/>
        <sz val="11"/>
        <color theme="1"/>
        <rFont val="Calibri"/>
        <family val="2"/>
        <scheme val="minor"/>
      </rPr>
      <t>LF-tillage</t>
    </r>
  </si>
  <si>
    <t>Frost et al. (1990)</t>
  </si>
  <si>
    <t>ventilated chambers</t>
  </si>
  <si>
    <t>clay loam</t>
  </si>
  <si>
    <t>Calculation based on Table 2, Table 1 and the application rate</t>
  </si>
  <si>
    <r>
      <t xml:space="preserve">Application 1, 2 and 3, </t>
    </r>
    <r>
      <rPr>
        <i/>
        <sz val="11"/>
        <color theme="1"/>
        <rFont val="Calibri"/>
        <family val="2"/>
        <scheme val="minor"/>
      </rPr>
      <t>S</t>
    </r>
    <r>
      <rPr>
        <i/>
        <vertAlign val="subscript"/>
        <sz val="11"/>
        <color theme="1"/>
        <rFont val="Calibri"/>
        <family val="2"/>
        <scheme val="minor"/>
      </rPr>
      <t>1</t>
    </r>
    <r>
      <rPr>
        <sz val="11"/>
        <color theme="1"/>
        <rFont val="Calibri"/>
        <family val="2"/>
        <scheme val="minor"/>
      </rPr>
      <t xml:space="preserve">, </t>
    </r>
    <r>
      <rPr>
        <i/>
        <sz val="11"/>
        <color theme="1"/>
        <rFont val="Calibri"/>
        <family val="2"/>
        <scheme val="minor"/>
      </rPr>
      <t>S</t>
    </r>
    <r>
      <rPr>
        <i/>
        <vertAlign val="subscript"/>
        <sz val="11"/>
        <color theme="1"/>
        <rFont val="Calibri"/>
        <family val="2"/>
        <scheme val="minor"/>
      </rPr>
      <t>2</t>
    </r>
    <r>
      <rPr>
        <sz val="11"/>
        <color theme="1"/>
        <rFont val="Calibri"/>
        <family val="2"/>
        <scheme val="minor"/>
      </rPr>
      <t xml:space="preserve">, </t>
    </r>
    <r>
      <rPr>
        <i/>
        <sz val="11"/>
        <color theme="1"/>
        <rFont val="Calibri"/>
        <family val="2"/>
        <scheme val="minor"/>
      </rPr>
      <t>S</t>
    </r>
    <r>
      <rPr>
        <i/>
        <vertAlign val="subscript"/>
        <sz val="11"/>
        <color theme="1"/>
        <rFont val="Calibri"/>
        <family val="2"/>
        <scheme val="minor"/>
      </rPr>
      <t>3</t>
    </r>
    <r>
      <rPr>
        <sz val="11"/>
        <color theme="1"/>
        <rFont val="Calibri"/>
        <family val="2"/>
        <scheme val="minor"/>
      </rPr>
      <t xml:space="preserve">, </t>
    </r>
    <r>
      <rPr>
        <i/>
        <sz val="11"/>
        <color theme="1"/>
        <rFont val="Calibri"/>
        <family val="2"/>
        <scheme val="minor"/>
      </rPr>
      <t>S</t>
    </r>
    <r>
      <rPr>
        <i/>
        <vertAlign val="subscript"/>
        <sz val="11"/>
        <color theme="1"/>
        <rFont val="Calibri"/>
        <family val="2"/>
        <scheme val="minor"/>
      </rPr>
      <t>4</t>
    </r>
    <r>
      <rPr>
        <sz val="11"/>
        <color theme="1"/>
        <rFont val="Calibri"/>
        <family val="2"/>
        <scheme val="minor"/>
      </rPr>
      <t xml:space="preserve">, and </t>
    </r>
    <r>
      <rPr>
        <i/>
        <sz val="11"/>
        <color theme="1"/>
        <rFont val="Calibri"/>
        <family val="2"/>
        <scheme val="minor"/>
      </rPr>
      <t>S</t>
    </r>
    <r>
      <rPr>
        <i/>
        <vertAlign val="subscript"/>
        <sz val="11"/>
        <color theme="1"/>
        <rFont val="Calibri"/>
        <family val="2"/>
        <scheme val="minor"/>
      </rPr>
      <t>5</t>
    </r>
  </si>
  <si>
    <t>sieve</t>
  </si>
  <si>
    <t>Hjorth et al. (2009)</t>
  </si>
  <si>
    <t>laboratory dynamic chambers</t>
  </si>
  <si>
    <t>sandy soil</t>
  </si>
  <si>
    <t>DM, TAN, pH and NH3 data from Email message from T. Nyord 03 Dec 2021 to jp@bce.au.dk.</t>
  </si>
  <si>
    <t>All data</t>
  </si>
  <si>
    <t>belt press</t>
  </si>
  <si>
    <t>belt press + coagulant</t>
  </si>
  <si>
    <t>digestate</t>
  </si>
  <si>
    <t>Holly et al. (2017)</t>
  </si>
  <si>
    <t>screw press</t>
  </si>
  <si>
    <t>Monaco et al. (2012)</t>
  </si>
  <si>
    <t>loam and silty-loam</t>
  </si>
  <si>
    <r>
      <t xml:space="preserve">Untreated slurry </t>
    </r>
    <r>
      <rPr>
        <sz val="11"/>
        <color theme="1"/>
        <rFont val="Calibri"/>
        <family val="2"/>
        <scheme val="minor"/>
      </rPr>
      <t xml:space="preserve">and </t>
    </r>
    <r>
      <rPr>
        <i/>
        <sz val="11"/>
        <color theme="1"/>
        <rFont val="Calibri"/>
        <family val="2"/>
        <scheme val="minor"/>
      </rPr>
      <t>Untreated slurry liquid</t>
    </r>
  </si>
  <si>
    <t>Nyord et al. (2012)</t>
  </si>
  <si>
    <t>winter wheat</t>
  </si>
  <si>
    <t>Table 5</t>
  </si>
  <si>
    <r>
      <t xml:space="preserve">Emission 2008, </t>
    </r>
    <r>
      <rPr>
        <i/>
        <sz val="11"/>
        <color theme="1"/>
        <rFont val="Calibri"/>
        <family val="2"/>
        <scheme val="minor"/>
      </rPr>
      <t>Untreated</t>
    </r>
    <r>
      <rPr>
        <sz val="11"/>
        <color theme="1"/>
        <rFont val="Calibri"/>
        <family val="2"/>
        <scheme val="minor"/>
      </rPr>
      <t xml:space="preserve"> and </t>
    </r>
    <r>
      <rPr>
        <i/>
        <sz val="11"/>
        <color theme="1"/>
        <rFont val="Calibri"/>
        <family val="2"/>
        <scheme val="minor"/>
      </rPr>
      <t>Separated</t>
    </r>
  </si>
  <si>
    <t>belt press + polymer</t>
  </si>
  <si>
    <t>Nyord (2018)</t>
  </si>
  <si>
    <t>Leuning samplers</t>
  </si>
  <si>
    <t>Email message from T. Nyord 24 Nov 2021 to jp@bce.au.dk.</t>
  </si>
  <si>
    <t xml:space="preserve">Only single measurement for separated during second trial. Emission measurements between 48 and 65 hours. </t>
  </si>
  <si>
    <t>Owusu-Twum et al. (2017)</t>
  </si>
  <si>
    <t xml:space="preserve">Dystric cambisol </t>
  </si>
  <si>
    <t>Red of Fig 1</t>
  </si>
  <si>
    <r>
      <t>WS</t>
    </r>
    <r>
      <rPr>
        <sz val="11"/>
        <color theme="1"/>
        <rFont val="Calibri"/>
        <family val="2"/>
        <scheme val="minor"/>
      </rPr>
      <t xml:space="preserve">, </t>
    </r>
    <r>
      <rPr>
        <i/>
        <sz val="11"/>
        <color theme="1"/>
        <rFont val="Calibri"/>
        <family val="2"/>
        <scheme val="minor"/>
      </rPr>
      <t>LF</t>
    </r>
    <r>
      <rPr>
        <sz val="11"/>
        <color theme="1"/>
        <rFont val="Calibri"/>
        <family val="2"/>
        <scheme val="minor"/>
      </rPr>
      <t xml:space="preserve">, </t>
    </r>
    <r>
      <rPr>
        <i/>
        <sz val="11"/>
        <color theme="1"/>
        <rFont val="Calibri"/>
        <family val="2"/>
        <scheme val="minor"/>
      </rPr>
      <t xml:space="preserve">LFB, </t>
    </r>
    <r>
      <rPr>
        <sz val="11"/>
        <color theme="1"/>
        <rFont val="Calibri"/>
        <family val="2"/>
        <scheme val="minor"/>
      </rPr>
      <t xml:space="preserve">and </t>
    </r>
    <r>
      <rPr>
        <i/>
        <sz val="11"/>
        <color theme="1"/>
        <rFont val="Calibri"/>
        <family val="2"/>
        <scheme val="minor"/>
      </rPr>
      <t>LFJ</t>
    </r>
  </si>
  <si>
    <t>Application rate calculated from tot N and application rate of 130 kgN/ha</t>
  </si>
  <si>
    <t>screw press + biological additives</t>
  </si>
  <si>
    <t>Pedersen et al. (2020)</t>
  </si>
  <si>
    <t>NA</t>
  </si>
  <si>
    <t>spring oat stubble</t>
  </si>
  <si>
    <t>Fig 4. and raw data from J. Pedersen</t>
  </si>
  <si>
    <r>
      <t xml:space="preserve">Both experiments, </t>
    </r>
    <r>
      <rPr>
        <i/>
        <sz val="11"/>
        <color theme="1"/>
        <rFont val="Calibri"/>
        <family val="2"/>
        <scheme val="minor"/>
      </rPr>
      <t>Untreated</t>
    </r>
    <r>
      <rPr>
        <sz val="11"/>
        <color theme="1"/>
        <rFont val="Calibri"/>
        <family val="2"/>
        <scheme val="minor"/>
      </rPr>
      <t xml:space="preserve"> and </t>
    </r>
    <r>
      <rPr>
        <i/>
        <sz val="11"/>
        <color theme="1"/>
        <rFont val="Calibri"/>
        <family val="2"/>
        <scheme val="minor"/>
      </rPr>
      <t>Separated</t>
    </r>
  </si>
  <si>
    <t>Liquid volume% as in Anderson et al., in preparation</t>
  </si>
  <si>
    <t xml:space="preserve">sandy loam </t>
  </si>
  <si>
    <t>Pedersen et al. (2021)</t>
  </si>
  <si>
    <t>silty loam</t>
  </si>
  <si>
    <t>Raw data from J. Pedersen</t>
  </si>
  <si>
    <r>
      <t xml:space="preserve">Untreated broadcast </t>
    </r>
    <r>
      <rPr>
        <sz val="11"/>
        <color theme="1"/>
        <rFont val="Calibri"/>
        <family val="2"/>
        <scheme val="minor"/>
      </rPr>
      <t xml:space="preserve">and </t>
    </r>
    <r>
      <rPr>
        <i/>
        <sz val="11"/>
        <color theme="1"/>
        <rFont val="Calibri"/>
        <family val="2"/>
        <scheme val="minor"/>
      </rPr>
      <t xml:space="preserve">Separated broadcast </t>
    </r>
    <r>
      <rPr>
        <sz val="11"/>
        <color theme="1"/>
        <rFont val="Calibri"/>
        <family val="2"/>
        <scheme val="minor"/>
      </rPr>
      <t xml:space="preserve">from exeriment A and C, </t>
    </r>
    <r>
      <rPr>
        <i/>
        <sz val="11"/>
        <color theme="1"/>
        <rFont val="Calibri"/>
        <family val="2"/>
        <scheme val="minor"/>
      </rPr>
      <t>Untreated narrow banded,</t>
    </r>
    <r>
      <rPr>
        <sz val="11"/>
        <color theme="1"/>
        <rFont val="Calibri"/>
        <family val="2"/>
        <scheme val="minor"/>
      </rPr>
      <t xml:space="preserve"> </t>
    </r>
    <r>
      <rPr>
        <i/>
        <sz val="11"/>
        <color theme="1"/>
        <rFont val="Calibri"/>
        <family val="2"/>
        <scheme val="minor"/>
      </rPr>
      <t xml:space="preserve">Separated narrow banded, </t>
    </r>
    <r>
      <rPr>
        <sz val="11"/>
        <color theme="1"/>
        <rFont val="Calibri"/>
        <family val="2"/>
        <scheme val="minor"/>
      </rPr>
      <t>Untreated SSD</t>
    </r>
    <r>
      <rPr>
        <i/>
        <sz val="11"/>
        <color theme="1"/>
        <rFont val="Calibri"/>
        <family val="2"/>
        <scheme val="minor"/>
      </rPr>
      <t xml:space="preserve">, </t>
    </r>
    <r>
      <rPr>
        <sz val="11"/>
        <color theme="1"/>
        <rFont val="Calibri"/>
        <family val="2"/>
        <scheme val="minor"/>
      </rPr>
      <t xml:space="preserve">and </t>
    </r>
    <r>
      <rPr>
        <i/>
        <sz val="11"/>
        <color theme="1"/>
        <rFont val="Calibri"/>
        <family val="2"/>
        <scheme val="minor"/>
      </rPr>
      <t>Separated SSD</t>
    </r>
    <r>
      <rPr>
        <sz val="11"/>
        <color theme="1"/>
        <rFont val="Calibri"/>
        <family val="2"/>
        <scheme val="minor"/>
      </rPr>
      <t xml:space="preserve"> from experiment B and D.</t>
    </r>
  </si>
  <si>
    <t xml:space="preserve">Raw data numbers for each experiment, e.g. not the numbers that is in the article. </t>
  </si>
  <si>
    <t>Sommer et al. (1991)</t>
  </si>
  <si>
    <t>mechanical separation and then mixed in different ratio</t>
  </si>
  <si>
    <t>mix</t>
  </si>
  <si>
    <t>sandy loam</t>
  </si>
  <si>
    <r>
      <t xml:space="preserve">Exp no. 3, 6, and 7 all data, Exp no. 4 and 5 DM 2.8% and 8.2%.  </t>
    </r>
    <r>
      <rPr>
        <i/>
        <sz val="11"/>
        <color theme="1"/>
        <rFont val="Calibri"/>
        <family val="2"/>
        <scheme val="minor"/>
      </rPr>
      <t>Accum. NH</t>
    </r>
    <r>
      <rPr>
        <i/>
        <vertAlign val="subscript"/>
        <sz val="11"/>
        <color theme="1"/>
        <rFont val="Calibri"/>
        <family val="2"/>
        <scheme val="minor"/>
      </rPr>
      <t>3</t>
    </r>
    <r>
      <rPr>
        <i/>
        <sz val="11"/>
        <color theme="1"/>
        <rFont val="Calibri"/>
        <family val="2"/>
        <scheme val="minor"/>
      </rPr>
      <t xml:space="preserve"> loss 6 d</t>
    </r>
    <r>
      <rPr>
        <sz val="11"/>
        <color theme="1"/>
        <rFont val="Calibri"/>
        <family val="2"/>
        <scheme val="minor"/>
      </rPr>
      <t>.</t>
    </r>
  </si>
  <si>
    <t xml:space="preserve">Drawback: only single measurement (one WT pr. treatment). Extreemly high emissions, due to the correction they make or high wind speed in WT? Don't trust cumulative emission but relative should still be ok. Omitted data with 22% - not within the realistic range. </t>
  </si>
  <si>
    <t xml:space="preserve">Only single replicate per measurement. Omitted data with 22% - not within the realistic range for slurry. </t>
  </si>
  <si>
    <t>Sommer et al. (2006)</t>
  </si>
  <si>
    <t xml:space="preserve">sandy </t>
  </si>
  <si>
    <t>Red of Fig. 2</t>
  </si>
  <si>
    <r>
      <rPr>
        <i/>
        <sz val="11"/>
        <color theme="1"/>
        <rFont val="Calibri"/>
        <family val="2"/>
        <scheme val="minor"/>
      </rPr>
      <t>Digested pig slurry/sandy-loam</t>
    </r>
    <r>
      <rPr>
        <sz val="11"/>
        <color theme="1"/>
        <rFont val="Calibri"/>
        <family val="2"/>
        <scheme val="minor"/>
      </rPr>
      <t xml:space="preserve">, </t>
    </r>
    <r>
      <rPr>
        <i/>
        <sz val="11"/>
        <color theme="1"/>
        <rFont val="Calibri"/>
        <family val="2"/>
        <scheme val="minor"/>
      </rPr>
      <t>Digested separated pig slurry/sandy-loam</t>
    </r>
    <r>
      <rPr>
        <sz val="11"/>
        <color theme="1"/>
        <rFont val="Calibri"/>
        <family val="2"/>
        <scheme val="minor"/>
      </rPr>
      <t xml:space="preserve">, </t>
    </r>
    <r>
      <rPr>
        <i/>
        <sz val="11"/>
        <color theme="1"/>
        <rFont val="Calibri"/>
        <family val="2"/>
        <scheme val="minor"/>
      </rPr>
      <t>Digested pig slurry/sandy soil</t>
    </r>
    <r>
      <rPr>
        <sz val="11"/>
        <color theme="1"/>
        <rFont val="Calibri"/>
        <family val="2"/>
        <scheme val="minor"/>
      </rPr>
      <t xml:space="preserve">, and </t>
    </r>
    <r>
      <rPr>
        <i/>
        <sz val="11"/>
        <color theme="1"/>
        <rFont val="Calibri"/>
        <family val="2"/>
        <scheme val="minor"/>
      </rPr>
      <t>Digested separated pig slurry/sandy soil.</t>
    </r>
  </si>
  <si>
    <t>decanter centrifuge</t>
  </si>
  <si>
    <t>sandy</t>
  </si>
  <si>
    <t>Red of Fig. 3</t>
  </si>
  <si>
    <t>Red of Fig. 4</t>
  </si>
  <si>
    <t>Red of Fig. 5</t>
  </si>
  <si>
    <t>Stevens et al. (1992)</t>
  </si>
  <si>
    <t>Fig 1</t>
  </si>
  <si>
    <t>Experiment 1, all data.</t>
  </si>
  <si>
    <t>Thompson et al. (1990)</t>
  </si>
  <si>
    <t xml:space="preserve">Data in Table 2 does not mach with text in 'Results and Discussion - Experiment 1 where they write that the emissions were 38 and 35%. </t>
  </si>
  <si>
    <t>mechanical separation</t>
  </si>
  <si>
    <t>Vandre et al. (1997)</t>
  </si>
  <si>
    <t>indirect open measurement technique</t>
  </si>
  <si>
    <r>
      <t>Untreated slurry</t>
    </r>
    <r>
      <rPr>
        <sz val="11"/>
        <color theme="1"/>
        <rFont val="Calibri"/>
        <family val="2"/>
        <scheme val="minor"/>
      </rPr>
      <t xml:space="preserve"> and </t>
    </r>
    <r>
      <rPr>
        <i/>
        <sz val="11"/>
        <color theme="1"/>
        <rFont val="Calibri"/>
        <family val="2"/>
        <scheme val="minor"/>
      </rPr>
      <t>Separated slurry</t>
    </r>
    <r>
      <rPr>
        <sz val="11"/>
        <color theme="1"/>
        <rFont val="Calibri"/>
        <family val="2"/>
        <scheme val="minor"/>
      </rPr>
      <t>, b.c. (broadcast)</t>
    </r>
    <r>
      <rPr>
        <i/>
        <sz val="11"/>
        <color theme="1"/>
        <rFont val="Calibri"/>
        <family val="2"/>
        <scheme val="minor"/>
      </rPr>
      <t xml:space="preserve">, </t>
    </r>
    <r>
      <rPr>
        <sz val="11"/>
        <color theme="1"/>
        <rFont val="Calibri"/>
        <family val="2"/>
        <scheme val="minor"/>
      </rPr>
      <t xml:space="preserve">inj. </t>
    </r>
    <r>
      <rPr>
        <i/>
        <sz val="11"/>
        <color theme="1"/>
        <rFont val="Calibri"/>
        <family val="2"/>
        <scheme val="minor"/>
      </rPr>
      <t xml:space="preserve">(injected), </t>
    </r>
    <r>
      <rPr>
        <sz val="11"/>
        <color theme="1"/>
        <rFont val="Calibri"/>
        <family val="2"/>
        <scheme val="minor"/>
      </rPr>
      <t>and harr</t>
    </r>
    <r>
      <rPr>
        <i/>
        <sz val="11"/>
        <color theme="1"/>
        <rFont val="Calibri"/>
        <family val="2"/>
        <scheme val="minor"/>
      </rPr>
      <t>. (harrowing)</t>
    </r>
  </si>
  <si>
    <t xml:space="preserve"> Injection: banded slurry application into slits in the soil made by metal hooks. Harrowing: banded slurry application followed by narrow tillage using a flexible harrrow.</t>
  </si>
  <si>
    <t>forcing slurry through coarse textile</t>
  </si>
  <si>
    <t>Red of Fig. 6</t>
  </si>
  <si>
    <t>Red of Fig. 7</t>
  </si>
  <si>
    <t>Red of Fig. 8</t>
  </si>
  <si>
    <t>Red of Fig. 9</t>
  </si>
  <si>
    <t>Red of Fig. 10</t>
  </si>
  <si>
    <t>open slot injection</t>
  </si>
  <si>
    <t>Red of Fig. 11</t>
  </si>
  <si>
    <t>Red of Fig. 12</t>
  </si>
  <si>
    <t>Red of Fig. 13</t>
  </si>
  <si>
    <t>Red of Fig. 14</t>
  </si>
  <si>
    <t>Red of Fig. 15</t>
  </si>
  <si>
    <t>Red of Fig. 16</t>
  </si>
  <si>
    <t>Red of Fig. 17</t>
  </si>
  <si>
    <t>Red of Fig. 18</t>
  </si>
  <si>
    <t>trailing hose + harrowing</t>
  </si>
  <si>
    <t>Red of Fig. 19</t>
  </si>
  <si>
    <t>Red of Fig. 20</t>
  </si>
  <si>
    <t>Red of Fig. 21</t>
  </si>
  <si>
    <t>Red of Fig. 22</t>
  </si>
  <si>
    <t>Red of Fig. 23</t>
  </si>
  <si>
    <t>Red of Fig. 24</t>
  </si>
  <si>
    <t>Red of Fig. 25</t>
  </si>
  <si>
    <t>lab</t>
  </si>
  <si>
    <t>Red of Fig. 26</t>
  </si>
  <si>
    <t>Wagner et al. (2021)</t>
  </si>
  <si>
    <t>DTM</t>
  </si>
  <si>
    <t>Fig. 4 and Email message from A. Pacholski 25 Nov 2021 to jp@bce.au.dk.</t>
  </si>
  <si>
    <r>
      <rPr>
        <i/>
        <sz val="11"/>
        <color theme="1"/>
        <rFont val="Calibri"/>
        <family val="2"/>
        <scheme val="minor"/>
      </rPr>
      <t>First winter wheat trial</t>
    </r>
    <r>
      <rPr>
        <sz val="11"/>
        <color theme="1"/>
        <rFont val="Calibri"/>
        <family val="2"/>
        <scheme val="minor"/>
      </rPr>
      <t xml:space="preserve"> and </t>
    </r>
    <r>
      <rPr>
        <i/>
        <sz val="11"/>
        <color theme="1"/>
        <rFont val="Calibri"/>
        <family val="2"/>
        <scheme val="minor"/>
      </rPr>
      <t>Second winter wheat trial</t>
    </r>
    <r>
      <rPr>
        <sz val="11"/>
        <color theme="1"/>
        <rFont val="Calibri"/>
        <family val="2"/>
        <scheme val="minor"/>
      </rPr>
      <t xml:space="preserve">, </t>
    </r>
    <r>
      <rPr>
        <i/>
        <sz val="11"/>
        <color theme="1"/>
        <rFont val="Calibri"/>
        <family val="2"/>
        <scheme val="minor"/>
      </rPr>
      <t>AD</t>
    </r>
    <r>
      <rPr>
        <sz val="11"/>
        <color theme="1"/>
        <rFont val="Calibri"/>
        <family val="2"/>
        <scheme val="minor"/>
      </rPr>
      <t xml:space="preserve"> and </t>
    </r>
    <r>
      <rPr>
        <i/>
        <sz val="11"/>
        <color theme="1"/>
        <rFont val="Calibri"/>
        <family val="2"/>
        <scheme val="minor"/>
      </rPr>
      <t>AS.</t>
    </r>
  </si>
  <si>
    <t>Emission data from Andreas Pacholski, see mail from 25-11-2021. Same data as in Ramiran2015 abstract. Low TAN in the digeste. Unexplaned differences between the two experiments. Duration varied between 72 and 96 h.</t>
  </si>
  <si>
    <t>Same data as in Ramiran 2015 abstract. Low TAN in the digeste. Unexplaned differences between the two experiments. Duration varied between 72 and 96 h.</t>
  </si>
  <si>
    <t>General info</t>
  </si>
  <si>
    <t>Separation efficiency</t>
  </si>
  <si>
    <t>Samples</t>
  </si>
  <si>
    <t>Fraction studied</t>
  </si>
  <si>
    <t>Dry matter separation efficiency (%)</t>
  </si>
  <si>
    <t>Total ammoniacal nitrogen (TAN) separation efficiency (%)</t>
  </si>
  <si>
    <t>% mass after separation</t>
  </si>
  <si>
    <t>Separation efficiency source in original publication</t>
  </si>
  <si>
    <t>frac</t>
  </si>
  <si>
    <t>DM.sep.eff</t>
  </si>
  <si>
    <t>TAN.sep.eff</t>
  </si>
  <si>
    <t>Mass.sep.eff</t>
  </si>
  <si>
    <t>sep.eff.source</t>
  </si>
  <si>
    <t>Aguirre-Villegas et al. (2019)</t>
  </si>
  <si>
    <t>raw</t>
  </si>
  <si>
    <t>Farm 1</t>
  </si>
  <si>
    <t>lf</t>
  </si>
  <si>
    <t>sf</t>
  </si>
  <si>
    <t>Farm 2</t>
  </si>
  <si>
    <t>Farm 3</t>
  </si>
  <si>
    <t>Farm 4</t>
  </si>
  <si>
    <t>Farm 5</t>
  </si>
  <si>
    <t>Farm 6</t>
  </si>
  <si>
    <t>Farm 7</t>
  </si>
  <si>
    <t>Farm 8</t>
  </si>
  <si>
    <t>Farm 9</t>
  </si>
  <si>
    <t>Bachmann et al. (2016)</t>
  </si>
  <si>
    <t>From Fig. 1</t>
  </si>
  <si>
    <t>Bauer et al. (2009)</t>
  </si>
  <si>
    <t>data is pooled for screw press and rotary screen separator in the paper</t>
  </si>
  <si>
    <t>calculated</t>
  </si>
  <si>
    <t>Table 2 and calculated</t>
  </si>
  <si>
    <t>Cavalli et al. (2017)</t>
  </si>
  <si>
    <t>Table 1</t>
  </si>
  <si>
    <t>Fournel et al. (2019)</t>
  </si>
  <si>
    <t>table 6, wk 1</t>
  </si>
  <si>
    <t>table 6, wk 2</t>
  </si>
  <si>
    <t>Gooch et al. (2005)</t>
  </si>
  <si>
    <t>very low TAN concentrations compared to Danish conditions</t>
  </si>
  <si>
    <t>Table 9, Farm AA-1, mass separation calculated from table 4</t>
  </si>
  <si>
    <t>Table 9, Farm AA-1</t>
  </si>
  <si>
    <t>Table 9, Farm AA-2, mass separation calculated from table 4</t>
  </si>
  <si>
    <t>Table 9, Farm AA-2</t>
  </si>
  <si>
    <t>Table 9, Farm ML, mass separation calculated from table 4</t>
  </si>
  <si>
    <t>Table 9, Farm ML</t>
  </si>
  <si>
    <t>Table 9, Farm FA, mass separation calculated from table 4</t>
  </si>
  <si>
    <t>Table 9, Farm FA</t>
  </si>
  <si>
    <t>calculated from values in Table 1</t>
  </si>
  <si>
    <t>Højgaards (2009)</t>
  </si>
  <si>
    <r>
      <t>Email from Tonny Højgaard to anna</t>
    </r>
    <r>
      <rPr>
        <b/>
        <sz val="11"/>
        <color theme="1"/>
        <rFont val="Calibri"/>
        <family val="2"/>
        <scheme val="minor"/>
      </rPr>
      <t>@</t>
    </r>
    <r>
      <rPr>
        <sz val="11"/>
        <color theme="1"/>
        <rFont val="Calibri"/>
        <family val="2"/>
        <scheme val="minor"/>
      </rPr>
      <t>bce.au.dk the 19th of January 2022 forwarded jp@bce.au.dk the 24th of January 2022, test performed September 2009. Dataset on sheet 1.</t>
    </r>
  </si>
  <si>
    <r>
      <t>Email from Tonny Højgaard to anna</t>
    </r>
    <r>
      <rPr>
        <b/>
        <sz val="11"/>
        <color theme="1"/>
        <rFont val="Calibri"/>
        <family val="2"/>
        <scheme val="minor"/>
      </rPr>
      <t>@</t>
    </r>
    <r>
      <rPr>
        <sz val="11"/>
        <color theme="1"/>
        <rFont val="Calibri"/>
        <family val="2"/>
        <scheme val="minor"/>
      </rPr>
      <t>bce.au.dk the 19th of January 2022 forwarded jp@bce.au.dk the 24th of January 2022, test performed September 2009. Dataset on sheet 2.</t>
    </r>
  </si>
  <si>
    <r>
      <t>Email from Tonny Højgaard to anna</t>
    </r>
    <r>
      <rPr>
        <b/>
        <sz val="11"/>
        <color theme="1"/>
        <rFont val="Calibri"/>
        <family val="2"/>
        <scheme val="minor"/>
      </rPr>
      <t>@</t>
    </r>
    <r>
      <rPr>
        <sz val="11"/>
        <color theme="1"/>
        <rFont val="Calibri"/>
        <family val="2"/>
        <scheme val="minor"/>
      </rPr>
      <t>bce.au.dk the 19th of January 2022 forwarded jp@bce.au.dk the 24th of January 2022, test performed September 2009. Dataset on sheet 3.</t>
    </r>
  </si>
  <si>
    <r>
      <t>Email from Tonny Højgaard to anna</t>
    </r>
    <r>
      <rPr>
        <b/>
        <sz val="11"/>
        <color theme="1"/>
        <rFont val="Calibri"/>
        <family val="2"/>
        <scheme val="minor"/>
      </rPr>
      <t>@</t>
    </r>
    <r>
      <rPr>
        <sz val="11"/>
        <color theme="1"/>
        <rFont val="Calibri"/>
        <family val="2"/>
        <scheme val="minor"/>
      </rPr>
      <t>bce.au.dk the 19th of January 2022 forwarded jp@bce.au.dk the 24th of January 2022, test performed September 2009. Dataset on sheet 4.</t>
    </r>
  </si>
  <si>
    <t>Højgaards (2020)</t>
  </si>
  <si>
    <t>Email from Tonny Højgaard to jp@bce.au.dk the 27th of January 2022, test performed on the 6th of October 2020</t>
  </si>
  <si>
    <t>Møller et al. (2000)</t>
  </si>
  <si>
    <t xml:space="preserve">lf </t>
  </si>
  <si>
    <t>Møller et al. (2002)</t>
  </si>
  <si>
    <t>Manure no 1a</t>
  </si>
  <si>
    <t>Manure no 1b</t>
  </si>
  <si>
    <t>Manure no 2</t>
  </si>
  <si>
    <t>Manure no 3</t>
  </si>
  <si>
    <t>Manure no 4</t>
  </si>
  <si>
    <t>Manure no 5</t>
  </si>
  <si>
    <t>Manure no 6</t>
  </si>
  <si>
    <t>Manure no 7</t>
  </si>
  <si>
    <t>Manure no 8</t>
  </si>
  <si>
    <t>Manure no 9</t>
  </si>
  <si>
    <t>Manure no 10</t>
  </si>
  <si>
    <t>Møller et al. (2007)</t>
  </si>
  <si>
    <t>Manure ID 1</t>
  </si>
  <si>
    <t>Manure ID 2</t>
  </si>
  <si>
    <t>Manure ID 3</t>
  </si>
  <si>
    <t>Manure ID 4</t>
  </si>
  <si>
    <t>Manure ID 5</t>
  </si>
  <si>
    <t>Manure ID 6</t>
  </si>
  <si>
    <t>Støckler (2022)</t>
  </si>
  <si>
    <t>Personal communication with Peter S. Nielsen, technician at Aarhus University, Department of Biological and Chemical Engineering 02-02-2022</t>
  </si>
  <si>
    <t>Assuming density of liquid and untreated fraction = 1 kg/L</t>
  </si>
  <si>
    <t>Personal communication with Anna Joost Støckler, PhD student at Aarhus University, Department of Biological and Chemical Engineering 07-02-2022</t>
  </si>
  <si>
    <t>Tambone et al. (2017)</t>
  </si>
  <si>
    <t>Plant 1. Assume that there is a factor 10 wrong in the reporting of TAN in Table 2.</t>
  </si>
  <si>
    <t>Plant 2. Assume that there is a factor 10 wrong in the reporting of TAN in Table 2.</t>
  </si>
  <si>
    <t>Plant 3. Assume that there is a factor 10 wrong in the reporting of TAN in Table 2.</t>
  </si>
  <si>
    <t>Plant 4. Assume that there is a factor 10 wrong in the reporting of TAN in Table 2.</t>
  </si>
  <si>
    <t>Plant 5. Assume that there is a factor 10 wrong in the reporting of TAN in Table 2.</t>
  </si>
  <si>
    <t>Plant 6. Assume that there is a factor 10 wrong in the reporting of TAN in Table 2.</t>
  </si>
  <si>
    <t>Plant 9. Assume that there is a factor 10 wrong in the reporting of TAN in Table 2.</t>
  </si>
  <si>
    <t>Plant 10. Assume that there is a factor 10 wrong in the reporting of TAN in Table 2.</t>
  </si>
  <si>
    <t>Plant 11. Assume that there is a factor 10 wrong in the reporting of TAN in Table 2.</t>
  </si>
  <si>
    <t>Plant 12. Assume that there is a factor 10 wrong in the reporting of TAN in Table 2.</t>
  </si>
  <si>
    <t>Plant 13. Assume that there is a factor 10 wrong in the reporting of TAN in Table 2.</t>
  </si>
  <si>
    <t>Wu (2007)</t>
  </si>
  <si>
    <t>In Results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</si>
</sst>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b/>
      <sz val="11"/>
      <color theme="1"/>
      <name val="Calibri"/>
      <family val="2"/>
      <scheme val="minor"/>
    </font>
    <font>
      <b/>
      <sz val="12"/>
      <color theme="1"/>
      <name val="Calibri"/>
      <family val="2"/>
      <scheme val="minor"/>
    </font>
    <font>
      <sz val="11"/>
      <color rgb="FFFF0000"/>
      <name val="Calibri"/>
      <family val="2"/>
      <scheme val="minor"/>
    </font>
    <font>
      <sz val="11"/>
      <name val="Calibri"/>
      <family val="2"/>
      <scheme val="minor"/>
    </font>
    <font>
      <i/>
      <sz val="11"/>
      <color theme="1"/>
      <name val="Calibri"/>
      <family val="2"/>
      <scheme val="minor"/>
    </font>
    <font>
      <i/>
      <vertAlign val="subscript"/>
      <sz val="11"/>
      <color theme="1"/>
      <name val="Calibri"/>
      <family val="2"/>
      <scheme val="minor"/>
    </font>
    <font>
      <sz val="11"/>
      <color theme="0" tint="-0.499984740745262"/>
      <name val="Calibri"/>
      <family val="2"/>
      <scheme val="minor"/>
    </font>
    <font>
      <b/>
      <sz val="11"/>
      <color rgb="FFFA7D00"/>
      <name val="Calibri"/>
      <family val="2"/>
      <scheme val="minor"/>
    </font>
    <font>
      <b/>
      <sz val="11"/>
      <color rgb="FF000000"/>
      <name val="Calibri"/>
      <family val="2"/>
      <scheme val="minor"/>
    </font>
    <font>
      <sz val="11"/>
      <color rgb="FF000000"/>
      <name val="Calibri"/>
      <family val="2"/>
      <scheme val="minor"/>
    </font>
    <font>
      <b/>
      <sz val="12"/>
      <color rgb="FF000000"/>
      <name val="Calibri"/>
      <family val="2"/>
      <scheme val="minor"/>
    </font>
    <font>
      <i/>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F2F2F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34998626667073579"/>
        <bgColor indexed="64"/>
      </patternFill>
    </fill>
  </fills>
  <borders count="3">
    <border>
      <left/>
      <right/>
      <top/>
      <bottom/>
      <diagonal/>
    </border>
    <border>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8" fillId="2" borderId="2" applyNumberFormat="0" applyAlignment="0" applyProtection="0"/>
  </cellStyleXfs>
  <cellXfs count="54">
    <xf numFmtId="0" fontId="0" fillId="0" borderId="0" xfId="0"/>
    <xf numFmtId="164" fontId="0" fillId="0" borderId="0" xfId="0" applyNumberFormat="1"/>
    <xf numFmtId="0" fontId="0" fillId="0" borderId="0" xfId="0" applyAlignment="1">
      <alignment wrapText="1"/>
    </xf>
    <xf numFmtId="0" fontId="2" fillId="0" borderId="0" xfId="0" applyFont="1"/>
    <xf numFmtId="0" fontId="0" fillId="0" borderId="0" xfId="0" applyAlignment="1">
      <alignment horizontal="center" wrapText="1"/>
    </xf>
    <xf numFmtId="0" fontId="0" fillId="0" borderId="0" xfId="0" applyAlignment="1">
      <alignment horizontal="center"/>
    </xf>
    <xf numFmtId="0" fontId="0" fillId="0" borderId="0" xfId="0" applyAlignment="1">
      <alignment horizontal="left"/>
    </xf>
    <xf numFmtId="0" fontId="0" fillId="0" borderId="0" xfId="0" applyAlignment="1">
      <alignment horizontal="left" wrapText="1"/>
    </xf>
    <xf numFmtId="0" fontId="2" fillId="0" borderId="1" xfId="0" applyFont="1" applyBorder="1" applyAlignment="1">
      <alignment wrapText="1"/>
    </xf>
    <xf numFmtId="0" fontId="1" fillId="0" borderId="0" xfId="0" applyFont="1" applyAlignment="1">
      <alignment wrapText="1"/>
    </xf>
    <xf numFmtId="2" fontId="0" fillId="0" borderId="0" xfId="0" applyNumberFormat="1"/>
    <xf numFmtId="0" fontId="3" fillId="0" borderId="0" xfId="0" applyFont="1" applyAlignment="1">
      <alignment horizontal="center" wrapText="1"/>
    </xf>
    <xf numFmtId="0" fontId="7" fillId="0" borderId="0" xfId="0" applyFont="1" applyAlignment="1">
      <alignment wrapText="1"/>
    </xf>
    <xf numFmtId="0" fontId="7" fillId="0" borderId="0" xfId="0" applyFont="1"/>
    <xf numFmtId="0" fontId="10" fillId="0" borderId="0" xfId="0" applyFont="1"/>
    <xf numFmtId="0" fontId="10" fillId="0" borderId="0" xfId="0" applyFont="1" applyAlignment="1">
      <alignment horizontal="center"/>
    </xf>
    <xf numFmtId="0" fontId="3" fillId="0" borderId="0" xfId="0" applyFont="1" applyAlignment="1">
      <alignment wrapText="1"/>
    </xf>
    <xf numFmtId="0" fontId="4" fillId="0" borderId="0" xfId="0" applyFont="1" applyAlignment="1">
      <alignment wrapText="1"/>
    </xf>
    <xf numFmtId="0" fontId="9" fillId="0" borderId="0" xfId="0" applyFont="1" applyAlignment="1">
      <alignment wrapText="1"/>
    </xf>
    <xf numFmtId="0" fontId="9" fillId="0" borderId="0" xfId="0" applyFont="1" applyAlignment="1">
      <alignment horizontal="center" wrapText="1"/>
    </xf>
    <xf numFmtId="0" fontId="1" fillId="0" borderId="0" xfId="0" applyFont="1" applyAlignment="1">
      <alignment horizontal="center" wrapText="1"/>
    </xf>
    <xf numFmtId="0" fontId="8" fillId="2" borderId="0" xfId="1" applyBorder="1"/>
    <xf numFmtId="1" fontId="8" fillId="2" borderId="0" xfId="1" applyNumberFormat="1" applyBorder="1"/>
    <xf numFmtId="1" fontId="8" fillId="2" borderId="0" xfId="1" applyNumberFormat="1" applyBorder="1" applyAlignment="1">
      <alignment horizontal="center"/>
    </xf>
    <xf numFmtId="2" fontId="8" fillId="2" borderId="0" xfId="1" applyNumberFormat="1" applyBorder="1"/>
    <xf numFmtId="1" fontId="0" fillId="0" borderId="0" xfId="0" applyNumberFormat="1"/>
    <xf numFmtId="1" fontId="7" fillId="0" borderId="0" xfId="0" applyNumberFormat="1" applyFont="1"/>
    <xf numFmtId="0" fontId="12" fillId="0" borderId="0" xfId="0" applyFont="1"/>
    <xf numFmtId="0" fontId="5" fillId="0" borderId="0" xfId="0" applyFont="1"/>
    <xf numFmtId="164" fontId="10" fillId="0" borderId="0" xfId="0" applyNumberFormat="1" applyFont="1"/>
    <xf numFmtId="0" fontId="1" fillId="0" borderId="0" xfId="0" applyFont="1" applyAlignment="1">
      <alignment horizontal="left" wrapText="1"/>
    </xf>
    <xf numFmtId="0" fontId="9" fillId="0" borderId="0" xfId="0" applyFont="1" applyAlignment="1">
      <alignment horizontal="left" wrapText="1"/>
    </xf>
    <xf numFmtId="0" fontId="9" fillId="0" borderId="0" xfId="0" applyFont="1" applyAlignment="1">
      <alignment horizontal="left"/>
    </xf>
    <xf numFmtId="0" fontId="10" fillId="0" borderId="0" xfId="0" applyFont="1" applyAlignment="1">
      <alignment horizontal="left"/>
    </xf>
    <xf numFmtId="0" fontId="10" fillId="0" borderId="0" xfId="0" applyFont="1" applyAlignment="1">
      <alignment horizontal="left" wrapText="1"/>
    </xf>
    <xf numFmtId="0" fontId="10" fillId="0" borderId="0" xfId="0" applyFont="1" applyAlignment="1">
      <alignment horizontal="right"/>
    </xf>
    <xf numFmtId="0" fontId="7" fillId="0" borderId="0" xfId="0" applyFont="1" applyAlignment="1">
      <alignment horizontal="right" wrapText="1"/>
    </xf>
    <xf numFmtId="1" fontId="8" fillId="2" borderId="0" xfId="1" applyNumberFormat="1" applyBorder="1" applyAlignment="1">
      <alignment horizontal="right" wrapText="1"/>
    </xf>
    <xf numFmtId="1" fontId="8" fillId="2" borderId="0" xfId="1" applyNumberFormat="1" applyBorder="1" applyAlignment="1">
      <alignment horizontal="right"/>
    </xf>
    <xf numFmtId="0" fontId="0" fillId="0" borderId="0" xfId="0" applyAlignment="1">
      <alignment horizontal="right"/>
    </xf>
    <xf numFmtId="0" fontId="7" fillId="0" borderId="0" xfId="0" applyFont="1" applyAlignment="1">
      <alignment horizontal="right"/>
    </xf>
    <xf numFmtId="0" fontId="0" fillId="0" borderId="0" xfId="0" applyAlignment="1">
      <alignment horizontal="right" wrapText="1"/>
    </xf>
    <xf numFmtId="164" fontId="10" fillId="0" borderId="0" xfId="0" applyNumberFormat="1" applyFont="1" applyAlignment="1">
      <alignment horizontal="right"/>
    </xf>
    <xf numFmtId="0" fontId="10" fillId="0" borderId="0" xfId="0" applyFont="1" applyAlignment="1">
      <alignment horizontal="right" wrapText="1"/>
    </xf>
    <xf numFmtId="1" fontId="0" fillId="0" borderId="0" xfId="0" applyNumberFormat="1" applyAlignment="1">
      <alignment horizontal="right"/>
    </xf>
    <xf numFmtId="0" fontId="11" fillId="0" borderId="0" xfId="0" applyFont="1"/>
    <xf numFmtId="164" fontId="8" fillId="2" borderId="0" xfId="1" applyNumberFormat="1" applyBorder="1"/>
    <xf numFmtId="1" fontId="8" fillId="0" borderId="0" xfId="1" applyNumberFormat="1" applyFill="1" applyBorder="1"/>
    <xf numFmtId="0" fontId="4" fillId="0" borderId="0" xfId="0" applyFont="1"/>
    <xf numFmtId="0" fontId="11" fillId="6" borderId="0" xfId="0" applyFont="1" applyFill="1" applyAlignment="1">
      <alignment horizontal="center"/>
    </xf>
    <xf numFmtId="0" fontId="2" fillId="5" borderId="0" xfId="0" applyFont="1" applyFill="1" applyAlignment="1">
      <alignment horizontal="center"/>
    </xf>
    <xf numFmtId="0" fontId="2" fillId="3" borderId="0" xfId="0" applyFont="1" applyFill="1" applyAlignment="1">
      <alignment horizontal="center"/>
    </xf>
    <xf numFmtId="0" fontId="2" fillId="4" borderId="0" xfId="0" applyFont="1" applyFill="1" applyAlignment="1">
      <alignment horizontal="center"/>
    </xf>
    <xf numFmtId="0" fontId="2" fillId="6" borderId="0" xfId="0" applyFont="1" applyFill="1" applyAlignment="1">
      <alignment horizontal="center"/>
    </xf>
  </cellXfs>
  <cellStyles count="2">
    <cellStyle name="Calculation" xfId="1" builtinId="2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50F8D-5629-46D0-81CA-B7F069B33563}">
  <sheetPr>
    <pageSetUpPr fitToPage="1"/>
  </sheetPr>
  <dimension ref="A1:AL193"/>
  <sheetViews>
    <sheetView tabSelected="1" topLeftCell="A2" zoomScale="85" zoomScaleNormal="85" workbookViewId="0">
      <selection activeCell="L14" sqref="L14"/>
    </sheetView>
  </sheetViews>
  <sheetFormatPr defaultRowHeight="15" x14ac:dyDescent="0.25"/>
  <cols>
    <col min="1" max="1" width="25" style="7" bestFit="1" customWidth="1"/>
    <col min="2" max="2" width="21.85546875" style="6" customWidth="1"/>
    <col min="3" max="3" width="10.42578125" style="6" bestFit="1" customWidth="1"/>
    <col min="4" max="4" width="15.7109375" style="33" bestFit="1" customWidth="1"/>
    <col min="5" max="6" width="10.42578125" style="33" bestFit="1" customWidth="1"/>
    <col min="7" max="7" width="24" customWidth="1"/>
    <col min="8" max="8" width="13" customWidth="1"/>
    <col min="9" max="9" width="9.140625" style="5"/>
    <col min="10" max="10" width="27.140625" bestFit="1" customWidth="1"/>
    <col min="11" max="11" width="8.5703125" bestFit="1" customWidth="1"/>
    <col min="12" max="12" width="13" customWidth="1"/>
    <col min="13" max="13" width="16.42578125" customWidth="1"/>
    <col min="14" max="14" width="14.140625" customWidth="1"/>
    <col min="15" max="15" width="10.7109375" style="15" bestFit="1" customWidth="1"/>
    <col min="16" max="16" width="9.140625" style="15"/>
    <col min="17" max="17" width="13.85546875" style="15" customWidth="1"/>
    <col min="18" max="18" width="46.140625" bestFit="1" customWidth="1"/>
    <col min="19" max="19" width="17.7109375" customWidth="1"/>
    <col min="21" max="21" width="11.140625" customWidth="1"/>
    <col min="22" max="22" width="13" customWidth="1"/>
    <col min="23" max="23" width="17.5703125" bestFit="1" customWidth="1"/>
    <col min="24" max="25" width="17.5703125" customWidth="1"/>
    <col min="26" max="26" width="173" bestFit="1" customWidth="1"/>
    <col min="27" max="27" width="255.7109375" bestFit="1" customWidth="1"/>
    <col min="28" max="28" width="27.28515625" style="2" customWidth="1"/>
    <col min="29" max="29" width="9.5703125" bestFit="1" customWidth="1"/>
  </cols>
  <sheetData>
    <row r="1" spans="1:28" s="3" customFormat="1" ht="15.75" x14ac:dyDescent="0.25">
      <c r="A1" s="52" t="s">
        <v>0</v>
      </c>
      <c r="B1" s="52"/>
      <c r="C1" s="52"/>
      <c r="D1" s="52"/>
      <c r="E1" s="52"/>
      <c r="F1" s="52"/>
      <c r="G1" s="52"/>
      <c r="H1" s="52"/>
      <c r="I1" s="52"/>
      <c r="J1" s="51" t="s">
        <v>1</v>
      </c>
      <c r="K1" s="51"/>
      <c r="L1" s="51"/>
      <c r="M1" s="51"/>
      <c r="N1" s="51"/>
      <c r="O1" s="52" t="s">
        <v>2</v>
      </c>
      <c r="P1" s="52"/>
      <c r="Q1" s="52"/>
      <c r="R1" s="50" t="s">
        <v>3</v>
      </c>
      <c r="S1" s="50"/>
      <c r="T1" s="50"/>
      <c r="U1" s="50"/>
      <c r="V1" s="50"/>
      <c r="W1" s="49" t="s">
        <v>4</v>
      </c>
      <c r="X1" s="49"/>
      <c r="Y1" s="49"/>
      <c r="Z1" s="49"/>
      <c r="AA1" s="45" t="s">
        <v>5</v>
      </c>
      <c r="AB1" s="8"/>
    </row>
    <row r="2" spans="1:28" s="9" customFormat="1" ht="60" x14ac:dyDescent="0.25">
      <c r="A2" s="30" t="s">
        <v>6</v>
      </c>
      <c r="B2" s="30" t="s">
        <v>7</v>
      </c>
      <c r="C2" s="30" t="s">
        <v>8</v>
      </c>
      <c r="D2" s="31" t="s">
        <v>9</v>
      </c>
      <c r="E2" s="31" t="s">
        <v>10</v>
      </c>
      <c r="F2" s="31" t="s">
        <v>11</v>
      </c>
      <c r="G2" s="18" t="s">
        <v>12</v>
      </c>
      <c r="H2" s="9" t="s">
        <v>13</v>
      </c>
      <c r="I2" s="20" t="s">
        <v>14</v>
      </c>
      <c r="J2" s="9" t="s">
        <v>15</v>
      </c>
      <c r="K2" s="9" t="s">
        <v>16</v>
      </c>
      <c r="L2" s="9" t="s">
        <v>17</v>
      </c>
      <c r="M2" s="9" t="s">
        <v>18</v>
      </c>
      <c r="N2" s="9" t="s">
        <v>19</v>
      </c>
      <c r="O2" s="19" t="s">
        <v>20</v>
      </c>
      <c r="P2" s="19" t="s">
        <v>21</v>
      </c>
      <c r="Q2" s="19" t="s">
        <v>22</v>
      </c>
      <c r="R2" s="9" t="s">
        <v>23</v>
      </c>
      <c r="S2" s="9" t="s">
        <v>24</v>
      </c>
      <c r="T2" s="9" t="s">
        <v>25</v>
      </c>
      <c r="U2" s="9" t="s">
        <v>26</v>
      </c>
      <c r="V2" s="9" t="s">
        <v>27</v>
      </c>
      <c r="W2" s="19" t="s">
        <v>28</v>
      </c>
      <c r="X2" s="19" t="s">
        <v>29</v>
      </c>
      <c r="Y2" s="18" t="s">
        <v>30</v>
      </c>
      <c r="Z2" s="18" t="s">
        <v>31</v>
      </c>
      <c r="AA2" s="18" t="s">
        <v>32</v>
      </c>
    </row>
    <row r="3" spans="1:28" s="9" customFormat="1" x14ac:dyDescent="0.25">
      <c r="A3" s="30" t="s">
        <v>33</v>
      </c>
      <c r="B3" s="30" t="s">
        <v>34</v>
      </c>
      <c r="C3" s="30" t="s">
        <v>35</v>
      </c>
      <c r="D3" s="31" t="s">
        <v>36</v>
      </c>
      <c r="E3" s="31" t="s">
        <v>37</v>
      </c>
      <c r="F3" s="31" t="s">
        <v>38</v>
      </c>
      <c r="G3" s="18" t="s">
        <v>39</v>
      </c>
      <c r="H3" s="9" t="s">
        <v>40</v>
      </c>
      <c r="I3" s="20" t="s">
        <v>41</v>
      </c>
      <c r="J3" s="9" t="s">
        <v>42</v>
      </c>
      <c r="K3" s="9" t="s">
        <v>43</v>
      </c>
      <c r="L3" s="9" t="s">
        <v>44</v>
      </c>
      <c r="M3" s="9" t="s">
        <v>45</v>
      </c>
      <c r="N3" s="9" t="s">
        <v>46</v>
      </c>
      <c r="O3" s="19" t="s">
        <v>47</v>
      </c>
      <c r="P3" s="19" t="s">
        <v>21</v>
      </c>
      <c r="Q3" s="19" t="s">
        <v>48</v>
      </c>
      <c r="R3" s="9" t="s">
        <v>49</v>
      </c>
      <c r="S3" s="9" t="s">
        <v>50</v>
      </c>
      <c r="T3" s="9" t="s">
        <v>51</v>
      </c>
      <c r="U3" s="9" t="s">
        <v>52</v>
      </c>
      <c r="V3" s="9" t="s">
        <v>53</v>
      </c>
      <c r="W3" s="19" t="s">
        <v>54</v>
      </c>
      <c r="X3" s="19" t="s">
        <v>55</v>
      </c>
      <c r="Y3" s="18" t="s">
        <v>56</v>
      </c>
      <c r="Z3" s="18" t="s">
        <v>57</v>
      </c>
      <c r="AA3" s="18" t="s">
        <v>58</v>
      </c>
    </row>
    <row r="4" spans="1:28" ht="15" customHeight="1" x14ac:dyDescent="0.25">
      <c r="A4" s="7" t="s">
        <v>59</v>
      </c>
      <c r="C4" s="6" t="s">
        <v>60</v>
      </c>
      <c r="D4" s="33" t="s">
        <v>61</v>
      </c>
      <c r="E4" s="33" t="s">
        <v>241</v>
      </c>
      <c r="F4" s="33" t="s">
        <v>241</v>
      </c>
      <c r="G4" t="s">
        <v>62</v>
      </c>
      <c r="H4">
        <v>48</v>
      </c>
      <c r="I4" s="39">
        <v>1</v>
      </c>
      <c r="J4" t="s">
        <v>63</v>
      </c>
      <c r="K4">
        <v>40</v>
      </c>
      <c r="N4">
        <v>0</v>
      </c>
      <c r="O4" s="35">
        <v>5.7</v>
      </c>
      <c r="P4" s="35">
        <v>7.8</v>
      </c>
      <c r="Q4" s="35">
        <v>1.82</v>
      </c>
      <c r="T4" t="s">
        <v>64</v>
      </c>
      <c r="W4" s="22">
        <f>(185.8/1000)/1.82*100</f>
        <v>10.20879120879121</v>
      </c>
      <c r="Y4" t="s">
        <v>65</v>
      </c>
      <c r="Z4" t="s">
        <v>66</v>
      </c>
      <c r="AA4" t="s">
        <v>67</v>
      </c>
    </row>
    <row r="5" spans="1:28" ht="15" customHeight="1" x14ac:dyDescent="0.25">
      <c r="A5" s="7" t="s">
        <v>59</v>
      </c>
      <c r="B5" s="6" t="s">
        <v>68</v>
      </c>
      <c r="C5" s="6" t="s">
        <v>60</v>
      </c>
      <c r="D5" s="33" t="s">
        <v>61</v>
      </c>
      <c r="E5" s="33" t="s">
        <v>243</v>
      </c>
      <c r="F5" s="33" t="s">
        <v>243</v>
      </c>
      <c r="G5" t="s">
        <v>62</v>
      </c>
      <c r="H5">
        <v>48</v>
      </c>
      <c r="I5" s="39">
        <v>1</v>
      </c>
      <c r="J5" t="s">
        <v>63</v>
      </c>
      <c r="K5">
        <v>40</v>
      </c>
      <c r="N5">
        <v>0</v>
      </c>
      <c r="O5" s="35">
        <v>4.0999999999999996</v>
      </c>
      <c r="P5" s="35">
        <v>7.88</v>
      </c>
      <c r="Q5" s="35">
        <v>1.73</v>
      </c>
      <c r="T5" t="s">
        <v>64</v>
      </c>
      <c r="W5" s="22">
        <f>(75.8/1000)/1.73*100</f>
        <v>4.3815028901734099</v>
      </c>
      <c r="Y5" t="s">
        <v>65</v>
      </c>
      <c r="Z5" t="s">
        <v>66</v>
      </c>
      <c r="AA5" t="s">
        <v>67</v>
      </c>
    </row>
    <row r="6" spans="1:28" ht="15" customHeight="1" x14ac:dyDescent="0.25">
      <c r="A6" s="7" t="s">
        <v>59</v>
      </c>
      <c r="B6" s="6" t="s">
        <v>68</v>
      </c>
      <c r="C6" s="6" t="s">
        <v>60</v>
      </c>
      <c r="D6" s="33" t="s">
        <v>61</v>
      </c>
      <c r="E6" s="33" t="s">
        <v>244</v>
      </c>
      <c r="F6" s="33" t="s">
        <v>244</v>
      </c>
      <c r="G6" t="s">
        <v>62</v>
      </c>
      <c r="I6" s="39">
        <v>1</v>
      </c>
      <c r="K6" s="39"/>
      <c r="N6">
        <v>0</v>
      </c>
      <c r="O6" s="35"/>
      <c r="P6" s="35"/>
      <c r="Q6" s="35"/>
      <c r="W6" s="21"/>
    </row>
    <row r="7" spans="1:28" ht="15" customHeight="1" x14ac:dyDescent="0.25">
      <c r="A7" s="7" t="s">
        <v>69</v>
      </c>
      <c r="C7" s="6" t="s">
        <v>60</v>
      </c>
      <c r="D7" s="33" t="s">
        <v>61</v>
      </c>
      <c r="E7" s="33" t="s">
        <v>241</v>
      </c>
      <c r="F7" s="33" t="s">
        <v>241</v>
      </c>
      <c r="G7" t="s">
        <v>62</v>
      </c>
      <c r="H7">
        <v>70</v>
      </c>
      <c r="I7" s="39">
        <v>1</v>
      </c>
      <c r="J7" t="s">
        <v>63</v>
      </c>
      <c r="K7">
        <v>35</v>
      </c>
      <c r="M7">
        <v>19.100000000000001</v>
      </c>
      <c r="N7">
        <v>0</v>
      </c>
      <c r="O7" s="35">
        <v>9</v>
      </c>
      <c r="P7" s="35">
        <v>6.8</v>
      </c>
      <c r="Q7" s="35">
        <v>1.9</v>
      </c>
      <c r="R7" t="s">
        <v>70</v>
      </c>
      <c r="S7">
        <v>43</v>
      </c>
      <c r="T7" t="s">
        <v>64</v>
      </c>
      <c r="U7">
        <v>1.05</v>
      </c>
      <c r="W7">
        <v>28.7</v>
      </c>
      <c r="Y7" t="s">
        <v>71</v>
      </c>
      <c r="Z7" t="s">
        <v>72</v>
      </c>
    </row>
    <row r="8" spans="1:28" ht="15" customHeight="1" x14ac:dyDescent="0.25">
      <c r="A8" s="7" t="s">
        <v>69</v>
      </c>
      <c r="B8" s="6" t="s">
        <v>68</v>
      </c>
      <c r="C8" s="6" t="s">
        <v>60</v>
      </c>
      <c r="D8" s="33" t="s">
        <v>61</v>
      </c>
      <c r="E8" s="33" t="s">
        <v>243</v>
      </c>
      <c r="F8" s="33" t="s">
        <v>243</v>
      </c>
      <c r="G8" t="s">
        <v>62</v>
      </c>
      <c r="H8">
        <v>70</v>
      </c>
      <c r="I8" s="39">
        <v>1</v>
      </c>
      <c r="J8" t="s">
        <v>63</v>
      </c>
      <c r="K8">
        <v>35</v>
      </c>
      <c r="M8">
        <v>20.100000000000001</v>
      </c>
      <c r="N8">
        <v>0</v>
      </c>
      <c r="O8" s="35">
        <v>4.5999999999999996</v>
      </c>
      <c r="P8" s="35">
        <v>7.1</v>
      </c>
      <c r="Q8" s="35">
        <v>2</v>
      </c>
      <c r="R8" t="s">
        <v>70</v>
      </c>
      <c r="S8">
        <v>43</v>
      </c>
      <c r="T8" t="s">
        <v>64</v>
      </c>
      <c r="U8">
        <v>1.05</v>
      </c>
      <c r="W8">
        <v>23.1</v>
      </c>
      <c r="Y8" t="s">
        <v>71</v>
      </c>
      <c r="Z8" t="s">
        <v>72</v>
      </c>
    </row>
    <row r="9" spans="1:28" ht="15" customHeight="1" x14ac:dyDescent="0.25">
      <c r="A9" s="7" t="s">
        <v>73</v>
      </c>
      <c r="C9" s="6" t="s">
        <v>60</v>
      </c>
      <c r="D9" s="33" t="s">
        <v>74</v>
      </c>
      <c r="E9" s="33" t="s">
        <v>241</v>
      </c>
      <c r="F9" s="33" t="s">
        <v>241</v>
      </c>
      <c r="G9" t="s">
        <v>62</v>
      </c>
      <c r="H9">
        <v>120</v>
      </c>
      <c r="I9" s="39">
        <v>1</v>
      </c>
      <c r="J9" t="s">
        <v>75</v>
      </c>
      <c r="K9" s="38">
        <f>70/4.3</f>
        <v>16.279069767441861</v>
      </c>
      <c r="M9" s="39">
        <v>18.399999999999999</v>
      </c>
      <c r="N9">
        <v>0</v>
      </c>
      <c r="O9" s="35">
        <v>3.5</v>
      </c>
      <c r="P9" s="35">
        <v>7.8</v>
      </c>
      <c r="Q9" s="35">
        <v>3</v>
      </c>
      <c r="R9" t="s">
        <v>76</v>
      </c>
      <c r="T9" t="s">
        <v>64</v>
      </c>
      <c r="W9" s="22">
        <f>21/0.7</f>
        <v>30.000000000000004</v>
      </c>
      <c r="Y9" t="s">
        <v>77</v>
      </c>
      <c r="Z9" t="s">
        <v>78</v>
      </c>
      <c r="AA9" t="s">
        <v>79</v>
      </c>
    </row>
    <row r="10" spans="1:28" ht="15" customHeight="1" x14ac:dyDescent="0.25">
      <c r="A10" s="7" t="s">
        <v>73</v>
      </c>
      <c r="B10" s="6" t="s">
        <v>68</v>
      </c>
      <c r="C10" s="6" t="s">
        <v>60</v>
      </c>
      <c r="D10" s="33" t="s">
        <v>74</v>
      </c>
      <c r="E10" s="33" t="s">
        <v>243</v>
      </c>
      <c r="F10" s="33" t="s">
        <v>243</v>
      </c>
      <c r="G10" t="s">
        <v>62</v>
      </c>
      <c r="H10">
        <v>120</v>
      </c>
      <c r="I10" s="39">
        <v>1</v>
      </c>
      <c r="J10" t="s">
        <v>75</v>
      </c>
      <c r="K10" s="38">
        <f>70/4</f>
        <v>17.5</v>
      </c>
      <c r="M10" s="39">
        <v>18.399999999999999</v>
      </c>
      <c r="N10">
        <v>0</v>
      </c>
      <c r="O10" s="35">
        <v>2.4</v>
      </c>
      <c r="P10" s="35">
        <v>8</v>
      </c>
      <c r="Q10" s="35">
        <v>3</v>
      </c>
      <c r="R10" t="s">
        <v>76</v>
      </c>
      <c r="T10" t="s">
        <v>64</v>
      </c>
      <c r="W10" s="22">
        <f>14/0.75</f>
        <v>18.666666666666668</v>
      </c>
      <c r="Y10" t="s">
        <v>77</v>
      </c>
      <c r="Z10" t="s">
        <v>78</v>
      </c>
      <c r="AA10" t="s">
        <v>79</v>
      </c>
    </row>
    <row r="11" spans="1:28" ht="15" customHeight="1" x14ac:dyDescent="0.25">
      <c r="A11" s="7" t="s">
        <v>73</v>
      </c>
      <c r="B11" s="6" t="s">
        <v>68</v>
      </c>
      <c r="C11" s="6" t="s">
        <v>60</v>
      </c>
      <c r="D11" s="33" t="s">
        <v>74</v>
      </c>
      <c r="E11" s="33" t="s">
        <v>244</v>
      </c>
      <c r="F11" s="33" t="s">
        <v>244</v>
      </c>
      <c r="G11" t="s">
        <v>62</v>
      </c>
      <c r="H11">
        <v>120</v>
      </c>
      <c r="I11" s="39">
        <v>1</v>
      </c>
      <c r="J11" t="s">
        <v>75</v>
      </c>
      <c r="K11" s="38">
        <f>70/7.2</f>
        <v>9.7222222222222214</v>
      </c>
      <c r="M11" s="39">
        <v>18.399999999999999</v>
      </c>
      <c r="N11">
        <v>0</v>
      </c>
      <c r="O11" s="35">
        <v>23.2</v>
      </c>
      <c r="P11" s="35">
        <v>8.4</v>
      </c>
      <c r="Q11" s="35">
        <v>3.3</v>
      </c>
      <c r="R11" t="s">
        <v>76</v>
      </c>
      <c r="T11" t="s">
        <v>64</v>
      </c>
      <c r="W11" s="22">
        <f>19/0.45</f>
        <v>42.222222222222221</v>
      </c>
      <c r="Y11" t="s">
        <v>77</v>
      </c>
      <c r="Z11" t="s">
        <v>78</v>
      </c>
      <c r="AA11" t="s">
        <v>79</v>
      </c>
    </row>
    <row r="12" spans="1:28" ht="15" customHeight="1" x14ac:dyDescent="0.25">
      <c r="A12" s="7" t="s">
        <v>73</v>
      </c>
      <c r="C12" s="6" t="s">
        <v>60</v>
      </c>
      <c r="D12" s="33" t="s">
        <v>74</v>
      </c>
      <c r="E12" s="33" t="s">
        <v>241</v>
      </c>
      <c r="F12" s="33" t="s">
        <v>241</v>
      </c>
      <c r="G12" t="s">
        <v>62</v>
      </c>
      <c r="H12">
        <v>120</v>
      </c>
      <c r="I12" s="39">
        <v>2</v>
      </c>
      <c r="J12" t="s">
        <v>75</v>
      </c>
      <c r="K12" s="38">
        <f>70/3.6</f>
        <v>19.444444444444443</v>
      </c>
      <c r="M12" s="39">
        <v>11.4</v>
      </c>
      <c r="N12">
        <v>0</v>
      </c>
      <c r="O12" s="35">
        <v>3.5</v>
      </c>
      <c r="P12" s="35">
        <v>7.8</v>
      </c>
      <c r="Q12" s="35">
        <v>2</v>
      </c>
      <c r="R12" t="s">
        <v>76</v>
      </c>
      <c r="T12" t="s">
        <v>64</v>
      </c>
      <c r="W12" s="22">
        <f>23/0.56</f>
        <v>41.071428571428569</v>
      </c>
      <c r="Y12" t="s">
        <v>77</v>
      </c>
      <c r="Z12" t="s">
        <v>78</v>
      </c>
      <c r="AA12" t="s">
        <v>79</v>
      </c>
    </row>
    <row r="13" spans="1:28" ht="15" customHeight="1" x14ac:dyDescent="0.25">
      <c r="A13" s="7" t="s">
        <v>73</v>
      </c>
      <c r="B13" s="6" t="s">
        <v>68</v>
      </c>
      <c r="C13" s="6" t="s">
        <v>60</v>
      </c>
      <c r="D13" s="33" t="s">
        <v>74</v>
      </c>
      <c r="E13" s="33" t="s">
        <v>243</v>
      </c>
      <c r="F13" s="33" t="s">
        <v>243</v>
      </c>
      <c r="G13" t="s">
        <v>62</v>
      </c>
      <c r="H13">
        <v>120</v>
      </c>
      <c r="I13" s="39">
        <v>2</v>
      </c>
      <c r="J13" t="s">
        <v>75</v>
      </c>
      <c r="K13" s="38">
        <f>70/3.2</f>
        <v>21.875</v>
      </c>
      <c r="M13" s="39">
        <v>11.4</v>
      </c>
      <c r="N13">
        <v>0</v>
      </c>
      <c r="O13" s="35">
        <v>2.1</v>
      </c>
      <c r="P13" s="35">
        <v>7.8</v>
      </c>
      <c r="Q13" s="35">
        <v>2.1</v>
      </c>
      <c r="R13" t="s">
        <v>76</v>
      </c>
      <c r="T13" t="s">
        <v>64</v>
      </c>
      <c r="W13" s="22">
        <f>12/0.66</f>
        <v>18.18181818181818</v>
      </c>
      <c r="Y13" t="s">
        <v>77</v>
      </c>
      <c r="Z13" t="s">
        <v>78</v>
      </c>
      <c r="AA13" t="s">
        <v>79</v>
      </c>
    </row>
    <row r="14" spans="1:28" ht="15" customHeight="1" x14ac:dyDescent="0.25">
      <c r="A14" s="7" t="s">
        <v>73</v>
      </c>
      <c r="B14" s="6" t="s">
        <v>68</v>
      </c>
      <c r="C14" s="6" t="s">
        <v>60</v>
      </c>
      <c r="D14" s="33" t="s">
        <v>74</v>
      </c>
      <c r="E14" s="33" t="s">
        <v>244</v>
      </c>
      <c r="F14" s="33" t="s">
        <v>244</v>
      </c>
      <c r="G14" t="s">
        <v>62</v>
      </c>
      <c r="H14">
        <v>120</v>
      </c>
      <c r="I14" s="39">
        <v>2</v>
      </c>
      <c r="J14" t="s">
        <v>75</v>
      </c>
      <c r="K14" s="38">
        <f>70/6.8</f>
        <v>10.294117647058824</v>
      </c>
      <c r="M14" s="39">
        <v>11.4</v>
      </c>
      <c r="N14">
        <v>0</v>
      </c>
      <c r="O14" s="35">
        <v>28.9</v>
      </c>
      <c r="P14" s="35">
        <v>8.1999999999999993</v>
      </c>
      <c r="Q14" s="35">
        <v>2.5</v>
      </c>
      <c r="R14" t="s">
        <v>76</v>
      </c>
      <c r="T14" t="s">
        <v>64</v>
      </c>
      <c r="W14" s="22">
        <f>18/0.37</f>
        <v>48.648648648648653</v>
      </c>
      <c r="Y14" t="s">
        <v>77</v>
      </c>
      <c r="Z14" t="s">
        <v>78</v>
      </c>
      <c r="AA14" t="s">
        <v>79</v>
      </c>
    </row>
    <row r="15" spans="1:28" ht="15" customHeight="1" x14ac:dyDescent="0.25">
      <c r="A15" s="7" t="s">
        <v>80</v>
      </c>
      <c r="C15" s="6" t="s">
        <v>60</v>
      </c>
      <c r="D15" s="33" t="s">
        <v>61</v>
      </c>
      <c r="E15" s="33" t="s">
        <v>241</v>
      </c>
      <c r="F15" s="33" t="s">
        <v>241</v>
      </c>
      <c r="G15" t="s">
        <v>62</v>
      </c>
      <c r="H15">
        <v>120</v>
      </c>
      <c r="I15" s="39">
        <v>1</v>
      </c>
      <c r="J15" t="s">
        <v>75</v>
      </c>
      <c r="K15" s="38">
        <f>70/3.5</f>
        <v>20</v>
      </c>
      <c r="M15" s="39">
        <v>27.8</v>
      </c>
      <c r="N15">
        <v>0</v>
      </c>
      <c r="O15" s="35">
        <v>5.7</v>
      </c>
      <c r="P15" s="35">
        <v>7.6</v>
      </c>
      <c r="Q15" s="35">
        <v>2.1</v>
      </c>
      <c r="R15" t="s">
        <v>76</v>
      </c>
      <c r="T15" t="s">
        <v>64</v>
      </c>
      <c r="W15" s="22">
        <f>35.2/0.6</f>
        <v>58.666666666666671</v>
      </c>
      <c r="Y15" t="s">
        <v>81</v>
      </c>
      <c r="Z15" t="s">
        <v>78</v>
      </c>
      <c r="AA15" t="s">
        <v>82</v>
      </c>
    </row>
    <row r="16" spans="1:28" ht="15" customHeight="1" x14ac:dyDescent="0.25">
      <c r="A16" s="7" t="s">
        <v>80</v>
      </c>
      <c r="B16" s="6" t="s">
        <v>68</v>
      </c>
      <c r="C16" s="6" t="s">
        <v>60</v>
      </c>
      <c r="D16" s="33" t="s">
        <v>61</v>
      </c>
      <c r="E16" s="33" t="s">
        <v>243</v>
      </c>
      <c r="F16" s="33" t="s">
        <v>243</v>
      </c>
      <c r="G16" t="s">
        <v>62</v>
      </c>
      <c r="H16">
        <v>120</v>
      </c>
      <c r="I16" s="39">
        <v>1</v>
      </c>
      <c r="J16" t="s">
        <v>75</v>
      </c>
      <c r="K16" s="38">
        <f>70/3.3</f>
        <v>21.212121212121215</v>
      </c>
      <c r="M16" s="39">
        <v>27.8</v>
      </c>
      <c r="N16">
        <v>0</v>
      </c>
      <c r="O16" s="35">
        <v>4.4000000000000004</v>
      </c>
      <c r="P16" s="35">
        <v>7.8</v>
      </c>
      <c r="Q16" s="35">
        <v>2.1</v>
      </c>
      <c r="R16" t="s">
        <v>76</v>
      </c>
      <c r="T16" t="s">
        <v>64</v>
      </c>
      <c r="W16" s="22">
        <f>32.3/0.64</f>
        <v>50.468749999999993</v>
      </c>
      <c r="Y16" t="s">
        <v>81</v>
      </c>
      <c r="Z16" t="s">
        <v>78</v>
      </c>
      <c r="AA16" t="s">
        <v>82</v>
      </c>
    </row>
    <row r="17" spans="1:27" ht="15" customHeight="1" x14ac:dyDescent="0.25">
      <c r="A17" s="7" t="s">
        <v>80</v>
      </c>
      <c r="B17" s="6" t="s">
        <v>68</v>
      </c>
      <c r="C17" s="6" t="s">
        <v>60</v>
      </c>
      <c r="D17" s="33" t="s">
        <v>61</v>
      </c>
      <c r="E17" s="33" t="s">
        <v>244</v>
      </c>
      <c r="F17" s="33" t="s">
        <v>244</v>
      </c>
      <c r="G17" t="s">
        <v>62</v>
      </c>
      <c r="H17">
        <v>120</v>
      </c>
      <c r="I17" s="39">
        <v>1</v>
      </c>
      <c r="J17" t="s">
        <v>75</v>
      </c>
      <c r="K17" s="38">
        <f>70/5.1</f>
        <v>13.725490196078432</v>
      </c>
      <c r="M17" s="39">
        <v>27.8</v>
      </c>
      <c r="N17">
        <v>0</v>
      </c>
      <c r="O17" s="35">
        <v>22.8</v>
      </c>
      <c r="P17" s="35">
        <v>8.6999999999999993</v>
      </c>
      <c r="Q17" s="35">
        <v>1.8</v>
      </c>
      <c r="R17" t="s">
        <v>76</v>
      </c>
      <c r="T17" t="s">
        <v>64</v>
      </c>
      <c r="W17" s="22">
        <f>16.9/0.36</f>
        <v>46.944444444444443</v>
      </c>
      <c r="Y17" t="s">
        <v>81</v>
      </c>
      <c r="Z17" t="s">
        <v>78</v>
      </c>
      <c r="AA17" t="s">
        <v>82</v>
      </c>
    </row>
    <row r="18" spans="1:27" ht="15" customHeight="1" x14ac:dyDescent="0.25">
      <c r="A18" s="7" t="s">
        <v>80</v>
      </c>
      <c r="C18" s="6" t="s">
        <v>60</v>
      </c>
      <c r="D18" s="33" t="s">
        <v>61</v>
      </c>
      <c r="E18" s="33" t="s">
        <v>241</v>
      </c>
      <c r="F18" s="33" t="s">
        <v>241</v>
      </c>
      <c r="G18" t="s">
        <v>62</v>
      </c>
      <c r="H18">
        <v>120</v>
      </c>
      <c r="I18" s="39">
        <v>2</v>
      </c>
      <c r="J18" t="s">
        <v>75</v>
      </c>
      <c r="K18" s="38">
        <f>70/3.4</f>
        <v>20.588235294117649</v>
      </c>
      <c r="M18" s="39">
        <v>12.5</v>
      </c>
      <c r="N18">
        <v>0</v>
      </c>
      <c r="O18" s="35">
        <v>7.1</v>
      </c>
      <c r="P18" s="35">
        <v>7.5</v>
      </c>
      <c r="Q18" s="35">
        <v>1.5</v>
      </c>
      <c r="R18" t="s">
        <v>76</v>
      </c>
      <c r="T18" t="s">
        <v>64</v>
      </c>
      <c r="W18" s="22">
        <f>23.2/0.44</f>
        <v>52.727272727272727</v>
      </c>
      <c r="Y18" t="s">
        <v>81</v>
      </c>
      <c r="Z18" t="s">
        <v>78</v>
      </c>
      <c r="AA18" t="s">
        <v>82</v>
      </c>
    </row>
    <row r="19" spans="1:27" ht="15" customHeight="1" x14ac:dyDescent="0.25">
      <c r="A19" s="7" t="s">
        <v>80</v>
      </c>
      <c r="B19" s="6" t="s">
        <v>68</v>
      </c>
      <c r="C19" s="6" t="s">
        <v>60</v>
      </c>
      <c r="D19" s="33" t="s">
        <v>61</v>
      </c>
      <c r="E19" s="33" t="s">
        <v>243</v>
      </c>
      <c r="F19" s="33" t="s">
        <v>243</v>
      </c>
      <c r="G19" t="s">
        <v>62</v>
      </c>
      <c r="H19">
        <v>120</v>
      </c>
      <c r="I19" s="39">
        <v>2</v>
      </c>
      <c r="J19" t="s">
        <v>75</v>
      </c>
      <c r="K19" s="38">
        <f>70/3.2</f>
        <v>21.875</v>
      </c>
      <c r="M19" s="39">
        <v>12.5</v>
      </c>
      <c r="N19">
        <v>0</v>
      </c>
      <c r="O19" s="35">
        <v>4.4000000000000004</v>
      </c>
      <c r="P19" s="35">
        <v>7.8</v>
      </c>
      <c r="Q19" s="35">
        <v>1.7</v>
      </c>
      <c r="R19" t="s">
        <v>76</v>
      </c>
      <c r="T19" t="s">
        <v>64</v>
      </c>
      <c r="W19" s="22">
        <f>17.5/0.53</f>
        <v>33.018867924528301</v>
      </c>
      <c r="Y19" t="s">
        <v>81</v>
      </c>
      <c r="Z19" t="s">
        <v>78</v>
      </c>
      <c r="AA19" t="s">
        <v>82</v>
      </c>
    </row>
    <row r="20" spans="1:27" ht="15" customHeight="1" x14ac:dyDescent="0.25">
      <c r="A20" s="7" t="s">
        <v>80</v>
      </c>
      <c r="B20" s="6" t="s">
        <v>68</v>
      </c>
      <c r="C20" s="6" t="s">
        <v>60</v>
      </c>
      <c r="D20" s="33" t="s">
        <v>61</v>
      </c>
      <c r="E20" s="33" t="s">
        <v>244</v>
      </c>
      <c r="F20" s="33" t="s">
        <v>244</v>
      </c>
      <c r="G20" t="s">
        <v>62</v>
      </c>
      <c r="H20">
        <v>120</v>
      </c>
      <c r="I20" s="39">
        <v>2</v>
      </c>
      <c r="J20" t="s">
        <v>75</v>
      </c>
      <c r="K20" s="38">
        <f>70/4.7</f>
        <v>14.893617021276595</v>
      </c>
      <c r="M20" s="39">
        <v>12.5</v>
      </c>
      <c r="N20">
        <v>0</v>
      </c>
      <c r="O20" s="35">
        <v>20.9</v>
      </c>
      <c r="P20" s="35">
        <v>8.1999999999999993</v>
      </c>
      <c r="Q20" s="35">
        <v>1.4</v>
      </c>
      <c r="R20" t="s">
        <v>76</v>
      </c>
      <c r="T20" t="s">
        <v>64</v>
      </c>
      <c r="W20" s="22">
        <f>13.7/0.3</f>
        <v>45.666666666666664</v>
      </c>
      <c r="Y20" t="s">
        <v>81</v>
      </c>
      <c r="Z20" t="s">
        <v>78</v>
      </c>
      <c r="AA20" t="s">
        <v>82</v>
      </c>
    </row>
    <row r="21" spans="1:27" ht="15" customHeight="1" x14ac:dyDescent="0.25">
      <c r="A21" s="7" t="s">
        <v>83</v>
      </c>
      <c r="C21" s="6" t="s">
        <v>60</v>
      </c>
      <c r="D21" s="33" t="s">
        <v>61</v>
      </c>
      <c r="E21" s="33" t="s">
        <v>241</v>
      </c>
      <c r="F21" s="33" t="s">
        <v>241</v>
      </c>
      <c r="G21" t="s">
        <v>62</v>
      </c>
      <c r="H21">
        <v>264</v>
      </c>
      <c r="I21" s="39">
        <v>1</v>
      </c>
      <c r="J21" t="s">
        <v>75</v>
      </c>
      <c r="K21" s="39">
        <v>100</v>
      </c>
      <c r="N21">
        <v>0</v>
      </c>
      <c r="O21" s="35">
        <v>6.8</v>
      </c>
      <c r="P21" s="35">
        <v>6.8</v>
      </c>
      <c r="Q21" s="35">
        <v>1.3</v>
      </c>
      <c r="R21" t="s">
        <v>84</v>
      </c>
      <c r="T21" t="s">
        <v>85</v>
      </c>
      <c r="U21">
        <v>1.0900000000000001</v>
      </c>
      <c r="V21">
        <v>0.31</v>
      </c>
      <c r="W21">
        <v>37.5</v>
      </c>
      <c r="Y21" t="s">
        <v>81</v>
      </c>
      <c r="Z21" t="s">
        <v>86</v>
      </c>
      <c r="AA21" t="s">
        <v>87</v>
      </c>
    </row>
    <row r="22" spans="1:27" ht="15" customHeight="1" x14ac:dyDescent="0.25">
      <c r="A22" s="7" t="s">
        <v>83</v>
      </c>
      <c r="B22" s="6" t="s">
        <v>88</v>
      </c>
      <c r="C22" s="6" t="s">
        <v>60</v>
      </c>
      <c r="D22" s="33" t="s">
        <v>61</v>
      </c>
      <c r="E22" s="33" t="s">
        <v>243</v>
      </c>
      <c r="F22" s="33" t="s">
        <v>243</v>
      </c>
      <c r="G22" t="s">
        <v>62</v>
      </c>
      <c r="H22">
        <v>264</v>
      </c>
      <c r="I22" s="39">
        <v>1</v>
      </c>
      <c r="J22" t="s">
        <v>75</v>
      </c>
      <c r="K22" s="39">
        <v>120</v>
      </c>
      <c r="N22">
        <v>0</v>
      </c>
      <c r="O22" s="35">
        <v>2.8</v>
      </c>
      <c r="P22" s="35">
        <v>7</v>
      </c>
      <c r="Q22" s="35">
        <v>1.2</v>
      </c>
      <c r="R22" t="s">
        <v>84</v>
      </c>
      <c r="T22" t="s">
        <v>85</v>
      </c>
      <c r="U22">
        <v>1.0900000000000001</v>
      </c>
      <c r="W22">
        <v>39.200000000000003</v>
      </c>
      <c r="Y22" t="s">
        <v>81</v>
      </c>
      <c r="Z22" t="s">
        <v>86</v>
      </c>
      <c r="AA22" t="s">
        <v>87</v>
      </c>
    </row>
    <row r="23" spans="1:27" ht="15" customHeight="1" x14ac:dyDescent="0.25">
      <c r="A23" s="7" t="s">
        <v>83</v>
      </c>
      <c r="C23" s="6" t="s">
        <v>60</v>
      </c>
      <c r="D23" s="33" t="s">
        <v>61</v>
      </c>
      <c r="E23" s="33" t="s">
        <v>241</v>
      </c>
      <c r="F23" s="33" t="s">
        <v>241</v>
      </c>
      <c r="G23" t="s">
        <v>62</v>
      </c>
      <c r="H23">
        <v>264</v>
      </c>
      <c r="I23" s="39">
        <v>2</v>
      </c>
      <c r="J23" t="s">
        <v>75</v>
      </c>
      <c r="K23" s="39">
        <v>104</v>
      </c>
      <c r="N23">
        <v>0</v>
      </c>
      <c r="O23" s="35">
        <v>7.2</v>
      </c>
      <c r="P23" s="35">
        <v>6.8</v>
      </c>
      <c r="Q23" s="35">
        <v>1.2</v>
      </c>
      <c r="R23" t="s">
        <v>84</v>
      </c>
      <c r="T23" t="s">
        <v>85</v>
      </c>
      <c r="U23">
        <v>1.0900000000000001</v>
      </c>
      <c r="V23">
        <v>0.36</v>
      </c>
      <c r="W23">
        <v>39.299999999999997</v>
      </c>
      <c r="Y23" t="s">
        <v>81</v>
      </c>
      <c r="Z23" t="s">
        <v>86</v>
      </c>
      <c r="AA23" t="s">
        <v>87</v>
      </c>
    </row>
    <row r="24" spans="1:27" ht="15" customHeight="1" x14ac:dyDescent="0.25">
      <c r="A24" s="7" t="s">
        <v>83</v>
      </c>
      <c r="B24" s="6" t="s">
        <v>88</v>
      </c>
      <c r="C24" s="6" t="s">
        <v>60</v>
      </c>
      <c r="D24" s="33" t="s">
        <v>61</v>
      </c>
      <c r="E24" s="33" t="s">
        <v>243</v>
      </c>
      <c r="F24" s="33" t="s">
        <v>243</v>
      </c>
      <c r="G24" t="s">
        <v>62</v>
      </c>
      <c r="H24">
        <v>264</v>
      </c>
      <c r="I24" s="39">
        <v>2</v>
      </c>
      <c r="J24" t="s">
        <v>75</v>
      </c>
      <c r="K24" s="39">
        <v>126</v>
      </c>
      <c r="N24">
        <v>0</v>
      </c>
      <c r="O24" s="35">
        <v>2.2000000000000002</v>
      </c>
      <c r="P24" s="35">
        <v>7.4</v>
      </c>
      <c r="Q24" s="35">
        <v>1.1000000000000001</v>
      </c>
      <c r="R24" t="s">
        <v>84</v>
      </c>
      <c r="T24" t="s">
        <v>85</v>
      </c>
      <c r="U24">
        <v>1.0900000000000001</v>
      </c>
      <c r="W24">
        <v>38</v>
      </c>
      <c r="Y24" t="s">
        <v>81</v>
      </c>
      <c r="Z24" t="s">
        <v>86</v>
      </c>
      <c r="AA24" t="s">
        <v>87</v>
      </c>
    </row>
    <row r="25" spans="1:27" ht="15" customHeight="1" x14ac:dyDescent="0.25">
      <c r="A25" s="7" t="s">
        <v>83</v>
      </c>
      <c r="C25" s="6" t="s">
        <v>60</v>
      </c>
      <c r="D25" s="33" t="s">
        <v>61</v>
      </c>
      <c r="E25" s="33" t="s">
        <v>241</v>
      </c>
      <c r="F25" s="33" t="s">
        <v>241</v>
      </c>
      <c r="G25" t="s">
        <v>62</v>
      </c>
      <c r="H25">
        <v>264</v>
      </c>
      <c r="I25" s="39">
        <v>3</v>
      </c>
      <c r="J25" t="s">
        <v>75</v>
      </c>
      <c r="K25" s="39">
        <v>109</v>
      </c>
      <c r="N25">
        <v>0</v>
      </c>
      <c r="O25" s="35">
        <v>7</v>
      </c>
      <c r="P25" s="35">
        <v>7.5</v>
      </c>
      <c r="Q25" s="35">
        <v>1.1000000000000001</v>
      </c>
      <c r="R25" t="s">
        <v>84</v>
      </c>
      <c r="T25" t="s">
        <v>85</v>
      </c>
      <c r="U25">
        <v>1.0900000000000001</v>
      </c>
      <c r="V25">
        <v>0.33</v>
      </c>
      <c r="W25">
        <v>36.700000000000003</v>
      </c>
      <c r="Y25" t="s">
        <v>81</v>
      </c>
      <c r="Z25" t="s">
        <v>86</v>
      </c>
      <c r="AA25" t="s">
        <v>87</v>
      </c>
    </row>
    <row r="26" spans="1:27" ht="15" customHeight="1" x14ac:dyDescent="0.25">
      <c r="A26" s="7" t="s">
        <v>83</v>
      </c>
      <c r="B26" s="6" t="s">
        <v>88</v>
      </c>
      <c r="C26" s="6" t="s">
        <v>60</v>
      </c>
      <c r="D26" s="33" t="s">
        <v>61</v>
      </c>
      <c r="E26" s="33" t="s">
        <v>243</v>
      </c>
      <c r="F26" s="33" t="s">
        <v>243</v>
      </c>
      <c r="G26" t="s">
        <v>62</v>
      </c>
      <c r="H26">
        <v>264</v>
      </c>
      <c r="I26" s="39">
        <v>3</v>
      </c>
      <c r="J26" t="s">
        <v>75</v>
      </c>
      <c r="K26" s="39">
        <v>133</v>
      </c>
      <c r="N26">
        <v>0</v>
      </c>
      <c r="O26" s="35">
        <v>1.3</v>
      </c>
      <c r="P26" s="35">
        <v>8.1</v>
      </c>
      <c r="Q26" s="35">
        <v>1</v>
      </c>
      <c r="R26" t="s">
        <v>84</v>
      </c>
      <c r="T26" t="s">
        <v>85</v>
      </c>
      <c r="U26">
        <v>1.0900000000000001</v>
      </c>
      <c r="W26">
        <v>51</v>
      </c>
      <c r="Y26" t="s">
        <v>81</v>
      </c>
      <c r="Z26" t="s">
        <v>86</v>
      </c>
      <c r="AA26" t="s">
        <v>87</v>
      </c>
    </row>
    <row r="27" spans="1:27" ht="15" customHeight="1" x14ac:dyDescent="0.25">
      <c r="A27" s="7" t="s">
        <v>83</v>
      </c>
      <c r="C27" s="6" t="s">
        <v>60</v>
      </c>
      <c r="D27" s="33" t="s">
        <v>61</v>
      </c>
      <c r="E27" s="33" t="s">
        <v>241</v>
      </c>
      <c r="F27" s="33" t="s">
        <v>241</v>
      </c>
      <c r="G27" t="s">
        <v>62</v>
      </c>
      <c r="H27">
        <v>264</v>
      </c>
      <c r="I27" s="39">
        <v>4</v>
      </c>
      <c r="J27" t="s">
        <v>75</v>
      </c>
      <c r="K27" s="39">
        <v>115</v>
      </c>
      <c r="N27">
        <v>0</v>
      </c>
      <c r="O27" s="35">
        <v>6</v>
      </c>
      <c r="P27" s="35"/>
      <c r="Q27" s="35">
        <v>1</v>
      </c>
      <c r="R27" t="s">
        <v>84</v>
      </c>
      <c r="T27" t="s">
        <v>85</v>
      </c>
      <c r="U27">
        <v>1.0900000000000001</v>
      </c>
      <c r="V27">
        <v>0.26</v>
      </c>
      <c r="W27">
        <v>37.4</v>
      </c>
      <c r="Y27" t="s">
        <v>81</v>
      </c>
      <c r="Z27" t="s">
        <v>86</v>
      </c>
      <c r="AA27" t="s">
        <v>87</v>
      </c>
    </row>
    <row r="28" spans="1:27" ht="15" customHeight="1" x14ac:dyDescent="0.25">
      <c r="A28" s="7" t="s">
        <v>83</v>
      </c>
      <c r="B28" s="6" t="s">
        <v>88</v>
      </c>
      <c r="C28" s="6" t="s">
        <v>60</v>
      </c>
      <c r="D28" s="33" t="s">
        <v>61</v>
      </c>
      <c r="E28" s="33" t="s">
        <v>243</v>
      </c>
      <c r="F28" s="33" t="s">
        <v>243</v>
      </c>
      <c r="G28" t="s">
        <v>62</v>
      </c>
      <c r="H28">
        <v>264</v>
      </c>
      <c r="I28" s="39">
        <v>4</v>
      </c>
      <c r="J28" t="s">
        <v>75</v>
      </c>
      <c r="K28" s="39">
        <v>124</v>
      </c>
      <c r="N28">
        <v>0</v>
      </c>
      <c r="O28" s="35">
        <v>2.8</v>
      </c>
      <c r="P28" s="35"/>
      <c r="Q28" s="35">
        <v>0.9</v>
      </c>
      <c r="R28" t="s">
        <v>84</v>
      </c>
      <c r="T28" t="s">
        <v>85</v>
      </c>
      <c r="U28">
        <v>1.0900000000000001</v>
      </c>
      <c r="W28">
        <v>39.1</v>
      </c>
      <c r="Y28" t="s">
        <v>81</v>
      </c>
      <c r="Z28" t="s">
        <v>86</v>
      </c>
      <c r="AA28" t="s">
        <v>87</v>
      </c>
    </row>
    <row r="29" spans="1:27" ht="15" customHeight="1" x14ac:dyDescent="0.25">
      <c r="A29" s="7" t="s">
        <v>83</v>
      </c>
      <c r="C29" s="6" t="s">
        <v>60</v>
      </c>
      <c r="D29" s="33" t="s">
        <v>61</v>
      </c>
      <c r="E29" s="33" t="s">
        <v>241</v>
      </c>
      <c r="F29" s="33" t="s">
        <v>241</v>
      </c>
      <c r="G29" t="s">
        <v>62</v>
      </c>
      <c r="H29">
        <v>264</v>
      </c>
      <c r="I29" s="39">
        <v>5</v>
      </c>
      <c r="J29" t="s">
        <v>75</v>
      </c>
      <c r="K29" s="39">
        <v>120</v>
      </c>
      <c r="N29">
        <v>0</v>
      </c>
      <c r="O29" s="35">
        <v>5.7</v>
      </c>
      <c r="P29" s="35"/>
      <c r="Q29" s="35">
        <v>1</v>
      </c>
      <c r="R29" t="s">
        <v>84</v>
      </c>
      <c r="T29" t="s">
        <v>85</v>
      </c>
      <c r="U29">
        <v>1.0900000000000001</v>
      </c>
      <c r="V29">
        <v>0.37</v>
      </c>
      <c r="W29">
        <v>39.1</v>
      </c>
      <c r="Y29" t="s">
        <v>81</v>
      </c>
      <c r="Z29" t="s">
        <v>86</v>
      </c>
      <c r="AA29" t="s">
        <v>87</v>
      </c>
    </row>
    <row r="30" spans="1:27" ht="15" customHeight="1" x14ac:dyDescent="0.25">
      <c r="A30" s="7" t="s">
        <v>83</v>
      </c>
      <c r="B30" s="6" t="s">
        <v>88</v>
      </c>
      <c r="C30" s="6" t="s">
        <v>60</v>
      </c>
      <c r="D30" s="33" t="s">
        <v>61</v>
      </c>
      <c r="E30" s="33" t="s">
        <v>243</v>
      </c>
      <c r="F30" s="33" t="s">
        <v>243</v>
      </c>
      <c r="G30" t="s">
        <v>62</v>
      </c>
      <c r="H30">
        <v>264</v>
      </c>
      <c r="I30" s="39">
        <v>5</v>
      </c>
      <c r="J30" t="s">
        <v>75</v>
      </c>
      <c r="K30" s="39">
        <v>141</v>
      </c>
      <c r="N30">
        <v>0</v>
      </c>
      <c r="O30" s="35">
        <v>2</v>
      </c>
      <c r="P30" s="35"/>
      <c r="Q30" s="35">
        <v>0.9</v>
      </c>
      <c r="R30" t="s">
        <v>84</v>
      </c>
      <c r="T30" t="s">
        <v>85</v>
      </c>
      <c r="U30">
        <v>1.0900000000000001</v>
      </c>
      <c r="W30">
        <v>16.3</v>
      </c>
      <c r="Y30" t="s">
        <v>81</v>
      </c>
      <c r="Z30" t="s">
        <v>86</v>
      </c>
      <c r="AA30" t="s">
        <v>87</v>
      </c>
    </row>
    <row r="31" spans="1:27" ht="15" customHeight="1" x14ac:dyDescent="0.25">
      <c r="A31" s="7" t="s">
        <v>83</v>
      </c>
      <c r="C31" s="6" t="s">
        <v>60</v>
      </c>
      <c r="D31" s="33" t="s">
        <v>61</v>
      </c>
      <c r="E31" s="33" t="s">
        <v>241</v>
      </c>
      <c r="F31" s="33" t="s">
        <v>241</v>
      </c>
      <c r="G31" t="s">
        <v>62</v>
      </c>
      <c r="H31">
        <v>264</v>
      </c>
      <c r="I31" s="39">
        <v>6</v>
      </c>
      <c r="J31" t="s">
        <v>75</v>
      </c>
      <c r="K31" s="39">
        <v>70</v>
      </c>
      <c r="N31">
        <v>0</v>
      </c>
      <c r="O31" s="35">
        <v>4.5999999999999996</v>
      </c>
      <c r="P31" s="35"/>
      <c r="Q31" s="35">
        <v>1</v>
      </c>
      <c r="R31" t="s">
        <v>84</v>
      </c>
      <c r="T31" t="s">
        <v>85</v>
      </c>
      <c r="U31">
        <v>1.0900000000000001</v>
      </c>
      <c r="V31">
        <v>0.33</v>
      </c>
      <c r="W31">
        <v>41.9</v>
      </c>
      <c r="Y31" t="s">
        <v>81</v>
      </c>
      <c r="Z31" t="s">
        <v>86</v>
      </c>
      <c r="AA31" t="s">
        <v>87</v>
      </c>
    </row>
    <row r="32" spans="1:27" ht="15" customHeight="1" x14ac:dyDescent="0.25">
      <c r="A32" s="7" t="s">
        <v>83</v>
      </c>
      <c r="B32" s="6" t="s">
        <v>88</v>
      </c>
      <c r="C32" s="6" t="s">
        <v>60</v>
      </c>
      <c r="D32" s="33" t="s">
        <v>61</v>
      </c>
      <c r="E32" s="33" t="s">
        <v>243</v>
      </c>
      <c r="F32" s="33" t="s">
        <v>243</v>
      </c>
      <c r="G32" t="s">
        <v>62</v>
      </c>
      <c r="H32">
        <v>264</v>
      </c>
      <c r="I32" s="39">
        <v>6</v>
      </c>
      <c r="J32" t="s">
        <v>75</v>
      </c>
      <c r="K32" s="39">
        <v>127</v>
      </c>
      <c r="N32">
        <v>0</v>
      </c>
      <c r="O32" s="35">
        <v>1.3</v>
      </c>
      <c r="P32" s="35"/>
      <c r="Q32" s="35">
        <v>0.6</v>
      </c>
      <c r="R32" t="s">
        <v>84</v>
      </c>
      <c r="T32" t="s">
        <v>85</v>
      </c>
      <c r="U32">
        <v>1.0900000000000001</v>
      </c>
      <c r="W32">
        <v>13.4</v>
      </c>
      <c r="Y32" t="s">
        <v>81</v>
      </c>
      <c r="Z32" t="s">
        <v>86</v>
      </c>
      <c r="AA32" t="s">
        <v>87</v>
      </c>
    </row>
    <row r="33" spans="1:28" ht="15" customHeight="1" x14ac:dyDescent="0.25">
      <c r="A33" s="7" t="s">
        <v>83</v>
      </c>
      <c r="C33" s="6" t="s">
        <v>60</v>
      </c>
      <c r="D33" s="33" t="s">
        <v>61</v>
      </c>
      <c r="E33" s="33" t="s">
        <v>241</v>
      </c>
      <c r="F33" s="33" t="s">
        <v>241</v>
      </c>
      <c r="G33" t="s">
        <v>62</v>
      </c>
      <c r="H33">
        <v>264</v>
      </c>
      <c r="I33" s="39">
        <v>1</v>
      </c>
      <c r="J33" t="s">
        <v>89</v>
      </c>
      <c r="K33" s="39">
        <v>100</v>
      </c>
      <c r="N33">
        <v>0</v>
      </c>
      <c r="O33" s="35">
        <v>6.8</v>
      </c>
      <c r="P33" s="35">
        <v>6.8</v>
      </c>
      <c r="Q33" s="35">
        <v>1.3</v>
      </c>
      <c r="R33" t="s">
        <v>84</v>
      </c>
      <c r="T33" t="s">
        <v>85</v>
      </c>
      <c r="U33">
        <v>1.0900000000000001</v>
      </c>
      <c r="V33">
        <v>0.31</v>
      </c>
      <c r="W33">
        <v>24.6</v>
      </c>
      <c r="Y33" t="s">
        <v>81</v>
      </c>
      <c r="Z33" t="s">
        <v>86</v>
      </c>
      <c r="AA33" t="s">
        <v>87</v>
      </c>
    </row>
    <row r="34" spans="1:28" ht="15" customHeight="1" x14ac:dyDescent="0.25">
      <c r="A34" s="7" t="s">
        <v>83</v>
      </c>
      <c r="B34" s="6" t="s">
        <v>88</v>
      </c>
      <c r="C34" s="6" t="s">
        <v>60</v>
      </c>
      <c r="D34" s="33" t="s">
        <v>61</v>
      </c>
      <c r="E34" s="33" t="s">
        <v>243</v>
      </c>
      <c r="F34" s="33" t="s">
        <v>243</v>
      </c>
      <c r="G34" t="s">
        <v>62</v>
      </c>
      <c r="H34">
        <v>264</v>
      </c>
      <c r="I34" s="39">
        <v>1</v>
      </c>
      <c r="J34" t="s">
        <v>89</v>
      </c>
      <c r="K34" s="39">
        <v>120</v>
      </c>
      <c r="N34">
        <v>0</v>
      </c>
      <c r="O34" s="35">
        <v>2.8</v>
      </c>
      <c r="P34" s="35">
        <v>7</v>
      </c>
      <c r="Q34" s="35">
        <v>1.2</v>
      </c>
      <c r="R34" t="s">
        <v>84</v>
      </c>
      <c r="T34" t="s">
        <v>85</v>
      </c>
      <c r="U34">
        <v>1.0900000000000001</v>
      </c>
      <c r="V34">
        <v>0.31</v>
      </c>
      <c r="W34">
        <v>14.9</v>
      </c>
      <c r="Y34" t="s">
        <v>81</v>
      </c>
      <c r="Z34" t="s">
        <v>86</v>
      </c>
      <c r="AA34" t="s">
        <v>87</v>
      </c>
    </row>
    <row r="35" spans="1:28" ht="15" customHeight="1" x14ac:dyDescent="0.25">
      <c r="A35" s="7" t="s">
        <v>83</v>
      </c>
      <c r="C35" s="6" t="s">
        <v>60</v>
      </c>
      <c r="D35" s="33" t="s">
        <v>61</v>
      </c>
      <c r="E35" s="33" t="s">
        <v>241</v>
      </c>
      <c r="F35" s="33" t="s">
        <v>241</v>
      </c>
      <c r="G35" t="s">
        <v>62</v>
      </c>
      <c r="H35">
        <v>264</v>
      </c>
      <c r="I35" s="39">
        <v>2</v>
      </c>
      <c r="J35" t="s">
        <v>89</v>
      </c>
      <c r="K35" s="39">
        <v>104</v>
      </c>
      <c r="N35">
        <v>0</v>
      </c>
      <c r="O35" s="35">
        <v>7.2</v>
      </c>
      <c r="P35" s="35">
        <v>6.8</v>
      </c>
      <c r="Q35" s="35">
        <v>1.2</v>
      </c>
      <c r="R35" t="s">
        <v>84</v>
      </c>
      <c r="T35" t="s">
        <v>85</v>
      </c>
      <c r="U35">
        <v>1.0900000000000001</v>
      </c>
      <c r="V35">
        <v>0.36</v>
      </c>
      <c r="W35">
        <v>24.1</v>
      </c>
      <c r="Y35" t="s">
        <v>81</v>
      </c>
      <c r="Z35" t="s">
        <v>86</v>
      </c>
      <c r="AA35" t="s">
        <v>87</v>
      </c>
    </row>
    <row r="36" spans="1:28" ht="15" customHeight="1" x14ac:dyDescent="0.25">
      <c r="A36" s="7" t="s">
        <v>83</v>
      </c>
      <c r="B36" s="6" t="s">
        <v>88</v>
      </c>
      <c r="C36" s="6" t="s">
        <v>60</v>
      </c>
      <c r="D36" s="33" t="s">
        <v>61</v>
      </c>
      <c r="E36" s="33" t="s">
        <v>243</v>
      </c>
      <c r="F36" s="33" t="s">
        <v>243</v>
      </c>
      <c r="G36" t="s">
        <v>62</v>
      </c>
      <c r="H36">
        <v>264</v>
      </c>
      <c r="I36" s="39">
        <v>2</v>
      </c>
      <c r="J36" t="s">
        <v>89</v>
      </c>
      <c r="K36" s="39">
        <v>126</v>
      </c>
      <c r="N36">
        <v>0</v>
      </c>
      <c r="O36" s="35">
        <v>2.2000000000000002</v>
      </c>
      <c r="P36" s="35">
        <v>7.4</v>
      </c>
      <c r="Q36" s="35">
        <v>1.1000000000000001</v>
      </c>
      <c r="R36" t="s">
        <v>84</v>
      </c>
      <c r="T36" t="s">
        <v>85</v>
      </c>
      <c r="U36">
        <v>1.0900000000000001</v>
      </c>
      <c r="V36">
        <v>0.36</v>
      </c>
      <c r="W36">
        <v>17.899999999999999</v>
      </c>
      <c r="Y36" t="s">
        <v>81</v>
      </c>
      <c r="Z36" t="s">
        <v>86</v>
      </c>
      <c r="AA36" t="s">
        <v>87</v>
      </c>
    </row>
    <row r="37" spans="1:28" ht="15" customHeight="1" x14ac:dyDescent="0.25">
      <c r="A37" s="7" t="s">
        <v>83</v>
      </c>
      <c r="C37" s="6" t="s">
        <v>60</v>
      </c>
      <c r="D37" s="33" t="s">
        <v>61</v>
      </c>
      <c r="E37" s="33" t="s">
        <v>241</v>
      </c>
      <c r="F37" s="33" t="s">
        <v>241</v>
      </c>
      <c r="G37" t="s">
        <v>62</v>
      </c>
      <c r="H37">
        <v>264</v>
      </c>
      <c r="I37" s="39">
        <v>3</v>
      </c>
      <c r="J37" t="s">
        <v>89</v>
      </c>
      <c r="K37" s="39">
        <v>109</v>
      </c>
      <c r="N37">
        <v>0</v>
      </c>
      <c r="O37" s="35">
        <v>7</v>
      </c>
      <c r="P37" s="35">
        <v>7.5</v>
      </c>
      <c r="Q37" s="35">
        <v>1.1000000000000001</v>
      </c>
      <c r="R37" t="s">
        <v>84</v>
      </c>
      <c r="T37" t="s">
        <v>85</v>
      </c>
      <c r="U37">
        <v>1.0900000000000001</v>
      </c>
      <c r="V37">
        <v>0.33</v>
      </c>
      <c r="W37">
        <v>25.1</v>
      </c>
      <c r="Y37" t="s">
        <v>81</v>
      </c>
      <c r="Z37" t="s">
        <v>86</v>
      </c>
      <c r="AA37" t="s">
        <v>87</v>
      </c>
    </row>
    <row r="38" spans="1:28" ht="15" customHeight="1" x14ac:dyDescent="0.25">
      <c r="A38" s="7" t="s">
        <v>83</v>
      </c>
      <c r="B38" s="6" t="s">
        <v>88</v>
      </c>
      <c r="C38" s="6" t="s">
        <v>60</v>
      </c>
      <c r="D38" s="33" t="s">
        <v>61</v>
      </c>
      <c r="E38" s="33" t="s">
        <v>243</v>
      </c>
      <c r="F38" s="33" t="s">
        <v>243</v>
      </c>
      <c r="G38" t="s">
        <v>62</v>
      </c>
      <c r="H38">
        <v>264</v>
      </c>
      <c r="I38" s="39">
        <v>3</v>
      </c>
      <c r="J38" t="s">
        <v>89</v>
      </c>
      <c r="K38" s="39">
        <v>133</v>
      </c>
      <c r="N38">
        <v>0</v>
      </c>
      <c r="O38" s="35">
        <v>1.3</v>
      </c>
      <c r="P38" s="35">
        <v>8.1</v>
      </c>
      <c r="Q38" s="35">
        <v>1</v>
      </c>
      <c r="R38" t="s">
        <v>84</v>
      </c>
      <c r="T38" t="s">
        <v>85</v>
      </c>
      <c r="U38">
        <v>1.0900000000000001</v>
      </c>
      <c r="V38">
        <v>0.33</v>
      </c>
      <c r="W38">
        <v>28.2</v>
      </c>
      <c r="Y38" t="s">
        <v>81</v>
      </c>
      <c r="Z38" t="s">
        <v>86</v>
      </c>
      <c r="AA38" t="s">
        <v>87</v>
      </c>
    </row>
    <row r="39" spans="1:28" ht="15" customHeight="1" x14ac:dyDescent="0.25">
      <c r="A39" s="7" t="s">
        <v>83</v>
      </c>
      <c r="C39" s="6" t="s">
        <v>60</v>
      </c>
      <c r="D39" s="33" t="s">
        <v>61</v>
      </c>
      <c r="E39" s="33" t="s">
        <v>241</v>
      </c>
      <c r="F39" s="33" t="s">
        <v>241</v>
      </c>
      <c r="G39" t="s">
        <v>62</v>
      </c>
      <c r="H39">
        <v>264</v>
      </c>
      <c r="I39" s="39">
        <v>4</v>
      </c>
      <c r="J39" t="s">
        <v>89</v>
      </c>
      <c r="K39" s="39">
        <v>115</v>
      </c>
      <c r="N39">
        <v>0</v>
      </c>
      <c r="O39" s="35">
        <v>6</v>
      </c>
      <c r="P39" s="35"/>
      <c r="Q39" s="35">
        <v>1</v>
      </c>
      <c r="R39" t="s">
        <v>84</v>
      </c>
      <c r="T39" t="s">
        <v>85</v>
      </c>
      <c r="U39">
        <v>1.0900000000000001</v>
      </c>
      <c r="V39">
        <v>0.26</v>
      </c>
      <c r="W39">
        <v>23.5</v>
      </c>
      <c r="Y39" t="s">
        <v>81</v>
      </c>
      <c r="Z39" t="s">
        <v>86</v>
      </c>
      <c r="AA39" t="s">
        <v>87</v>
      </c>
    </row>
    <row r="40" spans="1:28" ht="15" customHeight="1" x14ac:dyDescent="0.25">
      <c r="A40" s="7" t="s">
        <v>83</v>
      </c>
      <c r="B40" s="6" t="s">
        <v>88</v>
      </c>
      <c r="C40" s="6" t="s">
        <v>60</v>
      </c>
      <c r="D40" s="33" t="s">
        <v>61</v>
      </c>
      <c r="E40" s="33" t="s">
        <v>243</v>
      </c>
      <c r="F40" s="33" t="s">
        <v>243</v>
      </c>
      <c r="G40" t="s">
        <v>62</v>
      </c>
      <c r="H40">
        <v>264</v>
      </c>
      <c r="I40" s="39">
        <v>4</v>
      </c>
      <c r="J40" t="s">
        <v>89</v>
      </c>
      <c r="K40" s="39">
        <v>124</v>
      </c>
      <c r="N40">
        <v>0</v>
      </c>
      <c r="O40" s="35">
        <v>2.8</v>
      </c>
      <c r="P40" s="35"/>
      <c r="Q40" s="35">
        <v>0.9</v>
      </c>
      <c r="R40" t="s">
        <v>84</v>
      </c>
      <c r="T40" t="s">
        <v>85</v>
      </c>
      <c r="U40">
        <v>1.0900000000000001</v>
      </c>
      <c r="V40">
        <v>0.26</v>
      </c>
      <c r="W40">
        <v>28.6</v>
      </c>
      <c r="Y40" t="s">
        <v>81</v>
      </c>
      <c r="Z40" t="s">
        <v>86</v>
      </c>
      <c r="AA40" t="s">
        <v>87</v>
      </c>
    </row>
    <row r="41" spans="1:28" ht="15" customHeight="1" x14ac:dyDescent="0.25">
      <c r="A41" s="7" t="s">
        <v>83</v>
      </c>
      <c r="C41" s="6" t="s">
        <v>60</v>
      </c>
      <c r="D41" s="33" t="s">
        <v>61</v>
      </c>
      <c r="E41" s="33" t="s">
        <v>241</v>
      </c>
      <c r="F41" s="33" t="s">
        <v>241</v>
      </c>
      <c r="G41" t="s">
        <v>62</v>
      </c>
      <c r="H41">
        <v>264</v>
      </c>
      <c r="I41" s="39">
        <v>5</v>
      </c>
      <c r="J41" t="s">
        <v>89</v>
      </c>
      <c r="K41" s="39">
        <v>120</v>
      </c>
      <c r="N41">
        <v>0</v>
      </c>
      <c r="O41" s="35">
        <v>5.7</v>
      </c>
      <c r="P41" s="35"/>
      <c r="Q41" s="35">
        <v>1</v>
      </c>
      <c r="R41" t="s">
        <v>84</v>
      </c>
      <c r="T41" t="s">
        <v>85</v>
      </c>
      <c r="U41">
        <v>1.0900000000000001</v>
      </c>
      <c r="V41">
        <v>0.37</v>
      </c>
      <c r="W41">
        <v>25.4</v>
      </c>
      <c r="Y41" t="s">
        <v>81</v>
      </c>
      <c r="Z41" t="s">
        <v>86</v>
      </c>
      <c r="AA41" t="s">
        <v>87</v>
      </c>
    </row>
    <row r="42" spans="1:28" ht="15" customHeight="1" x14ac:dyDescent="0.25">
      <c r="A42" s="7" t="s">
        <v>83</v>
      </c>
      <c r="B42" s="6" t="s">
        <v>88</v>
      </c>
      <c r="C42" s="6" t="s">
        <v>60</v>
      </c>
      <c r="D42" s="33" t="s">
        <v>61</v>
      </c>
      <c r="E42" s="33" t="s">
        <v>243</v>
      </c>
      <c r="F42" s="33" t="s">
        <v>243</v>
      </c>
      <c r="G42" t="s">
        <v>62</v>
      </c>
      <c r="H42">
        <v>264</v>
      </c>
      <c r="I42" s="39">
        <v>5</v>
      </c>
      <c r="J42" t="s">
        <v>89</v>
      </c>
      <c r="K42" s="39">
        <v>141</v>
      </c>
      <c r="N42">
        <v>0</v>
      </c>
      <c r="O42" s="35">
        <v>2</v>
      </c>
      <c r="P42" s="35"/>
      <c r="Q42" s="35">
        <v>0.9</v>
      </c>
      <c r="R42" t="s">
        <v>84</v>
      </c>
      <c r="T42" t="s">
        <v>85</v>
      </c>
      <c r="U42">
        <v>1.0900000000000001</v>
      </c>
      <c r="V42">
        <v>0.37</v>
      </c>
      <c r="W42">
        <v>10</v>
      </c>
      <c r="Y42" t="s">
        <v>81</v>
      </c>
      <c r="Z42" t="s">
        <v>86</v>
      </c>
      <c r="AA42" t="s">
        <v>87</v>
      </c>
    </row>
    <row r="43" spans="1:28" ht="15" customHeight="1" x14ac:dyDescent="0.25">
      <c r="A43" s="7" t="s">
        <v>83</v>
      </c>
      <c r="C43" s="6" t="s">
        <v>60</v>
      </c>
      <c r="D43" s="33" t="s">
        <v>61</v>
      </c>
      <c r="E43" s="33" t="s">
        <v>241</v>
      </c>
      <c r="F43" s="33" t="s">
        <v>241</v>
      </c>
      <c r="G43" t="s">
        <v>62</v>
      </c>
      <c r="H43">
        <v>264</v>
      </c>
      <c r="I43" s="39">
        <v>6</v>
      </c>
      <c r="J43" t="s">
        <v>89</v>
      </c>
      <c r="K43" s="39">
        <v>70</v>
      </c>
      <c r="N43">
        <v>0</v>
      </c>
      <c r="O43" s="35">
        <v>4.5999999999999996</v>
      </c>
      <c r="P43" s="35"/>
      <c r="Q43" s="35">
        <v>1</v>
      </c>
      <c r="R43" t="s">
        <v>84</v>
      </c>
      <c r="T43" t="s">
        <v>85</v>
      </c>
      <c r="U43">
        <v>1.0900000000000001</v>
      </c>
      <c r="V43">
        <v>0.33</v>
      </c>
      <c r="W43">
        <v>14.7</v>
      </c>
      <c r="Y43" t="s">
        <v>81</v>
      </c>
      <c r="Z43" t="s">
        <v>86</v>
      </c>
      <c r="AA43" t="s">
        <v>87</v>
      </c>
    </row>
    <row r="44" spans="1:28" ht="15" customHeight="1" x14ac:dyDescent="0.25">
      <c r="A44" s="7" t="s">
        <v>83</v>
      </c>
      <c r="B44" s="6" t="s">
        <v>88</v>
      </c>
      <c r="C44" s="6" t="s">
        <v>60</v>
      </c>
      <c r="D44" s="33" t="s">
        <v>61</v>
      </c>
      <c r="E44" s="33" t="s">
        <v>243</v>
      </c>
      <c r="F44" s="33" t="s">
        <v>243</v>
      </c>
      <c r="G44" t="s">
        <v>62</v>
      </c>
      <c r="H44">
        <v>264</v>
      </c>
      <c r="I44" s="39">
        <v>6</v>
      </c>
      <c r="J44" t="s">
        <v>89</v>
      </c>
      <c r="K44" s="39">
        <v>127</v>
      </c>
      <c r="N44">
        <v>0</v>
      </c>
      <c r="O44" s="35">
        <v>1.3</v>
      </c>
      <c r="P44" s="35"/>
      <c r="Q44" s="35">
        <v>0.6</v>
      </c>
      <c r="R44" t="s">
        <v>84</v>
      </c>
      <c r="T44" t="s">
        <v>85</v>
      </c>
      <c r="U44">
        <v>1.0900000000000001</v>
      </c>
      <c r="V44">
        <v>0.33</v>
      </c>
      <c r="W44">
        <v>4.3</v>
      </c>
      <c r="Y44" t="s">
        <v>81</v>
      </c>
      <c r="Z44" t="s">
        <v>86</v>
      </c>
      <c r="AA44" t="s">
        <v>87</v>
      </c>
    </row>
    <row r="45" spans="1:28" ht="15" customHeight="1" x14ac:dyDescent="0.25">
      <c r="A45" s="7" t="s">
        <v>90</v>
      </c>
      <c r="C45" s="6" t="s">
        <v>91</v>
      </c>
      <c r="D45" s="33" t="s">
        <v>74</v>
      </c>
      <c r="E45" s="33" t="s">
        <v>241</v>
      </c>
      <c r="F45" s="33" t="s">
        <v>241</v>
      </c>
      <c r="G45" t="s">
        <v>62</v>
      </c>
      <c r="H45">
        <v>192</v>
      </c>
      <c r="I45" s="39">
        <v>1</v>
      </c>
      <c r="J45" t="s">
        <v>75</v>
      </c>
      <c r="K45" s="22">
        <f>145.3/5.46</f>
        <v>26.611721611721613</v>
      </c>
      <c r="L45" s="39"/>
      <c r="N45">
        <v>0</v>
      </c>
      <c r="O45" s="35">
        <v>4.58</v>
      </c>
      <c r="P45" s="35">
        <v>7.4</v>
      </c>
      <c r="Q45" s="35">
        <v>3.76</v>
      </c>
      <c r="R45" t="s">
        <v>92</v>
      </c>
      <c r="T45" t="s">
        <v>64</v>
      </c>
      <c r="U45" s="2"/>
      <c r="V45" s="39"/>
      <c r="W45" s="22">
        <f>13.5/(K45*Q45)*100</f>
        <v>13.491894978840552</v>
      </c>
      <c r="Y45" t="s">
        <v>93</v>
      </c>
      <c r="Z45" t="s">
        <v>94</v>
      </c>
      <c r="AA45" t="s">
        <v>95</v>
      </c>
      <c r="AB45" s="4"/>
    </row>
    <row r="46" spans="1:28" ht="15" customHeight="1" x14ac:dyDescent="0.25">
      <c r="A46" s="7" t="s">
        <v>90</v>
      </c>
      <c r="C46" s="6" t="s">
        <v>91</v>
      </c>
      <c r="D46" s="33" t="s">
        <v>74</v>
      </c>
      <c r="E46" s="33" t="s">
        <v>241</v>
      </c>
      <c r="F46" s="33" t="s">
        <v>241</v>
      </c>
      <c r="G46" t="s">
        <v>62</v>
      </c>
      <c r="H46">
        <v>192</v>
      </c>
      <c r="I46" s="39">
        <v>2</v>
      </c>
      <c r="J46" t="s">
        <v>75</v>
      </c>
      <c r="K46" s="22">
        <f>145.3/5.46</f>
        <v>26.611721611721613</v>
      </c>
      <c r="L46" s="39"/>
      <c r="N46">
        <v>0</v>
      </c>
      <c r="O46" s="35">
        <v>4.58</v>
      </c>
      <c r="P46" s="35">
        <v>7.4</v>
      </c>
      <c r="Q46" s="35">
        <v>3.76</v>
      </c>
      <c r="R46" t="s">
        <v>92</v>
      </c>
      <c r="T46" t="s">
        <v>64</v>
      </c>
      <c r="U46" s="2"/>
      <c r="V46" s="39"/>
      <c r="W46" s="22">
        <f>19.6/(K46*Q46)*100</f>
        <v>19.588232710020357</v>
      </c>
      <c r="Y46" t="s">
        <v>93</v>
      </c>
      <c r="Z46" t="s">
        <v>94</v>
      </c>
      <c r="AA46" t="s">
        <v>95</v>
      </c>
      <c r="AB46" s="4"/>
    </row>
    <row r="47" spans="1:28" ht="15" customHeight="1" x14ac:dyDescent="0.25">
      <c r="A47" s="7" t="s">
        <v>90</v>
      </c>
      <c r="C47" s="6" t="s">
        <v>91</v>
      </c>
      <c r="D47" s="33" t="s">
        <v>74</v>
      </c>
      <c r="E47" s="33" t="s">
        <v>241</v>
      </c>
      <c r="F47" s="33" t="s">
        <v>241</v>
      </c>
      <c r="G47" t="s">
        <v>62</v>
      </c>
      <c r="H47">
        <v>192</v>
      </c>
      <c r="I47" s="39">
        <v>3</v>
      </c>
      <c r="J47" t="s">
        <v>75</v>
      </c>
      <c r="K47" s="22">
        <f>145.3/5.46</f>
        <v>26.611721611721613</v>
      </c>
      <c r="L47" s="39"/>
      <c r="N47">
        <v>0</v>
      </c>
      <c r="O47" s="35">
        <v>4.58</v>
      </c>
      <c r="P47" s="35">
        <v>7.4</v>
      </c>
      <c r="Q47" s="35">
        <v>3.76</v>
      </c>
      <c r="R47" t="s">
        <v>92</v>
      </c>
      <c r="T47" t="s">
        <v>64</v>
      </c>
      <c r="U47" s="2"/>
      <c r="V47" s="39"/>
      <c r="W47" s="22">
        <f>32.7/(K47*Q47)*100</f>
        <v>32.680367837636005</v>
      </c>
      <c r="Y47" t="s">
        <v>93</v>
      </c>
      <c r="Z47" t="s">
        <v>94</v>
      </c>
      <c r="AA47" t="s">
        <v>95</v>
      </c>
      <c r="AB47" s="4"/>
    </row>
    <row r="48" spans="1:28" ht="15" customHeight="1" x14ac:dyDescent="0.25">
      <c r="A48" s="7" t="s">
        <v>90</v>
      </c>
      <c r="B48" s="6" t="s">
        <v>88</v>
      </c>
      <c r="C48" s="6" t="s">
        <v>91</v>
      </c>
      <c r="D48" s="33" t="s">
        <v>74</v>
      </c>
      <c r="E48" s="33" t="s">
        <v>243</v>
      </c>
      <c r="F48" s="33" t="s">
        <v>243</v>
      </c>
      <c r="G48" t="s">
        <v>62</v>
      </c>
      <c r="H48">
        <v>192</v>
      </c>
      <c r="I48" s="39">
        <v>1</v>
      </c>
      <c r="J48" t="s">
        <v>75</v>
      </c>
      <c r="K48" s="22">
        <f>141.9/5.09</f>
        <v>27.878192534381142</v>
      </c>
      <c r="L48" s="39"/>
      <c r="N48">
        <v>0</v>
      </c>
      <c r="O48" s="35">
        <v>2.59</v>
      </c>
      <c r="P48" s="35">
        <v>7.6</v>
      </c>
      <c r="Q48" s="35">
        <v>3.52</v>
      </c>
      <c r="R48" t="s">
        <v>92</v>
      </c>
      <c r="T48" t="s">
        <v>64</v>
      </c>
      <c r="U48" s="2"/>
      <c r="V48" s="39"/>
      <c r="W48" s="22">
        <f>13.2/(K48*Q48)*100</f>
        <v>13.451374207188158</v>
      </c>
      <c r="Y48" t="s">
        <v>93</v>
      </c>
      <c r="Z48" t="s">
        <v>94</v>
      </c>
      <c r="AA48" t="s">
        <v>95</v>
      </c>
      <c r="AB48" s="4"/>
    </row>
    <row r="49" spans="1:28" ht="15" customHeight="1" x14ac:dyDescent="0.25">
      <c r="A49" s="7" t="s">
        <v>90</v>
      </c>
      <c r="B49" s="6" t="s">
        <v>88</v>
      </c>
      <c r="C49" s="6" t="s">
        <v>91</v>
      </c>
      <c r="D49" s="33" t="s">
        <v>74</v>
      </c>
      <c r="E49" s="33" t="s">
        <v>243</v>
      </c>
      <c r="F49" s="33" t="s">
        <v>243</v>
      </c>
      <c r="G49" t="s">
        <v>62</v>
      </c>
      <c r="H49">
        <v>192</v>
      </c>
      <c r="I49" s="39">
        <v>2</v>
      </c>
      <c r="J49" t="s">
        <v>75</v>
      </c>
      <c r="K49" s="22">
        <f>141.9/5.09</f>
        <v>27.878192534381142</v>
      </c>
      <c r="L49" s="39"/>
      <c r="N49">
        <v>0</v>
      </c>
      <c r="O49" s="35">
        <v>2.59</v>
      </c>
      <c r="P49" s="35">
        <v>7.6</v>
      </c>
      <c r="Q49" s="35">
        <v>3.52</v>
      </c>
      <c r="R49" t="s">
        <v>92</v>
      </c>
      <c r="T49" t="s">
        <v>64</v>
      </c>
      <c r="U49" s="2"/>
      <c r="V49" s="39"/>
      <c r="W49" s="22">
        <f>13.4/(K49*Q49)*100</f>
        <v>13.655182907297073</v>
      </c>
      <c r="Y49" t="s">
        <v>93</v>
      </c>
      <c r="Z49" t="s">
        <v>94</v>
      </c>
      <c r="AA49" t="s">
        <v>95</v>
      </c>
      <c r="AB49" s="4"/>
    </row>
    <row r="50" spans="1:28" ht="15" customHeight="1" x14ac:dyDescent="0.25">
      <c r="A50" s="7" t="s">
        <v>90</v>
      </c>
      <c r="B50" s="6" t="s">
        <v>88</v>
      </c>
      <c r="C50" s="6" t="s">
        <v>91</v>
      </c>
      <c r="D50" s="33" t="s">
        <v>74</v>
      </c>
      <c r="E50" s="33" t="s">
        <v>243</v>
      </c>
      <c r="F50" s="33" t="s">
        <v>243</v>
      </c>
      <c r="G50" t="s">
        <v>62</v>
      </c>
      <c r="H50">
        <v>192</v>
      </c>
      <c r="I50" s="39">
        <v>3</v>
      </c>
      <c r="J50" t="s">
        <v>75</v>
      </c>
      <c r="K50" s="22">
        <f>141.9/5.09</f>
        <v>27.878192534381142</v>
      </c>
      <c r="L50" s="39"/>
      <c r="N50">
        <v>0</v>
      </c>
      <c r="O50" s="35">
        <v>2.59</v>
      </c>
      <c r="P50" s="35">
        <v>7.6</v>
      </c>
      <c r="Q50" s="35">
        <v>3.52</v>
      </c>
      <c r="R50" t="s">
        <v>92</v>
      </c>
      <c r="T50" t="s">
        <v>64</v>
      </c>
      <c r="U50" s="2"/>
      <c r="V50" s="39"/>
      <c r="W50" s="22">
        <f>26.7/(K50*Q50)*100</f>
        <v>27.208461464539685</v>
      </c>
      <c r="Y50" t="s">
        <v>93</v>
      </c>
      <c r="Z50" t="s">
        <v>94</v>
      </c>
      <c r="AA50" t="s">
        <v>95</v>
      </c>
      <c r="AB50" s="4"/>
    </row>
    <row r="51" spans="1:28" ht="15" customHeight="1" x14ac:dyDescent="0.25">
      <c r="A51" s="7" t="s">
        <v>90</v>
      </c>
      <c r="B51" s="6" t="s">
        <v>96</v>
      </c>
      <c r="C51" s="6" t="s">
        <v>91</v>
      </c>
      <c r="D51" s="33" t="s">
        <v>74</v>
      </c>
      <c r="E51" s="33" t="s">
        <v>243</v>
      </c>
      <c r="F51" s="33" t="s">
        <v>243</v>
      </c>
      <c r="G51" t="s">
        <v>62</v>
      </c>
      <c r="H51">
        <v>192</v>
      </c>
      <c r="I51" s="39">
        <v>1</v>
      </c>
      <c r="J51" t="s">
        <v>75</v>
      </c>
      <c r="K51" s="22">
        <f>148.7/4.93</f>
        <v>30.162271805273832</v>
      </c>
      <c r="L51" s="39"/>
      <c r="N51">
        <v>0</v>
      </c>
      <c r="O51" s="35">
        <v>3.07</v>
      </c>
      <c r="P51" s="35">
        <v>7.7</v>
      </c>
      <c r="Q51" s="35">
        <v>3.15</v>
      </c>
      <c r="R51" t="s">
        <v>92</v>
      </c>
      <c r="T51" t="s">
        <v>64</v>
      </c>
      <c r="U51" s="2"/>
      <c r="V51" s="39"/>
      <c r="W51" s="22">
        <f>8.6/(K51*Q51)*100</f>
        <v>9.0515686211718496</v>
      </c>
      <c r="Y51" t="s">
        <v>93</v>
      </c>
      <c r="Z51" t="s">
        <v>94</v>
      </c>
      <c r="AA51" t="s">
        <v>95</v>
      </c>
      <c r="AB51" s="4"/>
    </row>
    <row r="52" spans="1:28" ht="15" customHeight="1" x14ac:dyDescent="0.25">
      <c r="A52" s="7" t="s">
        <v>90</v>
      </c>
      <c r="B52" s="6" t="s">
        <v>96</v>
      </c>
      <c r="C52" s="6" t="s">
        <v>91</v>
      </c>
      <c r="D52" s="33" t="s">
        <v>74</v>
      </c>
      <c r="E52" s="33" t="s">
        <v>243</v>
      </c>
      <c r="F52" s="33" t="s">
        <v>243</v>
      </c>
      <c r="G52" t="s">
        <v>62</v>
      </c>
      <c r="H52">
        <v>192</v>
      </c>
      <c r="I52" s="39">
        <v>2</v>
      </c>
      <c r="J52" t="s">
        <v>75</v>
      </c>
      <c r="K52" s="22">
        <f>148.7/4.93</f>
        <v>30.162271805273832</v>
      </c>
      <c r="L52" s="39"/>
      <c r="N52">
        <v>0</v>
      </c>
      <c r="O52" s="35">
        <v>3.07</v>
      </c>
      <c r="P52" s="35">
        <v>7.7</v>
      </c>
      <c r="Q52" s="35">
        <v>3.15</v>
      </c>
      <c r="R52" t="s">
        <v>92</v>
      </c>
      <c r="T52" t="s">
        <v>64</v>
      </c>
      <c r="U52" s="2"/>
      <c r="V52" s="39"/>
      <c r="W52" s="22">
        <f>12.9/(K52*Q52)*100</f>
        <v>13.577352931757774</v>
      </c>
      <c r="Y52" t="s">
        <v>93</v>
      </c>
      <c r="Z52" t="s">
        <v>94</v>
      </c>
      <c r="AA52" t="s">
        <v>95</v>
      </c>
      <c r="AB52" s="4"/>
    </row>
    <row r="53" spans="1:28" ht="15" customHeight="1" x14ac:dyDescent="0.25">
      <c r="A53" s="7" t="s">
        <v>90</v>
      </c>
      <c r="B53" s="6" t="s">
        <v>96</v>
      </c>
      <c r="C53" s="6" t="s">
        <v>91</v>
      </c>
      <c r="D53" s="33" t="s">
        <v>74</v>
      </c>
      <c r="E53" s="33" t="s">
        <v>243</v>
      </c>
      <c r="F53" s="33" t="s">
        <v>243</v>
      </c>
      <c r="G53" t="s">
        <v>62</v>
      </c>
      <c r="H53">
        <v>192</v>
      </c>
      <c r="I53" s="39">
        <v>3</v>
      </c>
      <c r="J53" t="s">
        <v>75</v>
      </c>
      <c r="K53" s="22">
        <f>148.7/4.93</f>
        <v>30.162271805273832</v>
      </c>
      <c r="L53" s="39"/>
      <c r="N53">
        <v>0</v>
      </c>
      <c r="O53" s="35">
        <v>3.07</v>
      </c>
      <c r="P53" s="35">
        <v>7.7</v>
      </c>
      <c r="Q53" s="35">
        <v>3.15</v>
      </c>
      <c r="R53" t="s">
        <v>92</v>
      </c>
      <c r="T53" t="s">
        <v>64</v>
      </c>
      <c r="U53" s="2"/>
      <c r="V53" s="39"/>
      <c r="W53" s="22">
        <f>20.6/(K53*Q53)*100</f>
        <v>21.681664371644199</v>
      </c>
      <c r="Y53" t="s">
        <v>93</v>
      </c>
      <c r="Z53" t="s">
        <v>94</v>
      </c>
      <c r="AA53" t="s">
        <v>95</v>
      </c>
      <c r="AB53" s="4"/>
    </row>
    <row r="54" spans="1:28" ht="15" customHeight="1" x14ac:dyDescent="0.25">
      <c r="A54" s="7" t="s">
        <v>97</v>
      </c>
      <c r="C54" s="6" t="s">
        <v>91</v>
      </c>
      <c r="D54" s="33" t="s">
        <v>74</v>
      </c>
      <c r="E54" s="33" t="s">
        <v>241</v>
      </c>
      <c r="F54" s="33" t="s">
        <v>241</v>
      </c>
      <c r="G54" t="s">
        <v>62</v>
      </c>
      <c r="H54">
        <v>240</v>
      </c>
      <c r="I54" s="39">
        <v>1</v>
      </c>
      <c r="J54" t="s">
        <v>75</v>
      </c>
      <c r="K54" s="25">
        <v>14</v>
      </c>
      <c r="N54">
        <v>0</v>
      </c>
      <c r="O54" s="35">
        <v>5.2</v>
      </c>
      <c r="P54" s="35">
        <v>7.4</v>
      </c>
      <c r="Q54" s="35">
        <v>3.5</v>
      </c>
      <c r="R54" t="s">
        <v>70</v>
      </c>
      <c r="S54">
        <v>27</v>
      </c>
      <c r="T54" t="s">
        <v>85</v>
      </c>
      <c r="V54">
        <v>0.3</v>
      </c>
      <c r="W54" s="1">
        <v>22.7</v>
      </c>
      <c r="X54" s="1"/>
      <c r="Y54" t="s">
        <v>98</v>
      </c>
      <c r="Z54" t="s">
        <v>99</v>
      </c>
    </row>
    <row r="55" spans="1:28" ht="15" customHeight="1" x14ac:dyDescent="0.25">
      <c r="A55" s="7" t="s">
        <v>97</v>
      </c>
      <c r="B55" s="6" t="s">
        <v>88</v>
      </c>
      <c r="C55" s="6" t="s">
        <v>91</v>
      </c>
      <c r="D55" s="33" t="s">
        <v>74</v>
      </c>
      <c r="E55" s="33" t="s">
        <v>243</v>
      </c>
      <c r="F55" s="33" t="s">
        <v>243</v>
      </c>
      <c r="G55" t="s">
        <v>62</v>
      </c>
      <c r="H55">
        <v>240</v>
      </c>
      <c r="I55" s="39">
        <v>1</v>
      </c>
      <c r="J55" t="s">
        <v>75</v>
      </c>
      <c r="K55" s="25">
        <v>16</v>
      </c>
      <c r="N55">
        <v>0</v>
      </c>
      <c r="O55" s="35">
        <v>2.8</v>
      </c>
      <c r="P55" s="35">
        <v>7.7</v>
      </c>
      <c r="Q55" s="35">
        <v>3.7</v>
      </c>
      <c r="R55" t="s">
        <v>70</v>
      </c>
      <c r="S55">
        <v>27</v>
      </c>
      <c r="T55" t="s">
        <v>85</v>
      </c>
      <c r="V55">
        <v>0.3</v>
      </c>
      <c r="W55" s="1">
        <v>20.5</v>
      </c>
      <c r="X55" s="1"/>
      <c r="Y55" t="s">
        <v>98</v>
      </c>
      <c r="Z55" t="s">
        <v>99</v>
      </c>
    </row>
    <row r="56" spans="1:28" ht="15" customHeight="1" x14ac:dyDescent="0.25">
      <c r="A56" s="7" t="s">
        <v>97</v>
      </c>
      <c r="B56" s="6" t="s">
        <v>96</v>
      </c>
      <c r="C56" s="6" t="s">
        <v>100</v>
      </c>
      <c r="D56" s="33" t="s">
        <v>74</v>
      </c>
      <c r="E56" s="33" t="s">
        <v>243</v>
      </c>
      <c r="F56" s="33" t="s">
        <v>243</v>
      </c>
      <c r="G56" t="s">
        <v>62</v>
      </c>
      <c r="H56">
        <v>240</v>
      </c>
      <c r="I56" s="39">
        <v>1</v>
      </c>
      <c r="J56" t="s">
        <v>75</v>
      </c>
      <c r="K56" s="25">
        <v>34</v>
      </c>
      <c r="N56">
        <v>0</v>
      </c>
      <c r="O56" s="35">
        <v>1.6</v>
      </c>
      <c r="P56" s="35">
        <v>8.1</v>
      </c>
      <c r="Q56" s="35">
        <v>3.2</v>
      </c>
      <c r="R56" t="s">
        <v>70</v>
      </c>
      <c r="S56">
        <v>27</v>
      </c>
      <c r="T56" t="s">
        <v>85</v>
      </c>
      <c r="V56">
        <v>0.3</v>
      </c>
      <c r="W56" s="1">
        <v>28.9</v>
      </c>
      <c r="X56" s="1"/>
      <c r="Y56" t="s">
        <v>98</v>
      </c>
      <c r="Z56" t="s">
        <v>99</v>
      </c>
    </row>
    <row r="57" spans="1:28" ht="15" customHeight="1" x14ac:dyDescent="0.25">
      <c r="A57" s="7" t="s">
        <v>97</v>
      </c>
      <c r="C57" s="6" t="s">
        <v>100</v>
      </c>
      <c r="D57" s="33" t="s">
        <v>74</v>
      </c>
      <c r="E57" s="33" t="s">
        <v>241</v>
      </c>
      <c r="F57" s="33" t="s">
        <v>241</v>
      </c>
      <c r="G57" t="s">
        <v>62</v>
      </c>
      <c r="H57">
        <v>240</v>
      </c>
      <c r="I57" s="39">
        <v>2</v>
      </c>
      <c r="J57" t="s">
        <v>75</v>
      </c>
      <c r="K57" s="25">
        <v>16</v>
      </c>
      <c r="N57">
        <v>0</v>
      </c>
      <c r="O57" s="35">
        <v>2.6</v>
      </c>
      <c r="P57" s="35">
        <v>8</v>
      </c>
      <c r="Q57" s="35">
        <v>3.7</v>
      </c>
      <c r="R57" t="s">
        <v>70</v>
      </c>
      <c r="S57">
        <v>27</v>
      </c>
      <c r="T57" t="s">
        <v>85</v>
      </c>
      <c r="V57">
        <v>0.3</v>
      </c>
      <c r="W57" s="1">
        <v>22.1</v>
      </c>
      <c r="X57" s="1"/>
      <c r="Y57" t="s">
        <v>98</v>
      </c>
      <c r="Z57" t="s">
        <v>99</v>
      </c>
    </row>
    <row r="58" spans="1:28" ht="15" customHeight="1" x14ac:dyDescent="0.25">
      <c r="A58" s="7" t="s">
        <v>97</v>
      </c>
      <c r="B58" s="6" t="s">
        <v>101</v>
      </c>
      <c r="C58" s="6" t="s">
        <v>100</v>
      </c>
      <c r="D58" s="33" t="s">
        <v>74</v>
      </c>
      <c r="E58" s="33" t="s">
        <v>243</v>
      </c>
      <c r="F58" s="33" t="s">
        <v>243</v>
      </c>
      <c r="G58" t="s">
        <v>62</v>
      </c>
      <c r="H58">
        <v>240</v>
      </c>
      <c r="I58" s="39">
        <v>2</v>
      </c>
      <c r="J58" t="s">
        <v>75</v>
      </c>
      <c r="K58" s="25">
        <v>25</v>
      </c>
      <c r="N58">
        <v>0</v>
      </c>
      <c r="O58" s="35">
        <v>1</v>
      </c>
      <c r="P58" s="35">
        <v>8.3000000000000007</v>
      </c>
      <c r="Q58" s="35">
        <v>2.8</v>
      </c>
      <c r="R58" t="s">
        <v>70</v>
      </c>
      <c r="S58">
        <v>27</v>
      </c>
      <c r="T58" t="s">
        <v>85</v>
      </c>
      <c r="V58">
        <v>0.3</v>
      </c>
      <c r="W58" s="1">
        <v>22.1</v>
      </c>
      <c r="X58" s="1"/>
      <c r="Y58" t="s">
        <v>98</v>
      </c>
      <c r="Z58" t="s">
        <v>99</v>
      </c>
    </row>
    <row r="59" spans="1:28" ht="15" customHeight="1" x14ac:dyDescent="0.25">
      <c r="A59" s="7" t="s">
        <v>97</v>
      </c>
      <c r="C59" s="6" t="s">
        <v>91</v>
      </c>
      <c r="D59" s="33" t="s">
        <v>74</v>
      </c>
      <c r="E59" s="33" t="s">
        <v>241</v>
      </c>
      <c r="F59" s="33" t="s">
        <v>241</v>
      </c>
      <c r="G59" t="s">
        <v>62</v>
      </c>
      <c r="H59">
        <v>240</v>
      </c>
      <c r="I59" s="39">
        <v>3</v>
      </c>
      <c r="J59" t="s">
        <v>75</v>
      </c>
      <c r="K59" s="25">
        <v>21</v>
      </c>
      <c r="N59">
        <v>0</v>
      </c>
      <c r="O59" s="35">
        <v>7.6</v>
      </c>
      <c r="P59" s="35">
        <v>7.5</v>
      </c>
      <c r="Q59" s="35">
        <v>5.3</v>
      </c>
      <c r="R59" t="s">
        <v>70</v>
      </c>
      <c r="S59">
        <v>27</v>
      </c>
      <c r="T59" t="s">
        <v>85</v>
      </c>
      <c r="V59">
        <v>0.3</v>
      </c>
      <c r="W59" s="1">
        <v>25</v>
      </c>
      <c r="X59" s="1"/>
      <c r="Y59" t="s">
        <v>98</v>
      </c>
      <c r="Z59" t="s">
        <v>99</v>
      </c>
    </row>
    <row r="60" spans="1:28" ht="15" customHeight="1" x14ac:dyDescent="0.25">
      <c r="A60" s="7" t="s">
        <v>97</v>
      </c>
      <c r="B60" s="6" t="s">
        <v>88</v>
      </c>
      <c r="C60" s="6" t="s">
        <v>91</v>
      </c>
      <c r="D60" s="33" t="s">
        <v>74</v>
      </c>
      <c r="E60" s="33" t="s">
        <v>243</v>
      </c>
      <c r="F60" s="33" t="s">
        <v>243</v>
      </c>
      <c r="G60" t="s">
        <v>62</v>
      </c>
      <c r="H60">
        <v>240</v>
      </c>
      <c r="I60" s="39">
        <v>3</v>
      </c>
      <c r="J60" t="s">
        <v>75</v>
      </c>
      <c r="K60" s="25">
        <v>24</v>
      </c>
      <c r="N60">
        <v>0</v>
      </c>
      <c r="O60" s="35">
        <v>4.0999999999999996</v>
      </c>
      <c r="P60" s="35">
        <v>7.8</v>
      </c>
      <c r="Q60" s="35">
        <v>5.0999999999999996</v>
      </c>
      <c r="R60" t="s">
        <v>70</v>
      </c>
      <c r="S60">
        <v>27</v>
      </c>
      <c r="T60" t="s">
        <v>85</v>
      </c>
      <c r="V60">
        <v>0.3</v>
      </c>
      <c r="W60" s="1">
        <v>27.8</v>
      </c>
      <c r="X60" s="1"/>
      <c r="Y60" t="s">
        <v>98</v>
      </c>
      <c r="Z60" t="s">
        <v>99</v>
      </c>
    </row>
    <row r="61" spans="1:28" ht="15" customHeight="1" x14ac:dyDescent="0.25">
      <c r="A61" s="7" t="s">
        <v>97</v>
      </c>
      <c r="B61" s="6" t="s">
        <v>96</v>
      </c>
      <c r="C61" s="6" t="s">
        <v>100</v>
      </c>
      <c r="D61" s="33" t="s">
        <v>74</v>
      </c>
      <c r="E61" s="33" t="s">
        <v>243</v>
      </c>
      <c r="F61" s="33" t="s">
        <v>243</v>
      </c>
      <c r="G61" t="s">
        <v>62</v>
      </c>
      <c r="H61">
        <v>240</v>
      </c>
      <c r="I61" s="39">
        <v>3</v>
      </c>
      <c r="J61" t="s">
        <v>75</v>
      </c>
      <c r="K61" s="25">
        <v>34</v>
      </c>
      <c r="N61">
        <v>0</v>
      </c>
      <c r="O61" s="35">
        <v>3.2</v>
      </c>
      <c r="P61" s="35">
        <v>8.1</v>
      </c>
      <c r="Q61" s="35">
        <v>3.5</v>
      </c>
      <c r="R61" t="s">
        <v>70</v>
      </c>
      <c r="S61">
        <v>27</v>
      </c>
      <c r="T61" t="s">
        <v>85</v>
      </c>
      <c r="V61">
        <v>0.3</v>
      </c>
      <c r="W61" s="1">
        <v>29</v>
      </c>
      <c r="X61" s="1"/>
      <c r="Y61" t="s">
        <v>98</v>
      </c>
      <c r="Z61" t="s">
        <v>99</v>
      </c>
    </row>
    <row r="62" spans="1:28" ht="15" customHeight="1" x14ac:dyDescent="0.25">
      <c r="A62" s="7" t="s">
        <v>97</v>
      </c>
      <c r="C62" s="6" t="s">
        <v>100</v>
      </c>
      <c r="D62" s="33" t="s">
        <v>74</v>
      </c>
      <c r="E62" s="33" t="s">
        <v>241</v>
      </c>
      <c r="F62" s="33" t="s">
        <v>241</v>
      </c>
      <c r="G62" t="s">
        <v>62</v>
      </c>
      <c r="H62">
        <v>240</v>
      </c>
      <c r="I62" s="39">
        <v>4</v>
      </c>
      <c r="J62" t="s">
        <v>75</v>
      </c>
      <c r="K62" s="25">
        <v>23</v>
      </c>
      <c r="N62">
        <v>0</v>
      </c>
      <c r="O62" s="35">
        <v>4.8</v>
      </c>
      <c r="P62" s="35">
        <v>8.3000000000000007</v>
      </c>
      <c r="Q62" s="35">
        <v>4.9000000000000004</v>
      </c>
      <c r="R62" t="s">
        <v>70</v>
      </c>
      <c r="S62">
        <v>27</v>
      </c>
      <c r="T62" t="s">
        <v>85</v>
      </c>
      <c r="V62">
        <v>0.3</v>
      </c>
      <c r="W62" s="1">
        <v>19.600000000000001</v>
      </c>
      <c r="X62" s="1"/>
      <c r="Y62" t="s">
        <v>98</v>
      </c>
      <c r="Z62" t="s">
        <v>99</v>
      </c>
    </row>
    <row r="63" spans="1:28" ht="15" customHeight="1" x14ac:dyDescent="0.25">
      <c r="A63" s="7" t="s">
        <v>97</v>
      </c>
      <c r="B63" s="6" t="s">
        <v>101</v>
      </c>
      <c r="C63" s="6" t="s">
        <v>100</v>
      </c>
      <c r="D63" s="33" t="s">
        <v>74</v>
      </c>
      <c r="E63" s="33" t="s">
        <v>243</v>
      </c>
      <c r="F63" s="33" t="s">
        <v>243</v>
      </c>
      <c r="G63" t="s">
        <v>62</v>
      </c>
      <c r="H63">
        <v>240</v>
      </c>
      <c r="I63" s="39">
        <v>4</v>
      </c>
      <c r="J63" t="s">
        <v>75</v>
      </c>
      <c r="K63" s="25">
        <v>28</v>
      </c>
      <c r="N63">
        <v>0</v>
      </c>
      <c r="O63" s="35">
        <v>2.7</v>
      </c>
      <c r="P63" s="35">
        <v>8.3000000000000007</v>
      </c>
      <c r="Q63" s="35">
        <v>4.4000000000000004</v>
      </c>
      <c r="R63" t="s">
        <v>70</v>
      </c>
      <c r="S63">
        <v>27</v>
      </c>
      <c r="T63" t="s">
        <v>85</v>
      </c>
      <c r="V63">
        <v>0.3</v>
      </c>
      <c r="W63" s="1">
        <v>19.3</v>
      </c>
      <c r="X63" s="1"/>
      <c r="Y63" t="s">
        <v>98</v>
      </c>
      <c r="Z63" t="s">
        <v>99</v>
      </c>
    </row>
    <row r="64" spans="1:28" ht="15" customHeight="1" x14ac:dyDescent="0.25">
      <c r="A64" s="7" t="s">
        <v>97</v>
      </c>
      <c r="C64" s="6" t="s">
        <v>91</v>
      </c>
      <c r="D64" s="33" t="s">
        <v>74</v>
      </c>
      <c r="E64" s="33" t="s">
        <v>241</v>
      </c>
      <c r="F64" s="33" t="s">
        <v>241</v>
      </c>
      <c r="G64" t="s">
        <v>62</v>
      </c>
      <c r="H64">
        <v>240</v>
      </c>
      <c r="I64" s="39">
        <v>5</v>
      </c>
      <c r="J64" t="s">
        <v>75</v>
      </c>
      <c r="K64" s="25">
        <v>21</v>
      </c>
      <c r="N64">
        <v>0</v>
      </c>
      <c r="O64" s="35">
        <v>5</v>
      </c>
      <c r="P64" s="35">
        <v>8.6999999999999993</v>
      </c>
      <c r="Q64" s="35">
        <v>5.4</v>
      </c>
      <c r="R64" t="s">
        <v>70</v>
      </c>
      <c r="S64">
        <v>27</v>
      </c>
      <c r="T64" t="s">
        <v>85</v>
      </c>
      <c r="V64">
        <v>0.22</v>
      </c>
      <c r="W64" s="1">
        <v>19.3</v>
      </c>
      <c r="X64" s="1"/>
      <c r="Y64" t="s">
        <v>98</v>
      </c>
      <c r="Z64" t="s">
        <v>99</v>
      </c>
    </row>
    <row r="65" spans="1:28" ht="15" customHeight="1" x14ac:dyDescent="0.25">
      <c r="A65" s="7" t="s">
        <v>97</v>
      </c>
      <c r="B65" s="6" t="s">
        <v>88</v>
      </c>
      <c r="C65" s="6" t="s">
        <v>91</v>
      </c>
      <c r="D65" s="33" t="s">
        <v>74</v>
      </c>
      <c r="E65" s="33" t="s">
        <v>243</v>
      </c>
      <c r="F65" s="33" t="s">
        <v>243</v>
      </c>
      <c r="G65" t="s">
        <v>62</v>
      </c>
      <c r="H65">
        <v>240</v>
      </c>
      <c r="I65" s="39">
        <v>5</v>
      </c>
      <c r="J65" t="s">
        <v>75</v>
      </c>
      <c r="K65" s="25">
        <v>24</v>
      </c>
      <c r="N65">
        <v>0</v>
      </c>
      <c r="O65" s="35">
        <v>1.2</v>
      </c>
      <c r="P65" s="35">
        <v>8.1999999999999993</v>
      </c>
      <c r="Q65" s="35">
        <v>3.4</v>
      </c>
      <c r="R65" t="s">
        <v>70</v>
      </c>
      <c r="S65">
        <v>27</v>
      </c>
      <c r="T65" t="s">
        <v>85</v>
      </c>
      <c r="V65">
        <v>0.22</v>
      </c>
      <c r="W65" s="1">
        <v>8.6999999999999993</v>
      </c>
      <c r="X65" s="1"/>
      <c r="Y65" t="s">
        <v>98</v>
      </c>
      <c r="Z65" t="s">
        <v>99</v>
      </c>
    </row>
    <row r="66" spans="1:28" ht="15" customHeight="1" x14ac:dyDescent="0.25">
      <c r="A66" s="7" t="s">
        <v>97</v>
      </c>
      <c r="B66" s="6" t="s">
        <v>96</v>
      </c>
      <c r="C66" s="6" t="s">
        <v>100</v>
      </c>
      <c r="D66" s="33" t="s">
        <v>74</v>
      </c>
      <c r="E66" s="33" t="s">
        <v>243</v>
      </c>
      <c r="F66" s="33" t="s">
        <v>243</v>
      </c>
      <c r="G66" t="s">
        <v>62</v>
      </c>
      <c r="H66">
        <v>240</v>
      </c>
      <c r="I66" s="39">
        <v>5</v>
      </c>
      <c r="J66" t="s">
        <v>75</v>
      </c>
      <c r="K66" s="25">
        <v>34</v>
      </c>
      <c r="N66">
        <v>0</v>
      </c>
      <c r="O66" s="35">
        <v>1.3</v>
      </c>
      <c r="P66" s="35">
        <v>8.4</v>
      </c>
      <c r="Q66" s="35">
        <v>3.5</v>
      </c>
      <c r="R66" t="s">
        <v>70</v>
      </c>
      <c r="S66">
        <v>27</v>
      </c>
      <c r="T66" t="s">
        <v>85</v>
      </c>
      <c r="V66">
        <v>0.22</v>
      </c>
      <c r="W66" s="1">
        <v>12.4</v>
      </c>
      <c r="X66" s="1"/>
      <c r="Y66" t="s">
        <v>98</v>
      </c>
      <c r="Z66" t="s">
        <v>99</v>
      </c>
    </row>
    <row r="67" spans="1:28" ht="15" customHeight="1" x14ac:dyDescent="0.25">
      <c r="A67" s="7" t="s">
        <v>97</v>
      </c>
      <c r="C67" s="6" t="s">
        <v>100</v>
      </c>
      <c r="D67" s="33" t="s">
        <v>74</v>
      </c>
      <c r="E67" s="33" t="s">
        <v>241</v>
      </c>
      <c r="F67" s="33" t="s">
        <v>241</v>
      </c>
      <c r="G67" t="s">
        <v>62</v>
      </c>
      <c r="H67">
        <v>240</v>
      </c>
      <c r="I67" s="39">
        <v>6</v>
      </c>
      <c r="J67" t="s">
        <v>75</v>
      </c>
      <c r="K67" s="25">
        <v>24</v>
      </c>
      <c r="N67">
        <v>0</v>
      </c>
      <c r="O67" s="35">
        <v>2.6</v>
      </c>
      <c r="P67" s="35">
        <v>8.8000000000000007</v>
      </c>
      <c r="Q67" s="35">
        <v>5.6</v>
      </c>
      <c r="R67" t="s">
        <v>70</v>
      </c>
      <c r="S67">
        <v>27</v>
      </c>
      <c r="T67" t="s">
        <v>85</v>
      </c>
      <c r="V67">
        <v>0.22</v>
      </c>
      <c r="W67" s="1">
        <v>12.6</v>
      </c>
      <c r="X67" s="1"/>
      <c r="Y67" t="s">
        <v>98</v>
      </c>
      <c r="Z67" t="s">
        <v>99</v>
      </c>
    </row>
    <row r="68" spans="1:28" ht="15" customHeight="1" x14ac:dyDescent="0.25">
      <c r="A68" s="7" t="s">
        <v>97</v>
      </c>
      <c r="B68" s="6" t="s">
        <v>101</v>
      </c>
      <c r="C68" s="6" t="s">
        <v>100</v>
      </c>
      <c r="D68" s="33" t="s">
        <v>74</v>
      </c>
      <c r="E68" s="33" t="s">
        <v>243</v>
      </c>
      <c r="F68" s="33" t="s">
        <v>243</v>
      </c>
      <c r="G68" t="s">
        <v>62</v>
      </c>
      <c r="H68">
        <v>240</v>
      </c>
      <c r="I68" s="39">
        <v>6</v>
      </c>
      <c r="J68" t="s">
        <v>75</v>
      </c>
      <c r="K68" s="25">
        <v>30</v>
      </c>
      <c r="N68">
        <v>0</v>
      </c>
      <c r="O68" s="35">
        <v>1.2</v>
      </c>
      <c r="P68" s="35">
        <v>9</v>
      </c>
      <c r="Q68" s="35">
        <v>4.7</v>
      </c>
      <c r="R68" t="s">
        <v>70</v>
      </c>
      <c r="S68">
        <v>27</v>
      </c>
      <c r="T68" t="s">
        <v>85</v>
      </c>
      <c r="V68">
        <v>0.22</v>
      </c>
      <c r="W68" s="1">
        <v>17.600000000000001</v>
      </c>
      <c r="X68" s="1"/>
      <c r="Y68" t="s">
        <v>98</v>
      </c>
      <c r="Z68" t="s">
        <v>99</v>
      </c>
    </row>
    <row r="69" spans="1:28" ht="15" customHeight="1" x14ac:dyDescent="0.25">
      <c r="A69" s="7" t="s">
        <v>102</v>
      </c>
      <c r="C69" s="6" t="s">
        <v>103</v>
      </c>
      <c r="D69" s="33" t="s">
        <v>61</v>
      </c>
      <c r="E69" s="33" t="s">
        <v>241</v>
      </c>
      <c r="F69" s="33" t="s">
        <v>241</v>
      </c>
      <c r="G69" t="s">
        <v>103</v>
      </c>
      <c r="H69">
        <v>168</v>
      </c>
      <c r="I69" s="39">
        <v>1</v>
      </c>
      <c r="J69" t="s">
        <v>75</v>
      </c>
      <c r="K69" s="25">
        <f>70/1.4</f>
        <v>50</v>
      </c>
      <c r="L69">
        <v>10</v>
      </c>
      <c r="M69">
        <v>10</v>
      </c>
      <c r="N69">
        <v>0</v>
      </c>
      <c r="O69" s="35">
        <v>7.7</v>
      </c>
      <c r="P69" s="35">
        <v>6.8</v>
      </c>
      <c r="Q69" s="35">
        <v>1.4</v>
      </c>
      <c r="R69" t="s">
        <v>76</v>
      </c>
      <c r="S69">
        <v>2</v>
      </c>
      <c r="T69" t="s">
        <v>85</v>
      </c>
      <c r="U69">
        <v>1.1599999999999999</v>
      </c>
      <c r="V69">
        <v>0.1</v>
      </c>
      <c r="W69" s="1">
        <v>14</v>
      </c>
      <c r="X69" s="1"/>
      <c r="Y69" t="s">
        <v>104</v>
      </c>
      <c r="Z69" t="s">
        <v>105</v>
      </c>
      <c r="AA69" s="5"/>
      <c r="AB69" s="4"/>
    </row>
    <row r="70" spans="1:28" ht="15" customHeight="1" x14ac:dyDescent="0.25">
      <c r="A70" s="7" t="s">
        <v>102</v>
      </c>
      <c r="B70" s="6" t="s">
        <v>106</v>
      </c>
      <c r="C70" s="6" t="s">
        <v>103</v>
      </c>
      <c r="D70" s="33" t="s">
        <v>61</v>
      </c>
      <c r="E70" s="33" t="s">
        <v>243</v>
      </c>
      <c r="F70" s="33" t="s">
        <v>243</v>
      </c>
      <c r="G70" t="s">
        <v>103</v>
      </c>
      <c r="H70">
        <v>168</v>
      </c>
      <c r="I70" s="39">
        <v>1</v>
      </c>
      <c r="J70" t="s">
        <v>75</v>
      </c>
      <c r="K70" s="25">
        <v>50</v>
      </c>
      <c r="L70">
        <v>10</v>
      </c>
      <c r="M70">
        <v>10</v>
      </c>
      <c r="N70">
        <v>0</v>
      </c>
      <c r="O70" s="35">
        <v>5</v>
      </c>
      <c r="P70" s="35">
        <v>7</v>
      </c>
      <c r="Q70" s="35">
        <v>1.4</v>
      </c>
      <c r="R70" t="s">
        <v>76</v>
      </c>
      <c r="S70">
        <v>2</v>
      </c>
      <c r="T70" t="s">
        <v>85</v>
      </c>
      <c r="U70">
        <v>1.1599999999999999</v>
      </c>
      <c r="V70">
        <v>0.1</v>
      </c>
      <c r="W70" s="1">
        <v>22.5</v>
      </c>
      <c r="X70" s="1"/>
      <c r="Y70" t="s">
        <v>104</v>
      </c>
      <c r="Z70" t="s">
        <v>105</v>
      </c>
      <c r="AA70" s="5"/>
      <c r="AB70" s="4"/>
    </row>
    <row r="71" spans="1:28" ht="15" customHeight="1" x14ac:dyDescent="0.25">
      <c r="A71" s="7" t="s">
        <v>102</v>
      </c>
      <c r="B71" s="6" t="s">
        <v>107</v>
      </c>
      <c r="C71" s="6" t="s">
        <v>103</v>
      </c>
      <c r="D71" s="33" t="s">
        <v>61</v>
      </c>
      <c r="E71" s="33" t="s">
        <v>244</v>
      </c>
      <c r="F71" s="33" t="s">
        <v>244</v>
      </c>
      <c r="G71" t="s">
        <v>103</v>
      </c>
      <c r="H71">
        <v>168</v>
      </c>
      <c r="I71" s="40">
        <v>1</v>
      </c>
      <c r="J71" t="s">
        <v>75</v>
      </c>
      <c r="K71" s="26">
        <f>70/3.57</f>
        <v>19.607843137254903</v>
      </c>
      <c r="L71">
        <v>10</v>
      </c>
      <c r="M71">
        <v>10</v>
      </c>
      <c r="N71">
        <v>0</v>
      </c>
      <c r="O71" s="35">
        <v>18.600000000000001</v>
      </c>
      <c r="P71" s="35">
        <v>8.5</v>
      </c>
      <c r="Q71" s="35">
        <v>0.2</v>
      </c>
      <c r="R71" t="s">
        <v>76</v>
      </c>
      <c r="S71">
        <v>2</v>
      </c>
      <c r="T71" t="s">
        <v>85</v>
      </c>
      <c r="U71">
        <v>1.1599999999999999</v>
      </c>
      <c r="V71">
        <v>0.1</v>
      </c>
      <c r="W71" s="29">
        <v>68.099999999999994</v>
      </c>
      <c r="X71" s="29"/>
      <c r="Y71" s="14" t="s">
        <v>104</v>
      </c>
      <c r="Z71" s="14" t="s">
        <v>108</v>
      </c>
      <c r="AA71" s="5"/>
      <c r="AB71" s="4"/>
    </row>
    <row r="72" spans="1:28" ht="15" customHeight="1" x14ac:dyDescent="0.25">
      <c r="A72" s="7" t="s">
        <v>109</v>
      </c>
      <c r="C72" s="6" t="s">
        <v>60</v>
      </c>
      <c r="D72" s="33" t="s">
        <v>74</v>
      </c>
      <c r="E72" s="33" t="s">
        <v>241</v>
      </c>
      <c r="F72" s="33" t="s">
        <v>241</v>
      </c>
      <c r="G72" t="s">
        <v>62</v>
      </c>
      <c r="H72">
        <v>96</v>
      </c>
      <c r="I72" s="39">
        <v>1</v>
      </c>
      <c r="J72" t="s">
        <v>75</v>
      </c>
      <c r="K72" s="23">
        <f>70/3</f>
        <v>23.333333333333332</v>
      </c>
      <c r="M72">
        <v>5.8</v>
      </c>
      <c r="N72">
        <v>0</v>
      </c>
      <c r="O72" s="35">
        <v>3.03</v>
      </c>
      <c r="P72" s="35">
        <v>7.94</v>
      </c>
      <c r="Q72" s="35">
        <v>2.1</v>
      </c>
      <c r="R72" t="s">
        <v>76</v>
      </c>
      <c r="S72">
        <v>3.2</v>
      </c>
      <c r="T72" t="s">
        <v>64</v>
      </c>
      <c r="W72" s="14">
        <v>11.4</v>
      </c>
      <c r="X72" s="29">
        <f>206/2100*100</f>
        <v>9.8095238095238102</v>
      </c>
      <c r="Y72" s="14" t="s">
        <v>110</v>
      </c>
      <c r="Z72" s="14" t="s">
        <v>108</v>
      </c>
      <c r="AA72" t="s">
        <v>111</v>
      </c>
    </row>
    <row r="73" spans="1:28" s="13" customFormat="1" ht="15" customHeight="1" x14ac:dyDescent="0.25">
      <c r="A73" s="7" t="s">
        <v>109</v>
      </c>
      <c r="B73" s="6" t="s">
        <v>112</v>
      </c>
      <c r="C73" s="6" t="s">
        <v>60</v>
      </c>
      <c r="D73" s="33" t="s">
        <v>74</v>
      </c>
      <c r="E73" s="33" t="s">
        <v>244</v>
      </c>
      <c r="F73" s="33" t="s">
        <v>244</v>
      </c>
      <c r="G73" t="s">
        <v>62</v>
      </c>
      <c r="H73">
        <v>96</v>
      </c>
      <c r="I73" s="40">
        <v>1</v>
      </c>
      <c r="J73" t="s">
        <v>75</v>
      </c>
      <c r="K73" s="23">
        <f>70/6.6</f>
        <v>10.606060606060607</v>
      </c>
      <c r="L73"/>
      <c r="M73">
        <v>5.8</v>
      </c>
      <c r="N73">
        <v>0</v>
      </c>
      <c r="O73" s="35">
        <v>23.1</v>
      </c>
      <c r="P73" s="35">
        <v>8.26</v>
      </c>
      <c r="Q73" s="35">
        <v>2.5</v>
      </c>
      <c r="R73" t="s">
        <v>76</v>
      </c>
      <c r="S73">
        <v>3.2</v>
      </c>
      <c r="T73" t="s">
        <v>64</v>
      </c>
      <c r="U73"/>
      <c r="V73"/>
      <c r="W73" s="14">
        <v>56.7</v>
      </c>
      <c r="X73" s="29">
        <f>80.3/2100*100</f>
        <v>3.8238095238095235</v>
      </c>
      <c r="Y73" s="14" t="s">
        <v>110</v>
      </c>
      <c r="Z73" s="14" t="s">
        <v>108</v>
      </c>
      <c r="AA73" t="s">
        <v>111</v>
      </c>
      <c r="AB73" s="12"/>
    </row>
    <row r="74" spans="1:28" ht="15" customHeight="1" x14ac:dyDescent="0.25">
      <c r="A74" s="7" t="s">
        <v>109</v>
      </c>
      <c r="B74" s="6" t="s">
        <v>112</v>
      </c>
      <c r="C74" s="6" t="s">
        <v>60</v>
      </c>
      <c r="D74" s="33" t="s">
        <v>74</v>
      </c>
      <c r="E74" s="33" t="s">
        <v>243</v>
      </c>
      <c r="F74" s="33" t="s">
        <v>243</v>
      </c>
      <c r="G74" t="s">
        <v>62</v>
      </c>
      <c r="H74">
        <v>96</v>
      </c>
      <c r="I74" s="39">
        <v>1</v>
      </c>
      <c r="J74" t="s">
        <v>75</v>
      </c>
      <c r="K74" s="23">
        <f>70/1.8</f>
        <v>38.888888888888886</v>
      </c>
      <c r="M74">
        <v>5.8</v>
      </c>
      <c r="N74">
        <v>0</v>
      </c>
      <c r="O74" s="35">
        <v>1.0900000000000001</v>
      </c>
      <c r="P74" s="35">
        <v>8.0500000000000007</v>
      </c>
      <c r="Q74" s="35">
        <v>1.5</v>
      </c>
      <c r="R74" t="s">
        <v>76</v>
      </c>
      <c r="S74">
        <v>3.2</v>
      </c>
      <c r="T74" t="s">
        <v>64</v>
      </c>
      <c r="W74" s="14">
        <v>8.7899999999999991</v>
      </c>
      <c r="X74" s="29">
        <f>101/2100*100</f>
        <v>4.8095238095238093</v>
      </c>
      <c r="Y74" s="14" t="s">
        <v>110</v>
      </c>
      <c r="Z74" s="14" t="s">
        <v>108</v>
      </c>
      <c r="AA74" t="s">
        <v>111</v>
      </c>
    </row>
    <row r="75" spans="1:28" ht="15" customHeight="1" x14ac:dyDescent="0.25">
      <c r="A75" s="7" t="s">
        <v>109</v>
      </c>
      <c r="C75" s="6" t="s">
        <v>60</v>
      </c>
      <c r="D75" s="33" t="s">
        <v>74</v>
      </c>
      <c r="E75" s="33" t="s">
        <v>241</v>
      </c>
      <c r="F75" s="33" t="s">
        <v>241</v>
      </c>
      <c r="G75" t="s">
        <v>62</v>
      </c>
      <c r="H75">
        <v>96</v>
      </c>
      <c r="I75" s="39">
        <v>2</v>
      </c>
      <c r="J75" t="s">
        <v>75</v>
      </c>
      <c r="K75" s="23">
        <f>70/3.6</f>
        <v>19.444444444444443</v>
      </c>
      <c r="M75">
        <v>27.6</v>
      </c>
      <c r="N75">
        <v>0</v>
      </c>
      <c r="O75" s="35">
        <v>4.0199999999999996</v>
      </c>
      <c r="P75" s="35">
        <v>7.77</v>
      </c>
      <c r="Q75" s="35">
        <v>2.6</v>
      </c>
      <c r="R75" t="s">
        <v>76</v>
      </c>
      <c r="S75">
        <v>3.2</v>
      </c>
      <c r="T75" t="s">
        <v>64</v>
      </c>
      <c r="W75" s="14">
        <v>28</v>
      </c>
      <c r="X75" s="29">
        <f>564/2900*100</f>
        <v>19.448275862068964</v>
      </c>
      <c r="Y75" s="14" t="s">
        <v>110</v>
      </c>
      <c r="Z75" s="14" t="s">
        <v>108</v>
      </c>
      <c r="AA75" t="s">
        <v>111</v>
      </c>
    </row>
    <row r="76" spans="1:28" s="13" customFormat="1" ht="15" customHeight="1" x14ac:dyDescent="0.25">
      <c r="A76" s="7" t="s">
        <v>109</v>
      </c>
      <c r="B76" s="6" t="s">
        <v>112</v>
      </c>
      <c r="C76" s="6" t="s">
        <v>60</v>
      </c>
      <c r="D76" s="33" t="s">
        <v>74</v>
      </c>
      <c r="E76" s="33" t="s">
        <v>244</v>
      </c>
      <c r="F76" s="33" t="s">
        <v>244</v>
      </c>
      <c r="G76" t="s">
        <v>62</v>
      </c>
      <c r="H76">
        <v>96</v>
      </c>
      <c r="I76" s="40">
        <v>2</v>
      </c>
      <c r="J76" t="s">
        <v>75</v>
      </c>
      <c r="K76" s="23">
        <f>70/5.3</f>
        <v>13.20754716981132</v>
      </c>
      <c r="L76"/>
      <c r="M76">
        <v>27.6</v>
      </c>
      <c r="N76">
        <v>0</v>
      </c>
      <c r="O76" s="35">
        <v>22.9</v>
      </c>
      <c r="P76" s="35">
        <v>8.3000000000000007</v>
      </c>
      <c r="Q76" s="35">
        <v>1.9</v>
      </c>
      <c r="R76" t="s">
        <v>76</v>
      </c>
      <c r="S76">
        <v>3.2</v>
      </c>
      <c r="T76" t="s">
        <v>64</v>
      </c>
      <c r="U76"/>
      <c r="V76"/>
      <c r="W76" s="14">
        <v>96.3</v>
      </c>
      <c r="X76" s="29">
        <f>300/2900*100</f>
        <v>10.344827586206897</v>
      </c>
      <c r="Y76" s="14" t="s">
        <v>110</v>
      </c>
      <c r="Z76" s="14" t="s">
        <v>108</v>
      </c>
      <c r="AA76" t="s">
        <v>111</v>
      </c>
      <c r="AB76" s="12"/>
    </row>
    <row r="77" spans="1:28" ht="15" customHeight="1" x14ac:dyDescent="0.25">
      <c r="A77" s="7" t="s">
        <v>109</v>
      </c>
      <c r="B77" s="6" t="s">
        <v>112</v>
      </c>
      <c r="C77" s="6" t="s">
        <v>60</v>
      </c>
      <c r="D77" s="33" t="s">
        <v>74</v>
      </c>
      <c r="E77" s="33" t="s">
        <v>243</v>
      </c>
      <c r="F77" s="33" t="s">
        <v>243</v>
      </c>
      <c r="G77" t="s">
        <v>62</v>
      </c>
      <c r="H77">
        <v>96</v>
      </c>
      <c r="I77" s="39">
        <v>2</v>
      </c>
      <c r="J77" t="s">
        <v>75</v>
      </c>
      <c r="K77" s="23">
        <f>70/1.9</f>
        <v>36.842105263157897</v>
      </c>
      <c r="M77">
        <v>27.6</v>
      </c>
      <c r="N77">
        <v>0</v>
      </c>
      <c r="O77" s="35">
        <v>1.25</v>
      </c>
      <c r="P77" s="35">
        <v>8.07</v>
      </c>
      <c r="Q77" s="35">
        <v>1.9</v>
      </c>
      <c r="R77" t="s">
        <v>76</v>
      </c>
      <c r="S77">
        <v>3.2</v>
      </c>
      <c r="T77" t="s">
        <v>64</v>
      </c>
      <c r="W77" s="14">
        <v>23.8</v>
      </c>
      <c r="X77" s="29">
        <f>339/2900*100</f>
        <v>11.689655172413794</v>
      </c>
      <c r="Y77" s="14" t="s">
        <v>110</v>
      </c>
      <c r="Z77" s="14" t="s">
        <v>108</v>
      </c>
      <c r="AA77" t="s">
        <v>111</v>
      </c>
    </row>
    <row r="78" spans="1:28" ht="15" customHeight="1" x14ac:dyDescent="0.25">
      <c r="A78" s="7" t="s">
        <v>113</v>
      </c>
      <c r="C78" s="6" t="s">
        <v>103</v>
      </c>
      <c r="D78" s="33" t="s">
        <v>61</v>
      </c>
      <c r="E78" s="33" t="s">
        <v>241</v>
      </c>
      <c r="F78" s="33" t="s">
        <v>241</v>
      </c>
      <c r="G78" t="s">
        <v>114</v>
      </c>
      <c r="H78">
        <v>333</v>
      </c>
      <c r="I78" s="39">
        <v>1</v>
      </c>
      <c r="J78" t="s">
        <v>63</v>
      </c>
      <c r="K78" s="25"/>
      <c r="L78">
        <v>25</v>
      </c>
      <c r="M78">
        <v>25</v>
      </c>
      <c r="N78">
        <v>0</v>
      </c>
      <c r="O78" s="35">
        <v>11.3</v>
      </c>
      <c r="P78" s="35">
        <v>7.2</v>
      </c>
      <c r="Q78" s="35">
        <v>1.3</v>
      </c>
      <c r="R78" t="s">
        <v>115</v>
      </c>
      <c r="S78">
        <v>9</v>
      </c>
      <c r="T78" t="s">
        <v>85</v>
      </c>
      <c r="U78">
        <v>1.52</v>
      </c>
      <c r="W78" s="14">
        <v>5.2</v>
      </c>
      <c r="X78" s="14"/>
      <c r="Y78" s="14" t="s">
        <v>81</v>
      </c>
      <c r="Z78" s="27" t="s">
        <v>116</v>
      </c>
    </row>
    <row r="79" spans="1:28" ht="15" customHeight="1" x14ac:dyDescent="0.25">
      <c r="A79" s="7" t="s">
        <v>113</v>
      </c>
      <c r="B79" s="6" t="s">
        <v>117</v>
      </c>
      <c r="C79" s="6" t="s">
        <v>103</v>
      </c>
      <c r="D79" s="33" t="s">
        <v>61</v>
      </c>
      <c r="E79" s="33" t="s">
        <v>243</v>
      </c>
      <c r="F79" s="33" t="s">
        <v>243</v>
      </c>
      <c r="G79" t="s">
        <v>114</v>
      </c>
      <c r="H79">
        <v>333</v>
      </c>
      <c r="I79" s="39">
        <v>1</v>
      </c>
      <c r="J79" t="s">
        <v>63</v>
      </c>
      <c r="K79" s="25"/>
      <c r="L79">
        <v>25</v>
      </c>
      <c r="M79">
        <v>25</v>
      </c>
      <c r="N79">
        <v>0</v>
      </c>
      <c r="O79" s="35">
        <v>2.1</v>
      </c>
      <c r="P79" s="35">
        <v>7.2</v>
      </c>
      <c r="Q79" s="35">
        <v>1.2</v>
      </c>
      <c r="R79" t="s">
        <v>118</v>
      </c>
      <c r="S79">
        <v>9</v>
      </c>
      <c r="T79" t="s">
        <v>85</v>
      </c>
      <c r="U79">
        <v>1.52</v>
      </c>
      <c r="W79">
        <v>0.2</v>
      </c>
      <c r="Y79" t="s">
        <v>81</v>
      </c>
      <c r="Z79" s="28" t="s">
        <v>119</v>
      </c>
    </row>
    <row r="80" spans="1:28" ht="15" customHeight="1" x14ac:dyDescent="0.25">
      <c r="A80" s="7" t="s">
        <v>120</v>
      </c>
      <c r="C80" s="6" t="s">
        <v>103</v>
      </c>
      <c r="D80" s="33" t="s">
        <v>61</v>
      </c>
      <c r="E80" s="34" t="s">
        <v>241</v>
      </c>
      <c r="F80" s="34" t="s">
        <v>241</v>
      </c>
      <c r="G80" t="s">
        <v>103</v>
      </c>
      <c r="H80">
        <v>168</v>
      </c>
      <c r="I80" s="39">
        <v>1</v>
      </c>
      <c r="J80" t="s">
        <v>121</v>
      </c>
      <c r="K80" s="25"/>
      <c r="N80">
        <v>0</v>
      </c>
      <c r="O80" s="35">
        <v>4.3</v>
      </c>
      <c r="P80" s="35">
        <v>7.4</v>
      </c>
      <c r="Q80" s="35">
        <v>1.3</v>
      </c>
      <c r="R80" t="s">
        <v>122</v>
      </c>
      <c r="S80">
        <v>3</v>
      </c>
      <c r="T80" t="s">
        <v>85</v>
      </c>
      <c r="W80">
        <v>11.3</v>
      </c>
      <c r="Y80" t="s">
        <v>98</v>
      </c>
      <c r="Z80" t="s">
        <v>123</v>
      </c>
      <c r="AA80" s="5"/>
    </row>
    <row r="81" spans="1:38" ht="15" customHeight="1" x14ac:dyDescent="0.25">
      <c r="A81" s="7" t="s">
        <v>120</v>
      </c>
      <c r="B81" s="6" t="s">
        <v>117</v>
      </c>
      <c r="C81" s="6" t="s">
        <v>103</v>
      </c>
      <c r="D81" s="33" t="s">
        <v>61</v>
      </c>
      <c r="E81" s="33" t="s">
        <v>243</v>
      </c>
      <c r="F81" s="33" t="s">
        <v>243</v>
      </c>
      <c r="G81" t="s">
        <v>103</v>
      </c>
      <c r="H81">
        <v>169</v>
      </c>
      <c r="I81" s="39">
        <v>1</v>
      </c>
      <c r="J81" t="s">
        <v>121</v>
      </c>
      <c r="K81" s="25"/>
      <c r="N81">
        <v>0</v>
      </c>
      <c r="O81" s="35">
        <v>2.1</v>
      </c>
      <c r="P81" s="35">
        <v>7.3</v>
      </c>
      <c r="Q81" s="35">
        <v>1.1000000000000001</v>
      </c>
      <c r="R81" t="s">
        <v>122</v>
      </c>
      <c r="S81">
        <v>3</v>
      </c>
      <c r="T81" t="s">
        <v>85</v>
      </c>
      <c r="W81">
        <v>13.3</v>
      </c>
      <c r="Y81" t="s">
        <v>98</v>
      </c>
      <c r="Z81" t="s">
        <v>123</v>
      </c>
      <c r="AA81" s="5"/>
    </row>
    <row r="82" spans="1:38" ht="15" customHeight="1" x14ac:dyDescent="0.35">
      <c r="A82" s="7" t="s">
        <v>124</v>
      </c>
      <c r="C82" s="6" t="s">
        <v>103</v>
      </c>
      <c r="D82" s="33" t="s">
        <v>61</v>
      </c>
      <c r="E82" s="33" t="s">
        <v>241</v>
      </c>
      <c r="F82" s="33" t="s">
        <v>241</v>
      </c>
      <c r="G82" t="s">
        <v>125</v>
      </c>
      <c r="H82">
        <v>101</v>
      </c>
      <c r="I82" s="39">
        <v>1</v>
      </c>
      <c r="J82" t="s">
        <v>75</v>
      </c>
      <c r="K82" s="22">
        <f t="shared" ref="K82:K96" si="0">75/Q82</f>
        <v>21.428571428571427</v>
      </c>
      <c r="O82" s="35">
        <v>8.6999999999999993</v>
      </c>
      <c r="P82" s="35">
        <v>7.6</v>
      </c>
      <c r="Q82" s="35">
        <v>3.5</v>
      </c>
      <c r="R82" t="s">
        <v>126</v>
      </c>
      <c r="T82" t="s">
        <v>64</v>
      </c>
      <c r="W82" s="24">
        <f>14.34/(K82*Q82)*100</f>
        <v>19.12</v>
      </c>
      <c r="Y82" t="s">
        <v>127</v>
      </c>
      <c r="Z82" t="s">
        <v>128</v>
      </c>
      <c r="AC82" s="10"/>
      <c r="AE82" s="1"/>
      <c r="AF82" s="1"/>
      <c r="AG82" s="1"/>
      <c r="AI82" s="1"/>
      <c r="AJ82" s="1"/>
      <c r="AK82" s="1"/>
      <c r="AL82" s="1"/>
    </row>
    <row r="83" spans="1:38" ht="18" x14ac:dyDescent="0.35">
      <c r="A83" s="7" t="s">
        <v>124</v>
      </c>
      <c r="B83" s="6" t="s">
        <v>129</v>
      </c>
      <c r="C83" s="6" t="s">
        <v>103</v>
      </c>
      <c r="D83" s="33" t="s">
        <v>61</v>
      </c>
      <c r="E83" s="33" t="s">
        <v>243</v>
      </c>
      <c r="F83" s="33" t="s">
        <v>243</v>
      </c>
      <c r="G83" t="s">
        <v>125</v>
      </c>
      <c r="H83">
        <v>101</v>
      </c>
      <c r="I83" s="39">
        <v>1</v>
      </c>
      <c r="J83" t="s">
        <v>75</v>
      </c>
      <c r="K83" s="22">
        <f t="shared" si="0"/>
        <v>20.833333333333332</v>
      </c>
      <c r="O83" s="35">
        <v>8.1</v>
      </c>
      <c r="P83" s="35">
        <v>7.6</v>
      </c>
      <c r="Q83" s="35">
        <v>3.6</v>
      </c>
      <c r="R83" t="s">
        <v>126</v>
      </c>
      <c r="T83" t="s">
        <v>64</v>
      </c>
      <c r="W83" s="24">
        <f>10.05/(K83*Q83)*100</f>
        <v>13.4</v>
      </c>
      <c r="Y83" t="s">
        <v>127</v>
      </c>
      <c r="Z83" t="s">
        <v>128</v>
      </c>
      <c r="AC83" s="10"/>
      <c r="AE83" s="1"/>
      <c r="AF83" s="1"/>
      <c r="AG83" s="1"/>
      <c r="AI83" s="1"/>
      <c r="AJ83" s="1"/>
      <c r="AK83" s="1"/>
      <c r="AL83" s="1"/>
    </row>
    <row r="84" spans="1:38" ht="18" x14ac:dyDescent="0.35">
      <c r="A84" s="7" t="s">
        <v>124</v>
      </c>
      <c r="B84" s="6" t="s">
        <v>129</v>
      </c>
      <c r="C84" s="6" t="s">
        <v>103</v>
      </c>
      <c r="D84" s="33" t="s">
        <v>61</v>
      </c>
      <c r="E84" s="33" t="s">
        <v>243</v>
      </c>
      <c r="F84" s="33" t="s">
        <v>243</v>
      </c>
      <c r="G84" t="s">
        <v>125</v>
      </c>
      <c r="H84">
        <v>101</v>
      </c>
      <c r="I84" s="39">
        <v>1</v>
      </c>
      <c r="J84" t="s">
        <v>75</v>
      </c>
      <c r="K84" s="22">
        <f t="shared" si="0"/>
        <v>20.833333333333332</v>
      </c>
      <c r="O84" s="35">
        <v>7.8</v>
      </c>
      <c r="P84" s="35">
        <v>7.6</v>
      </c>
      <c r="Q84" s="35">
        <v>3.6</v>
      </c>
      <c r="R84" t="s">
        <v>126</v>
      </c>
      <c r="T84" t="s">
        <v>64</v>
      </c>
      <c r="W84" s="24">
        <f>8.66/(K84*Q84)*100</f>
        <v>11.546666666666667</v>
      </c>
      <c r="Y84" t="s">
        <v>127</v>
      </c>
      <c r="Z84" t="s">
        <v>128</v>
      </c>
      <c r="AC84" s="10"/>
      <c r="AE84" s="1"/>
      <c r="AF84" s="1"/>
      <c r="AG84" s="1"/>
      <c r="AI84" s="1"/>
      <c r="AJ84" s="1"/>
      <c r="AK84" s="1"/>
      <c r="AL84" s="1"/>
    </row>
    <row r="85" spans="1:38" ht="18" x14ac:dyDescent="0.35">
      <c r="A85" s="7" t="s">
        <v>124</v>
      </c>
      <c r="B85" s="6" t="s">
        <v>129</v>
      </c>
      <c r="C85" s="6" t="s">
        <v>103</v>
      </c>
      <c r="D85" s="33" t="s">
        <v>61</v>
      </c>
      <c r="E85" s="33" t="s">
        <v>243</v>
      </c>
      <c r="F85" s="33" t="s">
        <v>243</v>
      </c>
      <c r="G85" t="s">
        <v>125</v>
      </c>
      <c r="H85">
        <v>101</v>
      </c>
      <c r="I85" s="39">
        <v>1</v>
      </c>
      <c r="J85" t="s">
        <v>75</v>
      </c>
      <c r="K85" s="22">
        <f t="shared" si="0"/>
        <v>20.833333333333332</v>
      </c>
      <c r="O85" s="35">
        <v>6.5</v>
      </c>
      <c r="P85" s="35">
        <v>7.6</v>
      </c>
      <c r="Q85" s="35">
        <v>3.6</v>
      </c>
      <c r="R85" t="s">
        <v>126</v>
      </c>
      <c r="T85" t="s">
        <v>64</v>
      </c>
      <c r="W85" s="24">
        <f>7.42/(K85*Q85)*100</f>
        <v>9.8933333333333326</v>
      </c>
      <c r="Y85" t="s">
        <v>127</v>
      </c>
      <c r="Z85" t="s">
        <v>128</v>
      </c>
      <c r="AC85" s="10"/>
      <c r="AE85" s="1"/>
      <c r="AF85" s="1"/>
      <c r="AG85" s="1"/>
      <c r="AI85" s="1"/>
      <c r="AJ85" s="1"/>
      <c r="AK85" s="1"/>
      <c r="AL85" s="1"/>
    </row>
    <row r="86" spans="1:38" ht="18" x14ac:dyDescent="0.35">
      <c r="A86" s="7" t="s">
        <v>124</v>
      </c>
      <c r="B86" s="6" t="s">
        <v>129</v>
      </c>
      <c r="C86" s="6" t="s">
        <v>103</v>
      </c>
      <c r="D86" s="33" t="s">
        <v>61</v>
      </c>
      <c r="E86" s="33" t="s">
        <v>243</v>
      </c>
      <c r="F86" s="33" t="s">
        <v>243</v>
      </c>
      <c r="G86" t="s">
        <v>125</v>
      </c>
      <c r="H86">
        <v>101</v>
      </c>
      <c r="I86" s="39">
        <v>1</v>
      </c>
      <c r="J86" t="s">
        <v>75</v>
      </c>
      <c r="K86" s="22">
        <f t="shared" si="0"/>
        <v>20.833333333333332</v>
      </c>
      <c r="O86" s="35">
        <v>5.8</v>
      </c>
      <c r="P86" s="35">
        <v>7.6</v>
      </c>
      <c r="Q86" s="35">
        <v>3.6</v>
      </c>
      <c r="R86" t="s">
        <v>126</v>
      </c>
      <c r="T86" t="s">
        <v>64</v>
      </c>
      <c r="W86" s="24">
        <f>5.03/(K86*Q86)*100</f>
        <v>6.7066666666666661</v>
      </c>
      <c r="Y86" t="s">
        <v>127</v>
      </c>
      <c r="Z86" t="s">
        <v>128</v>
      </c>
      <c r="AC86" s="10"/>
      <c r="AE86" s="1"/>
      <c r="AF86" s="1"/>
      <c r="AG86" s="1"/>
      <c r="AI86" s="1"/>
      <c r="AJ86" s="1"/>
      <c r="AK86" s="1"/>
      <c r="AL86" s="1"/>
    </row>
    <row r="87" spans="1:38" ht="18" x14ac:dyDescent="0.35">
      <c r="A87" s="7" t="s">
        <v>124</v>
      </c>
      <c r="C87" s="6" t="s">
        <v>103</v>
      </c>
      <c r="D87" s="33" t="s">
        <v>61</v>
      </c>
      <c r="E87" s="33" t="s">
        <v>241</v>
      </c>
      <c r="F87" s="33" t="s">
        <v>241</v>
      </c>
      <c r="G87" t="s">
        <v>125</v>
      </c>
      <c r="H87">
        <v>101</v>
      </c>
      <c r="I87" s="39">
        <v>2</v>
      </c>
      <c r="J87" t="s">
        <v>75</v>
      </c>
      <c r="K87" s="22">
        <f t="shared" si="0"/>
        <v>20.833333333333332</v>
      </c>
      <c r="O87" s="35">
        <v>9.3000000000000007</v>
      </c>
      <c r="P87" s="35">
        <v>7.4</v>
      </c>
      <c r="Q87" s="35">
        <v>3.6</v>
      </c>
      <c r="R87" t="s">
        <v>126</v>
      </c>
      <c r="T87" t="s">
        <v>64</v>
      </c>
      <c r="W87" s="24">
        <f>17.33/(K87*Q87)*100</f>
        <v>23.106666666666666</v>
      </c>
      <c r="Y87" t="s">
        <v>127</v>
      </c>
      <c r="Z87" t="s">
        <v>128</v>
      </c>
      <c r="AC87" s="10"/>
      <c r="AE87" s="1"/>
      <c r="AF87" s="1"/>
      <c r="AG87" s="1"/>
      <c r="AI87" s="1"/>
      <c r="AJ87" s="1"/>
      <c r="AK87" s="1"/>
      <c r="AL87" s="1"/>
    </row>
    <row r="88" spans="1:38" ht="18" x14ac:dyDescent="0.35">
      <c r="A88" s="7" t="s">
        <v>124</v>
      </c>
      <c r="B88" s="6" t="s">
        <v>129</v>
      </c>
      <c r="C88" s="6" t="s">
        <v>103</v>
      </c>
      <c r="D88" s="33" t="s">
        <v>61</v>
      </c>
      <c r="E88" s="33" t="s">
        <v>243</v>
      </c>
      <c r="F88" s="33" t="s">
        <v>243</v>
      </c>
      <c r="G88" t="s">
        <v>125</v>
      </c>
      <c r="H88">
        <v>101</v>
      </c>
      <c r="I88" s="39">
        <v>2</v>
      </c>
      <c r="J88" t="s">
        <v>75</v>
      </c>
      <c r="K88" s="22">
        <f t="shared" si="0"/>
        <v>21.428571428571427</v>
      </c>
      <c r="O88" s="35">
        <v>8.3000000000000007</v>
      </c>
      <c r="P88" s="35">
        <v>7.7</v>
      </c>
      <c r="Q88" s="35">
        <v>3.5</v>
      </c>
      <c r="R88" t="s">
        <v>126</v>
      </c>
      <c r="T88" t="s">
        <v>64</v>
      </c>
      <c r="W88" s="24">
        <f>17.81/(K88*Q88)*100</f>
        <v>23.746666666666666</v>
      </c>
      <c r="Y88" t="s">
        <v>127</v>
      </c>
      <c r="Z88" t="s">
        <v>128</v>
      </c>
      <c r="AC88" s="10"/>
      <c r="AE88" s="1"/>
      <c r="AF88" s="1"/>
      <c r="AG88" s="1"/>
      <c r="AI88" s="1"/>
      <c r="AJ88" s="1"/>
      <c r="AK88" s="1"/>
      <c r="AL88" s="1"/>
    </row>
    <row r="89" spans="1:38" ht="18" x14ac:dyDescent="0.35">
      <c r="A89" s="7" t="s">
        <v>124</v>
      </c>
      <c r="B89" s="6" t="s">
        <v>129</v>
      </c>
      <c r="C89" s="6" t="s">
        <v>103</v>
      </c>
      <c r="D89" s="33" t="s">
        <v>61</v>
      </c>
      <c r="E89" s="33" t="s">
        <v>243</v>
      </c>
      <c r="F89" s="33" t="s">
        <v>243</v>
      </c>
      <c r="G89" t="s">
        <v>125</v>
      </c>
      <c r="H89">
        <v>101</v>
      </c>
      <c r="I89" s="39">
        <v>2</v>
      </c>
      <c r="J89" t="s">
        <v>75</v>
      </c>
      <c r="K89" s="22">
        <f t="shared" si="0"/>
        <v>20.833333333333332</v>
      </c>
      <c r="O89" s="35">
        <v>7.7</v>
      </c>
      <c r="P89" s="35">
        <v>7.5</v>
      </c>
      <c r="Q89" s="35">
        <v>3.6</v>
      </c>
      <c r="R89" t="s">
        <v>126</v>
      </c>
      <c r="T89" t="s">
        <v>64</v>
      </c>
      <c r="W89" s="24">
        <f>16.38/(K89*Q89)*100</f>
        <v>21.84</v>
      </c>
      <c r="Y89" t="s">
        <v>127</v>
      </c>
      <c r="Z89" t="s">
        <v>128</v>
      </c>
      <c r="AC89" s="10"/>
      <c r="AE89" s="1"/>
      <c r="AF89" s="1"/>
      <c r="AG89" s="1"/>
      <c r="AI89" s="1"/>
      <c r="AJ89" s="1"/>
      <c r="AK89" s="1"/>
      <c r="AL89" s="1"/>
    </row>
    <row r="90" spans="1:38" ht="18" x14ac:dyDescent="0.35">
      <c r="A90" s="7" t="s">
        <v>124</v>
      </c>
      <c r="B90" s="6" t="s">
        <v>129</v>
      </c>
      <c r="C90" s="6" t="s">
        <v>103</v>
      </c>
      <c r="D90" s="33" t="s">
        <v>61</v>
      </c>
      <c r="E90" s="33" t="s">
        <v>243</v>
      </c>
      <c r="F90" s="33" t="s">
        <v>243</v>
      </c>
      <c r="G90" t="s">
        <v>125</v>
      </c>
      <c r="H90">
        <v>101</v>
      </c>
      <c r="I90" s="39">
        <v>2</v>
      </c>
      <c r="J90" t="s">
        <v>75</v>
      </c>
      <c r="K90" s="22">
        <f t="shared" si="0"/>
        <v>20.27027027027027</v>
      </c>
      <c r="O90" s="35">
        <v>6.9</v>
      </c>
      <c r="P90" s="35">
        <v>7.7</v>
      </c>
      <c r="Q90" s="35">
        <v>3.7</v>
      </c>
      <c r="R90" t="s">
        <v>126</v>
      </c>
      <c r="T90" t="s">
        <v>64</v>
      </c>
      <c r="W90" s="24">
        <f>11.41/(K90*Q90)*100</f>
        <v>15.213333333333335</v>
      </c>
      <c r="Y90" t="s">
        <v>127</v>
      </c>
      <c r="Z90" t="s">
        <v>128</v>
      </c>
      <c r="AC90" s="10"/>
      <c r="AE90" s="1"/>
      <c r="AF90" s="1"/>
      <c r="AG90" s="1"/>
      <c r="AI90" s="1"/>
      <c r="AJ90" s="1"/>
      <c r="AK90" s="1"/>
      <c r="AL90" s="1"/>
    </row>
    <row r="91" spans="1:38" ht="18" x14ac:dyDescent="0.35">
      <c r="A91" s="7" t="s">
        <v>124</v>
      </c>
      <c r="B91" s="6" t="s">
        <v>129</v>
      </c>
      <c r="C91" s="6" t="s">
        <v>103</v>
      </c>
      <c r="D91" s="33" t="s">
        <v>61</v>
      </c>
      <c r="E91" s="33" t="s">
        <v>243</v>
      </c>
      <c r="F91" s="33" t="s">
        <v>243</v>
      </c>
      <c r="G91" t="s">
        <v>125</v>
      </c>
      <c r="H91">
        <v>101</v>
      </c>
      <c r="I91" s="39">
        <v>2</v>
      </c>
      <c r="J91" t="s">
        <v>75</v>
      </c>
      <c r="K91" s="22">
        <f t="shared" si="0"/>
        <v>20.27027027027027</v>
      </c>
      <c r="O91" s="35">
        <v>5.8</v>
      </c>
      <c r="P91" s="35">
        <v>7.8</v>
      </c>
      <c r="Q91" s="35">
        <v>3.7</v>
      </c>
      <c r="R91" t="s">
        <v>126</v>
      </c>
      <c r="T91" t="s">
        <v>64</v>
      </c>
      <c r="W91" s="24">
        <f>10.31/(K91*Q91)*100</f>
        <v>13.746666666666668</v>
      </c>
      <c r="Y91" t="s">
        <v>127</v>
      </c>
      <c r="Z91" t="s">
        <v>128</v>
      </c>
      <c r="AC91" s="10"/>
      <c r="AE91" s="1"/>
      <c r="AF91" s="1"/>
      <c r="AG91" s="1"/>
      <c r="AI91" s="1"/>
      <c r="AJ91" s="1"/>
      <c r="AK91" s="1"/>
      <c r="AL91" s="1"/>
    </row>
    <row r="92" spans="1:38" ht="18" x14ac:dyDescent="0.35">
      <c r="A92" s="7" t="s">
        <v>124</v>
      </c>
      <c r="C92" s="6" t="s">
        <v>103</v>
      </c>
      <c r="D92" s="33" t="s">
        <v>61</v>
      </c>
      <c r="E92" s="33" t="s">
        <v>241</v>
      </c>
      <c r="F92" s="33" t="s">
        <v>241</v>
      </c>
      <c r="G92" t="s">
        <v>125</v>
      </c>
      <c r="H92">
        <v>101</v>
      </c>
      <c r="I92" s="39">
        <v>3</v>
      </c>
      <c r="J92" t="s">
        <v>75</v>
      </c>
      <c r="K92" s="22">
        <f t="shared" si="0"/>
        <v>25</v>
      </c>
      <c r="O92" s="35">
        <v>9.4</v>
      </c>
      <c r="P92" s="35">
        <v>7.2</v>
      </c>
      <c r="Q92" s="35">
        <v>3</v>
      </c>
      <c r="R92" t="s">
        <v>126</v>
      </c>
      <c r="T92" t="s">
        <v>64</v>
      </c>
      <c r="W92" s="24">
        <f>9.67/(K92*Q92)*100</f>
        <v>12.893333333333334</v>
      </c>
      <c r="Y92" t="s">
        <v>127</v>
      </c>
      <c r="Z92" t="s">
        <v>128</v>
      </c>
      <c r="AC92" s="10"/>
      <c r="AE92" s="1"/>
      <c r="AF92" s="1"/>
      <c r="AG92" s="1"/>
      <c r="AI92" s="1"/>
      <c r="AJ92" s="1"/>
      <c r="AK92" s="1"/>
      <c r="AL92" s="1"/>
    </row>
    <row r="93" spans="1:38" ht="18" x14ac:dyDescent="0.35">
      <c r="A93" s="7" t="s">
        <v>124</v>
      </c>
      <c r="B93" s="6" t="s">
        <v>129</v>
      </c>
      <c r="C93" s="6" t="s">
        <v>103</v>
      </c>
      <c r="D93" s="33" t="s">
        <v>61</v>
      </c>
      <c r="E93" s="33" t="s">
        <v>243</v>
      </c>
      <c r="F93" s="33" t="s">
        <v>243</v>
      </c>
      <c r="G93" t="s">
        <v>125</v>
      </c>
      <c r="H93">
        <v>101</v>
      </c>
      <c r="I93" s="39">
        <v>3</v>
      </c>
      <c r="J93" t="s">
        <v>75</v>
      </c>
      <c r="K93" s="22">
        <f t="shared" si="0"/>
        <v>25</v>
      </c>
      <c r="O93" s="35">
        <v>8.4</v>
      </c>
      <c r="P93" s="35">
        <v>7.2</v>
      </c>
      <c r="Q93" s="35">
        <v>3</v>
      </c>
      <c r="R93" t="s">
        <v>126</v>
      </c>
      <c r="T93" t="s">
        <v>64</v>
      </c>
      <c r="W93" s="24">
        <f>5.14/(K93*Q93)*100</f>
        <v>6.8533333333333335</v>
      </c>
      <c r="Y93" t="s">
        <v>127</v>
      </c>
      <c r="Z93" t="s">
        <v>128</v>
      </c>
      <c r="AC93" s="10"/>
      <c r="AE93" s="1"/>
      <c r="AF93" s="1"/>
      <c r="AG93" s="1"/>
      <c r="AI93" s="1"/>
      <c r="AJ93" s="1"/>
      <c r="AK93" s="1"/>
      <c r="AL93" s="1"/>
    </row>
    <row r="94" spans="1:38" ht="18" x14ac:dyDescent="0.35">
      <c r="A94" s="7" t="s">
        <v>124</v>
      </c>
      <c r="B94" s="6" t="s">
        <v>129</v>
      </c>
      <c r="C94" s="6" t="s">
        <v>103</v>
      </c>
      <c r="D94" s="33" t="s">
        <v>61</v>
      </c>
      <c r="E94" s="33" t="s">
        <v>243</v>
      </c>
      <c r="F94" s="33" t="s">
        <v>243</v>
      </c>
      <c r="G94" t="s">
        <v>125</v>
      </c>
      <c r="H94">
        <v>101</v>
      </c>
      <c r="I94" s="39">
        <v>3</v>
      </c>
      <c r="J94" t="s">
        <v>75</v>
      </c>
      <c r="K94" s="22">
        <f t="shared" si="0"/>
        <v>25</v>
      </c>
      <c r="O94" s="35">
        <v>8</v>
      </c>
      <c r="P94" s="35">
        <v>7.2</v>
      </c>
      <c r="Q94" s="35">
        <v>3</v>
      </c>
      <c r="R94" t="s">
        <v>126</v>
      </c>
      <c r="T94" t="s">
        <v>64</v>
      </c>
      <c r="W94" s="24">
        <f>5.53/(K94*Q94)*100</f>
        <v>7.3733333333333331</v>
      </c>
      <c r="Y94" t="s">
        <v>127</v>
      </c>
      <c r="Z94" t="s">
        <v>128</v>
      </c>
      <c r="AC94" s="10"/>
      <c r="AE94" s="1"/>
      <c r="AF94" s="1"/>
      <c r="AG94" s="1"/>
      <c r="AI94" s="1"/>
      <c r="AJ94" s="1"/>
      <c r="AK94" s="1"/>
      <c r="AL94" s="1"/>
    </row>
    <row r="95" spans="1:38" ht="18" x14ac:dyDescent="0.35">
      <c r="A95" s="7" t="s">
        <v>124</v>
      </c>
      <c r="B95" s="6" t="s">
        <v>129</v>
      </c>
      <c r="C95" s="6" t="s">
        <v>103</v>
      </c>
      <c r="D95" s="33" t="s">
        <v>61</v>
      </c>
      <c r="E95" s="33" t="s">
        <v>243</v>
      </c>
      <c r="F95" s="33" t="s">
        <v>243</v>
      </c>
      <c r="G95" t="s">
        <v>125</v>
      </c>
      <c r="H95">
        <v>101</v>
      </c>
      <c r="I95" s="39">
        <v>3</v>
      </c>
      <c r="J95" t="s">
        <v>75</v>
      </c>
      <c r="K95" s="22">
        <f t="shared" si="0"/>
        <v>25</v>
      </c>
      <c r="O95" s="35">
        <v>6.8</v>
      </c>
      <c r="P95" s="35">
        <v>7.3</v>
      </c>
      <c r="Q95" s="35">
        <v>3</v>
      </c>
      <c r="R95" t="s">
        <v>126</v>
      </c>
      <c r="T95" t="s">
        <v>64</v>
      </c>
      <c r="W95" s="24">
        <f>3.17/(K95*Q95)*100</f>
        <v>4.2266666666666666</v>
      </c>
      <c r="Y95" t="s">
        <v>127</v>
      </c>
      <c r="Z95" t="s">
        <v>128</v>
      </c>
      <c r="AC95" s="10"/>
      <c r="AE95" s="1"/>
      <c r="AF95" s="1"/>
      <c r="AG95" s="1"/>
      <c r="AI95" s="1"/>
      <c r="AJ95" s="1"/>
      <c r="AK95" s="1"/>
      <c r="AL95" s="1"/>
    </row>
    <row r="96" spans="1:38" ht="18" x14ac:dyDescent="0.35">
      <c r="A96" s="7" t="s">
        <v>124</v>
      </c>
      <c r="B96" s="6" t="s">
        <v>129</v>
      </c>
      <c r="C96" s="6" t="s">
        <v>103</v>
      </c>
      <c r="D96" s="33" t="s">
        <v>61</v>
      </c>
      <c r="E96" s="33" t="s">
        <v>243</v>
      </c>
      <c r="F96" s="33" t="s">
        <v>243</v>
      </c>
      <c r="G96" t="s">
        <v>125</v>
      </c>
      <c r="H96">
        <v>101</v>
      </c>
      <c r="I96" s="39">
        <v>3</v>
      </c>
      <c r="J96" t="s">
        <v>75</v>
      </c>
      <c r="K96" s="22">
        <f t="shared" si="0"/>
        <v>25.862068965517242</v>
      </c>
      <c r="O96" s="35">
        <v>5.9</v>
      </c>
      <c r="P96" s="35">
        <v>7.4</v>
      </c>
      <c r="Q96" s="35">
        <v>2.9</v>
      </c>
      <c r="R96" t="s">
        <v>126</v>
      </c>
      <c r="T96" t="s">
        <v>64</v>
      </c>
      <c r="W96" s="24">
        <f>0.83/(K96*Q96)*100</f>
        <v>1.1066666666666665</v>
      </c>
      <c r="Y96" t="s">
        <v>127</v>
      </c>
      <c r="Z96" t="s">
        <v>128</v>
      </c>
      <c r="AC96" s="10"/>
      <c r="AE96" s="1"/>
      <c r="AF96" s="1"/>
      <c r="AG96" s="1"/>
      <c r="AI96" s="1"/>
      <c r="AJ96" s="1"/>
      <c r="AK96" s="1"/>
      <c r="AL96" s="1"/>
    </row>
    <row r="97" spans="1:38" ht="15" customHeight="1" x14ac:dyDescent="0.25">
      <c r="A97" s="34" t="s">
        <v>130</v>
      </c>
      <c r="C97" s="6" t="s">
        <v>91</v>
      </c>
      <c r="D97" s="33" t="s">
        <v>74</v>
      </c>
      <c r="E97" s="33" t="s">
        <v>241</v>
      </c>
      <c r="F97" s="33" t="s">
        <v>241</v>
      </c>
      <c r="G97" t="s">
        <v>131</v>
      </c>
      <c r="H97">
        <v>77</v>
      </c>
      <c r="I97" s="39">
        <v>1</v>
      </c>
      <c r="J97" t="s">
        <v>63</v>
      </c>
      <c r="K97" s="25">
        <v>30</v>
      </c>
      <c r="L97">
        <v>22</v>
      </c>
      <c r="M97">
        <v>19.600000000000001</v>
      </c>
      <c r="N97">
        <v>0</v>
      </c>
      <c r="O97" s="42">
        <v>4.1100000000000003</v>
      </c>
      <c r="P97" s="42">
        <v>7.45</v>
      </c>
      <c r="Q97" s="35">
        <v>3.1</v>
      </c>
      <c r="R97" t="s">
        <v>132</v>
      </c>
      <c r="S97">
        <v>6</v>
      </c>
      <c r="T97" t="s">
        <v>85</v>
      </c>
      <c r="U97">
        <v>1.35</v>
      </c>
      <c r="V97">
        <v>0.12</v>
      </c>
      <c r="W97">
        <v>26.08</v>
      </c>
      <c r="Y97" t="s">
        <v>133</v>
      </c>
      <c r="Z97" t="s">
        <v>134</v>
      </c>
      <c r="AB97" s="4"/>
      <c r="AC97" s="10"/>
      <c r="AE97" s="1"/>
      <c r="AF97" s="1"/>
      <c r="AG97" s="1"/>
      <c r="AI97" s="1"/>
      <c r="AJ97" s="1"/>
      <c r="AK97" s="1"/>
      <c r="AL97" s="1"/>
    </row>
    <row r="98" spans="1:38" ht="15" customHeight="1" x14ac:dyDescent="0.25">
      <c r="A98" s="34" t="s">
        <v>130</v>
      </c>
      <c r="B98" s="6" t="s">
        <v>135</v>
      </c>
      <c r="C98" s="6" t="s">
        <v>91</v>
      </c>
      <c r="D98" s="33" t="s">
        <v>74</v>
      </c>
      <c r="E98" s="33" t="s">
        <v>243</v>
      </c>
      <c r="F98" s="33" t="s">
        <v>243</v>
      </c>
      <c r="G98" t="s">
        <v>131</v>
      </c>
      <c r="H98">
        <v>77</v>
      </c>
      <c r="I98" s="39">
        <v>1</v>
      </c>
      <c r="J98" t="s">
        <v>63</v>
      </c>
      <c r="K98" s="25">
        <v>30</v>
      </c>
      <c r="L98">
        <v>22</v>
      </c>
      <c r="M98">
        <v>19.600000000000001</v>
      </c>
      <c r="N98">
        <v>0</v>
      </c>
      <c r="O98" s="42">
        <v>0.91</v>
      </c>
      <c r="P98" s="42">
        <v>7.88</v>
      </c>
      <c r="Q98" s="35">
        <v>2</v>
      </c>
      <c r="R98" t="s">
        <v>132</v>
      </c>
      <c r="S98">
        <v>6</v>
      </c>
      <c r="T98" t="s">
        <v>85</v>
      </c>
      <c r="U98">
        <v>1.35</v>
      </c>
      <c r="V98">
        <v>0.12</v>
      </c>
      <c r="W98">
        <v>19.57</v>
      </c>
      <c r="Y98" t="s">
        <v>133</v>
      </c>
      <c r="Z98" t="s">
        <v>134</v>
      </c>
      <c r="AB98" s="4"/>
      <c r="AE98" s="1"/>
      <c r="AF98" s="1"/>
      <c r="AG98" s="1"/>
      <c r="AI98" s="1"/>
      <c r="AJ98" s="1"/>
      <c r="AK98" s="1"/>
      <c r="AL98" s="1"/>
    </row>
    <row r="99" spans="1:38" ht="15" customHeight="1" x14ac:dyDescent="0.25">
      <c r="A99" s="34" t="s">
        <v>130</v>
      </c>
      <c r="B99" t="s">
        <v>136</v>
      </c>
      <c r="C99" s="6" t="s">
        <v>91</v>
      </c>
      <c r="D99" s="33" t="s">
        <v>74</v>
      </c>
      <c r="E99" s="33" t="s">
        <v>243</v>
      </c>
      <c r="F99" s="33" t="s">
        <v>243</v>
      </c>
      <c r="G99" t="s">
        <v>131</v>
      </c>
      <c r="H99">
        <v>77</v>
      </c>
      <c r="I99" s="39">
        <v>1</v>
      </c>
      <c r="J99" t="s">
        <v>63</v>
      </c>
      <c r="K99" s="25">
        <v>30</v>
      </c>
      <c r="L99">
        <v>22</v>
      </c>
      <c r="M99">
        <v>19.600000000000001</v>
      </c>
      <c r="N99">
        <v>0</v>
      </c>
      <c r="O99" s="42">
        <v>0.63</v>
      </c>
      <c r="P99" s="42">
        <v>7.75</v>
      </c>
      <c r="Q99" s="35">
        <v>1.9</v>
      </c>
      <c r="R99" t="s">
        <v>132</v>
      </c>
      <c r="S99">
        <v>6</v>
      </c>
      <c r="T99" t="s">
        <v>85</v>
      </c>
      <c r="U99">
        <v>1.35</v>
      </c>
      <c r="V99">
        <v>0.12</v>
      </c>
      <c r="W99">
        <v>17.55</v>
      </c>
      <c r="Y99" t="s">
        <v>133</v>
      </c>
      <c r="Z99" t="s">
        <v>134</v>
      </c>
      <c r="AB99" s="4"/>
      <c r="AE99" s="1"/>
      <c r="AF99" s="1"/>
      <c r="AG99" s="1"/>
      <c r="AI99" s="1"/>
      <c r="AJ99" s="1"/>
      <c r="AK99" s="1"/>
      <c r="AL99" s="1"/>
    </row>
    <row r="100" spans="1:38" ht="15" customHeight="1" x14ac:dyDescent="0.25">
      <c r="A100" s="34" t="s">
        <v>130</v>
      </c>
      <c r="B100" t="s">
        <v>136</v>
      </c>
      <c r="C100" s="6" t="s">
        <v>91</v>
      </c>
      <c r="D100" s="33" t="s">
        <v>74</v>
      </c>
      <c r="E100" s="33" t="s">
        <v>243</v>
      </c>
      <c r="F100" s="33" t="s">
        <v>243</v>
      </c>
      <c r="G100" t="s">
        <v>131</v>
      </c>
      <c r="H100">
        <v>77</v>
      </c>
      <c r="I100" s="39">
        <v>1</v>
      </c>
      <c r="J100" t="s">
        <v>63</v>
      </c>
      <c r="K100" s="25">
        <v>30</v>
      </c>
      <c r="L100">
        <v>22</v>
      </c>
      <c r="M100">
        <v>19.600000000000001</v>
      </c>
      <c r="N100">
        <v>0</v>
      </c>
      <c r="O100" s="42">
        <v>0.65</v>
      </c>
      <c r="P100" s="42">
        <v>7.63</v>
      </c>
      <c r="Q100" s="35">
        <v>2</v>
      </c>
      <c r="R100" t="s">
        <v>132</v>
      </c>
      <c r="S100">
        <v>6</v>
      </c>
      <c r="T100" t="s">
        <v>85</v>
      </c>
      <c r="U100">
        <v>1.35</v>
      </c>
      <c r="V100">
        <v>0.12</v>
      </c>
      <c r="W100">
        <v>4.32</v>
      </c>
      <c r="Y100" t="s">
        <v>133</v>
      </c>
      <c r="Z100" t="s">
        <v>134</v>
      </c>
      <c r="AB100" s="4"/>
      <c r="AE100" s="1"/>
      <c r="AF100" s="1"/>
      <c r="AG100" s="1"/>
      <c r="AI100" s="1"/>
      <c r="AJ100" s="1"/>
      <c r="AK100" s="1"/>
      <c r="AL100" s="1"/>
    </row>
    <row r="101" spans="1:38" ht="15" customHeight="1" x14ac:dyDescent="0.25">
      <c r="A101" s="34" t="s">
        <v>130</v>
      </c>
      <c r="C101" s="6" t="s">
        <v>91</v>
      </c>
      <c r="D101" s="33" t="s">
        <v>137</v>
      </c>
      <c r="E101" s="33" t="s">
        <v>241</v>
      </c>
      <c r="F101" s="33" t="s">
        <v>241</v>
      </c>
      <c r="G101" t="s">
        <v>131</v>
      </c>
      <c r="H101">
        <v>77</v>
      </c>
      <c r="I101" s="39">
        <v>2</v>
      </c>
      <c r="J101" t="s">
        <v>63</v>
      </c>
      <c r="K101" s="25">
        <v>30</v>
      </c>
      <c r="L101">
        <v>22</v>
      </c>
      <c r="M101">
        <v>19.600000000000001</v>
      </c>
      <c r="N101">
        <v>0</v>
      </c>
      <c r="O101" s="42">
        <v>3.42</v>
      </c>
      <c r="P101" s="42">
        <v>7.83</v>
      </c>
      <c r="Q101" s="35">
        <v>3.3</v>
      </c>
      <c r="R101" t="s">
        <v>132</v>
      </c>
      <c r="S101">
        <v>6</v>
      </c>
      <c r="T101" t="s">
        <v>85</v>
      </c>
      <c r="U101">
        <v>1.35</v>
      </c>
      <c r="V101">
        <v>0.12</v>
      </c>
      <c r="W101">
        <v>28.13</v>
      </c>
      <c r="Y101" t="s">
        <v>133</v>
      </c>
      <c r="Z101" t="s">
        <v>134</v>
      </c>
      <c r="AB101" s="4"/>
      <c r="AE101" s="1"/>
      <c r="AF101" s="1"/>
      <c r="AG101" s="1"/>
      <c r="AI101" s="1"/>
      <c r="AJ101" s="1"/>
      <c r="AK101" s="1"/>
      <c r="AL101" s="1"/>
    </row>
    <row r="102" spans="1:38" ht="15" customHeight="1" x14ac:dyDescent="0.25">
      <c r="A102" s="34" t="s">
        <v>130</v>
      </c>
      <c r="B102" s="6" t="s">
        <v>135</v>
      </c>
      <c r="C102" s="6" t="s">
        <v>91</v>
      </c>
      <c r="D102" s="33" t="s">
        <v>137</v>
      </c>
      <c r="E102" s="33" t="s">
        <v>243</v>
      </c>
      <c r="F102" s="33" t="s">
        <v>243</v>
      </c>
      <c r="G102" t="s">
        <v>131</v>
      </c>
      <c r="H102">
        <v>77</v>
      </c>
      <c r="I102" s="39">
        <v>2</v>
      </c>
      <c r="J102" t="s">
        <v>63</v>
      </c>
      <c r="K102" s="25">
        <v>30</v>
      </c>
      <c r="L102">
        <v>22</v>
      </c>
      <c r="M102">
        <v>19.600000000000001</v>
      </c>
      <c r="N102">
        <v>0</v>
      </c>
      <c r="O102" s="42">
        <v>0.62</v>
      </c>
      <c r="P102" s="42">
        <v>8.27</v>
      </c>
      <c r="Q102" s="35">
        <v>2.5</v>
      </c>
      <c r="R102" t="s">
        <v>132</v>
      </c>
      <c r="S102">
        <v>6</v>
      </c>
      <c r="T102" t="s">
        <v>85</v>
      </c>
      <c r="U102">
        <v>1.35</v>
      </c>
      <c r="V102">
        <v>0.12</v>
      </c>
      <c r="W102">
        <v>25.46</v>
      </c>
      <c r="Y102" t="s">
        <v>133</v>
      </c>
      <c r="Z102" t="s">
        <v>134</v>
      </c>
      <c r="AB102" s="4"/>
      <c r="AE102" s="1"/>
      <c r="AF102" s="1"/>
      <c r="AG102" s="1"/>
      <c r="AI102" s="1"/>
      <c r="AJ102" s="1"/>
      <c r="AK102" s="1"/>
      <c r="AL102" s="1"/>
    </row>
    <row r="103" spans="1:38" ht="15" customHeight="1" x14ac:dyDescent="0.25">
      <c r="A103" s="34" t="s">
        <v>130</v>
      </c>
      <c r="B103" t="s">
        <v>136</v>
      </c>
      <c r="C103" s="6" t="s">
        <v>91</v>
      </c>
      <c r="D103" s="33" t="s">
        <v>137</v>
      </c>
      <c r="E103" s="33" t="s">
        <v>243</v>
      </c>
      <c r="F103" s="33" t="s">
        <v>243</v>
      </c>
      <c r="G103" t="s">
        <v>131</v>
      </c>
      <c r="H103">
        <v>77</v>
      </c>
      <c r="I103" s="39">
        <v>2</v>
      </c>
      <c r="J103" t="s">
        <v>63</v>
      </c>
      <c r="K103" s="25">
        <v>30</v>
      </c>
      <c r="L103">
        <v>22</v>
      </c>
      <c r="M103">
        <v>19.600000000000001</v>
      </c>
      <c r="N103">
        <v>0</v>
      </c>
      <c r="O103" s="42">
        <v>1.1100000000000001</v>
      </c>
      <c r="P103" s="42">
        <v>8.0399999999999991</v>
      </c>
      <c r="Q103" s="35">
        <v>2.6</v>
      </c>
      <c r="R103" t="s">
        <v>132</v>
      </c>
      <c r="S103">
        <v>6</v>
      </c>
      <c r="T103" t="s">
        <v>85</v>
      </c>
      <c r="U103">
        <v>1.35</v>
      </c>
      <c r="V103">
        <v>0.12</v>
      </c>
      <c r="W103">
        <v>21.15</v>
      </c>
      <c r="Y103" t="s">
        <v>133</v>
      </c>
      <c r="Z103" t="s">
        <v>134</v>
      </c>
      <c r="AB103" s="4"/>
      <c r="AE103" s="1"/>
      <c r="AF103" s="1"/>
      <c r="AG103" s="1"/>
      <c r="AI103" s="1"/>
      <c r="AJ103" s="1"/>
      <c r="AK103" s="1"/>
      <c r="AL103" s="1"/>
    </row>
    <row r="104" spans="1:38" ht="15" customHeight="1" x14ac:dyDescent="0.25">
      <c r="A104" s="34" t="s">
        <v>130</v>
      </c>
      <c r="B104" t="s">
        <v>136</v>
      </c>
      <c r="C104" s="6" t="s">
        <v>91</v>
      </c>
      <c r="D104" s="33" t="s">
        <v>137</v>
      </c>
      <c r="E104" s="33" t="s">
        <v>243</v>
      </c>
      <c r="F104" s="33" t="s">
        <v>243</v>
      </c>
      <c r="G104" t="s">
        <v>131</v>
      </c>
      <c r="H104">
        <v>77</v>
      </c>
      <c r="I104" s="39">
        <v>2</v>
      </c>
      <c r="J104" t="s">
        <v>63</v>
      </c>
      <c r="K104" s="25">
        <v>30</v>
      </c>
      <c r="L104">
        <v>22</v>
      </c>
      <c r="M104">
        <v>19.600000000000001</v>
      </c>
      <c r="N104">
        <v>0</v>
      </c>
      <c r="O104" s="42">
        <v>1</v>
      </c>
      <c r="P104" s="42">
        <v>7.93</v>
      </c>
      <c r="Q104" s="35">
        <v>2.9</v>
      </c>
      <c r="R104" t="s">
        <v>132</v>
      </c>
      <c r="S104">
        <v>6</v>
      </c>
      <c r="T104" t="s">
        <v>85</v>
      </c>
      <c r="U104">
        <v>1.35</v>
      </c>
      <c r="V104">
        <v>0.12</v>
      </c>
      <c r="W104">
        <v>15.5</v>
      </c>
      <c r="Y104" t="s">
        <v>133</v>
      </c>
      <c r="Z104" t="s">
        <v>134</v>
      </c>
      <c r="AB104" s="4"/>
      <c r="AE104" s="1"/>
      <c r="AF104" s="1"/>
      <c r="AG104" s="1"/>
      <c r="AI104" s="1"/>
      <c r="AJ104" s="1"/>
      <c r="AK104" s="1"/>
      <c r="AL104" s="1"/>
    </row>
    <row r="105" spans="1:38" ht="15" customHeight="1" x14ac:dyDescent="0.25">
      <c r="A105" s="7" t="s">
        <v>140</v>
      </c>
      <c r="C105" s="6" t="s">
        <v>103</v>
      </c>
      <c r="D105" s="33" t="s">
        <v>74</v>
      </c>
      <c r="E105" s="33" t="s">
        <v>241</v>
      </c>
      <c r="F105" s="33" t="s">
        <v>241</v>
      </c>
      <c r="G105" t="s">
        <v>131</v>
      </c>
      <c r="H105">
        <v>50</v>
      </c>
      <c r="I105" s="39">
        <v>1</v>
      </c>
      <c r="J105" t="s">
        <v>75</v>
      </c>
      <c r="K105" s="25"/>
      <c r="L105">
        <v>20</v>
      </c>
      <c r="M105">
        <v>20</v>
      </c>
      <c r="N105">
        <v>0</v>
      </c>
      <c r="O105" s="35">
        <v>2.8</v>
      </c>
      <c r="P105" s="35">
        <v>8.3000000000000007</v>
      </c>
      <c r="Q105" s="35">
        <v>2.9</v>
      </c>
      <c r="R105" t="s">
        <v>141</v>
      </c>
      <c r="T105" t="s">
        <v>85</v>
      </c>
      <c r="W105">
        <v>26</v>
      </c>
      <c r="Y105" t="s">
        <v>81</v>
      </c>
      <c r="Z105" s="28" t="s">
        <v>142</v>
      </c>
      <c r="AE105" s="1"/>
      <c r="AF105" s="1"/>
      <c r="AG105" s="1"/>
      <c r="AI105" s="1"/>
      <c r="AJ105" s="1"/>
      <c r="AK105" s="1"/>
      <c r="AL105" s="1"/>
    </row>
    <row r="106" spans="1:38" ht="15" customHeight="1" x14ac:dyDescent="0.25">
      <c r="A106" s="7" t="s">
        <v>140</v>
      </c>
      <c r="B106" s="6" t="s">
        <v>117</v>
      </c>
      <c r="C106" s="6" t="s">
        <v>103</v>
      </c>
      <c r="D106" s="33" t="s">
        <v>74</v>
      </c>
      <c r="E106" s="33" t="s">
        <v>243</v>
      </c>
      <c r="F106" s="33" t="s">
        <v>243</v>
      </c>
      <c r="G106" t="s">
        <v>131</v>
      </c>
      <c r="H106">
        <v>50</v>
      </c>
      <c r="I106" s="39">
        <v>1</v>
      </c>
      <c r="J106" t="s">
        <v>75</v>
      </c>
      <c r="K106" s="25"/>
      <c r="L106">
        <v>20</v>
      </c>
      <c r="M106">
        <v>20</v>
      </c>
      <c r="N106">
        <v>0</v>
      </c>
      <c r="O106" s="35">
        <v>1.3</v>
      </c>
      <c r="P106" s="35">
        <v>8.5</v>
      </c>
      <c r="Q106" s="35">
        <v>2</v>
      </c>
      <c r="R106" t="s">
        <v>141</v>
      </c>
      <c r="T106" t="s">
        <v>85</v>
      </c>
      <c r="W106">
        <v>13</v>
      </c>
      <c r="Y106" t="s">
        <v>81</v>
      </c>
      <c r="Z106" s="28" t="s">
        <v>142</v>
      </c>
      <c r="AE106" s="1"/>
      <c r="AF106" s="1"/>
      <c r="AG106" s="1"/>
      <c r="AI106" s="1"/>
      <c r="AJ106" s="1"/>
      <c r="AK106" s="1"/>
      <c r="AL106" s="1"/>
    </row>
    <row r="107" spans="1:38" ht="15" customHeight="1" x14ac:dyDescent="0.25">
      <c r="A107" s="7" t="s">
        <v>143</v>
      </c>
      <c r="C107" s="6" t="s">
        <v>91</v>
      </c>
      <c r="D107" s="33" t="s">
        <v>74</v>
      </c>
      <c r="E107" s="33" t="s">
        <v>241</v>
      </c>
      <c r="F107" s="33" t="s">
        <v>241</v>
      </c>
      <c r="G107" t="s">
        <v>62</v>
      </c>
      <c r="H107">
        <v>120</v>
      </c>
      <c r="I107" s="39">
        <v>1</v>
      </c>
      <c r="J107" t="s">
        <v>63</v>
      </c>
      <c r="K107" s="25">
        <f>132/2.9</f>
        <v>45.517241379310349</v>
      </c>
      <c r="M107">
        <v>6.2</v>
      </c>
      <c r="N107">
        <v>0.7</v>
      </c>
      <c r="O107" s="35">
        <v>4.7</v>
      </c>
      <c r="P107" s="35">
        <v>8</v>
      </c>
      <c r="Q107" s="35">
        <v>2.9</v>
      </c>
      <c r="R107" t="s">
        <v>76</v>
      </c>
      <c r="T107" t="s">
        <v>144</v>
      </c>
      <c r="U107">
        <v>1.4</v>
      </c>
      <c r="W107">
        <v>24.5</v>
      </c>
      <c r="Y107" t="s">
        <v>145</v>
      </c>
      <c r="Z107" t="s">
        <v>146</v>
      </c>
    </row>
    <row r="108" spans="1:38" ht="15" customHeight="1" x14ac:dyDescent="0.25">
      <c r="A108" s="7" t="s">
        <v>143</v>
      </c>
      <c r="B108" s="6" t="s">
        <v>147</v>
      </c>
      <c r="C108" s="6" t="s">
        <v>91</v>
      </c>
      <c r="D108" s="33" t="s">
        <v>74</v>
      </c>
      <c r="E108" s="33" t="s">
        <v>243</v>
      </c>
      <c r="F108" s="33" t="s">
        <v>243</v>
      </c>
      <c r="G108" t="s">
        <v>62</v>
      </c>
      <c r="H108">
        <v>120</v>
      </c>
      <c r="I108" s="39">
        <v>1</v>
      </c>
      <c r="J108" t="s">
        <v>63</v>
      </c>
      <c r="K108" s="25">
        <f>132/2.9</f>
        <v>45.517241379310349</v>
      </c>
      <c r="M108">
        <v>7.2</v>
      </c>
      <c r="N108">
        <v>0.7</v>
      </c>
      <c r="O108" s="35">
        <v>1.9</v>
      </c>
      <c r="P108" s="35">
        <v>7.9</v>
      </c>
      <c r="Q108" s="35">
        <v>2.7</v>
      </c>
      <c r="R108" t="s">
        <v>76</v>
      </c>
      <c r="T108" t="s">
        <v>144</v>
      </c>
      <c r="U108">
        <v>2.4</v>
      </c>
      <c r="W108">
        <v>6.4</v>
      </c>
      <c r="Y108" t="s">
        <v>145</v>
      </c>
      <c r="Z108" t="s">
        <v>146</v>
      </c>
    </row>
    <row r="109" spans="1:38" ht="15" customHeight="1" x14ac:dyDescent="0.25">
      <c r="A109" s="7" t="s">
        <v>148</v>
      </c>
      <c r="C109" s="6" t="s">
        <v>60</v>
      </c>
      <c r="D109" s="33" t="s">
        <v>61</v>
      </c>
      <c r="E109" s="33" t="s">
        <v>241</v>
      </c>
      <c r="F109" s="33" t="s">
        <v>241</v>
      </c>
      <c r="G109" t="s">
        <v>149</v>
      </c>
      <c r="H109">
        <v>48</v>
      </c>
      <c r="I109" s="39">
        <v>1</v>
      </c>
      <c r="J109" t="s">
        <v>63</v>
      </c>
      <c r="K109">
        <v>30</v>
      </c>
      <c r="M109">
        <v>13.6</v>
      </c>
      <c r="N109">
        <v>12.8</v>
      </c>
      <c r="O109" s="35">
        <v>7.1</v>
      </c>
      <c r="P109" s="35">
        <v>6.9</v>
      </c>
      <c r="Q109" s="35">
        <v>1.9</v>
      </c>
      <c r="S109">
        <v>5</v>
      </c>
      <c r="T109" t="s">
        <v>64</v>
      </c>
      <c r="W109">
        <v>12</v>
      </c>
      <c r="Y109" t="s">
        <v>150</v>
      </c>
      <c r="Z109" t="s">
        <v>134</v>
      </c>
      <c r="AA109" t="s">
        <v>151</v>
      </c>
    </row>
    <row r="110" spans="1:38" ht="15" customHeight="1" x14ac:dyDescent="0.25">
      <c r="A110" s="7" t="s">
        <v>148</v>
      </c>
      <c r="B110" s="6" t="s">
        <v>139</v>
      </c>
      <c r="C110" s="6" t="s">
        <v>60</v>
      </c>
      <c r="D110" s="33" t="s">
        <v>61</v>
      </c>
      <c r="E110" s="33" t="s">
        <v>243</v>
      </c>
      <c r="F110" s="33" t="s">
        <v>243</v>
      </c>
      <c r="G110" t="s">
        <v>149</v>
      </c>
      <c r="H110">
        <v>48</v>
      </c>
      <c r="I110" s="39">
        <v>1</v>
      </c>
      <c r="J110" t="s">
        <v>63</v>
      </c>
      <c r="K110">
        <v>30</v>
      </c>
      <c r="M110">
        <v>14.6</v>
      </c>
      <c r="N110">
        <v>12.8</v>
      </c>
      <c r="O110" s="35">
        <v>3.5</v>
      </c>
      <c r="P110" s="35">
        <v>7.4</v>
      </c>
      <c r="Q110" s="35">
        <v>1.8</v>
      </c>
      <c r="S110">
        <v>5</v>
      </c>
      <c r="T110" t="s">
        <v>64</v>
      </c>
      <c r="W110">
        <v>7</v>
      </c>
      <c r="Y110" t="s">
        <v>150</v>
      </c>
      <c r="Z110" t="s">
        <v>134</v>
      </c>
      <c r="AA110" t="s">
        <v>151</v>
      </c>
    </row>
    <row r="111" spans="1:38" x14ac:dyDescent="0.25">
      <c r="A111" s="7" t="s">
        <v>148</v>
      </c>
      <c r="C111" s="6" t="s">
        <v>60</v>
      </c>
      <c r="D111" s="33" t="s">
        <v>61</v>
      </c>
      <c r="E111" s="33" t="s">
        <v>241</v>
      </c>
      <c r="F111" s="33" t="s">
        <v>241</v>
      </c>
      <c r="G111" t="s">
        <v>149</v>
      </c>
      <c r="H111">
        <v>48</v>
      </c>
      <c r="I111" s="39">
        <v>2</v>
      </c>
      <c r="J111" t="s">
        <v>63</v>
      </c>
      <c r="K111">
        <v>32</v>
      </c>
      <c r="M111">
        <v>12.1</v>
      </c>
      <c r="N111">
        <v>15.9</v>
      </c>
      <c r="O111" s="35">
        <v>7.1</v>
      </c>
      <c r="P111" s="35">
        <v>7</v>
      </c>
      <c r="Q111" s="35">
        <v>1.8</v>
      </c>
      <c r="S111">
        <v>5</v>
      </c>
      <c r="T111" t="s">
        <v>64</v>
      </c>
      <c r="W111">
        <v>20.5</v>
      </c>
      <c r="Y111" t="s">
        <v>150</v>
      </c>
      <c r="Z111" t="s">
        <v>134</v>
      </c>
      <c r="AA111" t="s">
        <v>151</v>
      </c>
    </row>
    <row r="112" spans="1:38" ht="15" customHeight="1" x14ac:dyDescent="0.25">
      <c r="A112" s="7" t="s">
        <v>148</v>
      </c>
      <c r="B112" s="6" t="s">
        <v>139</v>
      </c>
      <c r="C112" s="6" t="s">
        <v>60</v>
      </c>
      <c r="D112" s="33" t="s">
        <v>61</v>
      </c>
      <c r="E112" s="33" t="s">
        <v>243</v>
      </c>
      <c r="F112" s="33" t="s">
        <v>243</v>
      </c>
      <c r="G112" t="s">
        <v>149</v>
      </c>
      <c r="H112">
        <v>48</v>
      </c>
      <c r="I112" s="39">
        <v>2</v>
      </c>
      <c r="J112" t="s">
        <v>63</v>
      </c>
      <c r="K112">
        <v>32</v>
      </c>
      <c r="M112">
        <v>13.1</v>
      </c>
      <c r="N112">
        <v>15.9</v>
      </c>
      <c r="O112" s="35">
        <v>3</v>
      </c>
      <c r="P112" s="35">
        <v>7.6</v>
      </c>
      <c r="Q112" s="35">
        <v>1.7</v>
      </c>
      <c r="S112">
        <v>5</v>
      </c>
      <c r="T112" t="s">
        <v>64</v>
      </c>
      <c r="W112">
        <v>15</v>
      </c>
      <c r="Y112" t="s">
        <v>150</v>
      </c>
      <c r="Z112" t="s">
        <v>134</v>
      </c>
      <c r="AA112" t="s">
        <v>151</v>
      </c>
    </row>
    <row r="113" spans="1:37" ht="15" customHeight="1" x14ac:dyDescent="0.25">
      <c r="A113" s="7" t="s">
        <v>152</v>
      </c>
      <c r="C113" s="6" t="s">
        <v>100</v>
      </c>
      <c r="D113" s="33" t="s">
        <v>61</v>
      </c>
      <c r="E113" s="33" t="s">
        <v>241</v>
      </c>
      <c r="F113" s="33" t="s">
        <v>241</v>
      </c>
      <c r="G113" t="s">
        <v>62</v>
      </c>
      <c r="H113">
        <v>72</v>
      </c>
      <c r="I113" s="39">
        <v>1</v>
      </c>
      <c r="J113" t="s">
        <v>63</v>
      </c>
      <c r="K113" s="38">
        <f>130/2.1</f>
        <v>61.904761904761905</v>
      </c>
      <c r="N113">
        <v>0</v>
      </c>
      <c r="O113" s="35">
        <v>5.79</v>
      </c>
      <c r="P113" s="35">
        <v>8.6199999999999992</v>
      </c>
      <c r="Q113" s="35">
        <v>0.75</v>
      </c>
      <c r="R113" t="s">
        <v>153</v>
      </c>
      <c r="S113">
        <v>12</v>
      </c>
      <c r="W113">
        <v>39</v>
      </c>
      <c r="Y113" t="s">
        <v>154</v>
      </c>
      <c r="Z113" s="28" t="s">
        <v>155</v>
      </c>
      <c r="AA113" t="s">
        <v>156</v>
      </c>
      <c r="AB113" s="16"/>
    </row>
    <row r="114" spans="1:37" ht="15" customHeight="1" x14ac:dyDescent="0.25">
      <c r="A114" s="7" t="s">
        <v>152</v>
      </c>
      <c r="B114" s="6" t="s">
        <v>139</v>
      </c>
      <c r="C114" s="6" t="s">
        <v>100</v>
      </c>
      <c r="D114" s="33" t="s">
        <v>61</v>
      </c>
      <c r="E114" s="33" t="s">
        <v>243</v>
      </c>
      <c r="F114" s="33" t="s">
        <v>243</v>
      </c>
      <c r="G114" t="s">
        <v>62</v>
      </c>
      <c r="H114">
        <v>72</v>
      </c>
      <c r="I114" s="39">
        <v>1</v>
      </c>
      <c r="J114" t="s">
        <v>63</v>
      </c>
      <c r="K114" s="38">
        <f>130/2.08</f>
        <v>62.5</v>
      </c>
      <c r="N114">
        <v>0</v>
      </c>
      <c r="O114" s="35">
        <v>2.68</v>
      </c>
      <c r="P114" s="35">
        <v>8.6</v>
      </c>
      <c r="Q114" s="35">
        <v>0.87</v>
      </c>
      <c r="R114" t="s">
        <v>153</v>
      </c>
      <c r="S114">
        <v>12</v>
      </c>
      <c r="W114">
        <v>16</v>
      </c>
      <c r="Y114" t="s">
        <v>154</v>
      </c>
      <c r="Z114" s="28" t="s">
        <v>155</v>
      </c>
      <c r="AA114" t="s">
        <v>156</v>
      </c>
      <c r="AB114" s="16"/>
    </row>
    <row r="115" spans="1:37" ht="15" customHeight="1" x14ac:dyDescent="0.25">
      <c r="A115" s="7" t="s">
        <v>152</v>
      </c>
      <c r="B115" s="6" t="s">
        <v>157</v>
      </c>
      <c r="C115" s="6" t="s">
        <v>100</v>
      </c>
      <c r="D115" s="33" t="s">
        <v>61</v>
      </c>
      <c r="E115" s="33" t="s">
        <v>243</v>
      </c>
      <c r="F115" s="33" t="s">
        <v>243</v>
      </c>
      <c r="G115" t="s">
        <v>62</v>
      </c>
      <c r="H115">
        <v>72</v>
      </c>
      <c r="I115" s="39">
        <v>1</v>
      </c>
      <c r="J115" t="s">
        <v>63</v>
      </c>
      <c r="K115" s="38">
        <f>130/1.94</f>
        <v>67.010309278350519</v>
      </c>
      <c r="N115">
        <v>0</v>
      </c>
      <c r="O115" s="35">
        <v>2.69</v>
      </c>
      <c r="P115" s="35">
        <v>8.57</v>
      </c>
      <c r="Q115" s="35">
        <v>0.9</v>
      </c>
      <c r="R115" t="s">
        <v>153</v>
      </c>
      <c r="S115">
        <v>12</v>
      </c>
      <c r="W115">
        <v>17</v>
      </c>
      <c r="Y115" t="s">
        <v>154</v>
      </c>
      <c r="Z115" s="28" t="s">
        <v>155</v>
      </c>
      <c r="AA115" t="s">
        <v>156</v>
      </c>
      <c r="AB115" s="16"/>
    </row>
    <row r="116" spans="1:37" ht="15" customHeight="1" x14ac:dyDescent="0.25">
      <c r="A116" s="7" t="s">
        <v>152</v>
      </c>
      <c r="B116" s="6" t="s">
        <v>157</v>
      </c>
      <c r="C116" s="6" t="s">
        <v>100</v>
      </c>
      <c r="D116" s="33" t="s">
        <v>61</v>
      </c>
      <c r="E116" s="33" t="s">
        <v>243</v>
      </c>
      <c r="F116" s="33" t="s">
        <v>243</v>
      </c>
      <c r="G116" t="s">
        <v>62</v>
      </c>
      <c r="H116">
        <v>72</v>
      </c>
      <c r="I116" s="39">
        <v>1</v>
      </c>
      <c r="J116" t="s">
        <v>63</v>
      </c>
      <c r="K116" s="38">
        <f>130/2.1</f>
        <v>61.904761904761905</v>
      </c>
      <c r="N116">
        <v>0</v>
      </c>
      <c r="O116" s="35">
        <v>2.59</v>
      </c>
      <c r="P116" s="35">
        <v>8.6199999999999992</v>
      </c>
      <c r="Q116" s="35">
        <v>0.9</v>
      </c>
      <c r="R116" t="s">
        <v>153</v>
      </c>
      <c r="S116">
        <v>12</v>
      </c>
      <c r="W116">
        <v>14</v>
      </c>
      <c r="Y116" t="s">
        <v>154</v>
      </c>
      <c r="Z116" s="28" t="s">
        <v>155</v>
      </c>
      <c r="AA116" t="s">
        <v>156</v>
      </c>
      <c r="AB116" s="16"/>
    </row>
    <row r="117" spans="1:37" ht="15" customHeight="1" x14ac:dyDescent="0.25">
      <c r="A117" s="7" t="s">
        <v>158</v>
      </c>
      <c r="C117" s="6" t="s">
        <v>60</v>
      </c>
      <c r="D117" s="33" t="s">
        <v>61</v>
      </c>
      <c r="E117" s="33" t="s">
        <v>241</v>
      </c>
      <c r="F117" s="33" t="s">
        <v>241</v>
      </c>
      <c r="G117" t="s">
        <v>62</v>
      </c>
      <c r="H117">
        <v>90</v>
      </c>
      <c r="I117" s="39">
        <v>1</v>
      </c>
      <c r="J117" t="s">
        <v>63</v>
      </c>
      <c r="K117">
        <v>35</v>
      </c>
      <c r="L117">
        <v>18.399999999999999</v>
      </c>
      <c r="M117">
        <v>17.100000000000001</v>
      </c>
      <c r="N117">
        <v>0</v>
      </c>
      <c r="O117" s="35">
        <v>8.6999999999999993</v>
      </c>
      <c r="P117" s="35" t="s">
        <v>159</v>
      </c>
      <c r="Q117" s="35">
        <v>1.95</v>
      </c>
      <c r="R117" t="s">
        <v>70</v>
      </c>
      <c r="S117">
        <v>43</v>
      </c>
      <c r="T117" t="s">
        <v>160</v>
      </c>
      <c r="U117">
        <v>1.1100000000000001</v>
      </c>
      <c r="V117">
        <v>0.21</v>
      </c>
      <c r="W117">
        <v>39.35</v>
      </c>
      <c r="Y117" t="s">
        <v>161</v>
      </c>
      <c r="Z117" t="s">
        <v>162</v>
      </c>
      <c r="AA117" t="s">
        <v>163</v>
      </c>
      <c r="AB117" s="17"/>
    </row>
    <row r="118" spans="1:37" ht="15" customHeight="1" x14ac:dyDescent="0.25">
      <c r="A118" s="7" t="s">
        <v>158</v>
      </c>
      <c r="B118" s="6" t="s">
        <v>68</v>
      </c>
      <c r="C118" s="6" t="s">
        <v>60</v>
      </c>
      <c r="D118" s="33" t="s">
        <v>61</v>
      </c>
      <c r="E118" s="33" t="s">
        <v>243</v>
      </c>
      <c r="F118" s="33" t="s">
        <v>243</v>
      </c>
      <c r="G118" t="s">
        <v>62</v>
      </c>
      <c r="H118">
        <v>90</v>
      </c>
      <c r="I118" s="39">
        <v>1</v>
      </c>
      <c r="J118" t="s">
        <v>63</v>
      </c>
      <c r="K118">
        <v>35</v>
      </c>
      <c r="L118">
        <v>18.399999999999999</v>
      </c>
      <c r="M118">
        <v>17.100000000000001</v>
      </c>
      <c r="N118">
        <v>0</v>
      </c>
      <c r="O118" s="35">
        <v>4.4000000000000004</v>
      </c>
      <c r="P118" s="35" t="s">
        <v>159</v>
      </c>
      <c r="Q118" s="35">
        <v>1.89</v>
      </c>
      <c r="R118" t="s">
        <v>70</v>
      </c>
      <c r="S118">
        <v>43</v>
      </c>
      <c r="T118" t="s">
        <v>160</v>
      </c>
      <c r="U118">
        <v>1.1100000000000001</v>
      </c>
      <c r="V118">
        <v>0.21</v>
      </c>
      <c r="W118">
        <v>29.32</v>
      </c>
      <c r="Y118" t="s">
        <v>161</v>
      </c>
      <c r="Z118" t="s">
        <v>162</v>
      </c>
      <c r="AA118" t="s">
        <v>163</v>
      </c>
      <c r="AB118" s="16"/>
    </row>
    <row r="119" spans="1:37" ht="15" customHeight="1" x14ac:dyDescent="0.25">
      <c r="A119" s="7" t="s">
        <v>158</v>
      </c>
      <c r="C119" s="6" t="s">
        <v>60</v>
      </c>
      <c r="D119" s="33" t="s">
        <v>61</v>
      </c>
      <c r="E119" s="33" t="s">
        <v>241</v>
      </c>
      <c r="F119" s="33" t="s">
        <v>241</v>
      </c>
      <c r="G119" t="s">
        <v>62</v>
      </c>
      <c r="H119">
        <v>90</v>
      </c>
      <c r="I119" s="39">
        <v>2</v>
      </c>
      <c r="J119" t="s">
        <v>63</v>
      </c>
      <c r="K119">
        <v>35</v>
      </c>
      <c r="L119">
        <v>21</v>
      </c>
      <c r="M119">
        <v>16.399999999999999</v>
      </c>
      <c r="N119">
        <v>0</v>
      </c>
      <c r="O119" s="35">
        <v>8.5</v>
      </c>
      <c r="P119" s="35" t="s">
        <v>159</v>
      </c>
      <c r="Q119" s="35">
        <v>1.9</v>
      </c>
      <c r="R119" t="s">
        <v>164</v>
      </c>
      <c r="S119">
        <v>14</v>
      </c>
      <c r="U119">
        <v>1.39</v>
      </c>
      <c r="V119">
        <v>0.16</v>
      </c>
      <c r="W119">
        <v>40.799999999999997</v>
      </c>
      <c r="Y119" t="s">
        <v>161</v>
      </c>
      <c r="Z119" t="s">
        <v>162</v>
      </c>
      <c r="AA119" t="s">
        <v>163</v>
      </c>
      <c r="AB119" s="16"/>
    </row>
    <row r="120" spans="1:37" ht="15" customHeight="1" x14ac:dyDescent="0.25">
      <c r="A120" s="7" t="s">
        <v>158</v>
      </c>
      <c r="B120" s="6" t="s">
        <v>68</v>
      </c>
      <c r="C120" s="6" t="s">
        <v>60</v>
      </c>
      <c r="D120" s="33" t="s">
        <v>61</v>
      </c>
      <c r="E120" s="33" t="s">
        <v>243</v>
      </c>
      <c r="F120" s="33" t="s">
        <v>243</v>
      </c>
      <c r="G120" t="s">
        <v>62</v>
      </c>
      <c r="H120">
        <v>90</v>
      </c>
      <c r="I120" s="39">
        <v>2</v>
      </c>
      <c r="J120" t="s">
        <v>63</v>
      </c>
      <c r="K120">
        <v>35</v>
      </c>
      <c r="L120">
        <v>21</v>
      </c>
      <c r="M120">
        <v>16.399999999999999</v>
      </c>
      <c r="N120">
        <v>0</v>
      </c>
      <c r="O120" s="35">
        <v>4.3</v>
      </c>
      <c r="P120" s="35" t="s">
        <v>159</v>
      </c>
      <c r="Q120" s="35">
        <v>1.92</v>
      </c>
      <c r="R120" t="s">
        <v>164</v>
      </c>
      <c r="S120">
        <v>14</v>
      </c>
      <c r="U120">
        <v>1.39</v>
      </c>
      <c r="V120">
        <v>0.16</v>
      </c>
      <c r="W120">
        <v>48.74</v>
      </c>
      <c r="Y120" t="s">
        <v>161</v>
      </c>
      <c r="Z120" t="s">
        <v>162</v>
      </c>
      <c r="AA120" t="s">
        <v>163</v>
      </c>
      <c r="AB120" s="16"/>
    </row>
    <row r="121" spans="1:37" ht="15" customHeight="1" x14ac:dyDescent="0.25">
      <c r="A121" s="7" t="s">
        <v>165</v>
      </c>
      <c r="C121" s="6" t="s">
        <v>60</v>
      </c>
      <c r="D121" s="33" t="s">
        <v>61</v>
      </c>
      <c r="E121" s="33" t="s">
        <v>241</v>
      </c>
      <c r="F121" s="33" t="s">
        <v>241</v>
      </c>
      <c r="G121" t="s">
        <v>62</v>
      </c>
      <c r="H121">
        <v>95</v>
      </c>
      <c r="I121" s="39">
        <v>1</v>
      </c>
      <c r="J121" t="s">
        <v>75</v>
      </c>
      <c r="K121">
        <v>60</v>
      </c>
      <c r="L121">
        <v>22.4</v>
      </c>
      <c r="M121">
        <v>17.8</v>
      </c>
      <c r="N121">
        <v>0</v>
      </c>
      <c r="O121" s="35">
        <v>7.5</v>
      </c>
      <c r="P121" s="35">
        <v>6.8</v>
      </c>
      <c r="Q121" s="35">
        <v>1.75</v>
      </c>
      <c r="R121" t="s">
        <v>166</v>
      </c>
      <c r="T121" t="s">
        <v>64</v>
      </c>
      <c r="U121">
        <v>1.08</v>
      </c>
      <c r="V121">
        <v>0.35</v>
      </c>
      <c r="W121">
        <v>38.74</v>
      </c>
      <c r="Y121" t="s">
        <v>167</v>
      </c>
      <c r="Z121" s="28" t="s">
        <v>168</v>
      </c>
      <c r="AA121" t="s">
        <v>169</v>
      </c>
      <c r="AB121" s="16"/>
    </row>
    <row r="122" spans="1:37" ht="15" customHeight="1" x14ac:dyDescent="0.25">
      <c r="A122" s="7" t="s">
        <v>165</v>
      </c>
      <c r="B122" s="6" t="s">
        <v>88</v>
      </c>
      <c r="C122" s="6" t="s">
        <v>60</v>
      </c>
      <c r="D122" s="33" t="s">
        <v>61</v>
      </c>
      <c r="E122" s="33" t="s">
        <v>243</v>
      </c>
      <c r="F122" s="33" t="s">
        <v>243</v>
      </c>
      <c r="G122" t="s">
        <v>62</v>
      </c>
      <c r="H122">
        <v>95</v>
      </c>
      <c r="I122" s="39">
        <v>1</v>
      </c>
      <c r="J122" t="s">
        <v>75</v>
      </c>
      <c r="K122">
        <v>60</v>
      </c>
      <c r="L122">
        <v>22.4</v>
      </c>
      <c r="M122">
        <v>17.8</v>
      </c>
      <c r="N122">
        <v>0</v>
      </c>
      <c r="O122" s="35">
        <v>4.4000000000000004</v>
      </c>
      <c r="P122" s="35">
        <v>6.9</v>
      </c>
      <c r="Q122" s="35">
        <v>1.25</v>
      </c>
      <c r="R122" t="s">
        <v>166</v>
      </c>
      <c r="T122" t="s">
        <v>64</v>
      </c>
      <c r="U122">
        <v>1.08</v>
      </c>
      <c r="V122">
        <v>0.35</v>
      </c>
      <c r="W122">
        <v>33.28</v>
      </c>
      <c r="Y122" t="s">
        <v>167</v>
      </c>
      <c r="Z122" s="28" t="s">
        <v>168</v>
      </c>
      <c r="AA122" t="s">
        <v>169</v>
      </c>
      <c r="AB122" s="16"/>
      <c r="AE122" s="2"/>
      <c r="AF122" s="2"/>
      <c r="AG122" s="2"/>
      <c r="AH122" s="2"/>
      <c r="AJ122" s="1"/>
      <c r="AK122" s="1"/>
    </row>
    <row r="123" spans="1:37" ht="15" customHeight="1" x14ac:dyDescent="0.25">
      <c r="A123" s="7" t="s">
        <v>165</v>
      </c>
      <c r="C123" s="6" t="s">
        <v>60</v>
      </c>
      <c r="D123" s="33" t="s">
        <v>61</v>
      </c>
      <c r="E123" s="33" t="s">
        <v>241</v>
      </c>
      <c r="F123" s="33" t="s">
        <v>241</v>
      </c>
      <c r="G123" t="s">
        <v>62</v>
      </c>
      <c r="H123">
        <v>95</v>
      </c>
      <c r="I123" s="39">
        <v>2</v>
      </c>
      <c r="J123" t="s">
        <v>63</v>
      </c>
      <c r="K123">
        <v>60</v>
      </c>
      <c r="L123">
        <v>16.5</v>
      </c>
      <c r="M123">
        <v>13.7</v>
      </c>
      <c r="N123">
        <v>0</v>
      </c>
      <c r="O123" s="35">
        <v>7.9</v>
      </c>
      <c r="P123" s="35">
        <v>6.8</v>
      </c>
      <c r="Q123" s="35">
        <v>1.79</v>
      </c>
      <c r="R123" t="s">
        <v>166</v>
      </c>
      <c r="T123" t="s">
        <v>64</v>
      </c>
      <c r="U123">
        <v>1.08</v>
      </c>
      <c r="V123">
        <v>0.19</v>
      </c>
      <c r="W123">
        <v>31.06</v>
      </c>
      <c r="Y123" t="s">
        <v>167</v>
      </c>
      <c r="Z123" s="28" t="s">
        <v>168</v>
      </c>
      <c r="AA123" t="s">
        <v>169</v>
      </c>
      <c r="AB123" s="11"/>
      <c r="AE123" s="2"/>
      <c r="AF123" s="2"/>
      <c r="AG123" s="2"/>
      <c r="AH123" s="2"/>
      <c r="AJ123" s="1"/>
      <c r="AK123" s="1"/>
    </row>
    <row r="124" spans="1:37" ht="15" customHeight="1" x14ac:dyDescent="0.25">
      <c r="A124" s="7" t="s">
        <v>165</v>
      </c>
      <c r="B124" s="6" t="s">
        <v>88</v>
      </c>
      <c r="C124" s="6" t="s">
        <v>60</v>
      </c>
      <c r="D124" s="33" t="s">
        <v>61</v>
      </c>
      <c r="E124" s="33" t="s">
        <v>243</v>
      </c>
      <c r="F124" s="33" t="s">
        <v>243</v>
      </c>
      <c r="G124" t="s">
        <v>62</v>
      </c>
      <c r="H124">
        <v>95</v>
      </c>
      <c r="I124" s="39">
        <v>2</v>
      </c>
      <c r="J124" t="s">
        <v>63</v>
      </c>
      <c r="K124">
        <v>60</v>
      </c>
      <c r="L124">
        <v>16.5</v>
      </c>
      <c r="M124">
        <v>13.7</v>
      </c>
      <c r="N124">
        <v>0</v>
      </c>
      <c r="O124" s="35">
        <v>1.8</v>
      </c>
      <c r="P124" s="35">
        <v>7.2</v>
      </c>
      <c r="Q124" s="35">
        <v>0.77</v>
      </c>
      <c r="R124" t="s">
        <v>166</v>
      </c>
      <c r="T124" t="s">
        <v>64</v>
      </c>
      <c r="U124">
        <v>1.08</v>
      </c>
      <c r="V124">
        <v>0.19</v>
      </c>
      <c r="W124">
        <v>10.86</v>
      </c>
      <c r="Y124" t="s">
        <v>167</v>
      </c>
      <c r="Z124" s="28" t="s">
        <v>168</v>
      </c>
      <c r="AA124" t="s">
        <v>169</v>
      </c>
      <c r="AB124" s="11"/>
      <c r="AE124" s="2"/>
      <c r="AF124" s="2"/>
      <c r="AG124" s="2"/>
      <c r="AH124" s="2"/>
      <c r="AJ124" s="1"/>
      <c r="AK124" s="1"/>
    </row>
    <row r="125" spans="1:37" ht="15" customHeight="1" x14ac:dyDescent="0.25">
      <c r="A125" s="7" t="s">
        <v>165</v>
      </c>
      <c r="C125" s="6" t="s">
        <v>60</v>
      </c>
      <c r="D125" s="33" t="s">
        <v>61</v>
      </c>
      <c r="E125" s="33" t="s">
        <v>241</v>
      </c>
      <c r="F125" s="33" t="s">
        <v>241</v>
      </c>
      <c r="G125" t="s">
        <v>62</v>
      </c>
      <c r="H125">
        <v>95</v>
      </c>
      <c r="I125" s="39">
        <v>3</v>
      </c>
      <c r="J125" t="s">
        <v>75</v>
      </c>
      <c r="K125">
        <v>60</v>
      </c>
      <c r="L125">
        <v>20.2</v>
      </c>
      <c r="M125">
        <v>16.3</v>
      </c>
      <c r="N125">
        <v>0</v>
      </c>
      <c r="O125" s="35">
        <v>7.2</v>
      </c>
      <c r="P125" s="35">
        <v>7</v>
      </c>
      <c r="Q125" s="35">
        <v>1.81</v>
      </c>
      <c r="R125" t="s">
        <v>166</v>
      </c>
      <c r="T125" t="s">
        <v>64</v>
      </c>
      <c r="U125">
        <v>1.08</v>
      </c>
      <c r="V125">
        <v>0.14000000000000001</v>
      </c>
      <c r="W125">
        <v>22.99</v>
      </c>
      <c r="Y125" t="s">
        <v>167</v>
      </c>
      <c r="Z125" s="28" t="s">
        <v>168</v>
      </c>
      <c r="AA125" t="s">
        <v>169</v>
      </c>
      <c r="AB125" s="11"/>
      <c r="AE125" s="2"/>
      <c r="AF125" s="2"/>
      <c r="AG125" s="2"/>
      <c r="AH125" s="2"/>
      <c r="AJ125" s="1"/>
      <c r="AK125" s="1"/>
    </row>
    <row r="126" spans="1:37" ht="15" customHeight="1" x14ac:dyDescent="0.25">
      <c r="A126" s="7" t="s">
        <v>165</v>
      </c>
      <c r="B126" s="6" t="s">
        <v>88</v>
      </c>
      <c r="C126" s="6" t="s">
        <v>60</v>
      </c>
      <c r="D126" s="33" t="s">
        <v>61</v>
      </c>
      <c r="E126" s="33" t="s">
        <v>243</v>
      </c>
      <c r="F126" s="33" t="s">
        <v>243</v>
      </c>
      <c r="G126" t="s">
        <v>62</v>
      </c>
      <c r="H126">
        <v>95</v>
      </c>
      <c r="I126" s="39">
        <v>3</v>
      </c>
      <c r="J126" t="s">
        <v>75</v>
      </c>
      <c r="K126">
        <v>60</v>
      </c>
      <c r="L126">
        <v>20.2</v>
      </c>
      <c r="M126">
        <v>16.3</v>
      </c>
      <c r="N126">
        <v>0</v>
      </c>
      <c r="O126" s="35">
        <v>1.5</v>
      </c>
      <c r="P126" s="35">
        <v>7.2</v>
      </c>
      <c r="Q126" s="35">
        <v>0.79</v>
      </c>
      <c r="R126" t="s">
        <v>166</v>
      </c>
      <c r="T126" t="s">
        <v>64</v>
      </c>
      <c r="U126">
        <v>1.08</v>
      </c>
      <c r="V126">
        <v>0.14000000000000001</v>
      </c>
      <c r="W126">
        <v>8.7799999999999994</v>
      </c>
      <c r="Y126" t="s">
        <v>167</v>
      </c>
      <c r="Z126" s="28" t="s">
        <v>168</v>
      </c>
      <c r="AA126" t="s">
        <v>169</v>
      </c>
      <c r="AB126" s="11"/>
    </row>
    <row r="127" spans="1:37" ht="15" customHeight="1" x14ac:dyDescent="0.25">
      <c r="A127" s="7" t="s">
        <v>165</v>
      </c>
      <c r="C127" s="6" t="s">
        <v>60</v>
      </c>
      <c r="D127" s="33" t="s">
        <v>61</v>
      </c>
      <c r="E127" s="33" t="s">
        <v>241</v>
      </c>
      <c r="F127" s="33" t="s">
        <v>241</v>
      </c>
      <c r="G127" t="s">
        <v>62</v>
      </c>
      <c r="H127">
        <v>95</v>
      </c>
      <c r="I127" s="39">
        <v>4</v>
      </c>
      <c r="J127" t="s">
        <v>63</v>
      </c>
      <c r="K127">
        <v>60</v>
      </c>
      <c r="L127">
        <v>18.5</v>
      </c>
      <c r="M127">
        <v>15.8</v>
      </c>
      <c r="N127">
        <v>0</v>
      </c>
      <c r="O127" s="35">
        <v>6.7</v>
      </c>
      <c r="P127" s="35">
        <v>7.5</v>
      </c>
      <c r="Q127" s="35">
        <v>1.77</v>
      </c>
      <c r="R127" t="s">
        <v>166</v>
      </c>
      <c r="T127" t="s">
        <v>64</v>
      </c>
      <c r="U127">
        <v>1.08</v>
      </c>
      <c r="V127">
        <v>0.19</v>
      </c>
      <c r="W127">
        <v>30.47</v>
      </c>
      <c r="Y127" t="s">
        <v>167</v>
      </c>
      <c r="Z127" s="28" t="s">
        <v>168</v>
      </c>
      <c r="AA127" t="s">
        <v>169</v>
      </c>
      <c r="AB127" s="11"/>
    </row>
    <row r="128" spans="1:37" ht="15" customHeight="1" x14ac:dyDescent="0.25">
      <c r="A128" s="7" t="s">
        <v>165</v>
      </c>
      <c r="B128" s="6" t="s">
        <v>88</v>
      </c>
      <c r="C128" s="6" t="s">
        <v>60</v>
      </c>
      <c r="D128" s="33" t="s">
        <v>61</v>
      </c>
      <c r="E128" s="33" t="s">
        <v>243</v>
      </c>
      <c r="F128" s="33" t="s">
        <v>243</v>
      </c>
      <c r="G128" t="s">
        <v>62</v>
      </c>
      <c r="H128">
        <v>95</v>
      </c>
      <c r="I128" s="39">
        <v>4</v>
      </c>
      <c r="J128" t="s">
        <v>63</v>
      </c>
      <c r="K128">
        <v>60</v>
      </c>
      <c r="L128">
        <v>18.5</v>
      </c>
      <c r="M128">
        <v>15.8</v>
      </c>
      <c r="N128">
        <v>0</v>
      </c>
      <c r="O128" s="35">
        <v>1.5</v>
      </c>
      <c r="P128" s="35">
        <v>7.6</v>
      </c>
      <c r="Q128" s="35">
        <v>0.75</v>
      </c>
      <c r="R128" t="s">
        <v>166</v>
      </c>
      <c r="T128" t="s">
        <v>64</v>
      </c>
      <c r="U128">
        <v>1.08</v>
      </c>
      <c r="V128">
        <v>0.19</v>
      </c>
      <c r="W128">
        <v>5.34</v>
      </c>
      <c r="Y128" t="s">
        <v>167</v>
      </c>
      <c r="Z128" s="28" t="s">
        <v>168</v>
      </c>
      <c r="AA128" t="s">
        <v>169</v>
      </c>
      <c r="AB128" s="11"/>
    </row>
    <row r="129" spans="1:28" ht="15" customHeight="1" x14ac:dyDescent="0.25">
      <c r="A129" s="7" t="s">
        <v>165</v>
      </c>
      <c r="C129" s="6" t="s">
        <v>60</v>
      </c>
      <c r="D129" s="33" t="s">
        <v>61</v>
      </c>
      <c r="E129" s="33" t="s">
        <v>241</v>
      </c>
      <c r="F129" s="33" t="s">
        <v>241</v>
      </c>
      <c r="G129" t="s">
        <v>62</v>
      </c>
      <c r="H129">
        <v>95</v>
      </c>
      <c r="I129" s="39">
        <v>5</v>
      </c>
      <c r="J129" t="s">
        <v>89</v>
      </c>
      <c r="K129">
        <v>60</v>
      </c>
      <c r="L129">
        <v>16.5</v>
      </c>
      <c r="M129">
        <v>13.7</v>
      </c>
      <c r="N129">
        <v>0</v>
      </c>
      <c r="O129" s="35">
        <v>7.9</v>
      </c>
      <c r="P129" s="35">
        <v>6.8</v>
      </c>
      <c r="Q129" s="35">
        <v>1.79</v>
      </c>
      <c r="R129" t="s">
        <v>166</v>
      </c>
      <c r="T129" t="s">
        <v>64</v>
      </c>
      <c r="U129">
        <v>1.08</v>
      </c>
      <c r="V129">
        <v>0.19</v>
      </c>
      <c r="W129">
        <v>22.1</v>
      </c>
      <c r="Y129" t="s">
        <v>167</v>
      </c>
      <c r="Z129" s="28" t="s">
        <v>168</v>
      </c>
      <c r="AA129" t="s">
        <v>169</v>
      </c>
      <c r="AB129" s="11"/>
    </row>
    <row r="130" spans="1:28" ht="15" customHeight="1" x14ac:dyDescent="0.25">
      <c r="A130" s="7" t="s">
        <v>165</v>
      </c>
      <c r="B130" s="6" t="s">
        <v>88</v>
      </c>
      <c r="C130" s="6" t="s">
        <v>60</v>
      </c>
      <c r="D130" s="33" t="s">
        <v>61</v>
      </c>
      <c r="E130" s="33" t="s">
        <v>243</v>
      </c>
      <c r="F130" s="33" t="s">
        <v>243</v>
      </c>
      <c r="G130" t="s">
        <v>62</v>
      </c>
      <c r="H130">
        <v>95</v>
      </c>
      <c r="I130" s="39">
        <v>5</v>
      </c>
      <c r="J130" t="s">
        <v>89</v>
      </c>
      <c r="K130">
        <v>60</v>
      </c>
      <c r="L130">
        <v>16.5</v>
      </c>
      <c r="M130">
        <v>13.7</v>
      </c>
      <c r="N130">
        <v>0</v>
      </c>
      <c r="O130" s="35">
        <v>1.8</v>
      </c>
      <c r="P130" s="35">
        <v>7.2</v>
      </c>
      <c r="Q130" s="35">
        <v>0.77</v>
      </c>
      <c r="R130" t="s">
        <v>166</v>
      </c>
      <c r="T130" t="s">
        <v>64</v>
      </c>
      <c r="U130">
        <v>1.08</v>
      </c>
      <c r="V130">
        <v>0.19</v>
      </c>
      <c r="W130">
        <v>13.06</v>
      </c>
      <c r="Y130" t="s">
        <v>167</v>
      </c>
      <c r="Z130" s="28" t="s">
        <v>168</v>
      </c>
      <c r="AA130" t="s">
        <v>169</v>
      </c>
      <c r="AB130" s="11"/>
    </row>
    <row r="131" spans="1:28" ht="15" customHeight="1" x14ac:dyDescent="0.25">
      <c r="A131" s="7" t="s">
        <v>165</v>
      </c>
      <c r="C131" s="6" t="s">
        <v>60</v>
      </c>
      <c r="D131" s="33" t="s">
        <v>61</v>
      </c>
      <c r="E131" s="33" t="s">
        <v>241</v>
      </c>
      <c r="F131" s="33" t="s">
        <v>241</v>
      </c>
      <c r="G131" t="s">
        <v>62</v>
      </c>
      <c r="H131">
        <v>95</v>
      </c>
      <c r="I131" s="39">
        <v>6</v>
      </c>
      <c r="J131" t="s">
        <v>89</v>
      </c>
      <c r="K131">
        <v>60</v>
      </c>
      <c r="L131">
        <v>18.5</v>
      </c>
      <c r="M131">
        <v>15.8</v>
      </c>
      <c r="N131">
        <v>0</v>
      </c>
      <c r="O131" s="35">
        <v>6.7</v>
      </c>
      <c r="P131" s="35">
        <v>7.5</v>
      </c>
      <c r="Q131" s="35">
        <v>1.77</v>
      </c>
      <c r="R131" t="s">
        <v>166</v>
      </c>
      <c r="T131" t="s">
        <v>64</v>
      </c>
      <c r="U131">
        <v>1.08</v>
      </c>
      <c r="V131">
        <v>0.19</v>
      </c>
      <c r="W131">
        <v>11.71</v>
      </c>
      <c r="Y131" t="s">
        <v>167</v>
      </c>
      <c r="Z131" s="28" t="s">
        <v>168</v>
      </c>
      <c r="AA131" t="s">
        <v>169</v>
      </c>
      <c r="AB131" s="11"/>
    </row>
    <row r="132" spans="1:28" ht="15" customHeight="1" x14ac:dyDescent="0.25">
      <c r="A132" s="7" t="s">
        <v>165</v>
      </c>
      <c r="B132" s="6" t="s">
        <v>88</v>
      </c>
      <c r="C132" s="6" t="s">
        <v>60</v>
      </c>
      <c r="D132" s="33" t="s">
        <v>61</v>
      </c>
      <c r="E132" s="33" t="s">
        <v>243</v>
      </c>
      <c r="F132" s="33" t="s">
        <v>243</v>
      </c>
      <c r="G132" t="s">
        <v>62</v>
      </c>
      <c r="H132">
        <v>95</v>
      </c>
      <c r="I132" s="39">
        <v>6</v>
      </c>
      <c r="J132" t="s">
        <v>89</v>
      </c>
      <c r="K132">
        <v>60</v>
      </c>
      <c r="L132">
        <v>18.5</v>
      </c>
      <c r="M132">
        <v>15.8</v>
      </c>
      <c r="N132">
        <v>0</v>
      </c>
      <c r="O132" s="35">
        <v>1.5</v>
      </c>
      <c r="P132" s="35">
        <v>7.6</v>
      </c>
      <c r="Q132" s="35">
        <v>0.75</v>
      </c>
      <c r="R132" t="s">
        <v>166</v>
      </c>
      <c r="T132" t="s">
        <v>64</v>
      </c>
      <c r="U132">
        <v>1.08</v>
      </c>
      <c r="V132">
        <v>0.19</v>
      </c>
      <c r="W132">
        <v>6.05</v>
      </c>
      <c r="Y132" t="s">
        <v>167</v>
      </c>
      <c r="Z132" s="28" t="s">
        <v>168</v>
      </c>
      <c r="AA132" t="s">
        <v>169</v>
      </c>
      <c r="AB132" s="11"/>
    </row>
    <row r="133" spans="1:28" ht="18" x14ac:dyDescent="0.35">
      <c r="A133" s="7" t="s">
        <v>170</v>
      </c>
      <c r="B133" s="6" t="s">
        <v>171</v>
      </c>
      <c r="C133" s="6" t="s">
        <v>103</v>
      </c>
      <c r="D133" s="33" t="s">
        <v>61</v>
      </c>
      <c r="E133" s="34" t="s">
        <v>172</v>
      </c>
      <c r="F133" s="34" t="s">
        <v>241</v>
      </c>
      <c r="G133" t="s">
        <v>62</v>
      </c>
      <c r="H133">
        <v>144</v>
      </c>
      <c r="I133" s="39">
        <v>1</v>
      </c>
      <c r="J133" t="s">
        <v>75</v>
      </c>
      <c r="K133" s="39">
        <v>30</v>
      </c>
      <c r="M133">
        <v>15.9</v>
      </c>
      <c r="N133">
        <v>0</v>
      </c>
      <c r="O133" s="35">
        <v>6.9</v>
      </c>
      <c r="P133" s="35">
        <v>7.4</v>
      </c>
      <c r="Q133" s="35">
        <v>1.7</v>
      </c>
      <c r="R133" t="s">
        <v>173</v>
      </c>
      <c r="S133">
        <v>10</v>
      </c>
      <c r="T133" t="s">
        <v>64</v>
      </c>
      <c r="W133">
        <v>56.5</v>
      </c>
      <c r="Y133" t="s">
        <v>104</v>
      </c>
      <c r="Z133" t="s">
        <v>174</v>
      </c>
      <c r="AA133" t="s">
        <v>175</v>
      </c>
    </row>
    <row r="134" spans="1:28" ht="18" x14ac:dyDescent="0.35">
      <c r="A134" s="7" t="s">
        <v>170</v>
      </c>
      <c r="B134" s="6" t="s">
        <v>171</v>
      </c>
      <c r="C134" s="6" t="s">
        <v>103</v>
      </c>
      <c r="D134" s="33" t="s">
        <v>61</v>
      </c>
      <c r="E134" s="34" t="s">
        <v>172</v>
      </c>
      <c r="F134" s="34" t="s">
        <v>243</v>
      </c>
      <c r="G134" t="s">
        <v>62</v>
      </c>
      <c r="H134">
        <v>144</v>
      </c>
      <c r="I134" s="39">
        <v>1</v>
      </c>
      <c r="J134" t="s">
        <v>75</v>
      </c>
      <c r="K134" s="39">
        <v>30</v>
      </c>
      <c r="M134">
        <v>15.9</v>
      </c>
      <c r="N134">
        <v>0</v>
      </c>
      <c r="O134" s="35">
        <v>4.0999999999999996</v>
      </c>
      <c r="P134" s="35">
        <v>7.5</v>
      </c>
      <c r="Q134" s="35">
        <v>2.2000000000000002</v>
      </c>
      <c r="R134" t="s">
        <v>173</v>
      </c>
      <c r="S134">
        <v>10</v>
      </c>
      <c r="T134" t="s">
        <v>64</v>
      </c>
      <c r="W134">
        <v>42</v>
      </c>
      <c r="Y134" t="s">
        <v>104</v>
      </c>
      <c r="Z134" t="s">
        <v>174</v>
      </c>
      <c r="AA134" t="s">
        <v>176</v>
      </c>
    </row>
    <row r="135" spans="1:28" ht="18" x14ac:dyDescent="0.35">
      <c r="A135" s="7" t="s">
        <v>170</v>
      </c>
      <c r="B135" s="6" t="s">
        <v>171</v>
      </c>
      <c r="C135" s="6" t="s">
        <v>103</v>
      </c>
      <c r="D135" s="33" t="s">
        <v>61</v>
      </c>
      <c r="E135" s="34" t="s">
        <v>172</v>
      </c>
      <c r="F135" s="34" t="s">
        <v>243</v>
      </c>
      <c r="G135" t="s">
        <v>62</v>
      </c>
      <c r="H135">
        <v>144</v>
      </c>
      <c r="I135" s="39">
        <v>1</v>
      </c>
      <c r="J135" t="s">
        <v>75</v>
      </c>
      <c r="K135" s="39">
        <v>30</v>
      </c>
      <c r="M135">
        <v>15.9</v>
      </c>
      <c r="N135">
        <v>0</v>
      </c>
      <c r="O135" s="35">
        <v>3.6</v>
      </c>
      <c r="P135" s="35">
        <v>7.8</v>
      </c>
      <c r="Q135" s="35">
        <v>2.6</v>
      </c>
      <c r="R135" t="s">
        <v>173</v>
      </c>
      <c r="S135">
        <v>10</v>
      </c>
      <c r="T135" t="s">
        <v>64</v>
      </c>
      <c r="W135">
        <v>29.6</v>
      </c>
      <c r="Y135" t="s">
        <v>104</v>
      </c>
      <c r="Z135" t="s">
        <v>174</v>
      </c>
      <c r="AA135" t="s">
        <v>176</v>
      </c>
    </row>
    <row r="136" spans="1:28" ht="18" x14ac:dyDescent="0.35">
      <c r="A136" s="7" t="s">
        <v>170</v>
      </c>
      <c r="B136" s="6" t="s">
        <v>171</v>
      </c>
      <c r="C136" s="6" t="s">
        <v>103</v>
      </c>
      <c r="D136" s="33" t="s">
        <v>61</v>
      </c>
      <c r="E136" s="34" t="s">
        <v>172</v>
      </c>
      <c r="F136" s="34" t="s">
        <v>241</v>
      </c>
      <c r="G136" t="s">
        <v>62</v>
      </c>
      <c r="H136">
        <v>144</v>
      </c>
      <c r="I136" s="39">
        <v>2</v>
      </c>
      <c r="J136" t="s">
        <v>75</v>
      </c>
      <c r="K136" s="39">
        <v>30</v>
      </c>
      <c r="M136">
        <v>10.5</v>
      </c>
      <c r="N136">
        <v>0</v>
      </c>
      <c r="O136" s="35">
        <v>8.1999999999999993</v>
      </c>
      <c r="P136" s="35">
        <v>7.6</v>
      </c>
      <c r="Q136" s="35">
        <v>2.8</v>
      </c>
      <c r="R136" t="s">
        <v>173</v>
      </c>
      <c r="S136">
        <v>10</v>
      </c>
      <c r="T136" t="s">
        <v>64</v>
      </c>
      <c r="W136">
        <v>38</v>
      </c>
      <c r="Y136" t="s">
        <v>104</v>
      </c>
      <c r="Z136" t="s">
        <v>174</v>
      </c>
      <c r="AA136" t="s">
        <v>176</v>
      </c>
    </row>
    <row r="137" spans="1:28" ht="18" x14ac:dyDescent="0.35">
      <c r="A137" s="7" t="s">
        <v>170</v>
      </c>
      <c r="B137" s="6" t="s">
        <v>171</v>
      </c>
      <c r="C137" s="6" t="s">
        <v>103</v>
      </c>
      <c r="D137" s="33" t="s">
        <v>61</v>
      </c>
      <c r="E137" s="34" t="s">
        <v>172</v>
      </c>
      <c r="F137" s="34" t="s">
        <v>243</v>
      </c>
      <c r="G137" t="s">
        <v>62</v>
      </c>
      <c r="H137">
        <v>144</v>
      </c>
      <c r="I137" s="39">
        <v>2</v>
      </c>
      <c r="J137" t="s">
        <v>75</v>
      </c>
      <c r="K137" s="39">
        <v>30</v>
      </c>
      <c r="M137">
        <v>10.5</v>
      </c>
      <c r="N137">
        <v>0</v>
      </c>
      <c r="O137" s="35">
        <v>2.8</v>
      </c>
      <c r="P137" s="35">
        <v>7.7</v>
      </c>
      <c r="Q137" s="35">
        <v>2.7</v>
      </c>
      <c r="R137" t="s">
        <v>173</v>
      </c>
      <c r="S137">
        <v>10</v>
      </c>
      <c r="T137" t="s">
        <v>64</v>
      </c>
      <c r="W137">
        <v>25.1</v>
      </c>
      <c r="Y137" t="s">
        <v>104</v>
      </c>
      <c r="Z137" t="s">
        <v>174</v>
      </c>
      <c r="AA137" t="s">
        <v>176</v>
      </c>
    </row>
    <row r="138" spans="1:28" ht="18" x14ac:dyDescent="0.35">
      <c r="A138" s="7" t="s">
        <v>170</v>
      </c>
      <c r="B138" s="6" t="s">
        <v>171</v>
      </c>
      <c r="C138" s="6" t="s">
        <v>103</v>
      </c>
      <c r="D138" s="33" t="s">
        <v>61</v>
      </c>
      <c r="E138" s="34" t="s">
        <v>172</v>
      </c>
      <c r="F138" s="34" t="s">
        <v>241</v>
      </c>
      <c r="G138" t="s">
        <v>62</v>
      </c>
      <c r="H138">
        <v>144</v>
      </c>
      <c r="I138" s="39">
        <v>3</v>
      </c>
      <c r="J138" t="s">
        <v>75</v>
      </c>
      <c r="K138" s="39">
        <v>30</v>
      </c>
      <c r="M138">
        <v>7.9</v>
      </c>
      <c r="N138">
        <v>0</v>
      </c>
      <c r="O138" s="35">
        <v>8.1999999999999993</v>
      </c>
      <c r="P138" s="35">
        <v>7.6</v>
      </c>
      <c r="Q138" s="35">
        <v>2.8</v>
      </c>
      <c r="R138" t="s">
        <v>173</v>
      </c>
      <c r="S138">
        <v>10</v>
      </c>
      <c r="T138" t="s">
        <v>64</v>
      </c>
      <c r="W138">
        <v>64.2</v>
      </c>
      <c r="Y138" t="s">
        <v>104</v>
      </c>
      <c r="Z138" t="s">
        <v>174</v>
      </c>
      <c r="AA138" t="s">
        <v>176</v>
      </c>
    </row>
    <row r="139" spans="1:28" ht="18" x14ac:dyDescent="0.35">
      <c r="A139" s="7" t="s">
        <v>170</v>
      </c>
      <c r="B139" s="6" t="s">
        <v>171</v>
      </c>
      <c r="C139" s="6" t="s">
        <v>103</v>
      </c>
      <c r="D139" s="33" t="s">
        <v>61</v>
      </c>
      <c r="E139" s="34" t="s">
        <v>172</v>
      </c>
      <c r="F139" s="34" t="s">
        <v>243</v>
      </c>
      <c r="G139" t="s">
        <v>62</v>
      </c>
      <c r="H139">
        <v>144</v>
      </c>
      <c r="I139" s="39">
        <v>3</v>
      </c>
      <c r="J139" t="s">
        <v>75</v>
      </c>
      <c r="K139" s="39">
        <v>30</v>
      </c>
      <c r="M139">
        <v>7.9</v>
      </c>
      <c r="N139">
        <v>0</v>
      </c>
      <c r="O139" s="35">
        <v>2.8</v>
      </c>
      <c r="P139" s="35">
        <v>7.7</v>
      </c>
      <c r="Q139" s="35">
        <v>2.7</v>
      </c>
      <c r="R139" t="s">
        <v>173</v>
      </c>
      <c r="S139">
        <v>10</v>
      </c>
      <c r="T139" t="s">
        <v>64</v>
      </c>
      <c r="W139">
        <v>39.9</v>
      </c>
      <c r="Y139" t="s">
        <v>104</v>
      </c>
      <c r="Z139" t="s">
        <v>174</v>
      </c>
      <c r="AA139" t="s">
        <v>176</v>
      </c>
    </row>
    <row r="140" spans="1:28" ht="18" x14ac:dyDescent="0.35">
      <c r="A140" s="7" t="s">
        <v>170</v>
      </c>
      <c r="B140" s="6" t="s">
        <v>171</v>
      </c>
      <c r="C140" s="6" t="s">
        <v>103</v>
      </c>
      <c r="D140" s="33" t="s">
        <v>61</v>
      </c>
      <c r="E140" s="34" t="s">
        <v>172</v>
      </c>
      <c r="F140" s="34" t="s">
        <v>241</v>
      </c>
      <c r="G140" t="s">
        <v>62</v>
      </c>
      <c r="H140">
        <v>144</v>
      </c>
      <c r="I140" s="39">
        <v>4</v>
      </c>
      <c r="J140" t="s">
        <v>75</v>
      </c>
      <c r="K140" s="39">
        <v>30</v>
      </c>
      <c r="M140">
        <v>1.5</v>
      </c>
      <c r="N140">
        <v>0</v>
      </c>
      <c r="O140" s="35">
        <v>10</v>
      </c>
      <c r="P140" s="35">
        <v>7.6</v>
      </c>
      <c r="Q140" s="35">
        <v>2.9</v>
      </c>
      <c r="R140" t="s">
        <v>173</v>
      </c>
      <c r="S140">
        <v>10</v>
      </c>
      <c r="T140" t="s">
        <v>64</v>
      </c>
      <c r="W140">
        <v>86.8</v>
      </c>
      <c r="Y140" t="s">
        <v>104</v>
      </c>
      <c r="Z140" t="s">
        <v>174</v>
      </c>
      <c r="AA140" t="s">
        <v>176</v>
      </c>
    </row>
    <row r="141" spans="1:28" ht="18" x14ac:dyDescent="0.35">
      <c r="A141" s="7" t="s">
        <v>170</v>
      </c>
      <c r="B141" s="6" t="s">
        <v>171</v>
      </c>
      <c r="C141" s="6" t="s">
        <v>103</v>
      </c>
      <c r="D141" s="33" t="s">
        <v>61</v>
      </c>
      <c r="E141" s="34" t="s">
        <v>172</v>
      </c>
      <c r="F141" s="34" t="s">
        <v>243</v>
      </c>
      <c r="G141" t="s">
        <v>62</v>
      </c>
      <c r="H141">
        <v>144</v>
      </c>
      <c r="I141" s="39">
        <v>4</v>
      </c>
      <c r="J141" t="s">
        <v>75</v>
      </c>
      <c r="K141" s="39">
        <v>30</v>
      </c>
      <c r="M141">
        <v>1.5</v>
      </c>
      <c r="N141">
        <v>0</v>
      </c>
      <c r="O141" s="35">
        <v>6</v>
      </c>
      <c r="P141" s="35">
        <v>7.7</v>
      </c>
      <c r="Q141" s="35">
        <v>2.9</v>
      </c>
      <c r="R141" t="s">
        <v>173</v>
      </c>
      <c r="S141">
        <v>10</v>
      </c>
      <c r="T141" t="s">
        <v>64</v>
      </c>
      <c r="W141">
        <v>44</v>
      </c>
      <c r="Y141" t="s">
        <v>104</v>
      </c>
      <c r="Z141" t="s">
        <v>174</v>
      </c>
      <c r="AA141" t="s">
        <v>176</v>
      </c>
    </row>
    <row r="142" spans="1:28" ht="18" x14ac:dyDescent="0.35">
      <c r="A142" s="7" t="s">
        <v>170</v>
      </c>
      <c r="B142" s="6" t="s">
        <v>171</v>
      </c>
      <c r="C142" s="6" t="s">
        <v>103</v>
      </c>
      <c r="D142" s="33" t="s">
        <v>61</v>
      </c>
      <c r="E142" s="34" t="s">
        <v>172</v>
      </c>
      <c r="F142" s="34" t="s">
        <v>243</v>
      </c>
      <c r="G142" t="s">
        <v>62</v>
      </c>
      <c r="H142">
        <v>144</v>
      </c>
      <c r="I142" s="39">
        <v>4</v>
      </c>
      <c r="J142" t="s">
        <v>75</v>
      </c>
      <c r="K142" s="39">
        <v>30</v>
      </c>
      <c r="M142">
        <v>1.5</v>
      </c>
      <c r="N142">
        <v>0</v>
      </c>
      <c r="O142" s="35">
        <v>5.2</v>
      </c>
      <c r="P142" s="35">
        <v>7.7</v>
      </c>
      <c r="Q142" s="35">
        <v>3</v>
      </c>
      <c r="R142" t="s">
        <v>173</v>
      </c>
      <c r="S142">
        <v>10</v>
      </c>
      <c r="T142" t="s">
        <v>64</v>
      </c>
      <c r="W142">
        <v>38.4</v>
      </c>
      <c r="Y142" t="s">
        <v>104</v>
      </c>
      <c r="Z142" t="s">
        <v>174</v>
      </c>
      <c r="AA142" t="s">
        <v>176</v>
      </c>
    </row>
    <row r="143" spans="1:28" ht="18" x14ac:dyDescent="0.35">
      <c r="A143" s="7" t="s">
        <v>170</v>
      </c>
      <c r="B143" s="6" t="s">
        <v>171</v>
      </c>
      <c r="C143" s="6" t="s">
        <v>103</v>
      </c>
      <c r="D143" s="33" t="s">
        <v>61</v>
      </c>
      <c r="E143" s="34" t="s">
        <v>172</v>
      </c>
      <c r="F143" s="34" t="s">
        <v>241</v>
      </c>
      <c r="G143" t="s">
        <v>62</v>
      </c>
      <c r="H143">
        <v>144</v>
      </c>
      <c r="I143" s="39">
        <v>5</v>
      </c>
      <c r="J143" t="s">
        <v>75</v>
      </c>
      <c r="K143" s="39">
        <v>30</v>
      </c>
      <c r="M143">
        <v>0.5</v>
      </c>
      <c r="N143">
        <v>0</v>
      </c>
      <c r="O143" s="35">
        <v>10</v>
      </c>
      <c r="P143" s="35">
        <v>7.6</v>
      </c>
      <c r="Q143" s="35">
        <v>2.9</v>
      </c>
      <c r="R143" t="s">
        <v>173</v>
      </c>
      <c r="S143">
        <v>10</v>
      </c>
      <c r="T143" t="s">
        <v>64</v>
      </c>
      <c r="W143">
        <v>71.099999999999994</v>
      </c>
      <c r="Y143" t="s">
        <v>104</v>
      </c>
      <c r="Z143" t="s">
        <v>174</v>
      </c>
      <c r="AA143" t="s">
        <v>176</v>
      </c>
    </row>
    <row r="144" spans="1:28" ht="18" x14ac:dyDescent="0.35">
      <c r="A144" s="7" t="s">
        <v>170</v>
      </c>
      <c r="B144" s="6" t="s">
        <v>171</v>
      </c>
      <c r="C144" s="6" t="s">
        <v>103</v>
      </c>
      <c r="D144" s="33" t="s">
        <v>61</v>
      </c>
      <c r="E144" s="34" t="s">
        <v>172</v>
      </c>
      <c r="F144" s="34" t="s">
        <v>243</v>
      </c>
      <c r="G144" t="s">
        <v>62</v>
      </c>
      <c r="H144">
        <v>144</v>
      </c>
      <c r="I144" s="39">
        <v>5</v>
      </c>
      <c r="J144" t="s">
        <v>75</v>
      </c>
      <c r="K144" s="39">
        <v>30</v>
      </c>
      <c r="M144">
        <v>0.5</v>
      </c>
      <c r="N144">
        <v>0</v>
      </c>
      <c r="O144" s="35">
        <v>6</v>
      </c>
      <c r="P144" s="35">
        <v>7.7</v>
      </c>
      <c r="Q144" s="35">
        <v>2.9</v>
      </c>
      <c r="R144" t="s">
        <v>173</v>
      </c>
      <c r="S144">
        <v>10</v>
      </c>
      <c r="T144" t="s">
        <v>64</v>
      </c>
      <c r="W144">
        <v>45.5</v>
      </c>
      <c r="Y144" t="s">
        <v>104</v>
      </c>
      <c r="Z144" t="s">
        <v>174</v>
      </c>
      <c r="AA144" t="s">
        <v>176</v>
      </c>
    </row>
    <row r="145" spans="1:28" ht="18" x14ac:dyDescent="0.35">
      <c r="A145" s="7" t="s">
        <v>170</v>
      </c>
      <c r="B145" s="6" t="s">
        <v>171</v>
      </c>
      <c r="C145" s="6" t="s">
        <v>103</v>
      </c>
      <c r="D145" s="33" t="s">
        <v>61</v>
      </c>
      <c r="E145" s="34" t="s">
        <v>172</v>
      </c>
      <c r="F145" s="34" t="s">
        <v>243</v>
      </c>
      <c r="G145" t="s">
        <v>62</v>
      </c>
      <c r="H145">
        <v>144</v>
      </c>
      <c r="I145" s="39">
        <v>5</v>
      </c>
      <c r="J145" t="s">
        <v>75</v>
      </c>
      <c r="K145" s="39">
        <v>30</v>
      </c>
      <c r="M145">
        <v>0.5</v>
      </c>
      <c r="N145">
        <v>0</v>
      </c>
      <c r="O145" s="35">
        <v>5.2</v>
      </c>
      <c r="P145" s="35">
        <v>7.7</v>
      </c>
      <c r="Q145" s="35">
        <v>3</v>
      </c>
      <c r="R145" t="s">
        <v>173</v>
      </c>
      <c r="S145">
        <v>10</v>
      </c>
      <c r="T145" t="s">
        <v>64</v>
      </c>
      <c r="W145">
        <v>40.700000000000003</v>
      </c>
      <c r="Y145" t="s">
        <v>104</v>
      </c>
      <c r="Z145" t="s">
        <v>174</v>
      </c>
      <c r="AA145" t="s">
        <v>176</v>
      </c>
    </row>
    <row r="146" spans="1:28" ht="15" customHeight="1" x14ac:dyDescent="0.25">
      <c r="A146" s="7" t="s">
        <v>177</v>
      </c>
      <c r="C146" s="6" t="s">
        <v>103</v>
      </c>
      <c r="D146" s="33" t="s">
        <v>137</v>
      </c>
      <c r="E146" s="34" t="s">
        <v>241</v>
      </c>
      <c r="F146" s="34" t="s">
        <v>241</v>
      </c>
      <c r="G146" t="s">
        <v>103</v>
      </c>
      <c r="H146">
        <v>96</v>
      </c>
      <c r="I146" s="39">
        <v>1</v>
      </c>
      <c r="J146" t="s">
        <v>75</v>
      </c>
      <c r="K146">
        <v>30</v>
      </c>
      <c r="M146">
        <v>14.5</v>
      </c>
      <c r="N146">
        <v>0</v>
      </c>
      <c r="O146" s="35">
        <v>3.4</v>
      </c>
      <c r="P146" s="35">
        <v>8.1</v>
      </c>
      <c r="Q146" s="35">
        <v>4.0999999999999996</v>
      </c>
      <c r="R146" t="s">
        <v>178</v>
      </c>
      <c r="S146">
        <v>4.0999999999999996</v>
      </c>
      <c r="T146" t="s">
        <v>85</v>
      </c>
      <c r="U146">
        <v>1.45</v>
      </c>
      <c r="V146">
        <v>0.18</v>
      </c>
      <c r="W146">
        <v>15</v>
      </c>
      <c r="Y146" t="s">
        <v>179</v>
      </c>
      <c r="Z146" t="s">
        <v>180</v>
      </c>
    </row>
    <row r="147" spans="1:28" ht="15" customHeight="1" x14ac:dyDescent="0.25">
      <c r="A147" s="7" t="s">
        <v>177</v>
      </c>
      <c r="B147" s="6" t="s">
        <v>181</v>
      </c>
      <c r="C147" s="6" t="s">
        <v>103</v>
      </c>
      <c r="D147" s="33" t="s">
        <v>137</v>
      </c>
      <c r="E147" s="34" t="s">
        <v>243</v>
      </c>
      <c r="F147" s="34" t="s">
        <v>243</v>
      </c>
      <c r="G147" t="s">
        <v>103</v>
      </c>
      <c r="H147">
        <v>96</v>
      </c>
      <c r="I147" s="39">
        <v>1</v>
      </c>
      <c r="J147" t="s">
        <v>75</v>
      </c>
      <c r="K147">
        <v>30</v>
      </c>
      <c r="M147">
        <v>14.5</v>
      </c>
      <c r="N147">
        <v>0</v>
      </c>
      <c r="O147" s="35">
        <v>2.2999999999999998</v>
      </c>
      <c r="P147" s="35">
        <v>8.1999999999999993</v>
      </c>
      <c r="Q147" s="35">
        <v>4</v>
      </c>
      <c r="R147" t="s">
        <v>182</v>
      </c>
      <c r="S147">
        <v>4.0999999999999996</v>
      </c>
      <c r="T147" t="s">
        <v>85</v>
      </c>
      <c r="U147">
        <v>1.45</v>
      </c>
      <c r="V147">
        <v>0.18</v>
      </c>
      <c r="W147">
        <v>12</v>
      </c>
      <c r="Y147" t="s">
        <v>183</v>
      </c>
      <c r="Z147" t="s">
        <v>180</v>
      </c>
    </row>
    <row r="148" spans="1:28" ht="15" customHeight="1" x14ac:dyDescent="0.25">
      <c r="A148" s="7" t="s">
        <v>177</v>
      </c>
      <c r="C148" s="6" t="s">
        <v>103</v>
      </c>
      <c r="D148" s="33" t="s">
        <v>137</v>
      </c>
      <c r="E148" s="34" t="s">
        <v>241</v>
      </c>
      <c r="F148" s="34" t="s">
        <v>241</v>
      </c>
      <c r="G148" t="s">
        <v>103</v>
      </c>
      <c r="H148">
        <v>96</v>
      </c>
      <c r="I148" s="39">
        <v>2</v>
      </c>
      <c r="J148" t="s">
        <v>75</v>
      </c>
      <c r="K148">
        <v>30</v>
      </c>
      <c r="M148">
        <v>14.5</v>
      </c>
      <c r="N148">
        <v>0</v>
      </c>
      <c r="O148" s="35">
        <v>3.4</v>
      </c>
      <c r="P148" s="35">
        <v>8.1</v>
      </c>
      <c r="Q148" s="35">
        <v>4.0999999999999996</v>
      </c>
      <c r="R148" t="s">
        <v>164</v>
      </c>
      <c r="S148">
        <v>19</v>
      </c>
      <c r="T148" t="s">
        <v>85</v>
      </c>
      <c r="U148">
        <v>1.45</v>
      </c>
      <c r="V148">
        <v>0.18</v>
      </c>
      <c r="W148">
        <v>9</v>
      </c>
      <c r="Y148" t="s">
        <v>184</v>
      </c>
      <c r="Z148" t="s">
        <v>180</v>
      </c>
    </row>
    <row r="149" spans="1:28" ht="15" customHeight="1" x14ac:dyDescent="0.25">
      <c r="A149" s="7" t="s">
        <v>177</v>
      </c>
      <c r="B149" s="6" t="s">
        <v>181</v>
      </c>
      <c r="C149" s="6" t="s">
        <v>103</v>
      </c>
      <c r="D149" s="33" t="s">
        <v>137</v>
      </c>
      <c r="E149" s="34" t="s">
        <v>243</v>
      </c>
      <c r="F149" s="34" t="s">
        <v>243</v>
      </c>
      <c r="G149" t="s">
        <v>103</v>
      </c>
      <c r="H149">
        <v>96</v>
      </c>
      <c r="I149" s="39">
        <v>2</v>
      </c>
      <c r="J149" t="s">
        <v>75</v>
      </c>
      <c r="K149">
        <v>30</v>
      </c>
      <c r="M149">
        <v>14.5</v>
      </c>
      <c r="N149">
        <v>0</v>
      </c>
      <c r="O149" s="35">
        <v>2.2999999999999998</v>
      </c>
      <c r="P149" s="35">
        <v>8.1999999999999993</v>
      </c>
      <c r="Q149" s="35">
        <v>4</v>
      </c>
      <c r="R149" t="s">
        <v>164</v>
      </c>
      <c r="S149">
        <v>19</v>
      </c>
      <c r="T149" t="s">
        <v>85</v>
      </c>
      <c r="U149">
        <v>1.45</v>
      </c>
      <c r="V149">
        <v>0.18</v>
      </c>
      <c r="W149">
        <v>5</v>
      </c>
      <c r="Y149" t="s">
        <v>185</v>
      </c>
      <c r="Z149" t="s">
        <v>180</v>
      </c>
    </row>
    <row r="150" spans="1:28" ht="15" customHeight="1" x14ac:dyDescent="0.25">
      <c r="A150" s="7" t="s">
        <v>186</v>
      </c>
      <c r="C150" s="6" t="s">
        <v>60</v>
      </c>
      <c r="D150" s="33" t="s">
        <v>61</v>
      </c>
      <c r="E150" s="33" t="s">
        <v>241</v>
      </c>
      <c r="F150" s="33" t="s">
        <v>241</v>
      </c>
      <c r="G150" t="s">
        <v>125</v>
      </c>
      <c r="H150">
        <v>96</v>
      </c>
      <c r="I150" s="41">
        <v>1</v>
      </c>
      <c r="J150" t="s">
        <v>75</v>
      </c>
      <c r="K150" s="44">
        <f t="shared" ref="K150:K157" si="1">75/Q150</f>
        <v>21.428571428571427</v>
      </c>
      <c r="O150" s="43">
        <v>11.3</v>
      </c>
      <c r="P150" s="43">
        <v>7.1</v>
      </c>
      <c r="Q150" s="43">
        <v>3.5</v>
      </c>
      <c r="S150">
        <v>16</v>
      </c>
      <c r="T150" t="s">
        <v>64</v>
      </c>
      <c r="W150" s="25">
        <v>29</v>
      </c>
      <c r="X150" s="25"/>
      <c r="Y150" t="s">
        <v>187</v>
      </c>
      <c r="Z150" t="s">
        <v>188</v>
      </c>
    </row>
    <row r="151" spans="1:28" ht="15" customHeight="1" x14ac:dyDescent="0.25">
      <c r="A151" s="7" t="s">
        <v>186</v>
      </c>
      <c r="B151" s="6" t="s">
        <v>135</v>
      </c>
      <c r="C151" s="6" t="s">
        <v>60</v>
      </c>
      <c r="D151" s="33" t="s">
        <v>61</v>
      </c>
      <c r="E151" s="33" t="s">
        <v>243</v>
      </c>
      <c r="F151" s="33" t="s">
        <v>243</v>
      </c>
      <c r="G151" t="s">
        <v>125</v>
      </c>
      <c r="H151">
        <v>96</v>
      </c>
      <c r="I151" s="41">
        <v>1</v>
      </c>
      <c r="J151" t="s">
        <v>75</v>
      </c>
      <c r="K151" s="44">
        <f t="shared" si="1"/>
        <v>21.428571428571427</v>
      </c>
      <c r="O151" s="43">
        <v>10.5</v>
      </c>
      <c r="P151" s="43">
        <v>7.1</v>
      </c>
      <c r="Q151" s="43">
        <v>3.5</v>
      </c>
      <c r="S151">
        <v>16</v>
      </c>
      <c r="T151" t="s">
        <v>64</v>
      </c>
      <c r="W151" s="25">
        <v>26</v>
      </c>
      <c r="X151" s="25"/>
      <c r="Y151" t="s">
        <v>187</v>
      </c>
      <c r="Z151" t="s">
        <v>188</v>
      </c>
    </row>
    <row r="152" spans="1:28" ht="15" customHeight="1" x14ac:dyDescent="0.25">
      <c r="A152" s="7" t="s">
        <v>186</v>
      </c>
      <c r="B152" s="6" t="s">
        <v>135</v>
      </c>
      <c r="C152" s="6" t="s">
        <v>60</v>
      </c>
      <c r="D152" s="33" t="s">
        <v>61</v>
      </c>
      <c r="E152" s="33" t="s">
        <v>243</v>
      </c>
      <c r="F152" s="33" t="s">
        <v>243</v>
      </c>
      <c r="G152" t="s">
        <v>125</v>
      </c>
      <c r="H152">
        <v>96</v>
      </c>
      <c r="I152" s="41">
        <v>1</v>
      </c>
      <c r="J152" t="s">
        <v>75</v>
      </c>
      <c r="K152" s="44">
        <f t="shared" si="1"/>
        <v>20.833333333333332</v>
      </c>
      <c r="O152" s="43">
        <v>10</v>
      </c>
      <c r="P152" s="43">
        <v>7.2</v>
      </c>
      <c r="Q152" s="43">
        <v>3.6</v>
      </c>
      <c r="S152">
        <v>16</v>
      </c>
      <c r="T152" t="s">
        <v>64</v>
      </c>
      <c r="W152" s="25">
        <v>25</v>
      </c>
      <c r="X152" s="25"/>
      <c r="Y152" t="s">
        <v>187</v>
      </c>
      <c r="Z152" t="s">
        <v>188</v>
      </c>
    </row>
    <row r="153" spans="1:28" ht="15" customHeight="1" x14ac:dyDescent="0.25">
      <c r="A153" s="7" t="s">
        <v>186</v>
      </c>
      <c r="B153" s="6" t="s">
        <v>135</v>
      </c>
      <c r="C153" s="6" t="s">
        <v>60</v>
      </c>
      <c r="D153" s="33" t="s">
        <v>61</v>
      </c>
      <c r="E153" s="33" t="s">
        <v>243</v>
      </c>
      <c r="F153" s="33" t="s">
        <v>243</v>
      </c>
      <c r="G153" t="s">
        <v>125</v>
      </c>
      <c r="H153">
        <v>96</v>
      </c>
      <c r="I153" s="41">
        <v>1</v>
      </c>
      <c r="J153" t="s">
        <v>75</v>
      </c>
      <c r="K153" s="44">
        <f t="shared" si="1"/>
        <v>20.833333333333332</v>
      </c>
      <c r="O153" s="43">
        <v>8.6</v>
      </c>
      <c r="P153" s="43">
        <v>7.2</v>
      </c>
      <c r="Q153" s="43">
        <v>3.6</v>
      </c>
      <c r="S153">
        <v>16</v>
      </c>
      <c r="T153" t="s">
        <v>64</v>
      </c>
      <c r="W153" s="25">
        <v>21</v>
      </c>
      <c r="X153" s="25"/>
      <c r="Y153" t="s">
        <v>187</v>
      </c>
      <c r="Z153" t="s">
        <v>188</v>
      </c>
    </row>
    <row r="154" spans="1:28" ht="15" customHeight="1" x14ac:dyDescent="0.25">
      <c r="A154" s="7" t="s">
        <v>186</v>
      </c>
      <c r="B154" s="6" t="s">
        <v>135</v>
      </c>
      <c r="C154" s="6" t="s">
        <v>60</v>
      </c>
      <c r="D154" s="33" t="s">
        <v>61</v>
      </c>
      <c r="E154" s="33" t="s">
        <v>243</v>
      </c>
      <c r="F154" s="33" t="s">
        <v>243</v>
      </c>
      <c r="G154" t="s">
        <v>125</v>
      </c>
      <c r="H154">
        <v>96</v>
      </c>
      <c r="I154" s="41">
        <v>1</v>
      </c>
      <c r="J154" t="s">
        <v>75</v>
      </c>
      <c r="K154" s="44">
        <f t="shared" si="1"/>
        <v>20.833333333333332</v>
      </c>
      <c r="O154" s="43">
        <v>8.4</v>
      </c>
      <c r="P154" s="43">
        <v>7.2</v>
      </c>
      <c r="Q154" s="43">
        <v>3.6</v>
      </c>
      <c r="S154">
        <v>16</v>
      </c>
      <c r="T154" t="s">
        <v>64</v>
      </c>
      <c r="W154" s="25">
        <v>18</v>
      </c>
      <c r="X154" s="25"/>
      <c r="Y154" t="s">
        <v>187</v>
      </c>
      <c r="Z154" t="s">
        <v>188</v>
      </c>
    </row>
    <row r="155" spans="1:28" ht="15" customHeight="1" x14ac:dyDescent="0.25">
      <c r="A155" s="7" t="s">
        <v>186</v>
      </c>
      <c r="B155" s="6" t="s">
        <v>135</v>
      </c>
      <c r="C155" s="6" t="s">
        <v>60</v>
      </c>
      <c r="D155" s="33" t="s">
        <v>61</v>
      </c>
      <c r="E155" s="33" t="s">
        <v>243</v>
      </c>
      <c r="F155" s="33" t="s">
        <v>243</v>
      </c>
      <c r="G155" t="s">
        <v>125</v>
      </c>
      <c r="H155">
        <v>96</v>
      </c>
      <c r="I155" s="41">
        <v>1</v>
      </c>
      <c r="J155" t="s">
        <v>75</v>
      </c>
      <c r="K155" s="44">
        <f t="shared" si="1"/>
        <v>20.833333333333332</v>
      </c>
      <c r="O155" s="43">
        <v>8.1999999999999993</v>
      </c>
      <c r="P155" s="43">
        <v>7.2</v>
      </c>
      <c r="Q155" s="43">
        <v>3.6</v>
      </c>
      <c r="S155">
        <v>16</v>
      </c>
      <c r="T155" t="s">
        <v>64</v>
      </c>
      <c r="W155" s="25">
        <v>17</v>
      </c>
      <c r="X155" s="25"/>
      <c r="Y155" t="s">
        <v>187</v>
      </c>
      <c r="Z155" t="s">
        <v>188</v>
      </c>
    </row>
    <row r="156" spans="1:28" ht="15" customHeight="1" x14ac:dyDescent="0.25">
      <c r="A156" s="7" t="s">
        <v>186</v>
      </c>
      <c r="B156" s="6" t="s">
        <v>135</v>
      </c>
      <c r="C156" s="6" t="s">
        <v>60</v>
      </c>
      <c r="D156" s="33" t="s">
        <v>61</v>
      </c>
      <c r="E156" s="33" t="s">
        <v>243</v>
      </c>
      <c r="F156" s="33" t="s">
        <v>243</v>
      </c>
      <c r="G156" t="s">
        <v>125</v>
      </c>
      <c r="H156">
        <v>96</v>
      </c>
      <c r="I156" s="41">
        <v>1</v>
      </c>
      <c r="J156" t="s">
        <v>75</v>
      </c>
      <c r="K156" s="44">
        <f t="shared" si="1"/>
        <v>20.833333333333332</v>
      </c>
      <c r="O156" s="43">
        <v>7.9</v>
      </c>
      <c r="P156" s="43">
        <v>7.2</v>
      </c>
      <c r="Q156" s="43">
        <v>3.6</v>
      </c>
      <c r="S156">
        <v>16</v>
      </c>
      <c r="T156" t="s">
        <v>64</v>
      </c>
      <c r="W156" s="25">
        <v>20</v>
      </c>
      <c r="X156" s="25"/>
      <c r="Y156" t="s">
        <v>187</v>
      </c>
      <c r="Z156" t="s">
        <v>188</v>
      </c>
    </row>
    <row r="157" spans="1:28" ht="15" customHeight="1" x14ac:dyDescent="0.25">
      <c r="A157" s="7" t="s">
        <v>186</v>
      </c>
      <c r="B157" s="6" t="s">
        <v>135</v>
      </c>
      <c r="C157" s="6" t="s">
        <v>60</v>
      </c>
      <c r="D157" s="33" t="s">
        <v>61</v>
      </c>
      <c r="E157" s="33" t="s">
        <v>243</v>
      </c>
      <c r="F157" s="33" t="s">
        <v>243</v>
      </c>
      <c r="G157" t="s">
        <v>125</v>
      </c>
      <c r="H157">
        <v>96</v>
      </c>
      <c r="I157" s="41">
        <v>1</v>
      </c>
      <c r="J157" t="s">
        <v>75</v>
      </c>
      <c r="K157" s="44">
        <f t="shared" si="1"/>
        <v>20.833333333333332</v>
      </c>
      <c r="O157" s="43">
        <v>7.7</v>
      </c>
      <c r="P157" s="43">
        <v>7.2</v>
      </c>
      <c r="Q157" s="43">
        <v>3.6</v>
      </c>
      <c r="S157">
        <v>16</v>
      </c>
      <c r="T157" t="s">
        <v>64</v>
      </c>
      <c r="W157" s="25">
        <v>15</v>
      </c>
      <c r="X157" s="25"/>
      <c r="Y157" t="s">
        <v>187</v>
      </c>
      <c r="Z157" t="s">
        <v>188</v>
      </c>
    </row>
    <row r="158" spans="1:28" ht="15" customHeight="1" x14ac:dyDescent="0.25">
      <c r="A158" s="7" t="s">
        <v>189</v>
      </c>
      <c r="C158" s="6" t="s">
        <v>60</v>
      </c>
      <c r="D158" s="33" t="s">
        <v>61</v>
      </c>
      <c r="E158" s="34" t="s">
        <v>241</v>
      </c>
      <c r="F158" s="34" t="s">
        <v>241</v>
      </c>
      <c r="G158" t="s">
        <v>62</v>
      </c>
      <c r="H158">
        <v>144</v>
      </c>
      <c r="I158" s="41">
        <v>1</v>
      </c>
      <c r="J158" t="s">
        <v>75</v>
      </c>
      <c r="K158" s="25">
        <v>80</v>
      </c>
      <c r="L158">
        <v>16</v>
      </c>
      <c r="N158">
        <v>0</v>
      </c>
      <c r="O158" s="43">
        <v>6.5</v>
      </c>
      <c r="P158" s="43">
        <v>7.5</v>
      </c>
      <c r="Q158" s="43">
        <v>1.1000000000000001</v>
      </c>
      <c r="R158" t="s">
        <v>164</v>
      </c>
      <c r="S158">
        <v>10.4</v>
      </c>
      <c r="T158" t="s">
        <v>64</v>
      </c>
      <c r="U158">
        <v>1.42</v>
      </c>
      <c r="W158" s="1">
        <v>31.9</v>
      </c>
      <c r="X158" s="1"/>
      <c r="Y158" t="s">
        <v>104</v>
      </c>
      <c r="Z158" t="s">
        <v>188</v>
      </c>
      <c r="AA158" t="s">
        <v>190</v>
      </c>
      <c r="AB158" s="4"/>
    </row>
    <row r="159" spans="1:28" ht="15" customHeight="1" x14ac:dyDescent="0.25">
      <c r="A159" s="7" t="s">
        <v>189</v>
      </c>
      <c r="B159" s="6" t="s">
        <v>191</v>
      </c>
      <c r="C159" s="6" t="s">
        <v>60</v>
      </c>
      <c r="D159" s="33" t="s">
        <v>61</v>
      </c>
      <c r="E159" s="33" t="s">
        <v>243</v>
      </c>
      <c r="F159" s="33" t="s">
        <v>243</v>
      </c>
      <c r="G159" t="s">
        <v>62</v>
      </c>
      <c r="H159">
        <v>144</v>
      </c>
      <c r="I159" s="41">
        <v>1</v>
      </c>
      <c r="J159" t="s">
        <v>75</v>
      </c>
      <c r="K159" s="25">
        <v>80</v>
      </c>
      <c r="L159">
        <v>16</v>
      </c>
      <c r="N159">
        <v>0</v>
      </c>
      <c r="O159" s="43">
        <v>4</v>
      </c>
      <c r="P159" s="43">
        <v>7.4</v>
      </c>
      <c r="Q159" s="43">
        <v>1.2</v>
      </c>
      <c r="R159" t="s">
        <v>164</v>
      </c>
      <c r="S159">
        <v>10.4</v>
      </c>
      <c r="T159" t="s">
        <v>64</v>
      </c>
      <c r="U159">
        <v>1.42</v>
      </c>
      <c r="W159" s="1">
        <v>32.6</v>
      </c>
      <c r="X159" s="1"/>
      <c r="Y159" t="s">
        <v>104</v>
      </c>
      <c r="Z159" t="s">
        <v>188</v>
      </c>
      <c r="AA159" t="s">
        <v>190</v>
      </c>
      <c r="AB159" s="4"/>
    </row>
    <row r="160" spans="1:28" ht="15" customHeight="1" x14ac:dyDescent="0.25">
      <c r="A160" s="7" t="s">
        <v>192</v>
      </c>
      <c r="C160" s="6" t="s">
        <v>103</v>
      </c>
      <c r="D160" s="33" t="s">
        <v>61</v>
      </c>
      <c r="E160" s="33" t="s">
        <v>241</v>
      </c>
      <c r="F160" s="33" t="s">
        <v>241</v>
      </c>
      <c r="G160" t="s">
        <v>193</v>
      </c>
      <c r="H160">
        <v>144</v>
      </c>
      <c r="I160" s="41">
        <v>1</v>
      </c>
      <c r="J160" t="s">
        <v>75</v>
      </c>
      <c r="K160">
        <v>20</v>
      </c>
      <c r="L160">
        <v>8</v>
      </c>
      <c r="O160" s="43">
        <v>7.1</v>
      </c>
      <c r="P160" s="43"/>
      <c r="Q160" s="43">
        <v>2.8</v>
      </c>
      <c r="R160" t="s">
        <v>166</v>
      </c>
      <c r="T160" t="s">
        <v>144</v>
      </c>
      <c r="W160">
        <v>19</v>
      </c>
      <c r="Y160" t="s">
        <v>183</v>
      </c>
      <c r="Z160" s="28" t="s">
        <v>194</v>
      </c>
      <c r="AA160" t="s">
        <v>195</v>
      </c>
    </row>
    <row r="161" spans="1:27" ht="15" customHeight="1" x14ac:dyDescent="0.25">
      <c r="A161" s="7" t="s">
        <v>192</v>
      </c>
      <c r="B161" s="6" t="s">
        <v>196</v>
      </c>
      <c r="C161" s="6" t="s">
        <v>103</v>
      </c>
      <c r="D161" s="33" t="s">
        <v>61</v>
      </c>
      <c r="E161" s="33" t="s">
        <v>243</v>
      </c>
      <c r="F161" s="33" t="s">
        <v>243</v>
      </c>
      <c r="G161" t="s">
        <v>193</v>
      </c>
      <c r="H161">
        <v>144</v>
      </c>
      <c r="I161" s="41">
        <v>1</v>
      </c>
      <c r="J161" t="s">
        <v>75</v>
      </c>
      <c r="K161">
        <v>20</v>
      </c>
      <c r="L161">
        <v>8</v>
      </c>
      <c r="O161" s="43">
        <v>4.4000000000000004</v>
      </c>
      <c r="P161" s="43"/>
      <c r="Q161" s="43">
        <v>2.5</v>
      </c>
      <c r="R161" t="s">
        <v>166</v>
      </c>
      <c r="T161" t="s">
        <v>144</v>
      </c>
      <c r="W161">
        <v>7</v>
      </c>
      <c r="Y161" t="s">
        <v>184</v>
      </c>
      <c r="Z161" s="28" t="s">
        <v>194</v>
      </c>
      <c r="AA161" t="s">
        <v>195</v>
      </c>
    </row>
    <row r="162" spans="1:27" ht="15" customHeight="1" x14ac:dyDescent="0.25">
      <c r="A162" s="7" t="s">
        <v>192</v>
      </c>
      <c r="C162" s="6" t="s">
        <v>103</v>
      </c>
      <c r="D162" s="33" t="s">
        <v>61</v>
      </c>
      <c r="E162" s="33" t="s">
        <v>241</v>
      </c>
      <c r="F162" s="33" t="s">
        <v>241</v>
      </c>
      <c r="G162" t="s">
        <v>193</v>
      </c>
      <c r="H162">
        <v>144</v>
      </c>
      <c r="I162" s="41">
        <v>2</v>
      </c>
      <c r="J162" t="s">
        <v>75</v>
      </c>
      <c r="K162">
        <v>20</v>
      </c>
      <c r="L162">
        <v>22</v>
      </c>
      <c r="O162" s="43">
        <v>7.1</v>
      </c>
      <c r="P162" s="43"/>
      <c r="Q162" s="43">
        <v>2.8</v>
      </c>
      <c r="R162" t="s">
        <v>166</v>
      </c>
      <c r="T162" t="s">
        <v>144</v>
      </c>
      <c r="W162">
        <v>90</v>
      </c>
      <c r="Y162" t="s">
        <v>185</v>
      </c>
      <c r="Z162" s="28" t="s">
        <v>194</v>
      </c>
      <c r="AA162" t="s">
        <v>195</v>
      </c>
    </row>
    <row r="163" spans="1:27" ht="15" customHeight="1" x14ac:dyDescent="0.25">
      <c r="A163" s="7" t="s">
        <v>192</v>
      </c>
      <c r="B163" s="6" t="s">
        <v>196</v>
      </c>
      <c r="C163" s="6" t="s">
        <v>103</v>
      </c>
      <c r="D163" s="33" t="s">
        <v>61</v>
      </c>
      <c r="E163" s="33" t="s">
        <v>243</v>
      </c>
      <c r="F163" s="33" t="s">
        <v>243</v>
      </c>
      <c r="G163" t="s">
        <v>193</v>
      </c>
      <c r="H163">
        <v>144</v>
      </c>
      <c r="I163" s="41">
        <v>2</v>
      </c>
      <c r="J163" t="s">
        <v>75</v>
      </c>
      <c r="K163">
        <v>20</v>
      </c>
      <c r="L163">
        <v>22</v>
      </c>
      <c r="O163" s="43">
        <v>4.4000000000000004</v>
      </c>
      <c r="P163" s="43"/>
      <c r="Q163" s="43">
        <v>2.5</v>
      </c>
      <c r="R163" t="s">
        <v>166</v>
      </c>
      <c r="T163" t="s">
        <v>144</v>
      </c>
      <c r="W163">
        <v>30</v>
      </c>
      <c r="Y163" t="s">
        <v>197</v>
      </c>
      <c r="Z163" s="28" t="s">
        <v>194</v>
      </c>
      <c r="AA163" t="s">
        <v>195</v>
      </c>
    </row>
    <row r="164" spans="1:27" ht="15" customHeight="1" x14ac:dyDescent="0.25">
      <c r="A164" s="7" t="s">
        <v>192</v>
      </c>
      <c r="C164" s="6" t="s">
        <v>103</v>
      </c>
      <c r="D164" s="33" t="s">
        <v>61</v>
      </c>
      <c r="E164" s="33" t="s">
        <v>241</v>
      </c>
      <c r="F164" s="33" t="s">
        <v>241</v>
      </c>
      <c r="G164" t="s">
        <v>193</v>
      </c>
      <c r="H164">
        <v>144</v>
      </c>
      <c r="I164" s="41">
        <v>3</v>
      </c>
      <c r="J164" t="s">
        <v>75</v>
      </c>
      <c r="K164">
        <v>20</v>
      </c>
      <c r="L164">
        <v>19</v>
      </c>
      <c r="O164" s="43">
        <v>7.1</v>
      </c>
      <c r="P164" s="43"/>
      <c r="Q164" s="43">
        <v>2.8</v>
      </c>
      <c r="R164" t="s">
        <v>166</v>
      </c>
      <c r="T164" t="s">
        <v>144</v>
      </c>
      <c r="W164">
        <v>62</v>
      </c>
      <c r="Y164" t="s">
        <v>198</v>
      </c>
      <c r="Z164" s="28" t="s">
        <v>194</v>
      </c>
      <c r="AA164" t="s">
        <v>195</v>
      </c>
    </row>
    <row r="165" spans="1:27" ht="15" customHeight="1" x14ac:dyDescent="0.25">
      <c r="A165" s="7" t="s">
        <v>192</v>
      </c>
      <c r="B165" s="6" t="s">
        <v>196</v>
      </c>
      <c r="C165" s="6" t="s">
        <v>103</v>
      </c>
      <c r="D165" s="33" t="s">
        <v>61</v>
      </c>
      <c r="E165" s="33" t="s">
        <v>243</v>
      </c>
      <c r="F165" s="33" t="s">
        <v>243</v>
      </c>
      <c r="G165" t="s">
        <v>193</v>
      </c>
      <c r="H165">
        <v>144</v>
      </c>
      <c r="I165" s="41">
        <v>3</v>
      </c>
      <c r="J165" t="s">
        <v>75</v>
      </c>
      <c r="K165">
        <v>20</v>
      </c>
      <c r="L165">
        <v>19</v>
      </c>
      <c r="O165" s="43">
        <v>4.4000000000000004</v>
      </c>
      <c r="P165" s="43"/>
      <c r="Q165" s="43">
        <v>2.5</v>
      </c>
      <c r="R165" t="s">
        <v>166</v>
      </c>
      <c r="T165" t="s">
        <v>144</v>
      </c>
      <c r="W165">
        <v>75</v>
      </c>
      <c r="Y165" t="s">
        <v>199</v>
      </c>
      <c r="Z165" s="28" t="s">
        <v>194</v>
      </c>
      <c r="AA165" t="s">
        <v>195</v>
      </c>
    </row>
    <row r="166" spans="1:27" ht="15" customHeight="1" x14ac:dyDescent="0.25">
      <c r="A166" s="7" t="s">
        <v>192</v>
      </c>
      <c r="C166" s="6" t="s">
        <v>103</v>
      </c>
      <c r="D166" s="33" t="s">
        <v>61</v>
      </c>
      <c r="E166" s="33" t="s">
        <v>241</v>
      </c>
      <c r="F166" s="33" t="s">
        <v>241</v>
      </c>
      <c r="G166" t="s">
        <v>193</v>
      </c>
      <c r="H166">
        <v>144</v>
      </c>
      <c r="I166" s="41">
        <v>4</v>
      </c>
      <c r="J166" t="s">
        <v>75</v>
      </c>
      <c r="K166">
        <v>20</v>
      </c>
      <c r="L166">
        <v>15</v>
      </c>
      <c r="O166" s="43">
        <v>7.1</v>
      </c>
      <c r="P166" s="43"/>
      <c r="Q166" s="43">
        <v>2.8</v>
      </c>
      <c r="R166" t="s">
        <v>166</v>
      </c>
      <c r="T166" t="s">
        <v>144</v>
      </c>
      <c r="W166">
        <v>25</v>
      </c>
      <c r="Y166" t="s">
        <v>200</v>
      </c>
      <c r="Z166" s="28" t="s">
        <v>194</v>
      </c>
      <c r="AA166" t="s">
        <v>195</v>
      </c>
    </row>
    <row r="167" spans="1:27" ht="15" customHeight="1" x14ac:dyDescent="0.25">
      <c r="A167" s="7" t="s">
        <v>192</v>
      </c>
      <c r="B167" s="6" t="s">
        <v>196</v>
      </c>
      <c r="C167" s="6" t="s">
        <v>103</v>
      </c>
      <c r="D167" s="33" t="s">
        <v>61</v>
      </c>
      <c r="E167" s="33" t="s">
        <v>243</v>
      </c>
      <c r="F167" s="33" t="s">
        <v>243</v>
      </c>
      <c r="G167" t="s">
        <v>193</v>
      </c>
      <c r="H167">
        <v>144</v>
      </c>
      <c r="I167" s="41">
        <v>4</v>
      </c>
      <c r="J167" t="s">
        <v>75</v>
      </c>
      <c r="K167">
        <v>20</v>
      </c>
      <c r="L167">
        <v>15</v>
      </c>
      <c r="O167" s="43">
        <v>4.4000000000000004</v>
      </c>
      <c r="P167" s="43"/>
      <c r="Q167" s="43">
        <v>2.5</v>
      </c>
      <c r="R167" t="s">
        <v>166</v>
      </c>
      <c r="T167" t="s">
        <v>144</v>
      </c>
      <c r="W167">
        <v>40</v>
      </c>
      <c r="Y167" t="s">
        <v>201</v>
      </c>
      <c r="Z167" s="28" t="s">
        <v>194</v>
      </c>
      <c r="AA167" t="s">
        <v>195</v>
      </c>
    </row>
    <row r="168" spans="1:27" ht="15" customHeight="1" x14ac:dyDescent="0.25">
      <c r="A168" s="7" t="s">
        <v>192</v>
      </c>
      <c r="C168" s="6" t="s">
        <v>103</v>
      </c>
      <c r="D168" s="33" t="s">
        <v>61</v>
      </c>
      <c r="E168" s="33" t="s">
        <v>241</v>
      </c>
      <c r="F168" s="33" t="s">
        <v>241</v>
      </c>
      <c r="G168" t="s">
        <v>193</v>
      </c>
      <c r="H168">
        <v>144</v>
      </c>
      <c r="I168" s="41">
        <v>5</v>
      </c>
      <c r="J168" t="s">
        <v>202</v>
      </c>
      <c r="K168">
        <v>20</v>
      </c>
      <c r="L168">
        <v>8</v>
      </c>
      <c r="O168" s="43">
        <v>7.1</v>
      </c>
      <c r="P168" s="43"/>
      <c r="Q168" s="43">
        <v>2.8</v>
      </c>
      <c r="R168" t="s">
        <v>166</v>
      </c>
      <c r="T168" t="s">
        <v>144</v>
      </c>
      <c r="W168">
        <v>17</v>
      </c>
      <c r="Y168" t="s">
        <v>203</v>
      </c>
      <c r="Z168" s="28" t="s">
        <v>194</v>
      </c>
      <c r="AA168" t="s">
        <v>195</v>
      </c>
    </row>
    <row r="169" spans="1:27" ht="15" customHeight="1" x14ac:dyDescent="0.25">
      <c r="A169" s="7" t="s">
        <v>192</v>
      </c>
      <c r="B169" s="6" t="s">
        <v>196</v>
      </c>
      <c r="C169" s="6" t="s">
        <v>103</v>
      </c>
      <c r="D169" s="33" t="s">
        <v>61</v>
      </c>
      <c r="E169" s="33" t="s">
        <v>243</v>
      </c>
      <c r="F169" s="33" t="s">
        <v>243</v>
      </c>
      <c r="G169" t="s">
        <v>193</v>
      </c>
      <c r="H169">
        <v>144</v>
      </c>
      <c r="I169" s="41">
        <v>5</v>
      </c>
      <c r="J169" t="s">
        <v>202</v>
      </c>
      <c r="K169">
        <v>20</v>
      </c>
      <c r="L169">
        <v>8</v>
      </c>
      <c r="O169" s="43">
        <v>4.4000000000000004</v>
      </c>
      <c r="P169" s="43"/>
      <c r="Q169" s="43">
        <v>2.5</v>
      </c>
      <c r="R169" t="s">
        <v>166</v>
      </c>
      <c r="T169" t="s">
        <v>144</v>
      </c>
      <c r="W169">
        <v>5</v>
      </c>
      <c r="Y169" t="s">
        <v>204</v>
      </c>
      <c r="Z169" s="28" t="s">
        <v>194</v>
      </c>
      <c r="AA169" t="s">
        <v>195</v>
      </c>
    </row>
    <row r="170" spans="1:27" ht="15" customHeight="1" x14ac:dyDescent="0.25">
      <c r="A170" s="7" t="s">
        <v>192</v>
      </c>
      <c r="C170" s="6" t="s">
        <v>103</v>
      </c>
      <c r="D170" s="33" t="s">
        <v>61</v>
      </c>
      <c r="E170" s="33" t="s">
        <v>241</v>
      </c>
      <c r="F170" s="33" t="s">
        <v>241</v>
      </c>
      <c r="G170" t="s">
        <v>193</v>
      </c>
      <c r="H170">
        <v>144</v>
      </c>
      <c r="I170" s="41">
        <v>6</v>
      </c>
      <c r="J170" t="s">
        <v>202</v>
      </c>
      <c r="K170">
        <v>20</v>
      </c>
      <c r="L170">
        <v>22</v>
      </c>
      <c r="O170" s="43">
        <v>7.1</v>
      </c>
      <c r="P170" s="43"/>
      <c r="Q170" s="43">
        <v>2.8</v>
      </c>
      <c r="R170" t="s">
        <v>166</v>
      </c>
      <c r="T170" t="s">
        <v>144</v>
      </c>
      <c r="W170">
        <v>30</v>
      </c>
      <c r="Y170" t="s">
        <v>205</v>
      </c>
      <c r="Z170" s="28" t="s">
        <v>194</v>
      </c>
      <c r="AA170" t="s">
        <v>195</v>
      </c>
    </row>
    <row r="171" spans="1:27" ht="15" customHeight="1" x14ac:dyDescent="0.25">
      <c r="A171" s="7" t="s">
        <v>192</v>
      </c>
      <c r="B171" s="6" t="s">
        <v>196</v>
      </c>
      <c r="C171" s="6" t="s">
        <v>103</v>
      </c>
      <c r="D171" s="33" t="s">
        <v>61</v>
      </c>
      <c r="E171" s="33" t="s">
        <v>243</v>
      </c>
      <c r="F171" s="33" t="s">
        <v>243</v>
      </c>
      <c r="G171" t="s">
        <v>193</v>
      </c>
      <c r="H171">
        <v>144</v>
      </c>
      <c r="I171" s="41">
        <v>6</v>
      </c>
      <c r="J171" t="s">
        <v>202</v>
      </c>
      <c r="K171">
        <v>20</v>
      </c>
      <c r="L171">
        <v>22</v>
      </c>
      <c r="O171" s="43">
        <v>4.4000000000000004</v>
      </c>
      <c r="P171" s="43"/>
      <c r="Q171" s="43">
        <v>2.5</v>
      </c>
      <c r="R171" t="s">
        <v>166</v>
      </c>
      <c r="T171" t="s">
        <v>144</v>
      </c>
      <c r="W171">
        <v>28</v>
      </c>
      <c r="Y171" t="s">
        <v>206</v>
      </c>
      <c r="Z171" s="28" t="s">
        <v>194</v>
      </c>
      <c r="AA171" t="s">
        <v>195</v>
      </c>
    </row>
    <row r="172" spans="1:27" ht="15" customHeight="1" x14ac:dyDescent="0.25">
      <c r="A172" s="7" t="s">
        <v>192</v>
      </c>
      <c r="C172" s="6" t="s">
        <v>103</v>
      </c>
      <c r="D172" s="33" t="s">
        <v>61</v>
      </c>
      <c r="E172" s="33" t="s">
        <v>241</v>
      </c>
      <c r="F172" s="33" t="s">
        <v>241</v>
      </c>
      <c r="G172" t="s">
        <v>193</v>
      </c>
      <c r="H172">
        <v>144</v>
      </c>
      <c r="I172" s="41">
        <v>7</v>
      </c>
      <c r="J172" t="s">
        <v>202</v>
      </c>
      <c r="K172">
        <v>20</v>
      </c>
      <c r="L172">
        <v>19</v>
      </c>
      <c r="O172" s="43">
        <v>7.1</v>
      </c>
      <c r="P172" s="43"/>
      <c r="Q172" s="43">
        <v>2.8</v>
      </c>
      <c r="R172" t="s">
        <v>166</v>
      </c>
      <c r="T172" t="s">
        <v>144</v>
      </c>
      <c r="W172">
        <v>48</v>
      </c>
      <c r="Y172" t="s">
        <v>207</v>
      </c>
      <c r="Z172" s="28" t="s">
        <v>194</v>
      </c>
      <c r="AA172" t="s">
        <v>195</v>
      </c>
    </row>
    <row r="173" spans="1:27" ht="15" customHeight="1" x14ac:dyDescent="0.25">
      <c r="A173" s="7" t="s">
        <v>192</v>
      </c>
      <c r="B173" s="6" t="s">
        <v>196</v>
      </c>
      <c r="C173" s="6" t="s">
        <v>103</v>
      </c>
      <c r="D173" s="33" t="s">
        <v>61</v>
      </c>
      <c r="E173" s="33" t="s">
        <v>243</v>
      </c>
      <c r="F173" s="33" t="s">
        <v>243</v>
      </c>
      <c r="G173" t="s">
        <v>193</v>
      </c>
      <c r="H173">
        <v>144</v>
      </c>
      <c r="I173" s="41">
        <v>7</v>
      </c>
      <c r="J173" t="s">
        <v>202</v>
      </c>
      <c r="K173">
        <v>20</v>
      </c>
      <c r="L173">
        <v>19</v>
      </c>
      <c r="O173" s="43">
        <v>4.4000000000000004</v>
      </c>
      <c r="P173" s="43"/>
      <c r="Q173" s="43">
        <v>2.5</v>
      </c>
      <c r="R173" t="s">
        <v>166</v>
      </c>
      <c r="T173" t="s">
        <v>144</v>
      </c>
      <c r="W173">
        <v>22</v>
      </c>
      <c r="Y173" t="s">
        <v>208</v>
      </c>
      <c r="Z173" s="28" t="s">
        <v>194</v>
      </c>
      <c r="AA173" t="s">
        <v>195</v>
      </c>
    </row>
    <row r="174" spans="1:27" ht="15" customHeight="1" x14ac:dyDescent="0.25">
      <c r="A174" s="7" t="s">
        <v>192</v>
      </c>
      <c r="C174" s="6" t="s">
        <v>103</v>
      </c>
      <c r="D174" s="33" t="s">
        <v>61</v>
      </c>
      <c r="E174" s="33" t="s">
        <v>241</v>
      </c>
      <c r="F174" s="33" t="s">
        <v>241</v>
      </c>
      <c r="G174" t="s">
        <v>193</v>
      </c>
      <c r="H174">
        <v>144</v>
      </c>
      <c r="I174" s="41">
        <v>8</v>
      </c>
      <c r="J174" t="s">
        <v>202</v>
      </c>
      <c r="K174">
        <v>20</v>
      </c>
      <c r="L174">
        <v>15</v>
      </c>
      <c r="O174" s="43">
        <v>7.1</v>
      </c>
      <c r="P174" s="43"/>
      <c r="Q174" s="43">
        <v>2.8</v>
      </c>
      <c r="R174" t="s">
        <v>166</v>
      </c>
      <c r="T174" t="s">
        <v>144</v>
      </c>
      <c r="W174">
        <v>20</v>
      </c>
      <c r="Y174" t="s">
        <v>209</v>
      </c>
      <c r="Z174" s="28" t="s">
        <v>194</v>
      </c>
      <c r="AA174" t="s">
        <v>195</v>
      </c>
    </row>
    <row r="175" spans="1:27" ht="15" customHeight="1" x14ac:dyDescent="0.25">
      <c r="A175" s="7" t="s">
        <v>192</v>
      </c>
      <c r="B175" s="6" t="s">
        <v>196</v>
      </c>
      <c r="C175" s="6" t="s">
        <v>103</v>
      </c>
      <c r="D175" s="33" t="s">
        <v>61</v>
      </c>
      <c r="E175" s="33" t="s">
        <v>243</v>
      </c>
      <c r="F175" s="33" t="s">
        <v>243</v>
      </c>
      <c r="G175" t="s">
        <v>193</v>
      </c>
      <c r="H175">
        <v>144</v>
      </c>
      <c r="I175" s="41">
        <v>8</v>
      </c>
      <c r="J175" t="s">
        <v>202</v>
      </c>
      <c r="K175">
        <v>20</v>
      </c>
      <c r="L175">
        <v>15</v>
      </c>
      <c r="O175" s="43">
        <v>4.4000000000000004</v>
      </c>
      <c r="P175" s="43"/>
      <c r="Q175" s="43">
        <v>2.5</v>
      </c>
      <c r="R175" t="s">
        <v>166</v>
      </c>
      <c r="T175" t="s">
        <v>144</v>
      </c>
      <c r="W175">
        <v>12</v>
      </c>
      <c r="Y175" t="s">
        <v>210</v>
      </c>
      <c r="Z175" s="28" t="s">
        <v>194</v>
      </c>
      <c r="AA175" t="s">
        <v>195</v>
      </c>
    </row>
    <row r="176" spans="1:27" ht="15" customHeight="1" x14ac:dyDescent="0.25">
      <c r="A176" s="7" t="s">
        <v>192</v>
      </c>
      <c r="C176" s="6" t="s">
        <v>103</v>
      </c>
      <c r="D176" s="33" t="s">
        <v>61</v>
      </c>
      <c r="E176" s="33" t="s">
        <v>241</v>
      </c>
      <c r="F176" s="33" t="s">
        <v>241</v>
      </c>
      <c r="G176" t="s">
        <v>193</v>
      </c>
      <c r="H176">
        <v>144</v>
      </c>
      <c r="I176" s="41">
        <v>9</v>
      </c>
      <c r="J176" t="s">
        <v>211</v>
      </c>
      <c r="K176">
        <v>20</v>
      </c>
      <c r="L176">
        <v>8</v>
      </c>
      <c r="O176" s="43">
        <v>7.1</v>
      </c>
      <c r="P176" s="43"/>
      <c r="Q176" s="43">
        <v>2.8</v>
      </c>
      <c r="R176" t="s">
        <v>166</v>
      </c>
      <c r="T176" t="s">
        <v>144</v>
      </c>
      <c r="W176">
        <v>16</v>
      </c>
      <c r="Y176" t="s">
        <v>212</v>
      </c>
      <c r="Z176" s="28" t="s">
        <v>194</v>
      </c>
      <c r="AA176" t="s">
        <v>195</v>
      </c>
    </row>
    <row r="177" spans="1:27" ht="15" customHeight="1" x14ac:dyDescent="0.25">
      <c r="A177" s="7" t="s">
        <v>192</v>
      </c>
      <c r="B177" s="6" t="s">
        <v>196</v>
      </c>
      <c r="C177" s="6" t="s">
        <v>103</v>
      </c>
      <c r="D177" s="33" t="s">
        <v>61</v>
      </c>
      <c r="E177" s="33" t="s">
        <v>243</v>
      </c>
      <c r="F177" s="33" t="s">
        <v>243</v>
      </c>
      <c r="G177" t="s">
        <v>193</v>
      </c>
      <c r="H177">
        <v>144</v>
      </c>
      <c r="I177" s="41">
        <v>9</v>
      </c>
      <c r="J177" t="s">
        <v>211</v>
      </c>
      <c r="K177">
        <v>20</v>
      </c>
      <c r="L177">
        <v>8</v>
      </c>
      <c r="O177" s="43">
        <v>4.4000000000000004</v>
      </c>
      <c r="P177" s="43"/>
      <c r="Q177" s="43">
        <v>2.5</v>
      </c>
      <c r="R177" t="s">
        <v>166</v>
      </c>
      <c r="T177" t="s">
        <v>144</v>
      </c>
      <c r="W177">
        <v>14</v>
      </c>
      <c r="Y177" t="s">
        <v>213</v>
      </c>
      <c r="Z177" s="28" t="s">
        <v>194</v>
      </c>
      <c r="AA177" t="s">
        <v>195</v>
      </c>
    </row>
    <row r="178" spans="1:27" ht="15" customHeight="1" x14ac:dyDescent="0.25">
      <c r="A178" s="7" t="s">
        <v>192</v>
      </c>
      <c r="C178" s="6" t="s">
        <v>103</v>
      </c>
      <c r="D178" s="33" t="s">
        <v>61</v>
      </c>
      <c r="E178" s="33" t="s">
        <v>241</v>
      </c>
      <c r="F178" s="33" t="s">
        <v>241</v>
      </c>
      <c r="G178" t="s">
        <v>193</v>
      </c>
      <c r="H178">
        <v>144</v>
      </c>
      <c r="I178" s="41">
        <v>10</v>
      </c>
      <c r="J178" t="s">
        <v>211</v>
      </c>
      <c r="K178">
        <v>20</v>
      </c>
      <c r="L178">
        <v>22</v>
      </c>
      <c r="O178" s="43">
        <v>7.1</v>
      </c>
      <c r="P178" s="43"/>
      <c r="Q178" s="43">
        <v>2.8</v>
      </c>
      <c r="R178" t="s">
        <v>166</v>
      </c>
      <c r="T178" t="s">
        <v>144</v>
      </c>
      <c r="W178">
        <v>78</v>
      </c>
      <c r="Y178" t="s">
        <v>214</v>
      </c>
      <c r="Z178" s="28" t="s">
        <v>194</v>
      </c>
      <c r="AA178" t="s">
        <v>195</v>
      </c>
    </row>
    <row r="179" spans="1:27" ht="15" customHeight="1" x14ac:dyDescent="0.25">
      <c r="A179" s="7" t="s">
        <v>192</v>
      </c>
      <c r="B179" s="6" t="s">
        <v>196</v>
      </c>
      <c r="C179" s="6" t="s">
        <v>103</v>
      </c>
      <c r="D179" s="33" t="s">
        <v>61</v>
      </c>
      <c r="E179" s="33" t="s">
        <v>243</v>
      </c>
      <c r="F179" s="33" t="s">
        <v>243</v>
      </c>
      <c r="G179" t="s">
        <v>193</v>
      </c>
      <c r="H179">
        <v>144</v>
      </c>
      <c r="I179" s="41">
        <v>10</v>
      </c>
      <c r="J179" t="s">
        <v>211</v>
      </c>
      <c r="K179">
        <v>20</v>
      </c>
      <c r="L179">
        <v>22</v>
      </c>
      <c r="O179" s="43">
        <v>4.4000000000000004</v>
      </c>
      <c r="P179" s="43"/>
      <c r="Q179" s="43">
        <v>2.5</v>
      </c>
      <c r="R179" t="s">
        <v>166</v>
      </c>
      <c r="T179" t="s">
        <v>144</v>
      </c>
      <c r="W179">
        <v>28</v>
      </c>
      <c r="Y179" t="s">
        <v>215</v>
      </c>
      <c r="Z179" s="28" t="s">
        <v>194</v>
      </c>
      <c r="AA179" t="s">
        <v>195</v>
      </c>
    </row>
    <row r="180" spans="1:27" ht="15" customHeight="1" x14ac:dyDescent="0.25">
      <c r="A180" s="7" t="s">
        <v>192</v>
      </c>
      <c r="C180" s="6" t="s">
        <v>103</v>
      </c>
      <c r="D180" s="33" t="s">
        <v>61</v>
      </c>
      <c r="E180" s="33" t="s">
        <v>241</v>
      </c>
      <c r="F180" s="33" t="s">
        <v>241</v>
      </c>
      <c r="G180" t="s">
        <v>193</v>
      </c>
      <c r="H180">
        <v>144</v>
      </c>
      <c r="I180" s="41">
        <v>11</v>
      </c>
      <c r="J180" t="s">
        <v>211</v>
      </c>
      <c r="K180">
        <v>20</v>
      </c>
      <c r="L180">
        <v>19</v>
      </c>
      <c r="O180" s="43">
        <v>7.1</v>
      </c>
      <c r="P180" s="43"/>
      <c r="Q180" s="43">
        <v>2.8</v>
      </c>
      <c r="R180" t="s">
        <v>166</v>
      </c>
      <c r="T180" t="s">
        <v>144</v>
      </c>
      <c r="W180">
        <v>62</v>
      </c>
      <c r="Y180" t="s">
        <v>216</v>
      </c>
      <c r="Z180" s="28" t="s">
        <v>194</v>
      </c>
      <c r="AA180" t="s">
        <v>195</v>
      </c>
    </row>
    <row r="181" spans="1:27" ht="15" customHeight="1" x14ac:dyDescent="0.25">
      <c r="A181" s="7" t="s">
        <v>192</v>
      </c>
      <c r="B181" s="6" t="s">
        <v>196</v>
      </c>
      <c r="C181" s="6" t="s">
        <v>103</v>
      </c>
      <c r="D181" s="33" t="s">
        <v>61</v>
      </c>
      <c r="E181" s="33" t="s">
        <v>243</v>
      </c>
      <c r="F181" s="33" t="s">
        <v>243</v>
      </c>
      <c r="G181" t="s">
        <v>193</v>
      </c>
      <c r="H181">
        <v>144</v>
      </c>
      <c r="I181" s="41">
        <v>11</v>
      </c>
      <c r="J181" t="s">
        <v>211</v>
      </c>
      <c r="K181">
        <v>20</v>
      </c>
      <c r="L181">
        <v>19</v>
      </c>
      <c r="O181" s="43">
        <v>4.4000000000000004</v>
      </c>
      <c r="P181" s="43"/>
      <c r="Q181" s="43">
        <v>2.5</v>
      </c>
      <c r="R181" t="s">
        <v>166</v>
      </c>
      <c r="T181" t="s">
        <v>144</v>
      </c>
      <c r="W181">
        <v>32</v>
      </c>
      <c r="Y181" t="s">
        <v>217</v>
      </c>
      <c r="Z181" s="28" t="s">
        <v>194</v>
      </c>
      <c r="AA181" t="s">
        <v>195</v>
      </c>
    </row>
    <row r="182" spans="1:27" ht="15" customHeight="1" x14ac:dyDescent="0.25">
      <c r="A182" s="7" t="s">
        <v>192</v>
      </c>
      <c r="C182" s="6" t="s">
        <v>103</v>
      </c>
      <c r="D182" s="33" t="s">
        <v>61</v>
      </c>
      <c r="E182" s="33" t="s">
        <v>241</v>
      </c>
      <c r="F182" s="33" t="s">
        <v>241</v>
      </c>
      <c r="G182" t="s">
        <v>193</v>
      </c>
      <c r="H182">
        <v>144</v>
      </c>
      <c r="I182" s="41">
        <v>12</v>
      </c>
      <c r="J182" t="s">
        <v>211</v>
      </c>
      <c r="K182">
        <v>20</v>
      </c>
      <c r="L182">
        <v>15</v>
      </c>
      <c r="O182" s="43">
        <v>7.1</v>
      </c>
      <c r="P182" s="43"/>
      <c r="Q182" s="43">
        <v>2.8</v>
      </c>
      <c r="R182" t="s">
        <v>166</v>
      </c>
      <c r="T182" t="s">
        <v>144</v>
      </c>
      <c r="W182">
        <v>38</v>
      </c>
      <c r="Y182" t="s">
        <v>218</v>
      </c>
      <c r="Z182" s="28" t="s">
        <v>194</v>
      </c>
      <c r="AA182" t="s">
        <v>195</v>
      </c>
    </row>
    <row r="183" spans="1:27" ht="15" customHeight="1" x14ac:dyDescent="0.25">
      <c r="A183" s="7" t="s">
        <v>192</v>
      </c>
      <c r="B183" s="6" t="s">
        <v>196</v>
      </c>
      <c r="C183" s="6" t="s">
        <v>219</v>
      </c>
      <c r="D183" s="33" t="s">
        <v>61</v>
      </c>
      <c r="E183" s="33" t="s">
        <v>243</v>
      </c>
      <c r="F183" s="33" t="s">
        <v>243</v>
      </c>
      <c r="G183" t="s">
        <v>193</v>
      </c>
      <c r="H183">
        <v>144</v>
      </c>
      <c r="I183" s="41">
        <v>12</v>
      </c>
      <c r="J183" t="s">
        <v>211</v>
      </c>
      <c r="K183">
        <v>20</v>
      </c>
      <c r="L183">
        <v>15</v>
      </c>
      <c r="O183" s="43">
        <v>4.4000000000000004</v>
      </c>
      <c r="P183" s="43"/>
      <c r="Q183" s="43">
        <v>2.5</v>
      </c>
      <c r="R183" t="s">
        <v>166</v>
      </c>
      <c r="T183" t="s">
        <v>144</v>
      </c>
      <c r="W183">
        <v>18</v>
      </c>
      <c r="Y183" t="s">
        <v>220</v>
      </c>
      <c r="Z183" s="28" t="s">
        <v>194</v>
      </c>
      <c r="AA183" t="s">
        <v>195</v>
      </c>
    </row>
    <row r="184" spans="1:27" ht="15" customHeight="1" x14ac:dyDescent="0.25">
      <c r="A184" s="7" t="s">
        <v>221</v>
      </c>
      <c r="C184" s="6" t="s">
        <v>60</v>
      </c>
      <c r="D184" s="33" t="s">
        <v>137</v>
      </c>
      <c r="E184" s="33" t="s">
        <v>241</v>
      </c>
      <c r="F184" s="33" t="s">
        <v>241</v>
      </c>
      <c r="G184" t="s">
        <v>222</v>
      </c>
      <c r="H184">
        <v>72</v>
      </c>
      <c r="I184" s="39">
        <v>1</v>
      </c>
      <c r="J184" t="s">
        <v>63</v>
      </c>
      <c r="K184">
        <v>53</v>
      </c>
      <c r="M184">
        <v>6.7</v>
      </c>
      <c r="O184" s="35">
        <v>3.5</v>
      </c>
      <c r="P184" s="35">
        <v>7.6</v>
      </c>
      <c r="Q184" s="35">
        <f>79.5/53</f>
        <v>1.5</v>
      </c>
      <c r="R184" t="s">
        <v>76</v>
      </c>
      <c r="S184">
        <v>6.9</v>
      </c>
      <c r="T184" t="s">
        <v>144</v>
      </c>
      <c r="U184">
        <v>1.3</v>
      </c>
      <c r="W184">
        <v>37.14</v>
      </c>
      <c r="Y184" t="s">
        <v>223</v>
      </c>
      <c r="Z184" t="s">
        <v>224</v>
      </c>
      <c r="AA184" t="s">
        <v>225</v>
      </c>
    </row>
    <row r="185" spans="1:27" ht="15" customHeight="1" x14ac:dyDescent="0.25">
      <c r="A185" s="7" t="s">
        <v>221</v>
      </c>
      <c r="B185" s="6" t="s">
        <v>107</v>
      </c>
      <c r="C185" s="6" t="s">
        <v>60</v>
      </c>
      <c r="D185" s="33" t="s">
        <v>137</v>
      </c>
      <c r="E185" s="33" t="s">
        <v>243</v>
      </c>
      <c r="F185" s="33" t="s">
        <v>243</v>
      </c>
      <c r="G185" t="s">
        <v>222</v>
      </c>
      <c r="H185">
        <v>72</v>
      </c>
      <c r="I185" s="39">
        <v>1</v>
      </c>
      <c r="J185" t="s">
        <v>63</v>
      </c>
      <c r="K185">
        <v>53</v>
      </c>
      <c r="M185">
        <v>6.7</v>
      </c>
      <c r="O185" s="35">
        <v>2.4</v>
      </c>
      <c r="P185" s="35">
        <v>8</v>
      </c>
      <c r="Q185" s="35">
        <f>79.5/53</f>
        <v>1.5</v>
      </c>
      <c r="R185" t="s">
        <v>76</v>
      </c>
      <c r="S185">
        <v>6.9</v>
      </c>
      <c r="T185" t="s">
        <v>144</v>
      </c>
      <c r="U185">
        <v>1.3</v>
      </c>
      <c r="W185">
        <v>18.71</v>
      </c>
      <c r="Y185" t="s">
        <v>223</v>
      </c>
      <c r="Z185" t="s">
        <v>224</v>
      </c>
      <c r="AA185" t="s">
        <v>225</v>
      </c>
    </row>
    <row r="186" spans="1:27" ht="15" customHeight="1" x14ac:dyDescent="0.25">
      <c r="A186" s="7" t="s">
        <v>221</v>
      </c>
      <c r="C186" s="6" t="s">
        <v>60</v>
      </c>
      <c r="D186" s="33" t="s">
        <v>137</v>
      </c>
      <c r="E186" s="33" t="s">
        <v>241</v>
      </c>
      <c r="F186" s="33" t="s">
        <v>241</v>
      </c>
      <c r="G186" t="s">
        <v>222</v>
      </c>
      <c r="H186">
        <v>72</v>
      </c>
      <c r="I186" s="39">
        <v>2</v>
      </c>
      <c r="J186" t="s">
        <v>63</v>
      </c>
      <c r="K186">
        <v>53</v>
      </c>
      <c r="M186">
        <v>6.7</v>
      </c>
      <c r="O186" s="35">
        <v>3.5</v>
      </c>
      <c r="P186" s="35">
        <v>6.7</v>
      </c>
      <c r="Q186" s="35">
        <f>79.5/53</f>
        <v>1.5</v>
      </c>
      <c r="R186" t="s">
        <v>76</v>
      </c>
      <c r="S186">
        <v>6.9</v>
      </c>
      <c r="T186" t="s">
        <v>144</v>
      </c>
      <c r="U186">
        <v>1.3</v>
      </c>
      <c r="W186">
        <v>9.2100000000000009</v>
      </c>
      <c r="Y186" t="s">
        <v>223</v>
      </c>
      <c r="AA186" t="s">
        <v>226</v>
      </c>
    </row>
    <row r="187" spans="1:27" ht="15" customHeight="1" x14ac:dyDescent="0.25">
      <c r="A187" s="7" t="s">
        <v>221</v>
      </c>
      <c r="B187" s="6" t="s">
        <v>107</v>
      </c>
      <c r="C187" s="6" t="s">
        <v>60</v>
      </c>
      <c r="D187" s="33" t="s">
        <v>137</v>
      </c>
      <c r="E187" s="33" t="s">
        <v>243</v>
      </c>
      <c r="F187" s="33" t="s">
        <v>243</v>
      </c>
      <c r="G187" t="s">
        <v>222</v>
      </c>
      <c r="H187">
        <v>72</v>
      </c>
      <c r="I187" s="39">
        <v>2</v>
      </c>
      <c r="J187" t="s">
        <v>63</v>
      </c>
      <c r="K187">
        <v>53</v>
      </c>
      <c r="M187">
        <v>6.7</v>
      </c>
      <c r="O187" s="35">
        <v>2.4</v>
      </c>
      <c r="P187" s="35">
        <v>7.9</v>
      </c>
      <c r="Q187" s="35">
        <f>79.5/53</f>
        <v>1.5</v>
      </c>
      <c r="R187" t="s">
        <v>76</v>
      </c>
      <c r="S187">
        <v>6.9</v>
      </c>
      <c r="T187" t="s">
        <v>144</v>
      </c>
      <c r="U187">
        <v>1.3</v>
      </c>
      <c r="W187">
        <v>4.25</v>
      </c>
      <c r="Y187" t="s">
        <v>223</v>
      </c>
      <c r="AA187" t="s">
        <v>226</v>
      </c>
    </row>
    <row r="188" spans="1:27" ht="15" customHeight="1" x14ac:dyDescent="0.25">
      <c r="I188" s="39"/>
      <c r="O188" s="35"/>
      <c r="P188" s="35"/>
      <c r="Q188" s="35"/>
    </row>
    <row r="189" spans="1:27" ht="15" customHeight="1" x14ac:dyDescent="0.25">
      <c r="E189" s="32"/>
      <c r="F189" s="32"/>
    </row>
    <row r="190" spans="1:27" ht="15" customHeight="1" x14ac:dyDescent="0.25"/>
    <row r="193" spans="5:6" x14ac:dyDescent="0.25">
      <c r="E193" s="32"/>
      <c r="F193" s="32"/>
    </row>
  </sheetData>
  <mergeCells count="5">
    <mergeCell ref="W1:Z1"/>
    <mergeCell ref="R1:V1"/>
    <mergeCell ref="J1:N1"/>
    <mergeCell ref="O1:Q1"/>
    <mergeCell ref="A1:I1"/>
  </mergeCells>
  <phoneticPr fontId="13" type="noConversion"/>
  <pageMargins left="0.7" right="0.7" top="0.75" bottom="0.75" header="0.3" footer="0.3"/>
  <pageSetup paperSize="8" scale="6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B63CE-A644-473A-8A37-A055E54316D7}">
  <dimension ref="A1:V251"/>
  <sheetViews>
    <sheetView zoomScaleNormal="100" workbookViewId="0">
      <pane xSplit="5" ySplit="3" topLeftCell="F202" activePane="bottomRight" state="frozen"/>
      <selection pane="topRight" activeCell="G1" sqref="G1"/>
      <selection pane="bottomLeft" activeCell="A4" sqref="A4"/>
      <selection pane="bottomRight" activeCell="G225" sqref="G225"/>
    </sheetView>
  </sheetViews>
  <sheetFormatPr defaultRowHeight="15" x14ac:dyDescent="0.25"/>
  <cols>
    <col min="1" max="1" width="31.5703125" customWidth="1"/>
    <col min="2" max="2" width="12.42578125" customWidth="1"/>
    <col min="3" max="3" width="14.28515625" customWidth="1"/>
    <col min="4" max="4" width="10.7109375" customWidth="1"/>
    <col min="6" max="6" width="20.7109375" customWidth="1"/>
    <col min="7" max="7" width="27.28515625" customWidth="1"/>
    <col min="8" max="8" width="20.140625" customWidth="1"/>
    <col min="9" max="9" width="18.7109375" customWidth="1"/>
    <col min="10" max="10" width="12" customWidth="1"/>
    <col min="12" max="12" width="22.42578125" customWidth="1"/>
  </cols>
  <sheetData>
    <row r="1" spans="1:22" ht="15.75" x14ac:dyDescent="0.25">
      <c r="A1" s="52" t="s">
        <v>227</v>
      </c>
      <c r="B1" s="52"/>
      <c r="C1" s="52"/>
      <c r="D1" s="52"/>
      <c r="E1" s="52"/>
      <c r="F1" s="51" t="s">
        <v>228</v>
      </c>
      <c r="G1" s="51"/>
      <c r="H1" s="51"/>
      <c r="I1" s="51"/>
      <c r="J1" s="53" t="s">
        <v>229</v>
      </c>
      <c r="K1" s="53"/>
      <c r="L1" s="53"/>
      <c r="M1" s="3" t="s">
        <v>32</v>
      </c>
    </row>
    <row r="2" spans="1:22" ht="45" x14ac:dyDescent="0.25">
      <c r="A2" s="30" t="s">
        <v>6</v>
      </c>
      <c r="B2" s="30" t="s">
        <v>7</v>
      </c>
      <c r="C2" s="31" t="s">
        <v>9</v>
      </c>
      <c r="D2" s="31" t="s">
        <v>230</v>
      </c>
      <c r="E2" s="31" t="s">
        <v>14</v>
      </c>
      <c r="F2" s="18" t="s">
        <v>231</v>
      </c>
      <c r="G2" s="18" t="s">
        <v>232</v>
      </c>
      <c r="H2" s="9" t="s">
        <v>233</v>
      </c>
      <c r="I2" s="31" t="s">
        <v>234</v>
      </c>
      <c r="J2" s="19" t="s">
        <v>20</v>
      </c>
      <c r="K2" s="19" t="s">
        <v>21</v>
      </c>
      <c r="L2" s="19" t="s">
        <v>22</v>
      </c>
      <c r="M2" s="3" t="s">
        <v>32</v>
      </c>
    </row>
    <row r="3" spans="1:22" ht="15.75" x14ac:dyDescent="0.25">
      <c r="A3" s="30" t="s">
        <v>33</v>
      </c>
      <c r="B3" s="30" t="s">
        <v>34</v>
      </c>
      <c r="C3" s="31" t="s">
        <v>36</v>
      </c>
      <c r="D3" s="31" t="s">
        <v>235</v>
      </c>
      <c r="E3" s="31" t="s">
        <v>41</v>
      </c>
      <c r="F3" s="18" t="s">
        <v>236</v>
      </c>
      <c r="G3" s="18" t="s">
        <v>237</v>
      </c>
      <c r="H3" s="9" t="s">
        <v>238</v>
      </c>
      <c r="I3" s="31" t="s">
        <v>239</v>
      </c>
      <c r="J3" s="19" t="s">
        <v>47</v>
      </c>
      <c r="K3" s="19" t="s">
        <v>21</v>
      </c>
      <c r="L3" s="19" t="s">
        <v>48</v>
      </c>
      <c r="M3" s="3" t="s">
        <v>32</v>
      </c>
    </row>
    <row r="4" spans="1:22" x14ac:dyDescent="0.25">
      <c r="A4" t="s">
        <v>240</v>
      </c>
      <c r="B4" t="s">
        <v>139</v>
      </c>
      <c r="C4" t="s">
        <v>137</v>
      </c>
      <c r="D4" t="s">
        <v>241</v>
      </c>
      <c r="E4">
        <v>1</v>
      </c>
      <c r="F4" s="25"/>
      <c r="J4">
        <v>5.3</v>
      </c>
      <c r="L4" s="24">
        <f>34.2*J4/100</f>
        <v>1.8126000000000002</v>
      </c>
      <c r="M4" t="s">
        <v>242</v>
      </c>
    </row>
    <row r="5" spans="1:22" x14ac:dyDescent="0.25">
      <c r="A5" t="s">
        <v>240</v>
      </c>
      <c r="B5" t="s">
        <v>139</v>
      </c>
      <c r="C5" t="s">
        <v>137</v>
      </c>
      <c r="D5" t="s">
        <v>243</v>
      </c>
      <c r="E5">
        <v>1</v>
      </c>
      <c r="F5" s="22">
        <f>J5*H5/J4</f>
        <v>67.963836477987414</v>
      </c>
      <c r="G5" s="22">
        <f>L5*H5/L4</f>
        <v>107.90749475890982</v>
      </c>
      <c r="H5" s="22">
        <f>(J4-J6)/(J5-J6)*100</f>
        <v>94.791666666666657</v>
      </c>
      <c r="J5">
        <v>3.8</v>
      </c>
      <c r="L5" s="24">
        <f>54.3*J5/100</f>
        <v>2.0633999999999997</v>
      </c>
      <c r="M5" t="s">
        <v>242</v>
      </c>
    </row>
    <row r="6" spans="1:22" x14ac:dyDescent="0.25">
      <c r="A6" t="s">
        <v>240</v>
      </c>
      <c r="B6" t="s">
        <v>139</v>
      </c>
      <c r="C6" t="s">
        <v>137</v>
      </c>
      <c r="D6" t="s">
        <v>244</v>
      </c>
      <c r="E6">
        <v>1</v>
      </c>
      <c r="F6" s="22">
        <f>J6*H6/J4</f>
        <v>32.036163522012636</v>
      </c>
      <c r="G6" s="46">
        <f>L6*H6/L4</f>
        <v>0.28101897826326871</v>
      </c>
      <c r="H6" s="22">
        <f>100-H5</f>
        <v>5.2083333333333428</v>
      </c>
      <c r="J6">
        <v>32.6</v>
      </c>
      <c r="L6" s="24">
        <f>0.3*J6/100</f>
        <v>9.7799999999999998E-2</v>
      </c>
      <c r="M6" t="s">
        <v>242</v>
      </c>
    </row>
    <row r="7" spans="1:22" x14ac:dyDescent="0.25">
      <c r="A7" t="s">
        <v>240</v>
      </c>
      <c r="B7" t="s">
        <v>139</v>
      </c>
      <c r="C7" t="s">
        <v>61</v>
      </c>
      <c r="D7" t="s">
        <v>241</v>
      </c>
      <c r="E7">
        <v>2</v>
      </c>
      <c r="F7" s="25"/>
      <c r="G7" s="25"/>
      <c r="J7">
        <v>7.9</v>
      </c>
      <c r="L7" s="24">
        <f>19.3*J7/100</f>
        <v>1.5246999999999999</v>
      </c>
      <c r="M7" t="s">
        <v>245</v>
      </c>
    </row>
    <row r="8" spans="1:22" x14ac:dyDescent="0.25">
      <c r="A8" t="s">
        <v>240</v>
      </c>
      <c r="B8" t="s">
        <v>139</v>
      </c>
      <c r="C8" t="s">
        <v>61</v>
      </c>
      <c r="D8" t="s">
        <v>243</v>
      </c>
      <c r="E8">
        <v>2</v>
      </c>
      <c r="F8" s="22">
        <f>J8*H8/J7</f>
        <v>52.90613639350007</v>
      </c>
      <c r="G8" s="22">
        <f>L8*H8/L7</f>
        <v>83.608143005272126</v>
      </c>
      <c r="H8" s="22">
        <f>(J7-J9)/(J8-J9)*100</f>
        <v>88.927335640138409</v>
      </c>
      <c r="J8">
        <v>4.7</v>
      </c>
      <c r="L8" s="24">
        <f>30.5*J8/100</f>
        <v>1.4335</v>
      </c>
      <c r="M8" t="s">
        <v>245</v>
      </c>
    </row>
    <row r="9" spans="1:22" x14ac:dyDescent="0.25">
      <c r="A9" t="s">
        <v>240</v>
      </c>
      <c r="B9" t="s">
        <v>139</v>
      </c>
      <c r="C9" t="s">
        <v>61</v>
      </c>
      <c r="D9" t="s">
        <v>244</v>
      </c>
      <c r="E9">
        <v>2</v>
      </c>
      <c r="F9" s="22">
        <f>J9*H9/J7</f>
        <v>47.09386360649993</v>
      </c>
      <c r="G9" s="46">
        <f>L9*H9/L7</f>
        <v>0.24400965599222768</v>
      </c>
      <c r="H9" s="22">
        <f>100-H8</f>
        <v>11.072664359861591</v>
      </c>
      <c r="J9">
        <v>33.6</v>
      </c>
      <c r="L9" s="24">
        <f>0.1*J9/100</f>
        <v>3.3600000000000005E-2</v>
      </c>
      <c r="M9" t="s">
        <v>245</v>
      </c>
    </row>
    <row r="10" spans="1:22" x14ac:dyDescent="0.25">
      <c r="A10" t="s">
        <v>240</v>
      </c>
      <c r="B10" t="s">
        <v>139</v>
      </c>
      <c r="C10" t="s">
        <v>137</v>
      </c>
      <c r="D10" t="s">
        <v>241</v>
      </c>
      <c r="E10">
        <v>3</v>
      </c>
      <c r="F10" s="25"/>
      <c r="G10" s="25"/>
      <c r="H10" s="25"/>
      <c r="J10">
        <v>8</v>
      </c>
      <c r="L10" s="24">
        <f>27.9*J10/100</f>
        <v>2.2319999999999998</v>
      </c>
      <c r="M10" t="s">
        <v>246</v>
      </c>
      <c r="V10" s="25"/>
    </row>
    <row r="11" spans="1:22" x14ac:dyDescent="0.25">
      <c r="A11" t="s">
        <v>240</v>
      </c>
      <c r="B11" t="s">
        <v>139</v>
      </c>
      <c r="C11" t="s">
        <v>137</v>
      </c>
      <c r="D11" t="s">
        <v>243</v>
      </c>
      <c r="E11">
        <v>3</v>
      </c>
      <c r="F11" s="22">
        <f>J11*H11/J10</f>
        <v>41.586021505376344</v>
      </c>
      <c r="G11" s="22">
        <f>L11*H11/L10</f>
        <v>84.960689097005442</v>
      </c>
      <c r="H11" s="22">
        <f>(J10-J12)/(J11-J12)*100</f>
        <v>85.304659498207883</v>
      </c>
      <c r="J11">
        <v>3.9</v>
      </c>
      <c r="L11" s="24">
        <f>57*J11/100</f>
        <v>2.2229999999999999</v>
      </c>
      <c r="M11" t="s">
        <v>246</v>
      </c>
    </row>
    <row r="12" spans="1:22" x14ac:dyDescent="0.25">
      <c r="A12" t="s">
        <v>240</v>
      </c>
      <c r="B12" t="s">
        <v>139</v>
      </c>
      <c r="C12" t="s">
        <v>137</v>
      </c>
      <c r="D12" t="s">
        <v>244</v>
      </c>
      <c r="E12">
        <v>3</v>
      </c>
      <c r="F12" s="22">
        <f>J12*H12/J10</f>
        <v>58.413978494623663</v>
      </c>
      <c r="G12" s="22">
        <f>L12*H12/L10</f>
        <v>1.0468454927351911</v>
      </c>
      <c r="H12" s="22">
        <f>100-H11</f>
        <v>14.695340501792117</v>
      </c>
      <c r="J12">
        <v>31.8</v>
      </c>
      <c r="L12" s="24">
        <f>0.5*J12/100</f>
        <v>0.159</v>
      </c>
      <c r="M12" t="s">
        <v>246</v>
      </c>
    </row>
    <row r="13" spans="1:22" x14ac:dyDescent="0.25">
      <c r="A13" t="s">
        <v>240</v>
      </c>
      <c r="B13" t="s">
        <v>139</v>
      </c>
      <c r="C13" t="s">
        <v>137</v>
      </c>
      <c r="D13" t="s">
        <v>241</v>
      </c>
      <c r="E13">
        <v>4</v>
      </c>
      <c r="F13" s="25"/>
      <c r="G13" s="25"/>
      <c r="H13" s="25"/>
      <c r="J13">
        <v>5</v>
      </c>
      <c r="L13" s="24">
        <f>37.2*J13/100</f>
        <v>1.86</v>
      </c>
      <c r="M13" t="s">
        <v>247</v>
      </c>
    </row>
    <row r="14" spans="1:22" x14ac:dyDescent="0.25">
      <c r="A14" t="s">
        <v>240</v>
      </c>
      <c r="B14" t="s">
        <v>139</v>
      </c>
      <c r="C14" t="s">
        <v>137</v>
      </c>
      <c r="D14" t="s">
        <v>243</v>
      </c>
      <c r="E14">
        <v>4</v>
      </c>
      <c r="F14" s="22">
        <f>J14*H14/J13</f>
        <v>58.88000000000001</v>
      </c>
      <c r="G14" s="22">
        <f>L14*H14/L13</f>
        <v>8.9586236559139767</v>
      </c>
      <c r="H14" s="22">
        <f>(J13-J15)/(J14-J15)*100</f>
        <v>92</v>
      </c>
      <c r="J14">
        <v>3.2</v>
      </c>
      <c r="L14" s="24">
        <f>56.6*J14/1000</f>
        <v>0.18112</v>
      </c>
      <c r="M14" t="s">
        <v>247</v>
      </c>
    </row>
    <row r="15" spans="1:22" x14ac:dyDescent="0.25">
      <c r="A15" t="s">
        <v>240</v>
      </c>
      <c r="B15" t="s">
        <v>139</v>
      </c>
      <c r="C15" t="s">
        <v>137</v>
      </c>
      <c r="D15" t="s">
        <v>244</v>
      </c>
      <c r="E15">
        <v>4</v>
      </c>
      <c r="F15" s="22">
        <f>J15*H15/J13</f>
        <v>41.12</v>
      </c>
      <c r="G15" s="46">
        <f>L15*H15/L13</f>
        <v>0.33161290322580639</v>
      </c>
      <c r="H15" s="22">
        <f>100-H14</f>
        <v>8</v>
      </c>
      <c r="J15">
        <v>25.7</v>
      </c>
      <c r="L15" s="24">
        <f>0.3*J15/100</f>
        <v>7.7099999999999988E-2</v>
      </c>
      <c r="M15" t="s">
        <v>247</v>
      </c>
    </row>
    <row r="16" spans="1:22" x14ac:dyDescent="0.25">
      <c r="A16" t="s">
        <v>240</v>
      </c>
      <c r="B16" t="s">
        <v>139</v>
      </c>
      <c r="C16" t="s">
        <v>137</v>
      </c>
      <c r="D16" t="s">
        <v>241</v>
      </c>
      <c r="E16">
        <v>5</v>
      </c>
      <c r="F16" s="25"/>
      <c r="G16" s="25"/>
      <c r="H16" s="25"/>
      <c r="J16">
        <v>4.9000000000000004</v>
      </c>
      <c r="L16" s="24">
        <f>49.5*J16/100</f>
        <v>2.4255</v>
      </c>
      <c r="M16" t="s">
        <v>248</v>
      </c>
    </row>
    <row r="17" spans="1:13" x14ac:dyDescent="0.25">
      <c r="A17" t="s">
        <v>240</v>
      </c>
      <c r="B17" t="s">
        <v>139</v>
      </c>
      <c r="C17" t="s">
        <v>137</v>
      </c>
      <c r="D17" t="s">
        <v>243</v>
      </c>
      <c r="E17">
        <v>5</v>
      </c>
      <c r="F17" s="22">
        <f>J17*H17/J16</f>
        <v>63.202511773940337</v>
      </c>
      <c r="G17" s="22">
        <f>L17*H17/L16</f>
        <v>108.27420198848769</v>
      </c>
      <c r="H17" s="22">
        <f>(J16-J18)/(J17-J18)*100</f>
        <v>93.84615384615384</v>
      </c>
      <c r="J17">
        <v>3.3</v>
      </c>
      <c r="L17" s="24">
        <f>84.8*J17/100</f>
        <v>2.7983999999999996</v>
      </c>
      <c r="M17" t="s">
        <v>248</v>
      </c>
    </row>
    <row r="18" spans="1:13" x14ac:dyDescent="0.25">
      <c r="A18" t="s">
        <v>240</v>
      </c>
      <c r="B18" t="s">
        <v>139</v>
      </c>
      <c r="C18" t="s">
        <v>137</v>
      </c>
      <c r="D18" t="s">
        <v>244</v>
      </c>
      <c r="E18">
        <v>5</v>
      </c>
      <c r="F18" s="22">
        <f>J18*H18/J16</f>
        <v>36.797488226059691</v>
      </c>
      <c r="G18" s="46">
        <f>L18*H18/L16</f>
        <v>0.44603016031587506</v>
      </c>
      <c r="H18" s="22">
        <f>100-H17</f>
        <v>6.1538461538461604</v>
      </c>
      <c r="J18">
        <v>29.3</v>
      </c>
      <c r="L18" s="24">
        <f>0.6*J18/100</f>
        <v>0.17579999999999998</v>
      </c>
      <c r="M18" t="s">
        <v>248</v>
      </c>
    </row>
    <row r="19" spans="1:13" x14ac:dyDescent="0.25">
      <c r="A19" t="s">
        <v>240</v>
      </c>
      <c r="B19" t="s">
        <v>139</v>
      </c>
      <c r="C19" t="s">
        <v>137</v>
      </c>
      <c r="D19" t="s">
        <v>241</v>
      </c>
      <c r="E19">
        <v>6</v>
      </c>
      <c r="F19" s="25"/>
      <c r="G19" s="25"/>
      <c r="H19" s="25"/>
      <c r="J19">
        <v>4.9000000000000004</v>
      </c>
      <c r="L19" s="24">
        <f>31.4*J19/100</f>
        <v>1.5386000000000002</v>
      </c>
      <c r="M19" t="s">
        <v>249</v>
      </c>
    </row>
    <row r="20" spans="1:13" x14ac:dyDescent="0.25">
      <c r="A20" t="s">
        <v>240</v>
      </c>
      <c r="B20" t="s">
        <v>139</v>
      </c>
      <c r="C20" t="s">
        <v>137</v>
      </c>
      <c r="D20" t="s">
        <v>243</v>
      </c>
      <c r="E20">
        <v>6</v>
      </c>
      <c r="F20" s="22">
        <f>J20*H20/J19</f>
        <v>63.498542274052468</v>
      </c>
      <c r="G20" s="22">
        <f>L20*H20/L19</f>
        <v>85.945479192586944</v>
      </c>
      <c r="H20" s="22">
        <f>(J19-J21)/(J20-J21)*100</f>
        <v>94.285714285714278</v>
      </c>
      <c r="J20">
        <v>3.3</v>
      </c>
      <c r="L20" s="24">
        <f>42.5*J20/100</f>
        <v>1.4025000000000001</v>
      </c>
      <c r="M20" t="s">
        <v>249</v>
      </c>
    </row>
    <row r="21" spans="1:13" x14ac:dyDescent="0.25">
      <c r="A21" t="s">
        <v>240</v>
      </c>
      <c r="B21" t="s">
        <v>139</v>
      </c>
      <c r="C21" t="s">
        <v>137</v>
      </c>
      <c r="D21" t="s">
        <v>244</v>
      </c>
      <c r="E21">
        <v>6</v>
      </c>
      <c r="F21" s="22">
        <f>J21*H21/J19</f>
        <v>36.501457725947574</v>
      </c>
      <c r="G21" s="46">
        <f>L21*H21/L19</f>
        <v>0.23249336131176798</v>
      </c>
      <c r="H21" s="22">
        <f>100-H20</f>
        <v>5.7142857142857224</v>
      </c>
      <c r="J21">
        <v>31.3</v>
      </c>
      <c r="L21" s="24">
        <f>0.2*J21/100</f>
        <v>6.2600000000000003E-2</v>
      </c>
      <c r="M21" t="s">
        <v>249</v>
      </c>
    </row>
    <row r="22" spans="1:13" x14ac:dyDescent="0.25">
      <c r="A22" t="s">
        <v>240</v>
      </c>
      <c r="B22" t="s">
        <v>139</v>
      </c>
      <c r="C22" t="s">
        <v>137</v>
      </c>
      <c r="D22" t="s">
        <v>241</v>
      </c>
      <c r="E22">
        <v>7</v>
      </c>
      <c r="F22" s="25"/>
      <c r="G22" s="25"/>
      <c r="H22" s="25"/>
      <c r="J22">
        <v>5.9</v>
      </c>
      <c r="L22" s="24">
        <f>40.2*J22/100</f>
        <v>2.3718000000000004</v>
      </c>
      <c r="M22" t="s">
        <v>250</v>
      </c>
    </row>
    <row r="23" spans="1:13" x14ac:dyDescent="0.25">
      <c r="A23" t="s">
        <v>240</v>
      </c>
      <c r="B23" t="s">
        <v>139</v>
      </c>
      <c r="C23" t="s">
        <v>137</v>
      </c>
      <c r="D23" t="s">
        <v>243</v>
      </c>
      <c r="E23">
        <v>7</v>
      </c>
      <c r="F23" s="22">
        <f>J23*H23/J22</f>
        <v>60.499856363114041</v>
      </c>
      <c r="G23" s="22">
        <f>L23*H23/L22</f>
        <v>90.749784544671058</v>
      </c>
      <c r="H23" s="22">
        <f>(J22-J24)/(J23-J24)*100</f>
        <v>91.525423728813564</v>
      </c>
      <c r="J23">
        <v>3.9</v>
      </c>
      <c r="L23" s="24">
        <f>60.3*J23/100</f>
        <v>2.3516999999999997</v>
      </c>
      <c r="M23" t="s">
        <v>250</v>
      </c>
    </row>
    <row r="24" spans="1:13" x14ac:dyDescent="0.25">
      <c r="A24" t="s">
        <v>240</v>
      </c>
      <c r="B24" t="s">
        <v>139</v>
      </c>
      <c r="C24" t="s">
        <v>137</v>
      </c>
      <c r="D24" t="s">
        <v>244</v>
      </c>
      <c r="E24">
        <v>7</v>
      </c>
      <c r="F24" s="22">
        <f>J24*H24/J22</f>
        <v>39.50014363688593</v>
      </c>
      <c r="G24" s="46">
        <f>L24*H24/L22</f>
        <v>0.29477719132004421</v>
      </c>
      <c r="H24" s="22">
        <f>100-H23</f>
        <v>8.4745762711864359</v>
      </c>
      <c r="J24">
        <v>27.5</v>
      </c>
      <c r="L24" s="24">
        <f>0.3*J24/100</f>
        <v>8.2500000000000004E-2</v>
      </c>
      <c r="M24" t="s">
        <v>250</v>
      </c>
    </row>
    <row r="25" spans="1:13" x14ac:dyDescent="0.25">
      <c r="A25" t="s">
        <v>240</v>
      </c>
      <c r="B25" t="s">
        <v>117</v>
      </c>
      <c r="C25" t="s">
        <v>137</v>
      </c>
      <c r="D25" t="s">
        <v>241</v>
      </c>
      <c r="E25">
        <v>8</v>
      </c>
      <c r="F25" s="25"/>
      <c r="G25" s="25"/>
      <c r="H25" s="25"/>
      <c r="J25">
        <v>4.5999999999999996</v>
      </c>
      <c r="L25" s="24">
        <f>48.2*J25/100</f>
        <v>2.2172000000000001</v>
      </c>
      <c r="M25" t="s">
        <v>251</v>
      </c>
    </row>
    <row r="26" spans="1:13" x14ac:dyDescent="0.25">
      <c r="A26" t="s">
        <v>240</v>
      </c>
      <c r="B26" t="s">
        <v>117</v>
      </c>
      <c r="C26" t="s">
        <v>137</v>
      </c>
      <c r="D26" t="s">
        <v>243</v>
      </c>
      <c r="E26">
        <v>8</v>
      </c>
      <c r="F26" s="22">
        <f>J26*H26/J25</f>
        <v>56.451612903225801</v>
      </c>
      <c r="G26" s="22">
        <f>L26*H26/L25</f>
        <v>82.100789720251612</v>
      </c>
      <c r="H26" s="22">
        <f>(J25-J27)/(J26-J27)*100</f>
        <v>92.741935483870961</v>
      </c>
      <c r="J26">
        <v>2.8</v>
      </c>
      <c r="L26" s="24">
        <f>70.1*J26/100</f>
        <v>1.9627999999999997</v>
      </c>
      <c r="M26" t="s">
        <v>251</v>
      </c>
    </row>
    <row r="27" spans="1:13" x14ac:dyDescent="0.25">
      <c r="A27" t="s">
        <v>240</v>
      </c>
      <c r="B27" t="s">
        <v>117</v>
      </c>
      <c r="C27" t="s">
        <v>137</v>
      </c>
      <c r="D27" t="s">
        <v>244</v>
      </c>
      <c r="E27">
        <v>8</v>
      </c>
      <c r="F27" s="22">
        <f>J27*H27/J25</f>
        <v>43.548387096774192</v>
      </c>
      <c r="G27" s="22">
        <f>L27*H27/L25</f>
        <v>0.54209610493909777</v>
      </c>
      <c r="H27" s="22">
        <f>(J25-J26)/(J27-J26)*100</f>
        <v>7.2580645161290311</v>
      </c>
      <c r="J27">
        <v>27.6</v>
      </c>
      <c r="L27" s="24">
        <f>0.6*J27/100</f>
        <v>0.1656</v>
      </c>
      <c r="M27" t="s">
        <v>251</v>
      </c>
    </row>
    <row r="28" spans="1:13" x14ac:dyDescent="0.25">
      <c r="A28" t="s">
        <v>240</v>
      </c>
      <c r="B28" t="s">
        <v>139</v>
      </c>
      <c r="C28" t="s">
        <v>61</v>
      </c>
      <c r="D28" t="s">
        <v>241</v>
      </c>
      <c r="E28">
        <v>9</v>
      </c>
      <c r="F28" s="25"/>
      <c r="G28" s="25"/>
      <c r="H28" s="25"/>
      <c r="J28">
        <v>9.6999999999999993</v>
      </c>
      <c r="L28" s="24">
        <f>19.5*J28/100</f>
        <v>1.8914999999999997</v>
      </c>
      <c r="M28" t="s">
        <v>252</v>
      </c>
    </row>
    <row r="29" spans="1:13" x14ac:dyDescent="0.25">
      <c r="A29" t="s">
        <v>240</v>
      </c>
      <c r="B29" t="s">
        <v>139</v>
      </c>
      <c r="C29" t="s">
        <v>61</v>
      </c>
      <c r="D29" t="s">
        <v>243</v>
      </c>
      <c r="E29">
        <v>9</v>
      </c>
      <c r="F29" s="22">
        <f>J29*H29/J28</f>
        <v>52.343466947728999</v>
      </c>
      <c r="G29" s="22">
        <f>L29*H29/L28</f>
        <v>71.133429441785566</v>
      </c>
      <c r="H29" s="22">
        <f>(J28-J30)/(J29-J30)*100</f>
        <v>87.539936102236425</v>
      </c>
      <c r="J29">
        <v>5.8</v>
      </c>
      <c r="L29" s="24">
        <f>26.5*J29/100</f>
        <v>1.5369999999999999</v>
      </c>
      <c r="M29" t="s">
        <v>252</v>
      </c>
    </row>
    <row r="30" spans="1:13" x14ac:dyDescent="0.25">
      <c r="A30" t="s">
        <v>240</v>
      </c>
      <c r="B30" t="s">
        <v>139</v>
      </c>
      <c r="C30" t="s">
        <v>61</v>
      </c>
      <c r="D30" t="s">
        <v>244</v>
      </c>
      <c r="E30">
        <v>9</v>
      </c>
      <c r="F30" s="22">
        <f>J30*H30/J28</f>
        <v>47.656533052271008</v>
      </c>
      <c r="G30" s="46">
        <f>L30*H30/L28</f>
        <v>0.17107473403379339</v>
      </c>
      <c r="H30" s="22">
        <f>(J28-J29)/(J30-J29)*100</f>
        <v>12.460063897763577</v>
      </c>
      <c r="J30">
        <v>37.1</v>
      </c>
      <c r="L30" s="24">
        <f>0.07*J30/100</f>
        <v>2.5970000000000003E-2</v>
      </c>
      <c r="M30" t="s">
        <v>252</v>
      </c>
    </row>
    <row r="31" spans="1:13" x14ac:dyDescent="0.25">
      <c r="A31" t="s">
        <v>59</v>
      </c>
      <c r="B31" t="s">
        <v>139</v>
      </c>
      <c r="C31" t="s">
        <v>61</v>
      </c>
      <c r="D31" t="s">
        <v>241</v>
      </c>
      <c r="E31">
        <v>1</v>
      </c>
      <c r="F31" s="36"/>
      <c r="G31" s="36"/>
      <c r="H31" s="36"/>
      <c r="I31" s="34"/>
      <c r="J31" s="35">
        <v>9.24</v>
      </c>
      <c r="K31" s="35"/>
      <c r="L31" s="35">
        <v>1.57</v>
      </c>
    </row>
    <row r="32" spans="1:13" x14ac:dyDescent="0.25">
      <c r="A32" t="s">
        <v>59</v>
      </c>
      <c r="B32" t="s">
        <v>139</v>
      </c>
      <c r="C32" t="s">
        <v>61</v>
      </c>
      <c r="D32" t="s">
        <v>243</v>
      </c>
      <c r="E32">
        <v>1</v>
      </c>
      <c r="F32" s="38">
        <f>J32*H32/J31</f>
        <v>50.497098092288468</v>
      </c>
      <c r="G32" s="37">
        <f>L32*H32/L31</f>
        <v>73.676014449280714</v>
      </c>
      <c r="H32" s="38">
        <f>(J31-J33)/(J32-J33)*100</f>
        <v>78.156312625250493</v>
      </c>
      <c r="I32" s="34"/>
      <c r="J32" s="35">
        <v>5.97</v>
      </c>
      <c r="K32" s="35"/>
      <c r="L32" s="35">
        <v>1.48</v>
      </c>
    </row>
    <row r="33" spans="1:14" x14ac:dyDescent="0.25">
      <c r="A33" t="s">
        <v>59</v>
      </c>
      <c r="B33" t="s">
        <v>139</v>
      </c>
      <c r="C33" t="s">
        <v>61</v>
      </c>
      <c r="D33" t="s">
        <v>244</v>
      </c>
      <c r="E33">
        <v>1</v>
      </c>
      <c r="F33" s="38">
        <f>J33*H33/J31</f>
        <v>49.502901907711546</v>
      </c>
      <c r="G33" s="38">
        <f>L33*H33/L31</f>
        <v>12.939254304787926</v>
      </c>
      <c r="H33" s="38">
        <f>100-H32</f>
        <v>21.843687374749507</v>
      </c>
      <c r="I33" s="34"/>
      <c r="J33" s="35">
        <v>20.94</v>
      </c>
      <c r="K33" s="35"/>
      <c r="L33" s="35">
        <v>0.93</v>
      </c>
      <c r="M33" s="35"/>
      <c r="N33" s="35"/>
    </row>
    <row r="34" spans="1:14" x14ac:dyDescent="0.25">
      <c r="A34" t="s">
        <v>69</v>
      </c>
      <c r="B34" t="s">
        <v>139</v>
      </c>
      <c r="C34" t="s">
        <v>61</v>
      </c>
      <c r="D34" t="s">
        <v>241</v>
      </c>
      <c r="E34">
        <v>1</v>
      </c>
      <c r="F34" s="36"/>
      <c r="G34" s="36"/>
      <c r="H34" s="36"/>
      <c r="I34" s="34"/>
      <c r="J34" s="35">
        <f>'emission data'!O7</f>
        <v>9</v>
      </c>
      <c r="K34" s="35">
        <f>'emission data'!P7</f>
        <v>6.8</v>
      </c>
      <c r="L34" s="35">
        <f>'emission data'!Q7</f>
        <v>1.9</v>
      </c>
    </row>
    <row r="35" spans="1:14" x14ac:dyDescent="0.25">
      <c r="A35" t="s">
        <v>69</v>
      </c>
      <c r="B35" t="s">
        <v>139</v>
      </c>
      <c r="C35" t="s">
        <v>61</v>
      </c>
      <c r="D35" t="s">
        <v>243</v>
      </c>
      <c r="E35">
        <v>1</v>
      </c>
      <c r="F35" s="37">
        <f>J35*H35/J34</f>
        <v>43.713450292397653</v>
      </c>
      <c r="G35" s="37">
        <f>L35*H35/L34</f>
        <v>90.02770083102493</v>
      </c>
      <c r="H35" s="37">
        <f>(J34-35)/(J35-35)*100</f>
        <v>85.526315789473685</v>
      </c>
      <c r="I35" s="34"/>
      <c r="J35" s="35">
        <f>'emission data'!O8</f>
        <v>4.5999999999999996</v>
      </c>
      <c r="K35" s="35">
        <f>'emission data'!P8</f>
        <v>7.1</v>
      </c>
      <c r="L35" s="35">
        <f>'emission data'!Q8</f>
        <v>2</v>
      </c>
    </row>
    <row r="36" spans="1:14" x14ac:dyDescent="0.25">
      <c r="A36" t="s">
        <v>253</v>
      </c>
      <c r="B36" t="s">
        <v>139</v>
      </c>
      <c r="C36" t="s">
        <v>137</v>
      </c>
      <c r="D36" t="s">
        <v>241</v>
      </c>
      <c r="E36">
        <v>1</v>
      </c>
      <c r="I36" s="34"/>
      <c r="J36">
        <f>(6.97+6.64)/2</f>
        <v>6.8049999999999997</v>
      </c>
      <c r="K36">
        <f>(7.5+7.9)/2</f>
        <v>7.7</v>
      </c>
      <c r="L36">
        <f>(51+50)/2</f>
        <v>50.5</v>
      </c>
      <c r="M36" s="35"/>
      <c r="N36" s="35"/>
    </row>
    <row r="37" spans="1:14" x14ac:dyDescent="0.25">
      <c r="A37" t="s">
        <v>253</v>
      </c>
      <c r="B37" t="s">
        <v>139</v>
      </c>
      <c r="C37" t="s">
        <v>137</v>
      </c>
      <c r="D37" t="s">
        <v>243</v>
      </c>
      <c r="E37">
        <v>1</v>
      </c>
      <c r="F37">
        <v>65</v>
      </c>
      <c r="G37">
        <v>85</v>
      </c>
      <c r="H37">
        <v>92</v>
      </c>
      <c r="I37" s="33" t="s">
        <v>254</v>
      </c>
      <c r="J37">
        <f>(4.89+4.8)/2</f>
        <v>4.8449999999999998</v>
      </c>
      <c r="K37">
        <f>(8+7.8)/2</f>
        <v>7.9</v>
      </c>
      <c r="L37">
        <f>(53+53)/2</f>
        <v>53</v>
      </c>
      <c r="M37" s="35"/>
      <c r="N37" s="35"/>
    </row>
    <row r="38" spans="1:14" x14ac:dyDescent="0.25">
      <c r="A38" t="s">
        <v>253</v>
      </c>
      <c r="B38" t="s">
        <v>139</v>
      </c>
      <c r="C38" t="s">
        <v>137</v>
      </c>
      <c r="D38" t="s">
        <v>244</v>
      </c>
      <c r="E38">
        <v>1</v>
      </c>
      <c r="F38">
        <v>40</v>
      </c>
      <c r="G38">
        <v>10</v>
      </c>
      <c r="H38">
        <v>8</v>
      </c>
      <c r="I38" s="33" t="s">
        <v>254</v>
      </c>
      <c r="J38">
        <f>(34.6+32.7)/2</f>
        <v>33.650000000000006</v>
      </c>
      <c r="K38">
        <f>(9+8.9)/2</f>
        <v>8.9499999999999993</v>
      </c>
      <c r="L38">
        <f>(29+41)/2</f>
        <v>35</v>
      </c>
      <c r="M38" s="35"/>
      <c r="N38" s="35"/>
    </row>
    <row r="39" spans="1:14" x14ac:dyDescent="0.25">
      <c r="A39" t="s">
        <v>255</v>
      </c>
      <c r="B39" t="s">
        <v>139</v>
      </c>
      <c r="C39" t="s">
        <v>137</v>
      </c>
      <c r="D39" t="s">
        <v>241</v>
      </c>
      <c r="E39">
        <v>1</v>
      </c>
      <c r="I39" s="33"/>
      <c r="M39" s="35"/>
      <c r="N39" s="35"/>
    </row>
    <row r="40" spans="1:14" x14ac:dyDescent="0.25">
      <c r="A40" t="s">
        <v>255</v>
      </c>
      <c r="B40" t="s">
        <v>139</v>
      </c>
      <c r="C40" t="s">
        <v>137</v>
      </c>
      <c r="D40" t="s">
        <v>243</v>
      </c>
      <c r="E40">
        <v>1</v>
      </c>
      <c r="F40">
        <v>38.200000000000003</v>
      </c>
      <c r="H40">
        <v>79.2</v>
      </c>
      <c r="I40" s="33"/>
      <c r="M40" s="33" t="s">
        <v>256</v>
      </c>
      <c r="N40" s="35"/>
    </row>
    <row r="41" spans="1:14" x14ac:dyDescent="0.25">
      <c r="A41" t="s">
        <v>255</v>
      </c>
      <c r="B41" t="s">
        <v>139</v>
      </c>
      <c r="C41" t="s">
        <v>137</v>
      </c>
      <c r="D41" t="s">
        <v>244</v>
      </c>
      <c r="E41">
        <v>1</v>
      </c>
      <c r="F41">
        <v>61.8</v>
      </c>
      <c r="H41">
        <v>20.8</v>
      </c>
      <c r="I41" s="33"/>
      <c r="M41" s="33" t="s">
        <v>256</v>
      </c>
      <c r="N41" s="35"/>
    </row>
    <row r="42" spans="1:14" x14ac:dyDescent="0.25">
      <c r="A42" t="s">
        <v>73</v>
      </c>
      <c r="B42" t="s">
        <v>139</v>
      </c>
      <c r="C42" t="s">
        <v>74</v>
      </c>
      <c r="D42" t="s">
        <v>241</v>
      </c>
      <c r="E42">
        <v>1</v>
      </c>
      <c r="F42" s="36"/>
      <c r="G42" s="36"/>
      <c r="H42" s="36"/>
      <c r="I42" s="34"/>
      <c r="J42">
        <f>'emission data'!O9</f>
        <v>3.5</v>
      </c>
      <c r="K42">
        <f>'emission data'!P9</f>
        <v>7.8</v>
      </c>
      <c r="L42">
        <f>'emission data'!Q9</f>
        <v>3</v>
      </c>
      <c r="M42" s="35"/>
      <c r="N42" s="35"/>
    </row>
    <row r="43" spans="1:14" x14ac:dyDescent="0.25">
      <c r="A43" t="s">
        <v>73</v>
      </c>
      <c r="B43" t="s">
        <v>139</v>
      </c>
      <c r="C43" t="s">
        <v>74</v>
      </c>
      <c r="D43" t="s">
        <v>243</v>
      </c>
      <c r="E43">
        <v>1</v>
      </c>
      <c r="F43" s="38">
        <f>J43*H43/J42</f>
        <v>64.945054945054935</v>
      </c>
      <c r="G43" s="38">
        <f>L43*H43/L42</f>
        <v>94.711538461538453</v>
      </c>
      <c r="H43" s="38">
        <f>(J42-J44)/(J43-J44)*100</f>
        <v>94.711538461538453</v>
      </c>
      <c r="I43" s="34" t="s">
        <v>257</v>
      </c>
      <c r="J43">
        <f>'emission data'!O10</f>
        <v>2.4</v>
      </c>
      <c r="K43">
        <f>'emission data'!P10</f>
        <v>8</v>
      </c>
      <c r="L43">
        <f>'emission data'!Q10</f>
        <v>3</v>
      </c>
    </row>
    <row r="44" spans="1:14" x14ac:dyDescent="0.25">
      <c r="A44" t="s">
        <v>73</v>
      </c>
      <c r="B44" t="s">
        <v>139</v>
      </c>
      <c r="C44" t="s">
        <v>74</v>
      </c>
      <c r="D44" t="s">
        <v>244</v>
      </c>
      <c r="E44">
        <v>1</v>
      </c>
      <c r="F44" s="38">
        <f>J44*H44/J42</f>
        <v>35.054945054945115</v>
      </c>
      <c r="G44" s="38">
        <f>L44*H44/L42</f>
        <v>5.8173076923077014</v>
      </c>
      <c r="H44" s="37">
        <f>100-H43</f>
        <v>5.2884615384615472</v>
      </c>
      <c r="I44" s="34" t="s">
        <v>257</v>
      </c>
      <c r="J44">
        <f>'emission data'!O11</f>
        <v>23.2</v>
      </c>
      <c r="K44">
        <f>'emission data'!P11</f>
        <v>8.4</v>
      </c>
      <c r="L44">
        <f>'emission data'!Q11</f>
        <v>3.3</v>
      </c>
    </row>
    <row r="45" spans="1:14" x14ac:dyDescent="0.25">
      <c r="A45" t="s">
        <v>73</v>
      </c>
      <c r="B45" t="s">
        <v>139</v>
      </c>
      <c r="C45" t="s">
        <v>74</v>
      </c>
      <c r="D45" t="s">
        <v>241</v>
      </c>
      <c r="E45">
        <v>2</v>
      </c>
      <c r="F45" s="36"/>
      <c r="G45" s="36"/>
      <c r="H45" s="36"/>
      <c r="I45" s="34"/>
      <c r="J45">
        <f>'emission data'!O12</f>
        <v>3.5</v>
      </c>
      <c r="K45">
        <f>'emission data'!P12</f>
        <v>7.8</v>
      </c>
      <c r="L45">
        <f>'emission data'!Q12</f>
        <v>2</v>
      </c>
      <c r="M45" s="35"/>
      <c r="N45" s="35"/>
    </row>
    <row r="46" spans="1:14" x14ac:dyDescent="0.25">
      <c r="A46" t="s">
        <v>73</v>
      </c>
      <c r="B46" t="s">
        <v>139</v>
      </c>
      <c r="C46" t="s">
        <v>74</v>
      </c>
      <c r="D46" t="s">
        <v>243</v>
      </c>
      <c r="E46">
        <v>2</v>
      </c>
      <c r="F46" s="38">
        <f>J46*H46/J45</f>
        <v>56.865671641791053</v>
      </c>
      <c r="G46" s="38">
        <f>L46*H46/L45</f>
        <v>99.514925373134346</v>
      </c>
      <c r="H46" s="38">
        <f>(J45-J47)/(J46-J47)*100</f>
        <v>94.776119402985088</v>
      </c>
      <c r="I46" s="34" t="s">
        <v>257</v>
      </c>
      <c r="J46">
        <f>'emission data'!O13</f>
        <v>2.1</v>
      </c>
      <c r="K46">
        <f>'emission data'!P13</f>
        <v>7.8</v>
      </c>
      <c r="L46">
        <f>'emission data'!Q13</f>
        <v>2.1</v>
      </c>
      <c r="M46" s="35"/>
      <c r="N46" s="35"/>
    </row>
    <row r="47" spans="1:14" x14ac:dyDescent="0.25">
      <c r="A47" t="s">
        <v>73</v>
      </c>
      <c r="B47" t="s">
        <v>139</v>
      </c>
      <c r="C47" t="s">
        <v>74</v>
      </c>
      <c r="D47" t="s">
        <v>244</v>
      </c>
      <c r="E47">
        <v>2</v>
      </c>
      <c r="F47" s="38">
        <f>J47*H47/J45</f>
        <v>43.13432835820884</v>
      </c>
      <c r="G47" s="38">
        <f>L47*H47/L45</f>
        <v>6.5298507462686395</v>
      </c>
      <c r="H47" s="38">
        <f>100-H46</f>
        <v>5.2238805970149116</v>
      </c>
      <c r="I47" s="34" t="s">
        <v>257</v>
      </c>
      <c r="J47">
        <f>'emission data'!O14</f>
        <v>28.9</v>
      </c>
      <c r="K47">
        <f>'emission data'!P14</f>
        <v>8.1999999999999993</v>
      </c>
      <c r="L47">
        <f>'emission data'!Q14</f>
        <v>2.5</v>
      </c>
    </row>
    <row r="48" spans="1:14" x14ac:dyDescent="0.25">
      <c r="A48" t="s">
        <v>80</v>
      </c>
      <c r="B48" t="s">
        <v>139</v>
      </c>
      <c r="C48" t="s">
        <v>61</v>
      </c>
      <c r="D48" t="s">
        <v>241</v>
      </c>
      <c r="E48">
        <v>3</v>
      </c>
      <c r="F48" s="39"/>
      <c r="G48" s="39"/>
      <c r="H48" s="39"/>
      <c r="I48" s="34"/>
      <c r="J48">
        <f>'emission data'!O15</f>
        <v>5.7</v>
      </c>
      <c r="K48">
        <f>'emission data'!P15</f>
        <v>7.6</v>
      </c>
      <c r="L48">
        <f>'emission data'!Q15</f>
        <v>2.1</v>
      </c>
    </row>
    <row r="49" spans="1:12" x14ac:dyDescent="0.25">
      <c r="A49" t="s">
        <v>80</v>
      </c>
      <c r="B49" t="s">
        <v>139</v>
      </c>
      <c r="C49" t="s">
        <v>61</v>
      </c>
      <c r="D49" t="s">
        <v>243</v>
      </c>
      <c r="E49">
        <v>3</v>
      </c>
      <c r="F49" s="38">
        <f>J49*H49/J48</f>
        <v>71.017543859649123</v>
      </c>
      <c r="G49" s="38">
        <f>L49*H49/L48</f>
        <v>92</v>
      </c>
      <c r="H49" s="39">
        <v>92</v>
      </c>
      <c r="I49" s="33" t="s">
        <v>258</v>
      </c>
      <c r="J49">
        <f>'emission data'!O16</f>
        <v>4.4000000000000004</v>
      </c>
      <c r="K49">
        <f>'emission data'!P16</f>
        <v>7.8</v>
      </c>
      <c r="L49">
        <f>'emission data'!Q16</f>
        <v>2.1</v>
      </c>
    </row>
    <row r="50" spans="1:12" x14ac:dyDescent="0.25">
      <c r="A50" t="s">
        <v>80</v>
      </c>
      <c r="B50" t="s">
        <v>139</v>
      </c>
      <c r="C50" t="s">
        <v>61</v>
      </c>
      <c r="D50" t="s">
        <v>244</v>
      </c>
      <c r="E50">
        <v>3</v>
      </c>
      <c r="F50" s="38">
        <f>J50*H50/J48</f>
        <v>32</v>
      </c>
      <c r="G50" s="38">
        <f>L50*H50/L48</f>
        <v>6.8571428571428568</v>
      </c>
      <c r="H50" s="39">
        <v>8</v>
      </c>
      <c r="I50" s="33" t="s">
        <v>258</v>
      </c>
      <c r="J50">
        <f>'emission data'!O17</f>
        <v>22.8</v>
      </c>
      <c r="K50">
        <f>'emission data'!P17</f>
        <v>8.6999999999999993</v>
      </c>
      <c r="L50">
        <f>'emission data'!Q17</f>
        <v>1.8</v>
      </c>
    </row>
    <row r="51" spans="1:12" x14ac:dyDescent="0.25">
      <c r="A51" t="s">
        <v>80</v>
      </c>
      <c r="B51" t="s">
        <v>139</v>
      </c>
      <c r="C51" t="s">
        <v>61</v>
      </c>
      <c r="D51" t="s">
        <v>241</v>
      </c>
      <c r="E51">
        <v>4</v>
      </c>
      <c r="F51" s="39"/>
      <c r="G51" s="39"/>
      <c r="H51" s="39"/>
      <c r="I51" s="33"/>
      <c r="J51">
        <f>'emission data'!O18</f>
        <v>7.1</v>
      </c>
      <c r="K51">
        <f>'emission data'!P18</f>
        <v>7.5</v>
      </c>
      <c r="L51">
        <f>'emission data'!Q18</f>
        <v>1.5</v>
      </c>
    </row>
    <row r="52" spans="1:12" x14ac:dyDescent="0.25">
      <c r="A52" t="s">
        <v>80</v>
      </c>
      <c r="B52" t="s">
        <v>139</v>
      </c>
      <c r="C52" t="s">
        <v>61</v>
      </c>
      <c r="D52" t="s">
        <v>243</v>
      </c>
      <c r="E52">
        <v>4</v>
      </c>
      <c r="F52" s="38">
        <f>J52*H52/J51</f>
        <v>53.295774647887335</v>
      </c>
      <c r="G52" s="38">
        <f>L52*H52/L51</f>
        <v>97.466666666666654</v>
      </c>
      <c r="H52" s="39">
        <v>86</v>
      </c>
      <c r="I52" s="33" t="s">
        <v>258</v>
      </c>
      <c r="J52">
        <f>'emission data'!O19</f>
        <v>4.4000000000000004</v>
      </c>
      <c r="K52">
        <f>'emission data'!P19</f>
        <v>7.8</v>
      </c>
      <c r="L52">
        <f>'emission data'!Q19</f>
        <v>1.7</v>
      </c>
    </row>
    <row r="53" spans="1:12" x14ac:dyDescent="0.25">
      <c r="A53" t="s">
        <v>80</v>
      </c>
      <c r="B53" t="s">
        <v>139</v>
      </c>
      <c r="C53" t="s">
        <v>61</v>
      </c>
      <c r="D53" t="s">
        <v>244</v>
      </c>
      <c r="E53">
        <v>4</v>
      </c>
      <c r="F53" s="38">
        <f>J53*H53/J51</f>
        <v>41.2112676056338</v>
      </c>
      <c r="G53" s="38">
        <f>L53*H53/L51</f>
        <v>13.066666666666665</v>
      </c>
      <c r="H53" s="39">
        <v>14</v>
      </c>
      <c r="I53" s="33" t="s">
        <v>258</v>
      </c>
      <c r="J53">
        <f>'emission data'!O20</f>
        <v>20.9</v>
      </c>
      <c r="K53">
        <f>'emission data'!P20</f>
        <v>8.1999999999999993</v>
      </c>
      <c r="L53">
        <f>'emission data'!Q20</f>
        <v>1.4</v>
      </c>
    </row>
    <row r="54" spans="1:12" x14ac:dyDescent="0.25">
      <c r="A54" t="s">
        <v>259</v>
      </c>
      <c r="B54" t="s">
        <v>139</v>
      </c>
      <c r="C54" t="s">
        <v>137</v>
      </c>
      <c r="D54" t="s">
        <v>241</v>
      </c>
      <c r="E54">
        <v>1</v>
      </c>
      <c r="H54" s="39"/>
      <c r="I54" s="33"/>
      <c r="J54">
        <v>6.51</v>
      </c>
      <c r="K54">
        <v>8</v>
      </c>
      <c r="L54">
        <v>4.5599999999999996</v>
      </c>
    </row>
    <row r="55" spans="1:12" x14ac:dyDescent="0.25">
      <c r="A55" t="s">
        <v>259</v>
      </c>
      <c r="B55" t="s">
        <v>139</v>
      </c>
      <c r="C55" t="s">
        <v>137</v>
      </c>
      <c r="D55" t="s">
        <v>243</v>
      </c>
      <c r="E55">
        <v>1</v>
      </c>
      <c r="F55">
        <v>68</v>
      </c>
      <c r="G55">
        <v>93</v>
      </c>
      <c r="H55" s="38">
        <f>(J54-J56)/(J55-J56)*100</f>
        <v>91.754554170661564</v>
      </c>
      <c r="I55" s="33" t="s">
        <v>260</v>
      </c>
      <c r="J55">
        <v>4.79</v>
      </c>
      <c r="K55">
        <v>8</v>
      </c>
      <c r="L55">
        <v>5.0999999999999996</v>
      </c>
    </row>
    <row r="56" spans="1:12" x14ac:dyDescent="0.25">
      <c r="A56" t="s">
        <v>259</v>
      </c>
      <c r="B56" t="s">
        <v>139</v>
      </c>
      <c r="C56" t="s">
        <v>137</v>
      </c>
      <c r="D56" t="s">
        <v>244</v>
      </c>
      <c r="E56">
        <v>1</v>
      </c>
      <c r="F56">
        <v>32</v>
      </c>
      <c r="G56">
        <v>7</v>
      </c>
      <c r="H56" s="38">
        <f>100-H55</f>
        <v>8.2454458293384363</v>
      </c>
      <c r="I56" s="33" t="s">
        <v>260</v>
      </c>
      <c r="J56">
        <v>25.65</v>
      </c>
      <c r="K56">
        <v>9.6</v>
      </c>
      <c r="L56">
        <v>2.33</v>
      </c>
    </row>
    <row r="57" spans="1:12" x14ac:dyDescent="0.25">
      <c r="A57" t="s">
        <v>261</v>
      </c>
      <c r="B57" t="s">
        <v>117</v>
      </c>
      <c r="C57" t="s">
        <v>61</v>
      </c>
      <c r="D57" t="s">
        <v>241</v>
      </c>
      <c r="E57">
        <v>1</v>
      </c>
      <c r="J57">
        <v>6.3</v>
      </c>
      <c r="K57">
        <v>7.07</v>
      </c>
      <c r="L57">
        <v>2.5299999999999998</v>
      </c>
    </row>
    <row r="58" spans="1:12" x14ac:dyDescent="0.25">
      <c r="A58" t="s">
        <v>261</v>
      </c>
      <c r="B58" t="s">
        <v>117</v>
      </c>
      <c r="C58" t="s">
        <v>61</v>
      </c>
      <c r="D58" t="s">
        <v>243</v>
      </c>
      <c r="E58">
        <v>1</v>
      </c>
      <c r="F58" s="22">
        <f>J58*H58/J57</f>
        <v>59.106923653291247</v>
      </c>
      <c r="G58" s="22">
        <f>L58*H58/L57</f>
        <v>139.87886903856105</v>
      </c>
      <c r="H58" s="22">
        <f>(J57-J59)/(J58-J59)*100</f>
        <v>92.400401740877129</v>
      </c>
      <c r="I58" t="s">
        <v>262</v>
      </c>
      <c r="J58">
        <v>4.03</v>
      </c>
      <c r="K58">
        <v>7.5</v>
      </c>
      <c r="L58">
        <v>3.83</v>
      </c>
    </row>
    <row r="59" spans="1:12" x14ac:dyDescent="0.25">
      <c r="A59" t="s">
        <v>261</v>
      </c>
      <c r="B59" t="s">
        <v>117</v>
      </c>
      <c r="C59" t="s">
        <v>61</v>
      </c>
      <c r="D59" t="s">
        <v>244</v>
      </c>
      <c r="E59">
        <v>1</v>
      </c>
      <c r="F59">
        <v>35.83</v>
      </c>
      <c r="G59" s="46">
        <f>L59*H59/L57</f>
        <v>0.90113813349283067</v>
      </c>
      <c r="H59" s="22">
        <f>100-H58</f>
        <v>7.599598259122871</v>
      </c>
      <c r="I59" t="s">
        <v>262</v>
      </c>
      <c r="J59">
        <v>33.9</v>
      </c>
      <c r="K59">
        <v>8.6999999999999993</v>
      </c>
      <c r="L59">
        <v>0.3</v>
      </c>
    </row>
    <row r="60" spans="1:12" x14ac:dyDescent="0.25">
      <c r="A60" t="s">
        <v>261</v>
      </c>
      <c r="B60" t="s">
        <v>139</v>
      </c>
      <c r="C60" t="s">
        <v>61</v>
      </c>
      <c r="D60" t="s">
        <v>241</v>
      </c>
      <c r="E60">
        <v>3</v>
      </c>
      <c r="H60" s="47"/>
      <c r="J60">
        <v>6.17</v>
      </c>
      <c r="K60">
        <v>7.03</v>
      </c>
      <c r="L60">
        <v>2.63</v>
      </c>
    </row>
    <row r="61" spans="1:12" x14ac:dyDescent="0.25">
      <c r="A61" t="s">
        <v>261</v>
      </c>
      <c r="B61" t="s">
        <v>139</v>
      </c>
      <c r="C61" t="s">
        <v>61</v>
      </c>
      <c r="D61" t="s">
        <v>243</v>
      </c>
      <c r="E61">
        <v>3</v>
      </c>
      <c r="F61" s="22">
        <f>J61*H61/J60</f>
        <v>76.571256692350744</v>
      </c>
      <c r="G61" s="22">
        <f>L61*H61/L60</f>
        <v>117.48243482123191</v>
      </c>
      <c r="H61" s="22">
        <f>(J60-J62)/(J61-J62)*100</f>
        <v>94.488930758360823</v>
      </c>
      <c r="I61" t="s">
        <v>262</v>
      </c>
      <c r="J61">
        <v>5</v>
      </c>
      <c r="K61">
        <v>7.13</v>
      </c>
      <c r="L61">
        <v>3.27</v>
      </c>
    </row>
    <row r="62" spans="1:12" x14ac:dyDescent="0.25">
      <c r="A62" t="s">
        <v>261</v>
      </c>
      <c r="B62" t="s">
        <v>139</v>
      </c>
      <c r="C62" t="s">
        <v>61</v>
      </c>
      <c r="D62" t="s">
        <v>244</v>
      </c>
      <c r="E62">
        <v>3</v>
      </c>
      <c r="F62">
        <v>28</v>
      </c>
      <c r="G62" s="22">
        <f>L62*H62/L60</f>
        <v>11.881278555168873</v>
      </c>
      <c r="H62" s="22">
        <f>100-H61</f>
        <v>5.5110692416391771</v>
      </c>
      <c r="I62" t="s">
        <v>262</v>
      </c>
      <c r="J62">
        <v>26.23</v>
      </c>
      <c r="K62">
        <v>8.4700000000000006</v>
      </c>
      <c r="L62">
        <v>5.67</v>
      </c>
    </row>
    <row r="63" spans="1:12" x14ac:dyDescent="0.25">
      <c r="A63" t="s">
        <v>261</v>
      </c>
      <c r="B63" t="s">
        <v>117</v>
      </c>
      <c r="C63" t="s">
        <v>61</v>
      </c>
      <c r="D63" t="s">
        <v>241</v>
      </c>
      <c r="E63">
        <v>4</v>
      </c>
      <c r="H63" s="47"/>
      <c r="J63">
        <v>7.8</v>
      </c>
      <c r="K63">
        <v>6.97</v>
      </c>
      <c r="L63">
        <v>2.23</v>
      </c>
    </row>
    <row r="64" spans="1:12" x14ac:dyDescent="0.25">
      <c r="A64" t="s">
        <v>261</v>
      </c>
      <c r="B64" t="s">
        <v>117</v>
      </c>
      <c r="C64" t="s">
        <v>61</v>
      </c>
      <c r="D64" t="s">
        <v>243</v>
      </c>
      <c r="E64">
        <v>4</v>
      </c>
      <c r="F64" s="22">
        <f>J64*H64/J63</f>
        <v>47.616356994559943</v>
      </c>
      <c r="G64" s="22">
        <f>L64*H64/L63</f>
        <v>158.67575886174953</v>
      </c>
      <c r="H64" s="22">
        <f>(J63-J65)/(J64-J65)*100</f>
        <v>87.803211479330372</v>
      </c>
      <c r="I64" t="s">
        <v>263</v>
      </c>
      <c r="J64">
        <v>4.2300000000000004</v>
      </c>
      <c r="K64">
        <v>7.39</v>
      </c>
      <c r="L64">
        <v>4.03</v>
      </c>
    </row>
    <row r="65" spans="1:13" x14ac:dyDescent="0.25">
      <c r="A65" t="s">
        <v>261</v>
      </c>
      <c r="B65" t="s">
        <v>117</v>
      </c>
      <c r="C65" t="s">
        <v>61</v>
      </c>
      <c r="D65" t="s">
        <v>244</v>
      </c>
      <c r="E65">
        <v>4</v>
      </c>
      <c r="F65">
        <v>49.13</v>
      </c>
      <c r="G65" s="22">
        <f>L65*H65/L63</f>
        <v>2.1877647570707852</v>
      </c>
      <c r="H65" s="22">
        <f>100-H64</f>
        <v>12.196788520669628</v>
      </c>
      <c r="I65" t="s">
        <v>263</v>
      </c>
      <c r="J65">
        <v>33.5</v>
      </c>
      <c r="K65">
        <v>8.4700000000000006</v>
      </c>
      <c r="L65">
        <v>0.4</v>
      </c>
    </row>
    <row r="66" spans="1:13" x14ac:dyDescent="0.25">
      <c r="A66" t="s">
        <v>261</v>
      </c>
      <c r="B66" t="s">
        <v>139</v>
      </c>
      <c r="C66" t="s">
        <v>61</v>
      </c>
      <c r="D66" t="s">
        <v>241</v>
      </c>
      <c r="E66">
        <v>6</v>
      </c>
      <c r="H66" s="47"/>
      <c r="J66">
        <v>7.8</v>
      </c>
      <c r="K66">
        <v>7</v>
      </c>
      <c r="L66">
        <v>2.17</v>
      </c>
    </row>
    <row r="67" spans="1:13" x14ac:dyDescent="0.25">
      <c r="A67" t="s">
        <v>261</v>
      </c>
      <c r="B67" t="s">
        <v>139</v>
      </c>
      <c r="C67" t="s">
        <v>61</v>
      </c>
      <c r="D67" t="s">
        <v>243</v>
      </c>
      <c r="E67">
        <v>6</v>
      </c>
      <c r="F67" s="22">
        <f>J67*H67/J66</f>
        <v>57.577346617724174</v>
      </c>
      <c r="G67" s="22">
        <f>L67*H67/L66</f>
        <v>138.10603186417251</v>
      </c>
      <c r="H67" s="22">
        <f>(J66-J68)/(J67-J68)*100</f>
        <v>86.366019926586262</v>
      </c>
      <c r="I67" t="s">
        <v>263</v>
      </c>
      <c r="J67">
        <v>5.2</v>
      </c>
      <c r="K67">
        <v>7.07</v>
      </c>
      <c r="L67">
        <v>3.47</v>
      </c>
    </row>
    <row r="68" spans="1:13" x14ac:dyDescent="0.25">
      <c r="A68" t="s">
        <v>261</v>
      </c>
      <c r="B68" t="s">
        <v>139</v>
      </c>
      <c r="C68" t="s">
        <v>61</v>
      </c>
      <c r="D68" t="s">
        <v>244</v>
      </c>
      <c r="E68">
        <v>6</v>
      </c>
      <c r="F68">
        <v>42.67</v>
      </c>
      <c r="G68" s="22">
        <f>L68*H68/L66</f>
        <v>3.3299582667784708</v>
      </c>
      <c r="H68" s="22">
        <f>100-H67</f>
        <v>13.633980073413738</v>
      </c>
      <c r="I68" t="s">
        <v>263</v>
      </c>
      <c r="J68">
        <v>24.27</v>
      </c>
      <c r="K68">
        <v>8.5</v>
      </c>
      <c r="L68">
        <v>0.53</v>
      </c>
    </row>
    <row r="69" spans="1:13" x14ac:dyDescent="0.25">
      <c r="A69" t="s">
        <v>264</v>
      </c>
      <c r="B69" t="s">
        <v>139</v>
      </c>
      <c r="C69" t="s">
        <v>137</v>
      </c>
      <c r="D69" t="s">
        <v>241</v>
      </c>
      <c r="E69">
        <v>1</v>
      </c>
      <c r="J69">
        <v>8.32</v>
      </c>
      <c r="L69">
        <v>0.28000000000000003</v>
      </c>
      <c r="M69" t="s">
        <v>265</v>
      </c>
    </row>
    <row r="70" spans="1:13" x14ac:dyDescent="0.25">
      <c r="A70" t="s">
        <v>264</v>
      </c>
      <c r="B70" t="s">
        <v>139</v>
      </c>
      <c r="C70" t="s">
        <v>137</v>
      </c>
      <c r="D70" t="s">
        <v>243</v>
      </c>
      <c r="E70">
        <v>1</v>
      </c>
      <c r="F70">
        <v>51.8</v>
      </c>
      <c r="G70">
        <v>81.3</v>
      </c>
      <c r="H70" s="22">
        <f>9200/13300*100</f>
        <v>69.172932330827066</v>
      </c>
      <c r="I70" t="s">
        <v>266</v>
      </c>
      <c r="J70">
        <v>5.0599999999999996</v>
      </c>
      <c r="L70">
        <v>0.27</v>
      </c>
      <c r="M70" t="s">
        <v>265</v>
      </c>
    </row>
    <row r="71" spans="1:13" x14ac:dyDescent="0.25">
      <c r="A71" t="s">
        <v>264</v>
      </c>
      <c r="B71" t="s">
        <v>139</v>
      </c>
      <c r="C71" t="s">
        <v>137</v>
      </c>
      <c r="D71" t="s">
        <v>244</v>
      </c>
      <c r="E71">
        <v>1</v>
      </c>
      <c r="F71">
        <v>46.5</v>
      </c>
      <c r="G71">
        <v>14.5</v>
      </c>
      <c r="H71" s="22">
        <f>100-H70</f>
        <v>30.827067669172934</v>
      </c>
      <c r="I71" t="s">
        <v>267</v>
      </c>
      <c r="J71">
        <v>24.6</v>
      </c>
      <c r="L71">
        <v>0.26</v>
      </c>
      <c r="M71" t="s">
        <v>265</v>
      </c>
    </row>
    <row r="72" spans="1:13" x14ac:dyDescent="0.25">
      <c r="A72" t="s">
        <v>264</v>
      </c>
      <c r="B72" t="s">
        <v>139</v>
      </c>
      <c r="C72" t="s">
        <v>137</v>
      </c>
      <c r="D72" t="s">
        <v>241</v>
      </c>
      <c r="E72">
        <v>2</v>
      </c>
      <c r="H72" s="25"/>
      <c r="J72">
        <v>7.45</v>
      </c>
      <c r="L72">
        <v>0.22</v>
      </c>
      <c r="M72" t="s">
        <v>265</v>
      </c>
    </row>
    <row r="73" spans="1:13" x14ac:dyDescent="0.25">
      <c r="A73" t="s">
        <v>264</v>
      </c>
      <c r="B73" t="s">
        <v>139</v>
      </c>
      <c r="C73" t="s">
        <v>137</v>
      </c>
      <c r="D73" t="s">
        <v>243</v>
      </c>
      <c r="E73">
        <v>2</v>
      </c>
      <c r="F73">
        <v>39.9</v>
      </c>
      <c r="G73">
        <v>87.5</v>
      </c>
      <c r="H73" s="22">
        <f>9060/12700*100</f>
        <v>71.338582677165348</v>
      </c>
      <c r="I73" t="s">
        <v>268</v>
      </c>
      <c r="J73">
        <v>4.0599999999999996</v>
      </c>
      <c r="L73">
        <v>0.23</v>
      </c>
      <c r="M73" t="s">
        <v>265</v>
      </c>
    </row>
    <row r="74" spans="1:13" x14ac:dyDescent="0.25">
      <c r="A74" t="s">
        <v>264</v>
      </c>
      <c r="B74" t="s">
        <v>139</v>
      </c>
      <c r="C74" t="s">
        <v>137</v>
      </c>
      <c r="D74" t="s">
        <v>244</v>
      </c>
      <c r="E74">
        <v>2</v>
      </c>
      <c r="F74">
        <v>55.7</v>
      </c>
      <c r="G74">
        <v>13.8</v>
      </c>
      <c r="H74" s="22">
        <f>100-H73</f>
        <v>28.661417322834652</v>
      </c>
      <c r="I74" t="s">
        <v>269</v>
      </c>
      <c r="J74">
        <v>23.7</v>
      </c>
      <c r="L74">
        <v>0.2</v>
      </c>
      <c r="M74" t="s">
        <v>265</v>
      </c>
    </row>
    <row r="75" spans="1:13" x14ac:dyDescent="0.25">
      <c r="A75" t="s">
        <v>264</v>
      </c>
      <c r="B75" t="s">
        <v>139</v>
      </c>
      <c r="C75" t="s">
        <v>137</v>
      </c>
      <c r="D75" t="s">
        <v>241</v>
      </c>
      <c r="E75">
        <v>3</v>
      </c>
      <c r="H75" s="25"/>
      <c r="J75">
        <v>5.5</v>
      </c>
      <c r="L75">
        <v>0.13</v>
      </c>
      <c r="M75" t="s">
        <v>265</v>
      </c>
    </row>
    <row r="76" spans="1:13" x14ac:dyDescent="0.25">
      <c r="A76" t="s">
        <v>264</v>
      </c>
      <c r="B76" t="s">
        <v>139</v>
      </c>
      <c r="C76" t="s">
        <v>137</v>
      </c>
      <c r="D76" t="s">
        <v>243</v>
      </c>
      <c r="E76">
        <v>3</v>
      </c>
      <c r="F76">
        <v>93.8</v>
      </c>
      <c r="G76">
        <v>93.3</v>
      </c>
      <c r="H76" s="22">
        <f>25200/25500*100</f>
        <v>98.82352941176471</v>
      </c>
      <c r="I76" t="s">
        <v>270</v>
      </c>
      <c r="J76">
        <v>5.19</v>
      </c>
      <c r="L76">
        <v>0.12</v>
      </c>
      <c r="M76" t="s">
        <v>265</v>
      </c>
    </row>
    <row r="77" spans="1:13" x14ac:dyDescent="0.25">
      <c r="A77" t="s">
        <v>264</v>
      </c>
      <c r="B77" t="s">
        <v>139</v>
      </c>
      <c r="C77" t="s">
        <v>137</v>
      </c>
      <c r="D77" t="s">
        <v>244</v>
      </c>
      <c r="E77">
        <v>3</v>
      </c>
      <c r="F77">
        <v>3.9</v>
      </c>
      <c r="G77">
        <v>0.7</v>
      </c>
      <c r="H77" s="22">
        <f>100-H76</f>
        <v>1.1764705882352899</v>
      </c>
      <c r="I77" t="s">
        <v>271</v>
      </c>
      <c r="J77">
        <v>29.3</v>
      </c>
      <c r="L77">
        <v>0.12</v>
      </c>
      <c r="M77" t="s">
        <v>265</v>
      </c>
    </row>
    <row r="78" spans="1:13" x14ac:dyDescent="0.25">
      <c r="A78" t="s">
        <v>264</v>
      </c>
      <c r="B78" t="s">
        <v>139</v>
      </c>
      <c r="C78" t="s">
        <v>61</v>
      </c>
      <c r="D78" t="s">
        <v>241</v>
      </c>
      <c r="E78">
        <v>4</v>
      </c>
      <c r="H78" s="25"/>
      <c r="J78">
        <v>9.9600000000000009</v>
      </c>
      <c r="L78">
        <v>0.23</v>
      </c>
      <c r="M78" t="s">
        <v>265</v>
      </c>
    </row>
    <row r="79" spans="1:13" x14ac:dyDescent="0.25">
      <c r="A79" t="s">
        <v>264</v>
      </c>
      <c r="B79" t="s">
        <v>139</v>
      </c>
      <c r="C79" t="s">
        <v>61</v>
      </c>
      <c r="D79" t="s">
        <v>243</v>
      </c>
      <c r="E79">
        <v>4</v>
      </c>
      <c r="F79">
        <v>38.299999999999997</v>
      </c>
      <c r="G79">
        <v>77.099999999999994</v>
      </c>
      <c r="H79" s="22">
        <f>1555/2010*100</f>
        <v>77.363184079601993</v>
      </c>
      <c r="I79" t="s">
        <v>272</v>
      </c>
      <c r="J79">
        <v>4.93</v>
      </c>
      <c r="L79">
        <v>0.22</v>
      </c>
      <c r="M79" t="s">
        <v>265</v>
      </c>
    </row>
    <row r="80" spans="1:13" x14ac:dyDescent="0.25">
      <c r="A80" t="s">
        <v>264</v>
      </c>
      <c r="B80" t="s">
        <v>139</v>
      </c>
      <c r="C80" t="s">
        <v>61</v>
      </c>
      <c r="D80" t="s">
        <v>244</v>
      </c>
      <c r="E80">
        <v>4</v>
      </c>
      <c r="F80">
        <v>70.5</v>
      </c>
      <c r="G80">
        <v>20.2</v>
      </c>
      <c r="H80" s="22">
        <f>100-H79</f>
        <v>22.636815920398007</v>
      </c>
      <c r="I80" t="s">
        <v>273</v>
      </c>
      <c r="J80">
        <v>25.3</v>
      </c>
      <c r="L80">
        <v>0.16</v>
      </c>
      <c r="M80" t="s">
        <v>265</v>
      </c>
    </row>
    <row r="81" spans="1:12" x14ac:dyDescent="0.25">
      <c r="A81" t="s">
        <v>138</v>
      </c>
      <c r="B81" t="s">
        <v>139</v>
      </c>
      <c r="C81" t="s">
        <v>137</v>
      </c>
      <c r="D81" t="s">
        <v>241</v>
      </c>
      <c r="E81">
        <v>1</v>
      </c>
      <c r="I81" s="33"/>
      <c r="J81" s="35">
        <v>5.0999999999999996</v>
      </c>
      <c r="K81" s="35">
        <v>7.7</v>
      </c>
      <c r="L81" s="35">
        <v>1.488</v>
      </c>
    </row>
    <row r="82" spans="1:12" x14ac:dyDescent="0.25">
      <c r="A82" t="s">
        <v>138</v>
      </c>
      <c r="B82" t="s">
        <v>139</v>
      </c>
      <c r="C82" t="s">
        <v>137</v>
      </c>
      <c r="D82" t="s">
        <v>243</v>
      </c>
      <c r="E82">
        <v>1</v>
      </c>
      <c r="F82" s="22">
        <f>J82*H82/J81</f>
        <v>53.308823529411754</v>
      </c>
      <c r="G82" s="22">
        <f>L82*H82/L81</f>
        <v>96.018145161290306</v>
      </c>
      <c r="H82" s="22">
        <f>(J81-J83)/(J82-J83)*100</f>
        <v>93.749999999999986</v>
      </c>
      <c r="I82" s="33" t="s">
        <v>274</v>
      </c>
      <c r="J82" s="35">
        <v>2.9</v>
      </c>
      <c r="K82" s="35">
        <v>7.8</v>
      </c>
      <c r="L82" s="35">
        <v>1.524</v>
      </c>
    </row>
    <row r="83" spans="1:12" x14ac:dyDescent="0.25">
      <c r="A83" t="s">
        <v>138</v>
      </c>
      <c r="B83" t="s">
        <v>139</v>
      </c>
      <c r="C83" t="s">
        <v>137</v>
      </c>
      <c r="D83" t="s">
        <v>244</v>
      </c>
      <c r="E83">
        <v>1</v>
      </c>
      <c r="F83" s="22">
        <f>J83*H83/J81</f>
        <v>46.691176470588346</v>
      </c>
      <c r="G83" s="22">
        <f>L83*H83/L81</f>
        <v>1.3734879032258096</v>
      </c>
      <c r="H83" s="22">
        <f>100-H82</f>
        <v>6.2500000000000142</v>
      </c>
      <c r="I83" s="33" t="s">
        <v>274</v>
      </c>
      <c r="J83" s="35">
        <v>38.1</v>
      </c>
      <c r="K83" s="35">
        <v>9.1999999999999993</v>
      </c>
      <c r="L83" s="35">
        <v>0.32700000000000001</v>
      </c>
    </row>
    <row r="84" spans="1:12" x14ac:dyDescent="0.25">
      <c r="A84" t="s">
        <v>138</v>
      </c>
      <c r="B84" t="s">
        <v>139</v>
      </c>
      <c r="C84" t="s">
        <v>61</v>
      </c>
      <c r="D84" t="s">
        <v>241</v>
      </c>
      <c r="E84">
        <v>2</v>
      </c>
      <c r="I84" s="33"/>
      <c r="J84" s="35">
        <v>2.7</v>
      </c>
      <c r="K84" s="35">
        <v>6.8</v>
      </c>
      <c r="L84" s="35">
        <v>0.77100000000000002</v>
      </c>
    </row>
    <row r="85" spans="1:12" x14ac:dyDescent="0.25">
      <c r="A85" t="s">
        <v>138</v>
      </c>
      <c r="B85" t="s">
        <v>139</v>
      </c>
      <c r="C85" t="s">
        <v>61</v>
      </c>
      <c r="D85" t="s">
        <v>243</v>
      </c>
      <c r="E85">
        <v>2</v>
      </c>
      <c r="F85" s="22">
        <f>J85*H85/J84</f>
        <v>76.466916354556801</v>
      </c>
      <c r="G85" s="22">
        <f>L85*H85/L84</f>
        <v>102.52262492895554</v>
      </c>
      <c r="H85" s="22">
        <f>(J84-J86)/(J85-J86)*100</f>
        <v>98.31460674157303</v>
      </c>
      <c r="I85" s="33" t="s">
        <v>274</v>
      </c>
      <c r="J85" s="35">
        <v>2.1</v>
      </c>
      <c r="K85" s="35">
        <v>6.6</v>
      </c>
      <c r="L85" s="35">
        <v>0.80400000000000005</v>
      </c>
    </row>
    <row r="86" spans="1:12" x14ac:dyDescent="0.25">
      <c r="A86" t="s">
        <v>138</v>
      </c>
      <c r="B86" t="s">
        <v>139</v>
      </c>
      <c r="C86" t="s">
        <v>61</v>
      </c>
      <c r="D86" t="s">
        <v>244</v>
      </c>
      <c r="E86">
        <v>2</v>
      </c>
      <c r="F86" s="22">
        <f>J86*H86/J84</f>
        <v>23.533083645443245</v>
      </c>
      <c r="G86" s="22">
        <f>L86*H86/L84</f>
        <v>0.16176277707340567</v>
      </c>
      <c r="H86" s="22">
        <f>100-H85</f>
        <v>1.68539325842697</v>
      </c>
      <c r="I86" s="33" t="s">
        <v>274</v>
      </c>
      <c r="J86" s="35">
        <v>37.700000000000003</v>
      </c>
      <c r="K86" s="35">
        <v>8.9</v>
      </c>
      <c r="L86" s="35">
        <v>7.3999999999999996E-2</v>
      </c>
    </row>
    <row r="87" spans="1:12" x14ac:dyDescent="0.25">
      <c r="A87" t="s">
        <v>275</v>
      </c>
      <c r="B87" t="s">
        <v>139</v>
      </c>
      <c r="C87" t="s">
        <v>61</v>
      </c>
      <c r="D87" t="s">
        <v>241</v>
      </c>
      <c r="E87">
        <v>1</v>
      </c>
      <c r="I87" t="s">
        <v>276</v>
      </c>
      <c r="J87">
        <v>7.98</v>
      </c>
      <c r="L87">
        <v>1.7</v>
      </c>
    </row>
    <row r="88" spans="1:12" x14ac:dyDescent="0.25">
      <c r="A88" t="s">
        <v>275</v>
      </c>
      <c r="B88" t="s">
        <v>139</v>
      </c>
      <c r="C88" t="s">
        <v>61</v>
      </c>
      <c r="D88" t="s">
        <v>243</v>
      </c>
      <c r="E88">
        <v>1</v>
      </c>
      <c r="F88">
        <v>46</v>
      </c>
      <c r="G88">
        <v>86</v>
      </c>
      <c r="H88">
        <v>87</v>
      </c>
      <c r="I88" t="s">
        <v>276</v>
      </c>
      <c r="J88">
        <v>4.25</v>
      </c>
      <c r="L88">
        <v>1.68</v>
      </c>
    </row>
    <row r="89" spans="1:12" x14ac:dyDescent="0.25">
      <c r="A89" t="s">
        <v>275</v>
      </c>
      <c r="B89" t="s">
        <v>139</v>
      </c>
      <c r="C89" t="s">
        <v>61</v>
      </c>
      <c r="D89" t="s">
        <v>244</v>
      </c>
      <c r="E89">
        <v>1</v>
      </c>
      <c r="F89">
        <v>54</v>
      </c>
      <c r="G89">
        <v>15</v>
      </c>
      <c r="H89">
        <v>13</v>
      </c>
      <c r="I89" t="s">
        <v>276</v>
      </c>
      <c r="J89">
        <v>32.799999999999997</v>
      </c>
      <c r="L89">
        <v>1.9</v>
      </c>
    </row>
    <row r="90" spans="1:12" x14ac:dyDescent="0.25">
      <c r="A90" t="s">
        <v>275</v>
      </c>
      <c r="B90" t="s">
        <v>139</v>
      </c>
      <c r="C90" t="s">
        <v>61</v>
      </c>
      <c r="D90" t="s">
        <v>241</v>
      </c>
      <c r="E90">
        <v>2</v>
      </c>
      <c r="I90" t="s">
        <v>277</v>
      </c>
      <c r="J90">
        <v>7.98</v>
      </c>
      <c r="L90">
        <v>1.7</v>
      </c>
    </row>
    <row r="91" spans="1:12" x14ac:dyDescent="0.25">
      <c r="A91" t="s">
        <v>275</v>
      </c>
      <c r="B91" t="s">
        <v>139</v>
      </c>
      <c r="C91" t="s">
        <v>61</v>
      </c>
      <c r="D91" t="s">
        <v>243</v>
      </c>
      <c r="E91">
        <v>2</v>
      </c>
      <c r="F91">
        <v>56</v>
      </c>
      <c r="G91">
        <v>84</v>
      </c>
      <c r="H91">
        <v>90</v>
      </c>
      <c r="I91" t="s">
        <v>277</v>
      </c>
      <c r="J91">
        <v>4.97</v>
      </c>
      <c r="L91">
        <v>1.6</v>
      </c>
    </row>
    <row r="92" spans="1:12" x14ac:dyDescent="0.25">
      <c r="A92" t="s">
        <v>275</v>
      </c>
      <c r="B92" t="s">
        <v>139</v>
      </c>
      <c r="C92" t="s">
        <v>61</v>
      </c>
      <c r="D92" t="s">
        <v>244</v>
      </c>
      <c r="E92">
        <v>2</v>
      </c>
      <c r="F92">
        <v>44</v>
      </c>
      <c r="G92">
        <v>12</v>
      </c>
      <c r="H92">
        <v>10</v>
      </c>
      <c r="I92" t="s">
        <v>277</v>
      </c>
      <c r="J92">
        <v>33.799999999999997</v>
      </c>
      <c r="L92">
        <v>1.9</v>
      </c>
    </row>
    <row r="93" spans="1:12" x14ac:dyDescent="0.25">
      <c r="A93" t="s">
        <v>275</v>
      </c>
      <c r="B93" t="s">
        <v>139</v>
      </c>
      <c r="C93" t="s">
        <v>61</v>
      </c>
      <c r="D93" t="s">
        <v>241</v>
      </c>
      <c r="E93">
        <v>3</v>
      </c>
      <c r="I93" t="s">
        <v>278</v>
      </c>
      <c r="J93">
        <v>7.98</v>
      </c>
      <c r="L93">
        <v>1.7</v>
      </c>
    </row>
    <row r="94" spans="1:12" x14ac:dyDescent="0.25">
      <c r="A94" t="s">
        <v>275</v>
      </c>
      <c r="B94" t="s">
        <v>139</v>
      </c>
      <c r="C94" t="s">
        <v>61</v>
      </c>
      <c r="D94" t="s">
        <v>243</v>
      </c>
      <c r="E94">
        <v>3</v>
      </c>
      <c r="F94">
        <v>53</v>
      </c>
      <c r="G94">
        <v>89</v>
      </c>
      <c r="H94">
        <v>87</v>
      </c>
      <c r="I94" t="s">
        <v>278</v>
      </c>
      <c r="J94">
        <v>4.8899999999999997</v>
      </c>
      <c r="L94">
        <v>1.74</v>
      </c>
    </row>
    <row r="95" spans="1:12" x14ac:dyDescent="0.25">
      <c r="A95" t="s">
        <v>275</v>
      </c>
      <c r="B95" t="s">
        <v>139</v>
      </c>
      <c r="C95" t="s">
        <v>61</v>
      </c>
      <c r="D95" t="s">
        <v>244</v>
      </c>
      <c r="E95">
        <v>3</v>
      </c>
      <c r="F95">
        <v>47</v>
      </c>
      <c r="G95">
        <v>14</v>
      </c>
      <c r="H95">
        <v>13</v>
      </c>
      <c r="I95" t="s">
        <v>278</v>
      </c>
      <c r="J95">
        <v>28.7</v>
      </c>
      <c r="L95">
        <v>1.85</v>
      </c>
    </row>
    <row r="96" spans="1:12" x14ac:dyDescent="0.25">
      <c r="A96" t="s">
        <v>275</v>
      </c>
      <c r="B96" t="s">
        <v>139</v>
      </c>
      <c r="C96" t="s">
        <v>61</v>
      </c>
      <c r="D96" t="s">
        <v>241</v>
      </c>
      <c r="E96">
        <v>4</v>
      </c>
      <c r="I96" t="s">
        <v>279</v>
      </c>
      <c r="J96">
        <v>7.98</v>
      </c>
      <c r="L96">
        <v>1.7</v>
      </c>
    </row>
    <row r="97" spans="1:13" x14ac:dyDescent="0.25">
      <c r="A97" t="s">
        <v>275</v>
      </c>
      <c r="B97" t="s">
        <v>139</v>
      </c>
      <c r="C97" t="s">
        <v>61</v>
      </c>
      <c r="D97" t="s">
        <v>243</v>
      </c>
      <c r="E97">
        <v>4</v>
      </c>
      <c r="F97">
        <v>53</v>
      </c>
      <c r="G97">
        <v>90</v>
      </c>
      <c r="H97">
        <v>83</v>
      </c>
      <c r="I97" t="s">
        <v>279</v>
      </c>
      <c r="J97">
        <v>5.04</v>
      </c>
      <c r="L97">
        <v>1.84</v>
      </c>
    </row>
    <row r="98" spans="1:13" x14ac:dyDescent="0.25">
      <c r="A98" t="s">
        <v>275</v>
      </c>
      <c r="B98" t="s">
        <v>139</v>
      </c>
      <c r="C98" t="s">
        <v>61</v>
      </c>
      <c r="D98" t="s">
        <v>244</v>
      </c>
      <c r="E98">
        <v>4</v>
      </c>
      <c r="F98">
        <v>47</v>
      </c>
      <c r="G98">
        <v>19</v>
      </c>
      <c r="H98">
        <v>17</v>
      </c>
      <c r="I98" t="s">
        <v>279</v>
      </c>
      <c r="J98">
        <v>22.8</v>
      </c>
      <c r="L98">
        <v>1.9</v>
      </c>
    </row>
    <row r="99" spans="1:13" x14ac:dyDescent="0.25">
      <c r="A99" t="s">
        <v>280</v>
      </c>
      <c r="B99" t="s">
        <v>139</v>
      </c>
      <c r="C99" t="s">
        <v>137</v>
      </c>
      <c r="D99" t="s">
        <v>241</v>
      </c>
      <c r="E99">
        <v>1</v>
      </c>
      <c r="J99">
        <v>6.9</v>
      </c>
      <c r="L99">
        <v>3.4</v>
      </c>
      <c r="M99" t="s">
        <v>281</v>
      </c>
    </row>
    <row r="100" spans="1:13" x14ac:dyDescent="0.25">
      <c r="A100" t="s">
        <v>280</v>
      </c>
      <c r="B100" t="s">
        <v>139</v>
      </c>
      <c r="C100" t="s">
        <v>137</v>
      </c>
      <c r="D100" t="s">
        <v>243</v>
      </c>
      <c r="E100">
        <v>1</v>
      </c>
      <c r="F100" s="22">
        <f>J100*H100/J99</f>
        <v>71.46817895400126</v>
      </c>
      <c r="G100" s="22">
        <f>J100*H100/J99</f>
        <v>71.46817895400126</v>
      </c>
      <c r="H100" s="22">
        <f>(J99-J101)/(J100-J101)*100</f>
        <v>93.043478260869563</v>
      </c>
      <c r="J100">
        <v>5.3</v>
      </c>
      <c r="L100">
        <v>3.3</v>
      </c>
      <c r="M100" t="s">
        <v>281</v>
      </c>
    </row>
    <row r="101" spans="1:13" x14ac:dyDescent="0.25">
      <c r="A101" t="s">
        <v>280</v>
      </c>
      <c r="B101" t="s">
        <v>139</v>
      </c>
      <c r="C101" t="s">
        <v>137</v>
      </c>
      <c r="D101" t="s">
        <v>244</v>
      </c>
      <c r="E101">
        <v>1</v>
      </c>
      <c r="F101" s="22">
        <f>J101*H101/J99</f>
        <v>28.531821045998747</v>
      </c>
      <c r="G101" s="22">
        <f>J101*H101/J99</f>
        <v>28.531821045998747</v>
      </c>
      <c r="H101" s="22">
        <f>100-H100</f>
        <v>6.9565217391304373</v>
      </c>
      <c r="J101">
        <v>28.3</v>
      </c>
      <c r="L101">
        <v>3.3</v>
      </c>
      <c r="M101" t="s">
        <v>281</v>
      </c>
    </row>
    <row r="102" spans="1:13" x14ac:dyDescent="0.25">
      <c r="A102" t="s">
        <v>282</v>
      </c>
      <c r="B102" t="s">
        <v>139</v>
      </c>
      <c r="C102" t="s">
        <v>61</v>
      </c>
      <c r="D102" t="s">
        <v>241</v>
      </c>
      <c r="E102">
        <v>2</v>
      </c>
      <c r="J102">
        <v>7.1</v>
      </c>
      <c r="K102">
        <v>7.2</v>
      </c>
    </row>
    <row r="103" spans="1:13" x14ac:dyDescent="0.25">
      <c r="A103" t="s">
        <v>282</v>
      </c>
      <c r="B103" t="s">
        <v>139</v>
      </c>
      <c r="C103" t="s">
        <v>61</v>
      </c>
      <c r="D103" t="s">
        <v>283</v>
      </c>
      <c r="E103">
        <v>2</v>
      </c>
      <c r="F103" s="22">
        <f>J103*H103/J102</f>
        <v>57.380281690140855</v>
      </c>
      <c r="H103" s="21">
        <f>100-H104</f>
        <v>97</v>
      </c>
      <c r="J103">
        <v>4.2</v>
      </c>
    </row>
    <row r="104" spans="1:13" x14ac:dyDescent="0.25">
      <c r="A104" t="s">
        <v>282</v>
      </c>
      <c r="B104" t="s">
        <v>139</v>
      </c>
      <c r="C104" t="s">
        <v>61</v>
      </c>
      <c r="D104" t="s">
        <v>244</v>
      </c>
      <c r="E104">
        <v>2</v>
      </c>
      <c r="F104" s="22">
        <f>J104*H104/J102</f>
        <v>13.647887323943662</v>
      </c>
      <c r="H104">
        <v>3</v>
      </c>
      <c r="I104" t="s">
        <v>81</v>
      </c>
      <c r="J104">
        <v>32.299999999999997</v>
      </c>
    </row>
    <row r="105" spans="1:13" x14ac:dyDescent="0.25">
      <c r="A105" t="s">
        <v>282</v>
      </c>
      <c r="B105" t="s">
        <v>139</v>
      </c>
      <c r="C105" t="s">
        <v>61</v>
      </c>
      <c r="D105" t="s">
        <v>241</v>
      </c>
      <c r="E105">
        <v>3</v>
      </c>
      <c r="J105">
        <v>7.1</v>
      </c>
      <c r="K105">
        <v>7.2</v>
      </c>
    </row>
    <row r="106" spans="1:13" x14ac:dyDescent="0.25">
      <c r="A106" t="s">
        <v>282</v>
      </c>
      <c r="B106" t="s">
        <v>139</v>
      </c>
      <c r="C106" t="s">
        <v>61</v>
      </c>
      <c r="D106" t="s">
        <v>283</v>
      </c>
      <c r="E106">
        <v>3</v>
      </c>
      <c r="F106" s="22">
        <f>J106*H106/J105</f>
        <v>40.436619718309856</v>
      </c>
      <c r="H106" s="21">
        <f>100-H107</f>
        <v>87</v>
      </c>
      <c r="J106">
        <v>3.3</v>
      </c>
    </row>
    <row r="107" spans="1:13" x14ac:dyDescent="0.25">
      <c r="A107" t="s">
        <v>282</v>
      </c>
      <c r="B107" t="s">
        <v>139</v>
      </c>
      <c r="C107" t="s">
        <v>61</v>
      </c>
      <c r="D107" t="s">
        <v>244</v>
      </c>
      <c r="E107">
        <v>3</v>
      </c>
      <c r="F107" s="22">
        <f>J107*H107/J105</f>
        <v>39.549295774647888</v>
      </c>
      <c r="H107">
        <v>13</v>
      </c>
      <c r="I107" t="s">
        <v>81</v>
      </c>
      <c r="J107">
        <v>21.6</v>
      </c>
    </row>
    <row r="108" spans="1:13" x14ac:dyDescent="0.25">
      <c r="A108" t="s">
        <v>282</v>
      </c>
      <c r="B108" t="s">
        <v>139</v>
      </c>
      <c r="C108" t="s">
        <v>74</v>
      </c>
      <c r="D108" t="s">
        <v>241</v>
      </c>
      <c r="E108">
        <v>7</v>
      </c>
      <c r="J108">
        <v>5.7</v>
      </c>
      <c r="K108">
        <v>7.2</v>
      </c>
    </row>
    <row r="109" spans="1:13" x14ac:dyDescent="0.25">
      <c r="A109" t="s">
        <v>282</v>
      </c>
      <c r="B109" t="s">
        <v>139</v>
      </c>
      <c r="C109" t="s">
        <v>74</v>
      </c>
      <c r="D109" t="s">
        <v>283</v>
      </c>
      <c r="E109">
        <v>7</v>
      </c>
      <c r="F109" s="22">
        <f>J109*H109/J108</f>
        <v>53.333333333333329</v>
      </c>
      <c r="H109" s="21">
        <f>100-H110</f>
        <v>95</v>
      </c>
      <c r="J109">
        <v>3.2</v>
      </c>
    </row>
    <row r="110" spans="1:13" x14ac:dyDescent="0.25">
      <c r="A110" t="s">
        <v>282</v>
      </c>
      <c r="B110" t="s">
        <v>139</v>
      </c>
      <c r="C110" t="s">
        <v>74</v>
      </c>
      <c r="D110" t="s">
        <v>244</v>
      </c>
      <c r="E110">
        <v>7</v>
      </c>
      <c r="F110" s="22">
        <f>J110*H110/J108</f>
        <v>27.807017543859647</v>
      </c>
      <c r="H110">
        <v>5</v>
      </c>
      <c r="I110" t="s">
        <v>81</v>
      </c>
      <c r="J110">
        <v>31.7</v>
      </c>
    </row>
    <row r="111" spans="1:13" x14ac:dyDescent="0.25">
      <c r="A111" t="s">
        <v>282</v>
      </c>
      <c r="B111" t="s">
        <v>139</v>
      </c>
      <c r="C111" t="s">
        <v>74</v>
      </c>
      <c r="D111" t="s">
        <v>241</v>
      </c>
      <c r="E111">
        <v>8</v>
      </c>
      <c r="J111">
        <v>5.7</v>
      </c>
      <c r="K111">
        <v>7.2</v>
      </c>
    </row>
    <row r="112" spans="1:13" x14ac:dyDescent="0.25">
      <c r="A112" t="s">
        <v>282</v>
      </c>
      <c r="B112" t="s">
        <v>139</v>
      </c>
      <c r="C112" t="s">
        <v>74</v>
      </c>
      <c r="D112" t="s">
        <v>283</v>
      </c>
      <c r="E112">
        <v>8</v>
      </c>
      <c r="F112" s="22">
        <f>J112*H112/J111</f>
        <v>52.0421052631579</v>
      </c>
      <c r="H112" s="21">
        <f>100-H113</f>
        <v>92.7</v>
      </c>
      <c r="J112">
        <v>3.2</v>
      </c>
    </row>
    <row r="113" spans="1:13" x14ac:dyDescent="0.25">
      <c r="A113" t="s">
        <v>282</v>
      </c>
      <c r="B113" t="s">
        <v>139</v>
      </c>
      <c r="C113" t="s">
        <v>74</v>
      </c>
      <c r="D113" t="s">
        <v>244</v>
      </c>
      <c r="E113">
        <v>8</v>
      </c>
      <c r="F113" s="22">
        <f>J113*H113/J111</f>
        <v>28.047368421052628</v>
      </c>
      <c r="H113">
        <v>7.3</v>
      </c>
      <c r="I113" t="s">
        <v>81</v>
      </c>
      <c r="J113">
        <v>21.9</v>
      </c>
    </row>
    <row r="114" spans="1:13" x14ac:dyDescent="0.25">
      <c r="A114" t="s">
        <v>284</v>
      </c>
      <c r="B114" t="s">
        <v>117</v>
      </c>
      <c r="C114" t="s">
        <v>74</v>
      </c>
      <c r="D114" t="s">
        <v>241</v>
      </c>
      <c r="E114">
        <v>1</v>
      </c>
      <c r="J114">
        <v>5.32</v>
      </c>
      <c r="K114">
        <v>7.5</v>
      </c>
      <c r="L114">
        <v>3.6</v>
      </c>
      <c r="M114" t="s">
        <v>285</v>
      </c>
    </row>
    <row r="115" spans="1:13" x14ac:dyDescent="0.25">
      <c r="A115" t="s">
        <v>284</v>
      </c>
      <c r="B115" t="s">
        <v>117</v>
      </c>
      <c r="C115" t="s">
        <v>74</v>
      </c>
      <c r="D115" t="s">
        <v>243</v>
      </c>
      <c r="E115">
        <v>1</v>
      </c>
      <c r="F115" s="22">
        <f>J115*H115/J114</f>
        <v>45.246804511278199</v>
      </c>
      <c r="H115" s="21">
        <f>100-H116</f>
        <v>86.9</v>
      </c>
      <c r="J115">
        <v>2.77</v>
      </c>
      <c r="M115" t="s">
        <v>285</v>
      </c>
    </row>
    <row r="116" spans="1:13" x14ac:dyDescent="0.25">
      <c r="A116" t="s">
        <v>284</v>
      </c>
      <c r="B116" t="s">
        <v>117</v>
      </c>
      <c r="C116" t="s">
        <v>74</v>
      </c>
      <c r="D116" t="s">
        <v>244</v>
      </c>
      <c r="E116">
        <v>1</v>
      </c>
      <c r="F116" s="22">
        <f>J116*H116/J114</f>
        <v>60.476691729323306</v>
      </c>
      <c r="H116">
        <v>13.1</v>
      </c>
      <c r="J116">
        <v>24.56</v>
      </c>
      <c r="M116" t="s">
        <v>285</v>
      </c>
    </row>
    <row r="117" spans="1:13" x14ac:dyDescent="0.25">
      <c r="A117" t="s">
        <v>284</v>
      </c>
      <c r="B117" t="s">
        <v>117</v>
      </c>
      <c r="C117" t="s">
        <v>74</v>
      </c>
      <c r="D117" t="s">
        <v>241</v>
      </c>
      <c r="E117">
        <v>2</v>
      </c>
      <c r="J117">
        <v>4.79</v>
      </c>
      <c r="K117">
        <v>7.5</v>
      </c>
      <c r="L117">
        <v>3.5</v>
      </c>
      <c r="M117" t="s">
        <v>286</v>
      </c>
    </row>
    <row r="118" spans="1:13" x14ac:dyDescent="0.25">
      <c r="A118" t="s">
        <v>284</v>
      </c>
      <c r="B118" t="s">
        <v>117</v>
      </c>
      <c r="C118" t="s">
        <v>74</v>
      </c>
      <c r="D118" t="s">
        <v>243</v>
      </c>
      <c r="E118">
        <v>2</v>
      </c>
      <c r="F118" s="22">
        <f>J118*H118/J117</f>
        <v>54.380960334029226</v>
      </c>
      <c r="H118" s="21">
        <f>100-H119</f>
        <v>91.72</v>
      </c>
      <c r="J118">
        <v>2.84</v>
      </c>
      <c r="M118" t="s">
        <v>286</v>
      </c>
    </row>
    <row r="119" spans="1:13" x14ac:dyDescent="0.25">
      <c r="A119" t="s">
        <v>284</v>
      </c>
      <c r="B119" t="s">
        <v>117</v>
      </c>
      <c r="C119" t="s">
        <v>74</v>
      </c>
      <c r="D119" t="s">
        <v>244</v>
      </c>
      <c r="E119">
        <v>2</v>
      </c>
      <c r="F119" s="22">
        <f>J119*H119/J117</f>
        <v>48.279832985386214</v>
      </c>
      <c r="H119">
        <v>8.2799999999999994</v>
      </c>
      <c r="J119">
        <v>27.93</v>
      </c>
      <c r="M119" t="s">
        <v>286</v>
      </c>
    </row>
    <row r="120" spans="1:13" x14ac:dyDescent="0.25">
      <c r="A120" t="s">
        <v>284</v>
      </c>
      <c r="B120" t="s">
        <v>117</v>
      </c>
      <c r="C120" t="s">
        <v>74</v>
      </c>
      <c r="D120" t="s">
        <v>241</v>
      </c>
      <c r="E120">
        <v>3</v>
      </c>
      <c r="J120">
        <v>1.71</v>
      </c>
      <c r="K120">
        <v>7.2</v>
      </c>
      <c r="L120">
        <v>1.3</v>
      </c>
      <c r="M120" t="s">
        <v>287</v>
      </c>
    </row>
    <row r="121" spans="1:13" x14ac:dyDescent="0.25">
      <c r="A121" t="s">
        <v>284</v>
      </c>
      <c r="B121" t="s">
        <v>117</v>
      </c>
      <c r="C121" t="s">
        <v>74</v>
      </c>
      <c r="D121" t="s">
        <v>243</v>
      </c>
      <c r="E121">
        <v>3</v>
      </c>
      <c r="F121" s="22">
        <f>J121*H121/J120</f>
        <v>76.677602339181277</v>
      </c>
      <c r="H121" s="21">
        <f>100-H122</f>
        <v>94.33</v>
      </c>
      <c r="J121">
        <v>1.39</v>
      </c>
      <c r="M121" t="s">
        <v>287</v>
      </c>
    </row>
    <row r="122" spans="1:13" x14ac:dyDescent="0.25">
      <c r="A122" t="s">
        <v>284</v>
      </c>
      <c r="B122" t="s">
        <v>117</v>
      </c>
      <c r="C122" t="s">
        <v>74</v>
      </c>
      <c r="D122" t="s">
        <v>244</v>
      </c>
      <c r="E122">
        <v>3</v>
      </c>
      <c r="F122" s="22">
        <f>J122*H122/J120</f>
        <v>62.104736842105268</v>
      </c>
      <c r="H122">
        <v>5.67</v>
      </c>
      <c r="J122">
        <v>18.73</v>
      </c>
      <c r="M122" t="s">
        <v>287</v>
      </c>
    </row>
    <row r="123" spans="1:13" x14ac:dyDescent="0.25">
      <c r="A123" t="s">
        <v>284</v>
      </c>
      <c r="B123" t="s">
        <v>117</v>
      </c>
      <c r="C123" t="s">
        <v>74</v>
      </c>
      <c r="D123" t="s">
        <v>241</v>
      </c>
      <c r="E123">
        <v>4</v>
      </c>
      <c r="J123">
        <v>2.5499999999999998</v>
      </c>
      <c r="K123">
        <v>8.3000000000000007</v>
      </c>
      <c r="L123">
        <v>3</v>
      </c>
      <c r="M123" t="s">
        <v>288</v>
      </c>
    </row>
    <row r="124" spans="1:13" x14ac:dyDescent="0.25">
      <c r="A124" t="s">
        <v>284</v>
      </c>
      <c r="B124" t="s">
        <v>117</v>
      </c>
      <c r="C124" t="s">
        <v>74</v>
      </c>
      <c r="D124" t="s">
        <v>243</v>
      </c>
      <c r="E124">
        <v>4</v>
      </c>
      <c r="F124" s="22">
        <f>J124*H124/J123</f>
        <v>65.408823529411777</v>
      </c>
      <c r="H124" s="21">
        <f>100-H125</f>
        <v>95.31</v>
      </c>
      <c r="J124">
        <v>1.75</v>
      </c>
      <c r="M124" t="s">
        <v>288</v>
      </c>
    </row>
    <row r="125" spans="1:13" x14ac:dyDescent="0.25">
      <c r="A125" t="s">
        <v>284</v>
      </c>
      <c r="B125" t="s">
        <v>117</v>
      </c>
      <c r="C125" t="s">
        <v>74</v>
      </c>
      <c r="D125" t="s">
        <v>244</v>
      </c>
      <c r="E125">
        <v>4</v>
      </c>
      <c r="F125" s="22">
        <f>J125*H125/J123</f>
        <v>32.774823529411776</v>
      </c>
      <c r="H125">
        <v>4.6900000000000004</v>
      </c>
      <c r="J125">
        <v>17.82</v>
      </c>
      <c r="M125" t="s">
        <v>288</v>
      </c>
    </row>
    <row r="126" spans="1:13" x14ac:dyDescent="0.25">
      <c r="A126" t="s">
        <v>284</v>
      </c>
      <c r="B126" t="s">
        <v>117</v>
      </c>
      <c r="C126" t="s">
        <v>61</v>
      </c>
      <c r="D126" t="s">
        <v>241</v>
      </c>
      <c r="E126">
        <v>5</v>
      </c>
      <c r="J126">
        <v>6.37</v>
      </c>
      <c r="K126">
        <v>7.4</v>
      </c>
      <c r="L126">
        <v>1.7</v>
      </c>
      <c r="M126" t="s">
        <v>289</v>
      </c>
    </row>
    <row r="127" spans="1:13" x14ac:dyDescent="0.25">
      <c r="A127" t="s">
        <v>284</v>
      </c>
      <c r="B127" t="s">
        <v>117</v>
      </c>
      <c r="C127" t="s">
        <v>61</v>
      </c>
      <c r="D127" t="s">
        <v>243</v>
      </c>
      <c r="E127">
        <v>5</v>
      </c>
      <c r="F127" s="22">
        <f>J127*H127/J126</f>
        <v>37.524803767660913</v>
      </c>
      <c r="H127" s="21">
        <f>100-H128</f>
        <v>79.150000000000006</v>
      </c>
      <c r="J127">
        <v>3.02</v>
      </c>
      <c r="M127" t="s">
        <v>289</v>
      </c>
    </row>
    <row r="128" spans="1:13" x14ac:dyDescent="0.25">
      <c r="A128" t="s">
        <v>284</v>
      </c>
      <c r="B128" t="s">
        <v>117</v>
      </c>
      <c r="C128" t="s">
        <v>61</v>
      </c>
      <c r="D128" t="s">
        <v>244</v>
      </c>
      <c r="E128">
        <v>5</v>
      </c>
      <c r="F128" s="22">
        <f>J128*H128/J126</f>
        <v>65.168524332810051</v>
      </c>
      <c r="H128">
        <v>20.85</v>
      </c>
      <c r="J128">
        <v>19.91</v>
      </c>
      <c r="M128" t="s">
        <v>289</v>
      </c>
    </row>
    <row r="129" spans="1:13" x14ac:dyDescent="0.25">
      <c r="A129" t="s">
        <v>284</v>
      </c>
      <c r="B129" t="s">
        <v>117</v>
      </c>
      <c r="C129" t="s">
        <v>61</v>
      </c>
      <c r="D129" t="s">
        <v>241</v>
      </c>
      <c r="E129">
        <v>6</v>
      </c>
      <c r="J129">
        <v>5.48</v>
      </c>
      <c r="K129">
        <v>7.4</v>
      </c>
      <c r="L129">
        <v>1.6</v>
      </c>
      <c r="M129" t="s">
        <v>290</v>
      </c>
    </row>
    <row r="130" spans="1:13" x14ac:dyDescent="0.25">
      <c r="A130" t="s">
        <v>284</v>
      </c>
      <c r="B130" t="s">
        <v>117</v>
      </c>
      <c r="C130" t="s">
        <v>61</v>
      </c>
      <c r="D130" t="s">
        <v>243</v>
      </c>
      <c r="E130">
        <v>6</v>
      </c>
      <c r="F130" s="22">
        <f>J130*H130/J129</f>
        <v>42.374087591240865</v>
      </c>
      <c r="H130" s="21">
        <f>100-H131</f>
        <v>84.44</v>
      </c>
      <c r="J130">
        <v>2.75</v>
      </c>
      <c r="M130" t="s">
        <v>290</v>
      </c>
    </row>
    <row r="131" spans="1:13" x14ac:dyDescent="0.25">
      <c r="A131" t="s">
        <v>284</v>
      </c>
      <c r="B131" t="s">
        <v>117</v>
      </c>
      <c r="C131" t="s">
        <v>61</v>
      </c>
      <c r="D131" t="s">
        <v>244</v>
      </c>
      <c r="E131">
        <v>6</v>
      </c>
      <c r="F131" s="22">
        <f>J131*H131/J129</f>
        <v>59.003065693430656</v>
      </c>
      <c r="H131">
        <v>15.56</v>
      </c>
      <c r="J131">
        <v>20.78</v>
      </c>
      <c r="M131" t="s">
        <v>290</v>
      </c>
    </row>
    <row r="132" spans="1:13" x14ac:dyDescent="0.25">
      <c r="A132" t="s">
        <v>284</v>
      </c>
      <c r="B132" t="s">
        <v>117</v>
      </c>
      <c r="C132" t="s">
        <v>61</v>
      </c>
      <c r="D132" t="s">
        <v>241</v>
      </c>
      <c r="E132">
        <v>7</v>
      </c>
      <c r="J132">
        <v>4.49</v>
      </c>
      <c r="K132">
        <v>7.9</v>
      </c>
      <c r="L132">
        <v>1.5</v>
      </c>
      <c r="M132" t="s">
        <v>291</v>
      </c>
    </row>
    <row r="133" spans="1:13" x14ac:dyDescent="0.25">
      <c r="A133" t="s">
        <v>284</v>
      </c>
      <c r="B133" t="s">
        <v>117</v>
      </c>
      <c r="C133" t="s">
        <v>61</v>
      </c>
      <c r="D133" t="s">
        <v>243</v>
      </c>
      <c r="E133">
        <v>7</v>
      </c>
      <c r="F133" s="22">
        <f>J133*H133/J132</f>
        <v>48.416525612472164</v>
      </c>
      <c r="H133" s="21">
        <f>100-H134</f>
        <v>88.37</v>
      </c>
      <c r="J133">
        <v>2.46</v>
      </c>
      <c r="M133" t="s">
        <v>291</v>
      </c>
    </row>
    <row r="134" spans="1:13" x14ac:dyDescent="0.25">
      <c r="A134" t="s">
        <v>284</v>
      </c>
      <c r="B134" t="s">
        <v>117</v>
      </c>
      <c r="C134" t="s">
        <v>61</v>
      </c>
      <c r="D134" t="s">
        <v>244</v>
      </c>
      <c r="E134">
        <v>7</v>
      </c>
      <c r="F134" s="22">
        <f>J134*H134/J132</f>
        <v>55.015857461024495</v>
      </c>
      <c r="H134">
        <v>11.63</v>
      </c>
      <c r="J134">
        <v>21.24</v>
      </c>
      <c r="M134" t="s">
        <v>291</v>
      </c>
    </row>
    <row r="135" spans="1:13" x14ac:dyDescent="0.25">
      <c r="A135" t="s">
        <v>284</v>
      </c>
      <c r="B135" t="s">
        <v>117</v>
      </c>
      <c r="C135" t="s">
        <v>137</v>
      </c>
      <c r="D135" t="s">
        <v>241</v>
      </c>
      <c r="E135">
        <v>8</v>
      </c>
      <c r="J135">
        <v>5.62</v>
      </c>
      <c r="K135">
        <v>8.3000000000000007</v>
      </c>
      <c r="L135">
        <v>2.8</v>
      </c>
      <c r="M135" t="s">
        <v>292</v>
      </c>
    </row>
    <row r="136" spans="1:13" x14ac:dyDescent="0.25">
      <c r="A136" t="s">
        <v>284</v>
      </c>
      <c r="B136" t="s">
        <v>117</v>
      </c>
      <c r="C136" t="s">
        <v>137</v>
      </c>
      <c r="D136" t="s">
        <v>243</v>
      </c>
      <c r="E136">
        <v>8</v>
      </c>
      <c r="F136" s="22">
        <f>J136*H136/J135</f>
        <v>34.235658362989327</v>
      </c>
      <c r="H136" s="21">
        <f>100-H137</f>
        <v>86.28</v>
      </c>
      <c r="J136">
        <v>2.23</v>
      </c>
      <c r="M136" t="s">
        <v>292</v>
      </c>
    </row>
    <row r="137" spans="1:13" x14ac:dyDescent="0.25">
      <c r="A137" t="s">
        <v>284</v>
      </c>
      <c r="B137" t="s">
        <v>117</v>
      </c>
      <c r="C137" t="s">
        <v>137</v>
      </c>
      <c r="D137" t="s">
        <v>244</v>
      </c>
      <c r="E137">
        <v>8</v>
      </c>
      <c r="F137" s="22">
        <f>J137*H137/J135</f>
        <v>68.551174377224186</v>
      </c>
      <c r="H137">
        <v>13.72</v>
      </c>
      <c r="J137">
        <v>28.08</v>
      </c>
      <c r="M137" t="s">
        <v>292</v>
      </c>
    </row>
    <row r="138" spans="1:13" x14ac:dyDescent="0.25">
      <c r="A138" t="s">
        <v>284</v>
      </c>
      <c r="B138" t="s">
        <v>117</v>
      </c>
      <c r="C138" t="s">
        <v>137</v>
      </c>
      <c r="D138" t="s">
        <v>241</v>
      </c>
      <c r="E138">
        <v>9</v>
      </c>
      <c r="J138">
        <v>6.53</v>
      </c>
      <c r="K138">
        <v>8.1</v>
      </c>
      <c r="L138">
        <v>4</v>
      </c>
      <c r="M138" t="s">
        <v>293</v>
      </c>
    </row>
    <row r="139" spans="1:13" x14ac:dyDescent="0.25">
      <c r="A139" t="s">
        <v>284</v>
      </c>
      <c r="B139" t="s">
        <v>117</v>
      </c>
      <c r="C139" t="s">
        <v>137</v>
      </c>
      <c r="D139" t="s">
        <v>243</v>
      </c>
      <c r="E139">
        <v>9</v>
      </c>
      <c r="F139" s="22">
        <f>J139*H139/J138</f>
        <v>32.093660030627866</v>
      </c>
      <c r="H139" s="21">
        <f>100-H140</f>
        <v>85.89</v>
      </c>
      <c r="J139">
        <v>2.44</v>
      </c>
      <c r="M139" t="s">
        <v>293</v>
      </c>
    </row>
    <row r="140" spans="1:13" x14ac:dyDescent="0.25">
      <c r="A140" t="s">
        <v>284</v>
      </c>
      <c r="B140" t="s">
        <v>117</v>
      </c>
      <c r="C140" t="s">
        <v>137</v>
      </c>
      <c r="D140" t="s">
        <v>244</v>
      </c>
      <c r="E140">
        <v>9</v>
      </c>
      <c r="F140" s="22">
        <f>J140*H140/J138</f>
        <v>54.603323124042873</v>
      </c>
      <c r="H140">
        <v>14.11</v>
      </c>
      <c r="J140">
        <v>25.27</v>
      </c>
      <c r="M140" t="s">
        <v>293</v>
      </c>
    </row>
    <row r="141" spans="1:13" x14ac:dyDescent="0.25">
      <c r="A141" t="s">
        <v>284</v>
      </c>
      <c r="B141" t="s">
        <v>117</v>
      </c>
      <c r="C141" t="s">
        <v>137</v>
      </c>
      <c r="D141" t="s">
        <v>241</v>
      </c>
      <c r="E141">
        <v>10</v>
      </c>
      <c r="J141">
        <v>3.55</v>
      </c>
      <c r="K141">
        <v>8.1</v>
      </c>
      <c r="L141">
        <v>3.1</v>
      </c>
      <c r="M141" t="s">
        <v>294</v>
      </c>
    </row>
    <row r="142" spans="1:13" x14ac:dyDescent="0.25">
      <c r="A142" t="s">
        <v>284</v>
      </c>
      <c r="B142" t="s">
        <v>117</v>
      </c>
      <c r="C142" t="s">
        <v>137</v>
      </c>
      <c r="D142" t="s">
        <v>243</v>
      </c>
      <c r="E142">
        <v>10</v>
      </c>
      <c r="F142" s="22">
        <f>J142*H142/J141</f>
        <v>50.341633802816908</v>
      </c>
      <c r="H142" s="21">
        <f>100-H143</f>
        <v>91.18</v>
      </c>
      <c r="J142">
        <v>1.96</v>
      </c>
      <c r="M142" t="s">
        <v>294</v>
      </c>
    </row>
    <row r="143" spans="1:13" x14ac:dyDescent="0.25">
      <c r="A143" t="s">
        <v>284</v>
      </c>
      <c r="B143" t="s">
        <v>117</v>
      </c>
      <c r="C143" t="s">
        <v>137</v>
      </c>
      <c r="D143" t="s">
        <v>244</v>
      </c>
      <c r="E143">
        <v>10</v>
      </c>
      <c r="F143" s="22">
        <f>J143*H143/J141</f>
        <v>74.510366197183103</v>
      </c>
      <c r="H143">
        <v>8.82</v>
      </c>
      <c r="J143">
        <v>29.99</v>
      </c>
      <c r="M143" t="s">
        <v>294</v>
      </c>
    </row>
    <row r="144" spans="1:13" x14ac:dyDescent="0.25">
      <c r="A144" t="s">
        <v>284</v>
      </c>
      <c r="B144" t="s">
        <v>117</v>
      </c>
      <c r="C144" t="s">
        <v>137</v>
      </c>
      <c r="D144" t="s">
        <v>241</v>
      </c>
      <c r="E144">
        <v>11</v>
      </c>
      <c r="J144">
        <v>3.94</v>
      </c>
      <c r="K144">
        <v>8.1999999999999993</v>
      </c>
      <c r="L144">
        <v>2.4</v>
      </c>
      <c r="M144" t="s">
        <v>295</v>
      </c>
    </row>
    <row r="145" spans="1:13" x14ac:dyDescent="0.25">
      <c r="A145" t="s">
        <v>284</v>
      </c>
      <c r="B145" t="s">
        <v>117</v>
      </c>
      <c r="C145" t="s">
        <v>137</v>
      </c>
      <c r="D145" t="s">
        <v>243</v>
      </c>
      <c r="E145">
        <v>11</v>
      </c>
      <c r="F145" s="22">
        <f>J145*H145/J144</f>
        <v>52.590609137055836</v>
      </c>
      <c r="H145" s="21">
        <f>100-H146</f>
        <v>90.09</v>
      </c>
      <c r="J145">
        <v>2.2999999999999998</v>
      </c>
      <c r="M145" t="s">
        <v>295</v>
      </c>
    </row>
    <row r="146" spans="1:13" x14ac:dyDescent="0.25">
      <c r="A146" t="s">
        <v>284</v>
      </c>
      <c r="B146" t="s">
        <v>117</v>
      </c>
      <c r="C146" t="s">
        <v>137</v>
      </c>
      <c r="D146" t="s">
        <v>244</v>
      </c>
      <c r="E146">
        <v>11</v>
      </c>
      <c r="F146" s="22">
        <f>J146*H146/J144</f>
        <v>50.782461928934019</v>
      </c>
      <c r="H146">
        <v>9.91</v>
      </c>
      <c r="J146">
        <v>20.190000000000001</v>
      </c>
      <c r="M146" t="s">
        <v>295</v>
      </c>
    </row>
    <row r="147" spans="1:13" x14ac:dyDescent="0.25">
      <c r="A147" t="s">
        <v>284</v>
      </c>
      <c r="B147" t="s">
        <v>139</v>
      </c>
      <c r="C147" t="s">
        <v>74</v>
      </c>
      <c r="D147" t="s">
        <v>241</v>
      </c>
      <c r="E147">
        <v>12</v>
      </c>
      <c r="J147">
        <v>5.32</v>
      </c>
      <c r="K147">
        <v>7.5</v>
      </c>
      <c r="L147">
        <v>3.6</v>
      </c>
      <c r="M147" t="s">
        <v>285</v>
      </c>
    </row>
    <row r="148" spans="1:13" x14ac:dyDescent="0.25">
      <c r="A148" t="s">
        <v>284</v>
      </c>
      <c r="B148" t="s">
        <v>139</v>
      </c>
      <c r="C148" t="s">
        <v>74</v>
      </c>
      <c r="D148" t="s">
        <v>243</v>
      </c>
      <c r="E148">
        <v>12</v>
      </c>
      <c r="F148" s="22">
        <f>J148*H148/J147</f>
        <v>76.523966165413526</v>
      </c>
      <c r="H148" s="21">
        <f>100-H149</f>
        <v>95.79</v>
      </c>
      <c r="J148">
        <v>4.25</v>
      </c>
      <c r="M148" t="s">
        <v>285</v>
      </c>
    </row>
    <row r="149" spans="1:13" x14ac:dyDescent="0.25">
      <c r="A149" t="s">
        <v>284</v>
      </c>
      <c r="B149" t="s">
        <v>139</v>
      </c>
      <c r="C149" t="s">
        <v>74</v>
      </c>
      <c r="D149" t="s">
        <v>244</v>
      </c>
      <c r="E149">
        <v>12</v>
      </c>
      <c r="F149" s="22">
        <f>J149*H149/J147</f>
        <v>27.254210526315784</v>
      </c>
      <c r="H149">
        <v>4.21</v>
      </c>
      <c r="J149">
        <v>34.44</v>
      </c>
      <c r="M149" t="s">
        <v>285</v>
      </c>
    </row>
    <row r="150" spans="1:13" x14ac:dyDescent="0.25">
      <c r="A150" t="s">
        <v>284</v>
      </c>
      <c r="B150" t="s">
        <v>139</v>
      </c>
      <c r="C150" t="s">
        <v>61</v>
      </c>
      <c r="D150" t="s">
        <v>241</v>
      </c>
      <c r="E150">
        <v>13</v>
      </c>
      <c r="J150">
        <v>6.37</v>
      </c>
      <c r="K150">
        <v>7.4</v>
      </c>
      <c r="L150">
        <v>1.7</v>
      </c>
      <c r="M150" t="s">
        <v>289</v>
      </c>
    </row>
    <row r="151" spans="1:13" x14ac:dyDescent="0.25">
      <c r="A151" t="s">
        <v>284</v>
      </c>
      <c r="B151" t="s">
        <v>139</v>
      </c>
      <c r="C151" t="s">
        <v>61</v>
      </c>
      <c r="D151" t="s">
        <v>243</v>
      </c>
      <c r="E151">
        <v>13</v>
      </c>
      <c r="F151" s="22">
        <f>J151*H151/J150</f>
        <v>68.883061224489779</v>
      </c>
      <c r="H151" s="21">
        <f>100-H152</f>
        <v>94.77</v>
      </c>
      <c r="J151">
        <v>4.63</v>
      </c>
      <c r="M151" t="s">
        <v>289</v>
      </c>
    </row>
    <row r="152" spans="1:13" x14ac:dyDescent="0.25">
      <c r="A152" t="s">
        <v>284</v>
      </c>
      <c r="B152" t="s">
        <v>139</v>
      </c>
      <c r="C152" t="s">
        <v>61</v>
      </c>
      <c r="D152" t="s">
        <v>244</v>
      </c>
      <c r="E152">
        <v>13</v>
      </c>
      <c r="F152" s="22">
        <f>J152*H152/J150</f>
        <v>29.943186813186813</v>
      </c>
      <c r="H152">
        <v>5.23</v>
      </c>
      <c r="J152">
        <v>36.47</v>
      </c>
      <c r="M152" t="s">
        <v>289</v>
      </c>
    </row>
    <row r="153" spans="1:13" x14ac:dyDescent="0.25">
      <c r="A153" t="s">
        <v>284</v>
      </c>
      <c r="B153" t="s">
        <v>139</v>
      </c>
      <c r="C153" t="s">
        <v>61</v>
      </c>
      <c r="D153" t="s">
        <v>241</v>
      </c>
      <c r="E153">
        <v>14</v>
      </c>
      <c r="J153">
        <v>4.49</v>
      </c>
      <c r="K153">
        <v>7.9</v>
      </c>
      <c r="L153">
        <v>1.5</v>
      </c>
      <c r="M153" t="s">
        <v>291</v>
      </c>
    </row>
    <row r="154" spans="1:13" x14ac:dyDescent="0.25">
      <c r="A154" t="s">
        <v>284</v>
      </c>
      <c r="B154" t="s">
        <v>139</v>
      </c>
      <c r="C154" t="s">
        <v>61</v>
      </c>
      <c r="D154" t="s">
        <v>243</v>
      </c>
      <c r="E154">
        <v>14</v>
      </c>
      <c r="F154" s="22">
        <f>J154*H154/J153</f>
        <v>87.636792873051235</v>
      </c>
      <c r="H154" s="21">
        <f>100-H155</f>
        <v>97.64</v>
      </c>
      <c r="J154">
        <v>4.03</v>
      </c>
      <c r="M154" t="s">
        <v>291</v>
      </c>
    </row>
    <row r="155" spans="1:13" x14ac:dyDescent="0.25">
      <c r="A155" t="s">
        <v>284</v>
      </c>
      <c r="B155" t="s">
        <v>139</v>
      </c>
      <c r="C155" t="s">
        <v>61</v>
      </c>
      <c r="D155" t="s">
        <v>244</v>
      </c>
      <c r="E155">
        <v>14</v>
      </c>
      <c r="F155" s="22">
        <f>J155*H155/J153</f>
        <v>13.124543429844095</v>
      </c>
      <c r="H155">
        <v>2.36</v>
      </c>
      <c r="J155">
        <v>24.97</v>
      </c>
      <c r="M155" t="s">
        <v>291</v>
      </c>
    </row>
    <row r="156" spans="1:13" x14ac:dyDescent="0.25">
      <c r="A156" t="s">
        <v>284</v>
      </c>
      <c r="B156" t="s">
        <v>139</v>
      </c>
      <c r="C156" t="s">
        <v>137</v>
      </c>
      <c r="D156" t="s">
        <v>241</v>
      </c>
      <c r="E156">
        <v>15</v>
      </c>
      <c r="J156">
        <v>5.62</v>
      </c>
      <c r="K156">
        <v>8.3000000000000007</v>
      </c>
      <c r="L156">
        <v>2.8</v>
      </c>
      <c r="M156" t="s">
        <v>292</v>
      </c>
    </row>
    <row r="157" spans="1:13" x14ac:dyDescent="0.25">
      <c r="A157" t="s">
        <v>284</v>
      </c>
      <c r="B157" t="s">
        <v>139</v>
      </c>
      <c r="C157" t="s">
        <v>137</v>
      </c>
      <c r="D157" t="s">
        <v>243</v>
      </c>
      <c r="E157">
        <v>15</v>
      </c>
      <c r="F157" s="22">
        <f>J157*H157/J156</f>
        <v>89.477669039145923</v>
      </c>
      <c r="H157" s="21">
        <f>100-H158</f>
        <v>96.15</v>
      </c>
      <c r="J157">
        <v>5.23</v>
      </c>
      <c r="M157" t="s">
        <v>292</v>
      </c>
    </row>
    <row r="158" spans="1:13" x14ac:dyDescent="0.25">
      <c r="A158" t="s">
        <v>284</v>
      </c>
      <c r="B158" t="s">
        <v>139</v>
      </c>
      <c r="C158" t="s">
        <v>137</v>
      </c>
      <c r="D158" t="s">
        <v>244</v>
      </c>
      <c r="E158">
        <v>15</v>
      </c>
      <c r="F158" s="22">
        <f>J158*H158/J156</f>
        <v>18.386832740213524</v>
      </c>
      <c r="H158">
        <v>3.85</v>
      </c>
      <c r="J158">
        <v>26.84</v>
      </c>
      <c r="M158" t="s">
        <v>292</v>
      </c>
    </row>
    <row r="159" spans="1:13" x14ac:dyDescent="0.25">
      <c r="A159" t="s">
        <v>284</v>
      </c>
      <c r="B159" t="s">
        <v>139</v>
      </c>
      <c r="C159" t="s">
        <v>137</v>
      </c>
      <c r="D159" t="s">
        <v>241</v>
      </c>
      <c r="E159">
        <v>16</v>
      </c>
      <c r="J159">
        <v>3.94</v>
      </c>
      <c r="K159">
        <v>8.1999999999999993</v>
      </c>
      <c r="L159">
        <v>2.4</v>
      </c>
      <c r="M159" t="s">
        <v>295</v>
      </c>
    </row>
    <row r="160" spans="1:13" x14ac:dyDescent="0.25">
      <c r="A160" t="s">
        <v>284</v>
      </c>
      <c r="B160" t="s">
        <v>139</v>
      </c>
      <c r="C160" t="s">
        <v>137</v>
      </c>
      <c r="D160" t="s">
        <v>243</v>
      </c>
      <c r="E160">
        <v>16</v>
      </c>
      <c r="F160" s="22">
        <f>J160*H160/J159</f>
        <v>72.716751269035541</v>
      </c>
      <c r="H160" s="21">
        <f>100-H161</f>
        <v>97.12</v>
      </c>
      <c r="J160">
        <v>2.95</v>
      </c>
      <c r="M160" t="s">
        <v>295</v>
      </c>
    </row>
    <row r="161" spans="1:13" x14ac:dyDescent="0.25">
      <c r="A161" t="s">
        <v>284</v>
      </c>
      <c r="B161" t="s">
        <v>139</v>
      </c>
      <c r="C161" t="s">
        <v>137</v>
      </c>
      <c r="D161" t="s">
        <v>244</v>
      </c>
      <c r="E161">
        <v>16</v>
      </c>
      <c r="F161" s="22">
        <f>J161*H161/J159</f>
        <v>21.811979695431472</v>
      </c>
      <c r="H161">
        <v>2.88</v>
      </c>
      <c r="J161">
        <v>29.84</v>
      </c>
      <c r="M161" t="s">
        <v>295</v>
      </c>
    </row>
    <row r="162" spans="1:13" x14ac:dyDescent="0.25">
      <c r="A162" t="s">
        <v>296</v>
      </c>
      <c r="B162" t="s">
        <v>117</v>
      </c>
      <c r="C162" t="s">
        <v>74</v>
      </c>
      <c r="D162" t="s">
        <v>241</v>
      </c>
      <c r="E162">
        <v>1</v>
      </c>
      <c r="J162">
        <v>5.0999999999999996</v>
      </c>
      <c r="L162">
        <v>3.9</v>
      </c>
      <c r="M162" t="s">
        <v>297</v>
      </c>
    </row>
    <row r="163" spans="1:13" x14ac:dyDescent="0.25">
      <c r="A163" t="s">
        <v>296</v>
      </c>
      <c r="B163" t="s">
        <v>117</v>
      </c>
      <c r="C163" t="s">
        <v>74</v>
      </c>
      <c r="D163" t="s">
        <v>243</v>
      </c>
      <c r="E163">
        <v>1</v>
      </c>
      <c r="F163" s="21">
        <f>100-F164</f>
        <v>48.9</v>
      </c>
      <c r="G163" s="21">
        <f t="shared" ref="G163:H163" si="0">100-G164</f>
        <v>90.2</v>
      </c>
      <c r="H163" s="21">
        <f t="shared" si="0"/>
        <v>90.8</v>
      </c>
      <c r="J163">
        <v>2.76</v>
      </c>
      <c r="L163">
        <v>3.8</v>
      </c>
      <c r="M163" t="s">
        <v>297</v>
      </c>
    </row>
    <row r="164" spans="1:13" x14ac:dyDescent="0.25">
      <c r="A164" t="s">
        <v>296</v>
      </c>
      <c r="B164" t="s">
        <v>117</v>
      </c>
      <c r="C164" t="s">
        <v>74</v>
      </c>
      <c r="D164" t="s">
        <v>244</v>
      </c>
      <c r="E164">
        <v>1</v>
      </c>
      <c r="F164">
        <v>51.1</v>
      </c>
      <c r="G164">
        <v>9.8000000000000007</v>
      </c>
      <c r="H164">
        <v>9.1999999999999993</v>
      </c>
      <c r="I164" t="s">
        <v>104</v>
      </c>
      <c r="J164">
        <v>32.700000000000003</v>
      </c>
      <c r="L164">
        <v>4</v>
      </c>
      <c r="M164" t="s">
        <v>297</v>
      </c>
    </row>
    <row r="165" spans="1:13" x14ac:dyDescent="0.25">
      <c r="A165" t="s">
        <v>296</v>
      </c>
      <c r="B165" t="s">
        <v>117</v>
      </c>
      <c r="C165" t="s">
        <v>74</v>
      </c>
      <c r="D165" t="s">
        <v>241</v>
      </c>
      <c r="E165">
        <v>2</v>
      </c>
      <c r="J165">
        <v>4</v>
      </c>
      <c r="L165">
        <v>2.7</v>
      </c>
      <c r="M165" t="s">
        <v>298</v>
      </c>
    </row>
    <row r="166" spans="1:13" x14ac:dyDescent="0.25">
      <c r="A166" t="s">
        <v>296</v>
      </c>
      <c r="B166" t="s">
        <v>117</v>
      </c>
      <c r="C166" t="s">
        <v>74</v>
      </c>
      <c r="D166" t="s">
        <v>243</v>
      </c>
      <c r="E166">
        <v>2</v>
      </c>
      <c r="F166" s="21">
        <f>100-F167</f>
        <v>48.2</v>
      </c>
      <c r="G166" s="21">
        <f t="shared" ref="G166:H166" si="1">100-G167</f>
        <v>92.6</v>
      </c>
      <c r="H166" s="21">
        <f t="shared" si="1"/>
        <v>93.4</v>
      </c>
      <c r="J166">
        <v>2.0699999999999998</v>
      </c>
      <c r="L166">
        <v>2.6</v>
      </c>
      <c r="M166" t="s">
        <v>298</v>
      </c>
    </row>
    <row r="167" spans="1:13" x14ac:dyDescent="0.25">
      <c r="A167" t="s">
        <v>296</v>
      </c>
      <c r="B167" t="s">
        <v>117</v>
      </c>
      <c r="C167" t="s">
        <v>74</v>
      </c>
      <c r="D167" t="s">
        <v>244</v>
      </c>
      <c r="E167">
        <v>2</v>
      </c>
      <c r="F167">
        <v>51.8</v>
      </c>
      <c r="G167">
        <v>7.4</v>
      </c>
      <c r="H167">
        <v>6.6</v>
      </c>
      <c r="I167" t="s">
        <v>104</v>
      </c>
      <c r="J167">
        <v>32.700000000000003</v>
      </c>
      <c r="L167">
        <v>3.1</v>
      </c>
      <c r="M167" t="s">
        <v>298</v>
      </c>
    </row>
    <row r="168" spans="1:13" x14ac:dyDescent="0.25">
      <c r="A168" t="s">
        <v>296</v>
      </c>
      <c r="B168" t="s">
        <v>117</v>
      </c>
      <c r="C168" t="s">
        <v>137</v>
      </c>
      <c r="D168" t="s">
        <v>241</v>
      </c>
      <c r="E168">
        <v>3</v>
      </c>
      <c r="J168">
        <v>3.2</v>
      </c>
      <c r="L168">
        <v>3.8</v>
      </c>
      <c r="M168" t="s">
        <v>299</v>
      </c>
    </row>
    <row r="169" spans="1:13" x14ac:dyDescent="0.25">
      <c r="A169" t="s">
        <v>296</v>
      </c>
      <c r="B169" t="s">
        <v>117</v>
      </c>
      <c r="C169" t="s">
        <v>137</v>
      </c>
      <c r="D169" t="s">
        <v>243</v>
      </c>
      <c r="E169">
        <v>3</v>
      </c>
      <c r="F169" s="21">
        <f>100-F170</f>
        <v>52.5</v>
      </c>
      <c r="G169" s="21">
        <f t="shared" ref="G169:H169" si="2">100-G170</f>
        <v>94</v>
      </c>
      <c r="H169" s="21">
        <f t="shared" si="2"/>
        <v>95.7</v>
      </c>
      <c r="J169">
        <v>1.63</v>
      </c>
      <c r="L169">
        <v>3.4</v>
      </c>
      <c r="M169" t="s">
        <v>299</v>
      </c>
    </row>
    <row r="170" spans="1:13" x14ac:dyDescent="0.25">
      <c r="A170" t="s">
        <v>296</v>
      </c>
      <c r="B170" t="s">
        <v>117</v>
      </c>
      <c r="C170" t="s">
        <v>137</v>
      </c>
      <c r="D170" t="s">
        <v>244</v>
      </c>
      <c r="E170">
        <v>3</v>
      </c>
      <c r="F170">
        <v>47.5</v>
      </c>
      <c r="G170">
        <v>6</v>
      </c>
      <c r="H170">
        <v>4.3</v>
      </c>
      <c r="I170" t="s">
        <v>104</v>
      </c>
      <c r="J170">
        <v>32.6</v>
      </c>
      <c r="L170">
        <v>4.7</v>
      </c>
      <c r="M170" t="s">
        <v>299</v>
      </c>
    </row>
    <row r="171" spans="1:13" x14ac:dyDescent="0.25">
      <c r="A171" t="s">
        <v>296</v>
      </c>
      <c r="B171" t="s">
        <v>117</v>
      </c>
      <c r="C171" t="s">
        <v>61</v>
      </c>
      <c r="D171" t="s">
        <v>241</v>
      </c>
      <c r="E171">
        <v>4</v>
      </c>
      <c r="J171">
        <v>7</v>
      </c>
      <c r="L171">
        <v>2.2000000000000002</v>
      </c>
      <c r="M171" t="s">
        <v>300</v>
      </c>
    </row>
    <row r="172" spans="1:13" x14ac:dyDescent="0.25">
      <c r="A172" t="s">
        <v>296</v>
      </c>
      <c r="B172" t="s">
        <v>117</v>
      </c>
      <c r="C172" t="s">
        <v>61</v>
      </c>
      <c r="D172" t="s">
        <v>243</v>
      </c>
      <c r="E172">
        <v>4</v>
      </c>
      <c r="F172" s="21">
        <f>100-F173</f>
        <v>37.299999999999997</v>
      </c>
      <c r="G172" s="21">
        <f t="shared" ref="G172:H172" si="3">100-G173</f>
        <v>83.9</v>
      </c>
      <c r="H172" s="21">
        <f t="shared" si="3"/>
        <v>77.5</v>
      </c>
      <c r="J172">
        <v>3.77</v>
      </c>
      <c r="L172">
        <v>2.2999999999999998</v>
      </c>
      <c r="M172" t="s">
        <v>300</v>
      </c>
    </row>
    <row r="173" spans="1:13" x14ac:dyDescent="0.25">
      <c r="A173" t="s">
        <v>296</v>
      </c>
      <c r="B173" t="s">
        <v>117</v>
      </c>
      <c r="C173" t="s">
        <v>61</v>
      </c>
      <c r="D173" t="s">
        <v>244</v>
      </c>
      <c r="E173">
        <v>4</v>
      </c>
      <c r="F173">
        <v>62.7</v>
      </c>
      <c r="G173">
        <v>16.100000000000001</v>
      </c>
      <c r="H173">
        <v>22.5</v>
      </c>
      <c r="I173" t="s">
        <v>104</v>
      </c>
      <c r="J173">
        <v>21.1</v>
      </c>
      <c r="L173">
        <v>1.7</v>
      </c>
      <c r="M173" t="s">
        <v>300</v>
      </c>
    </row>
    <row r="174" spans="1:13" x14ac:dyDescent="0.25">
      <c r="A174" t="s">
        <v>296</v>
      </c>
      <c r="B174" t="s">
        <v>117</v>
      </c>
      <c r="C174" t="s">
        <v>74</v>
      </c>
      <c r="D174" t="s">
        <v>241</v>
      </c>
      <c r="E174">
        <v>5</v>
      </c>
      <c r="J174">
        <v>6.8</v>
      </c>
      <c r="L174">
        <v>4.62</v>
      </c>
      <c r="M174" t="s">
        <v>301</v>
      </c>
    </row>
    <row r="175" spans="1:13" x14ac:dyDescent="0.25">
      <c r="A175" t="s">
        <v>296</v>
      </c>
      <c r="B175" t="s">
        <v>117</v>
      </c>
      <c r="C175" t="s">
        <v>74</v>
      </c>
      <c r="D175" t="s">
        <v>243</v>
      </c>
      <c r="E175">
        <v>5</v>
      </c>
      <c r="F175" s="21">
        <f>100-F176</f>
        <v>37.700000000000003</v>
      </c>
      <c r="G175" s="21">
        <f t="shared" ref="G175:H175" si="4">100-G176</f>
        <v>90.8</v>
      </c>
      <c r="H175" s="21">
        <f t="shared" si="4"/>
        <v>88</v>
      </c>
      <c r="J175">
        <v>2.84</v>
      </c>
      <c r="L175">
        <v>4.5</v>
      </c>
      <c r="M175" t="s">
        <v>301</v>
      </c>
    </row>
    <row r="176" spans="1:13" x14ac:dyDescent="0.25">
      <c r="A176" t="s">
        <v>296</v>
      </c>
      <c r="B176" t="s">
        <v>117</v>
      </c>
      <c r="C176" t="s">
        <v>74</v>
      </c>
      <c r="D176" t="s">
        <v>244</v>
      </c>
      <c r="E176">
        <v>5</v>
      </c>
      <c r="F176">
        <v>62.3</v>
      </c>
      <c r="G176">
        <v>9.1999999999999993</v>
      </c>
      <c r="H176">
        <v>12</v>
      </c>
      <c r="I176" t="s">
        <v>104</v>
      </c>
      <c r="J176">
        <v>34.299999999999997</v>
      </c>
      <c r="L176">
        <v>3.3</v>
      </c>
      <c r="M176" t="s">
        <v>301</v>
      </c>
    </row>
    <row r="177" spans="1:13" x14ac:dyDescent="0.25">
      <c r="A177" t="s">
        <v>296</v>
      </c>
      <c r="B177" t="s">
        <v>117</v>
      </c>
      <c r="C177" t="s">
        <v>74</v>
      </c>
      <c r="D177" t="s">
        <v>241</v>
      </c>
      <c r="E177">
        <v>6</v>
      </c>
      <c r="J177">
        <v>6.8</v>
      </c>
      <c r="L177">
        <v>4.62</v>
      </c>
      <c r="M177" t="s">
        <v>301</v>
      </c>
    </row>
    <row r="178" spans="1:13" x14ac:dyDescent="0.25">
      <c r="A178" t="s">
        <v>296</v>
      </c>
      <c r="B178" t="s">
        <v>117</v>
      </c>
      <c r="C178" t="s">
        <v>74</v>
      </c>
      <c r="D178" t="s">
        <v>243</v>
      </c>
      <c r="E178">
        <v>6</v>
      </c>
      <c r="F178" s="21">
        <f>100-F179</f>
        <v>30.900000000000006</v>
      </c>
      <c r="G178" s="21">
        <f t="shared" ref="G178:H178" si="5">100-G179</f>
        <v>87.4</v>
      </c>
      <c r="H178" s="21">
        <f t="shared" si="5"/>
        <v>84</v>
      </c>
      <c r="J178">
        <v>2.77</v>
      </c>
      <c r="L178">
        <v>4.5999999999999996</v>
      </c>
      <c r="M178" t="s">
        <v>301</v>
      </c>
    </row>
    <row r="179" spans="1:13" x14ac:dyDescent="0.25">
      <c r="A179" t="s">
        <v>296</v>
      </c>
      <c r="B179" t="s">
        <v>117</v>
      </c>
      <c r="C179" t="s">
        <v>74</v>
      </c>
      <c r="D179" t="s">
        <v>244</v>
      </c>
      <c r="E179">
        <v>6</v>
      </c>
      <c r="F179">
        <v>69.099999999999994</v>
      </c>
      <c r="G179">
        <v>12.6</v>
      </c>
      <c r="H179">
        <v>16</v>
      </c>
      <c r="I179" t="s">
        <v>104</v>
      </c>
      <c r="J179">
        <v>32.5</v>
      </c>
      <c r="L179">
        <v>3.5</v>
      </c>
      <c r="M179" t="s">
        <v>301</v>
      </c>
    </row>
    <row r="180" spans="1:13" x14ac:dyDescent="0.25">
      <c r="A180" t="s">
        <v>296</v>
      </c>
      <c r="B180" t="s">
        <v>117</v>
      </c>
      <c r="C180" t="s">
        <v>74</v>
      </c>
      <c r="D180" t="s">
        <v>241</v>
      </c>
      <c r="E180">
        <v>7</v>
      </c>
      <c r="J180">
        <v>6.8</v>
      </c>
      <c r="L180">
        <v>4.62</v>
      </c>
      <c r="M180" t="s">
        <v>301</v>
      </c>
    </row>
    <row r="181" spans="1:13" x14ac:dyDescent="0.25">
      <c r="A181" t="s">
        <v>296</v>
      </c>
      <c r="B181" t="s">
        <v>117</v>
      </c>
      <c r="C181" t="s">
        <v>74</v>
      </c>
      <c r="D181" t="s">
        <v>243</v>
      </c>
      <c r="E181">
        <v>7</v>
      </c>
      <c r="F181" s="21">
        <f>100-F182</f>
        <v>30.299999999999997</v>
      </c>
      <c r="G181" s="21">
        <f t="shared" ref="G181:H181" si="6">100-G182</f>
        <v>79</v>
      </c>
      <c r="H181" s="21">
        <f t="shared" si="6"/>
        <v>81.3</v>
      </c>
      <c r="J181">
        <v>2.56</v>
      </c>
      <c r="L181">
        <v>4.2</v>
      </c>
      <c r="M181" t="s">
        <v>301</v>
      </c>
    </row>
    <row r="182" spans="1:13" x14ac:dyDescent="0.25">
      <c r="A182" t="s">
        <v>296</v>
      </c>
      <c r="B182" t="s">
        <v>117</v>
      </c>
      <c r="C182" t="s">
        <v>74</v>
      </c>
      <c r="D182" t="s">
        <v>244</v>
      </c>
      <c r="E182">
        <v>7</v>
      </c>
      <c r="F182">
        <v>69.7</v>
      </c>
      <c r="G182">
        <v>21</v>
      </c>
      <c r="H182">
        <v>18.7</v>
      </c>
      <c r="I182" t="s">
        <v>104</v>
      </c>
      <c r="J182">
        <v>25.6</v>
      </c>
      <c r="L182">
        <v>4.8</v>
      </c>
      <c r="M182" t="s">
        <v>301</v>
      </c>
    </row>
    <row r="183" spans="1:13" x14ac:dyDescent="0.25">
      <c r="A183" t="s">
        <v>296</v>
      </c>
      <c r="B183" t="s">
        <v>117</v>
      </c>
      <c r="C183" t="s">
        <v>74</v>
      </c>
      <c r="D183" t="s">
        <v>241</v>
      </c>
      <c r="E183">
        <v>8</v>
      </c>
      <c r="J183">
        <v>6.8</v>
      </c>
      <c r="L183">
        <v>4.62</v>
      </c>
      <c r="M183" t="s">
        <v>301</v>
      </c>
    </row>
    <row r="184" spans="1:13" x14ac:dyDescent="0.25">
      <c r="A184" t="s">
        <v>296</v>
      </c>
      <c r="B184" t="s">
        <v>117</v>
      </c>
      <c r="C184" t="s">
        <v>74</v>
      </c>
      <c r="D184" t="s">
        <v>243</v>
      </c>
      <c r="E184">
        <v>8</v>
      </c>
      <c r="F184" s="21">
        <f>100-F185</f>
        <v>29.599999999999994</v>
      </c>
      <c r="G184" s="21">
        <f t="shared" ref="G184:H184" si="7">100-G185</f>
        <v>74</v>
      </c>
      <c r="H184" s="21">
        <f t="shared" si="7"/>
        <v>74</v>
      </c>
      <c r="J184">
        <v>2.75</v>
      </c>
      <c r="L184">
        <v>4.5999999999999996</v>
      </c>
      <c r="M184" t="s">
        <v>301</v>
      </c>
    </row>
    <row r="185" spans="1:13" x14ac:dyDescent="0.25">
      <c r="A185" t="s">
        <v>296</v>
      </c>
      <c r="B185" t="s">
        <v>117</v>
      </c>
      <c r="C185" t="s">
        <v>74</v>
      </c>
      <c r="D185" t="s">
        <v>244</v>
      </c>
      <c r="E185">
        <v>8</v>
      </c>
      <c r="F185">
        <v>70.400000000000006</v>
      </c>
      <c r="G185">
        <v>26</v>
      </c>
      <c r="H185">
        <v>26</v>
      </c>
      <c r="I185" t="s">
        <v>104</v>
      </c>
      <c r="J185">
        <v>18.600000000000001</v>
      </c>
      <c r="L185">
        <v>4.5999999999999996</v>
      </c>
      <c r="M185" t="s">
        <v>301</v>
      </c>
    </row>
    <row r="186" spans="1:13" x14ac:dyDescent="0.25">
      <c r="A186" t="s">
        <v>296</v>
      </c>
      <c r="B186" t="s">
        <v>117</v>
      </c>
      <c r="C186" t="s">
        <v>74</v>
      </c>
      <c r="D186" t="s">
        <v>241</v>
      </c>
      <c r="E186">
        <v>9</v>
      </c>
      <c r="J186">
        <v>6.8</v>
      </c>
      <c r="L186">
        <v>4.62</v>
      </c>
      <c r="M186" t="s">
        <v>301</v>
      </c>
    </row>
    <row r="187" spans="1:13" x14ac:dyDescent="0.25">
      <c r="A187" t="s">
        <v>296</v>
      </c>
      <c r="B187" t="s">
        <v>117</v>
      </c>
      <c r="C187" t="s">
        <v>74</v>
      </c>
      <c r="D187" t="s">
        <v>243</v>
      </c>
      <c r="E187">
        <v>9</v>
      </c>
      <c r="F187" s="21">
        <f>100-F188</f>
        <v>44.5</v>
      </c>
      <c r="G187" s="21">
        <f t="shared" ref="G187:H187" si="8">100-G188</f>
        <v>92.6</v>
      </c>
      <c r="H187" s="21">
        <f t="shared" si="8"/>
        <v>90.4</v>
      </c>
      <c r="J187">
        <v>2.81</v>
      </c>
      <c r="L187">
        <v>4.5999999999999996</v>
      </c>
      <c r="M187" t="s">
        <v>301</v>
      </c>
    </row>
    <row r="188" spans="1:13" x14ac:dyDescent="0.25">
      <c r="A188" t="s">
        <v>296</v>
      </c>
      <c r="B188" t="s">
        <v>117</v>
      </c>
      <c r="C188" t="s">
        <v>74</v>
      </c>
      <c r="D188" t="s">
        <v>244</v>
      </c>
      <c r="E188">
        <v>9</v>
      </c>
      <c r="F188">
        <v>55.5</v>
      </c>
      <c r="G188">
        <v>7.4</v>
      </c>
      <c r="H188">
        <v>9.6</v>
      </c>
      <c r="I188" t="s">
        <v>104</v>
      </c>
      <c r="J188">
        <v>27.9</v>
      </c>
      <c r="L188">
        <v>3.6</v>
      </c>
      <c r="M188" t="s">
        <v>301</v>
      </c>
    </row>
    <row r="189" spans="1:13" x14ac:dyDescent="0.25">
      <c r="A189" t="s">
        <v>296</v>
      </c>
      <c r="B189" t="s">
        <v>117</v>
      </c>
      <c r="C189" t="s">
        <v>74</v>
      </c>
      <c r="D189" t="s">
        <v>241</v>
      </c>
      <c r="E189">
        <v>10</v>
      </c>
      <c r="J189">
        <v>6.8</v>
      </c>
      <c r="L189">
        <v>4.62</v>
      </c>
      <c r="M189" t="s">
        <v>301</v>
      </c>
    </row>
    <row r="190" spans="1:13" x14ac:dyDescent="0.25">
      <c r="A190" t="s">
        <v>296</v>
      </c>
      <c r="B190" t="s">
        <v>117</v>
      </c>
      <c r="C190" t="s">
        <v>74</v>
      </c>
      <c r="D190" t="s">
        <v>243</v>
      </c>
      <c r="E190">
        <v>10</v>
      </c>
      <c r="F190" s="21">
        <f>100-F191</f>
        <v>41.6</v>
      </c>
      <c r="G190" s="21">
        <f>100-G191</f>
        <v>90.1</v>
      </c>
      <c r="H190" s="21">
        <f>100-H191</f>
        <v>89</v>
      </c>
      <c r="J190">
        <v>2.81</v>
      </c>
      <c r="L190">
        <v>4.5999999999999996</v>
      </c>
      <c r="M190" t="s">
        <v>301</v>
      </c>
    </row>
    <row r="191" spans="1:13" x14ac:dyDescent="0.25">
      <c r="A191" t="s">
        <v>296</v>
      </c>
      <c r="B191" t="s">
        <v>117</v>
      </c>
      <c r="C191" t="s">
        <v>74</v>
      </c>
      <c r="D191" t="s">
        <v>244</v>
      </c>
      <c r="E191">
        <v>10</v>
      </c>
      <c r="F191">
        <v>58.4</v>
      </c>
      <c r="G191">
        <v>9.9</v>
      </c>
      <c r="H191">
        <v>11</v>
      </c>
      <c r="I191" t="s">
        <v>104</v>
      </c>
      <c r="J191">
        <v>31.9</v>
      </c>
      <c r="L191">
        <v>4.0999999999999996</v>
      </c>
      <c r="M191" t="s">
        <v>301</v>
      </c>
    </row>
    <row r="192" spans="1:13" x14ac:dyDescent="0.25">
      <c r="A192" t="s">
        <v>296</v>
      </c>
      <c r="B192" t="s">
        <v>117</v>
      </c>
      <c r="C192" t="s">
        <v>74</v>
      </c>
      <c r="D192" t="s">
        <v>241</v>
      </c>
      <c r="E192">
        <v>11</v>
      </c>
      <c r="J192">
        <v>6.8</v>
      </c>
      <c r="L192">
        <v>4.62</v>
      </c>
      <c r="M192" t="s">
        <v>301</v>
      </c>
    </row>
    <row r="193" spans="1:13" x14ac:dyDescent="0.25">
      <c r="A193" t="s">
        <v>296</v>
      </c>
      <c r="B193" t="s">
        <v>117</v>
      </c>
      <c r="C193" t="s">
        <v>74</v>
      </c>
      <c r="D193" t="s">
        <v>243</v>
      </c>
      <c r="E193">
        <v>11</v>
      </c>
      <c r="F193" s="21">
        <f>100-F194</f>
        <v>30.900000000000006</v>
      </c>
      <c r="G193" s="21">
        <f t="shared" ref="G193:H193" si="9">100-G194</f>
        <v>87.4</v>
      </c>
      <c r="H193" s="21">
        <f t="shared" si="9"/>
        <v>84</v>
      </c>
      <c r="J193">
        <v>2.77</v>
      </c>
      <c r="L193">
        <v>4.5999999999999996</v>
      </c>
      <c r="M193" t="s">
        <v>301</v>
      </c>
    </row>
    <row r="194" spans="1:13" x14ac:dyDescent="0.25">
      <c r="A194" t="s">
        <v>296</v>
      </c>
      <c r="B194" t="s">
        <v>117</v>
      </c>
      <c r="C194" t="s">
        <v>74</v>
      </c>
      <c r="D194" t="s">
        <v>244</v>
      </c>
      <c r="E194">
        <v>11</v>
      </c>
      <c r="F194">
        <v>69.099999999999994</v>
      </c>
      <c r="G194">
        <v>12.6</v>
      </c>
      <c r="H194">
        <v>16</v>
      </c>
      <c r="I194" t="s">
        <v>104</v>
      </c>
      <c r="J194">
        <v>32.5</v>
      </c>
      <c r="L194">
        <v>3.5</v>
      </c>
      <c r="M194" t="s">
        <v>301</v>
      </c>
    </row>
    <row r="195" spans="1:13" x14ac:dyDescent="0.25">
      <c r="A195" t="s">
        <v>296</v>
      </c>
      <c r="B195" t="s">
        <v>117</v>
      </c>
      <c r="C195" t="s">
        <v>74</v>
      </c>
      <c r="D195" t="s">
        <v>241</v>
      </c>
      <c r="E195">
        <v>12</v>
      </c>
      <c r="J195">
        <v>8.9</v>
      </c>
      <c r="L195">
        <v>4.5599999999999996</v>
      </c>
      <c r="M195" t="s">
        <v>302</v>
      </c>
    </row>
    <row r="196" spans="1:13" x14ac:dyDescent="0.25">
      <c r="A196" t="s">
        <v>296</v>
      </c>
      <c r="B196" t="s">
        <v>117</v>
      </c>
      <c r="C196" t="s">
        <v>74</v>
      </c>
      <c r="D196" t="s">
        <v>243</v>
      </c>
      <c r="E196">
        <v>12</v>
      </c>
      <c r="F196" s="21">
        <f>100-F197</f>
        <v>30.599999999999994</v>
      </c>
      <c r="G196" s="21">
        <f t="shared" ref="G196:H196" si="10">100-G197</f>
        <v>77.7</v>
      </c>
      <c r="H196" s="21">
        <f t="shared" si="10"/>
        <v>78.2</v>
      </c>
      <c r="J196">
        <v>4.04</v>
      </c>
      <c r="L196">
        <v>4.58</v>
      </c>
      <c r="M196" t="s">
        <v>302</v>
      </c>
    </row>
    <row r="197" spans="1:13" x14ac:dyDescent="0.25">
      <c r="A197" t="s">
        <v>296</v>
      </c>
      <c r="B197" t="s">
        <v>117</v>
      </c>
      <c r="C197" t="s">
        <v>74</v>
      </c>
      <c r="D197" t="s">
        <v>244</v>
      </c>
      <c r="E197">
        <v>12</v>
      </c>
      <c r="F197">
        <v>69.400000000000006</v>
      </c>
      <c r="G197">
        <v>22.3</v>
      </c>
      <c r="H197">
        <v>21.8</v>
      </c>
      <c r="I197" t="s">
        <v>104</v>
      </c>
      <c r="J197">
        <v>33</v>
      </c>
      <c r="L197">
        <v>4.72</v>
      </c>
      <c r="M197" t="s">
        <v>302</v>
      </c>
    </row>
    <row r="198" spans="1:13" x14ac:dyDescent="0.25">
      <c r="A198" t="s">
        <v>296</v>
      </c>
      <c r="B198" t="s">
        <v>117</v>
      </c>
      <c r="C198" t="s">
        <v>74</v>
      </c>
      <c r="D198" t="s">
        <v>241</v>
      </c>
      <c r="E198">
        <v>13</v>
      </c>
      <c r="J198">
        <v>8.9</v>
      </c>
      <c r="L198">
        <v>4.5599999999999996</v>
      </c>
      <c r="M198" t="s">
        <v>302</v>
      </c>
    </row>
    <row r="199" spans="1:13" x14ac:dyDescent="0.25">
      <c r="A199" t="s">
        <v>296</v>
      </c>
      <c r="B199" t="s">
        <v>117</v>
      </c>
      <c r="C199" t="s">
        <v>74</v>
      </c>
      <c r="D199" t="s">
        <v>243</v>
      </c>
      <c r="E199">
        <v>13</v>
      </c>
      <c r="F199" s="21">
        <f>100-F200</f>
        <v>31.299999999999997</v>
      </c>
      <c r="G199" s="21">
        <f t="shared" ref="G199:H199" si="11">100-G200</f>
        <v>77.3</v>
      </c>
      <c r="H199" s="21">
        <f t="shared" si="11"/>
        <v>79.3</v>
      </c>
      <c r="J199">
        <v>4</v>
      </c>
      <c r="L199">
        <v>455</v>
      </c>
      <c r="M199" t="s">
        <v>302</v>
      </c>
    </row>
    <row r="200" spans="1:13" x14ac:dyDescent="0.25">
      <c r="A200" t="s">
        <v>296</v>
      </c>
      <c r="B200" t="s">
        <v>117</v>
      </c>
      <c r="C200" t="s">
        <v>74</v>
      </c>
      <c r="D200" t="s">
        <v>244</v>
      </c>
      <c r="E200">
        <v>13</v>
      </c>
      <c r="F200">
        <v>68.7</v>
      </c>
      <c r="G200">
        <v>22.7</v>
      </c>
      <c r="H200">
        <v>20.7</v>
      </c>
      <c r="I200" t="s">
        <v>104</v>
      </c>
      <c r="J200">
        <v>33.9</v>
      </c>
      <c r="L200">
        <v>5.13</v>
      </c>
      <c r="M200" t="s">
        <v>302</v>
      </c>
    </row>
    <row r="201" spans="1:13" x14ac:dyDescent="0.25">
      <c r="A201" t="s">
        <v>296</v>
      </c>
      <c r="B201" t="s">
        <v>117</v>
      </c>
      <c r="C201" t="s">
        <v>74</v>
      </c>
      <c r="D201" t="s">
        <v>241</v>
      </c>
      <c r="E201">
        <v>14</v>
      </c>
      <c r="J201">
        <v>8.9</v>
      </c>
      <c r="L201">
        <v>4.5599999999999996</v>
      </c>
      <c r="M201" t="s">
        <v>302</v>
      </c>
    </row>
    <row r="202" spans="1:13" x14ac:dyDescent="0.25">
      <c r="A202" t="s">
        <v>296</v>
      </c>
      <c r="B202" t="s">
        <v>117</v>
      </c>
      <c r="C202" t="s">
        <v>74</v>
      </c>
      <c r="D202" t="s">
        <v>243</v>
      </c>
      <c r="E202">
        <v>14</v>
      </c>
      <c r="F202" s="21">
        <f>100-F203</f>
        <v>30.700000000000003</v>
      </c>
      <c r="G202" s="21">
        <f t="shared" ref="G202:H202" si="12">100-G203</f>
        <v>82</v>
      </c>
      <c r="H202" s="21">
        <f t="shared" si="12"/>
        <v>82.4</v>
      </c>
      <c r="J202">
        <v>3.9</v>
      </c>
      <c r="L202">
        <v>4.5999999999999996</v>
      </c>
      <c r="M202" t="s">
        <v>302</v>
      </c>
    </row>
    <row r="203" spans="1:13" x14ac:dyDescent="0.25">
      <c r="A203" t="s">
        <v>296</v>
      </c>
      <c r="B203" t="s">
        <v>117</v>
      </c>
      <c r="C203" t="s">
        <v>74</v>
      </c>
      <c r="D203" t="s">
        <v>244</v>
      </c>
      <c r="E203">
        <v>14</v>
      </c>
      <c r="F203">
        <v>69.3</v>
      </c>
      <c r="G203">
        <v>18</v>
      </c>
      <c r="H203">
        <v>17.600000000000001</v>
      </c>
      <c r="I203" t="s">
        <v>104</v>
      </c>
      <c r="J203">
        <v>41</v>
      </c>
      <c r="L203">
        <v>4.74</v>
      </c>
      <c r="M203" t="s">
        <v>302</v>
      </c>
    </row>
    <row r="204" spans="1:13" x14ac:dyDescent="0.25">
      <c r="A204" t="s">
        <v>303</v>
      </c>
      <c r="B204" t="s">
        <v>139</v>
      </c>
      <c r="C204" t="s">
        <v>74</v>
      </c>
      <c r="D204" t="s">
        <v>241</v>
      </c>
      <c r="E204">
        <v>14</v>
      </c>
      <c r="I204" t="s">
        <v>304</v>
      </c>
      <c r="J204" s="21">
        <f>AVERAGE(3.73,3.81)</f>
        <v>3.77</v>
      </c>
      <c r="L204" s="24">
        <f>AVERAGE(1.51,1.52)</f>
        <v>1.5150000000000001</v>
      </c>
    </row>
    <row r="205" spans="1:13" x14ac:dyDescent="0.25">
      <c r="A205" t="s">
        <v>303</v>
      </c>
      <c r="B205" t="s">
        <v>139</v>
      </c>
      <c r="C205" t="s">
        <v>74</v>
      </c>
      <c r="D205" t="s">
        <v>243</v>
      </c>
      <c r="E205">
        <v>1</v>
      </c>
      <c r="F205" s="22">
        <f>J205*H205/J204</f>
        <v>59.137931034482762</v>
      </c>
      <c r="H205" s="21">
        <f>100-H206</f>
        <v>91</v>
      </c>
      <c r="I205" t="s">
        <v>304</v>
      </c>
      <c r="J205" s="24">
        <f>AVERAGE(2.41,2.43,2.59,2.37)</f>
        <v>2.4500000000000002</v>
      </c>
      <c r="M205" s="48" t="s">
        <v>305</v>
      </c>
    </row>
    <row r="206" spans="1:13" x14ac:dyDescent="0.25">
      <c r="A206" t="s">
        <v>303</v>
      </c>
      <c r="B206" t="s">
        <v>139</v>
      </c>
      <c r="C206" t="s">
        <v>74</v>
      </c>
      <c r="D206" t="s">
        <v>244</v>
      </c>
      <c r="E206">
        <v>1</v>
      </c>
      <c r="F206" s="22">
        <f>J206*H206/J204</f>
        <v>52.698938992042443</v>
      </c>
      <c r="H206" s="21">
        <f>90/1000*100</f>
        <v>9</v>
      </c>
      <c r="I206" t="s">
        <v>304</v>
      </c>
      <c r="J206" s="24">
        <f>AVERAGE(22.35,21.8)</f>
        <v>22.075000000000003</v>
      </c>
      <c r="M206" s="48" t="s">
        <v>305</v>
      </c>
    </row>
    <row r="207" spans="1:13" x14ac:dyDescent="0.25">
      <c r="A207" t="s">
        <v>303</v>
      </c>
      <c r="B207" t="s">
        <v>139</v>
      </c>
      <c r="C207" t="s">
        <v>137</v>
      </c>
      <c r="D207" t="s">
        <v>241</v>
      </c>
      <c r="E207">
        <v>2</v>
      </c>
      <c r="I207" t="s">
        <v>306</v>
      </c>
      <c r="J207" s="24">
        <f>AVERAGE(5.74,5.82)</f>
        <v>5.78</v>
      </c>
      <c r="K207" s="24">
        <f>AVERAGE(7.78,7.78)</f>
        <v>7.78</v>
      </c>
      <c r="L207" s="24">
        <f>AVERAGE(1.8,1.75)</f>
        <v>1.7749999999999999</v>
      </c>
    </row>
    <row r="208" spans="1:13" x14ac:dyDescent="0.25">
      <c r="A208" t="s">
        <v>303</v>
      </c>
      <c r="B208" t="s">
        <v>139</v>
      </c>
      <c r="C208" t="s">
        <v>137</v>
      </c>
      <c r="D208" t="s">
        <v>283</v>
      </c>
      <c r="E208">
        <v>2</v>
      </c>
      <c r="F208" s="22">
        <f>J208*H208/J207</f>
        <v>63.727891055437574</v>
      </c>
      <c r="G208" s="22">
        <f>L208*H208/L207</f>
        <v>88.156803481835212</v>
      </c>
      <c r="H208" s="22">
        <f>(J207-J209)/(J208-J209)*100</f>
        <v>92.317596566523605</v>
      </c>
      <c r="I208" t="s">
        <v>306</v>
      </c>
      <c r="J208" s="24">
        <f>AVERAGE(3.91,4.07)</f>
        <v>3.99</v>
      </c>
      <c r="K208" s="24">
        <f>AVERAGE(7.83,7.83)</f>
        <v>7.83</v>
      </c>
      <c r="L208" s="24">
        <f>AVERAGE(1.71,1.68)</f>
        <v>1.6949999999999998</v>
      </c>
    </row>
    <row r="209" spans="1:13" x14ac:dyDescent="0.25">
      <c r="A209" t="s">
        <v>303</v>
      </c>
      <c r="B209" t="s">
        <v>139</v>
      </c>
      <c r="C209" t="s">
        <v>137</v>
      </c>
      <c r="D209" t="s">
        <v>244</v>
      </c>
      <c r="E209">
        <v>2</v>
      </c>
      <c r="F209" s="22">
        <f>J209*H209/J207</f>
        <v>36.272108944562419</v>
      </c>
      <c r="G209" s="22">
        <f>L209*H209/L207</f>
        <v>2.8132744967660037</v>
      </c>
      <c r="H209" s="22">
        <f>100-H208</f>
        <v>7.6824034334763951</v>
      </c>
      <c r="I209" t="s">
        <v>306</v>
      </c>
      <c r="J209" s="24">
        <f>AVERAGE(27.05,27.53)</f>
        <v>27.29</v>
      </c>
      <c r="K209" s="24">
        <f>AVERAGE(8.68,8.7)</f>
        <v>8.69</v>
      </c>
      <c r="L209" s="24">
        <f>AVERAGE(0.68,0.62)</f>
        <v>0.65</v>
      </c>
    </row>
    <row r="210" spans="1:13" x14ac:dyDescent="0.25">
      <c r="A210" t="s">
        <v>303</v>
      </c>
      <c r="B210" t="s">
        <v>139</v>
      </c>
      <c r="C210" t="s">
        <v>74</v>
      </c>
      <c r="D210" t="s">
        <v>241</v>
      </c>
      <c r="E210">
        <v>3</v>
      </c>
      <c r="I210" t="s">
        <v>306</v>
      </c>
      <c r="J210" s="24">
        <f>AVERAGE(3.69,3.81)</f>
        <v>3.75</v>
      </c>
      <c r="K210" s="24">
        <f>AVERAGE(6.97,6.98)</f>
        <v>6.9749999999999996</v>
      </c>
      <c r="L210" s="24">
        <f>AVERAGE(1.41,1.6)</f>
        <v>1.5049999999999999</v>
      </c>
    </row>
    <row r="211" spans="1:13" x14ac:dyDescent="0.25">
      <c r="A211" t="s">
        <v>303</v>
      </c>
      <c r="B211" t="s">
        <v>139</v>
      </c>
      <c r="C211" t="s">
        <v>74</v>
      </c>
      <c r="D211" t="s">
        <v>243</v>
      </c>
      <c r="E211">
        <v>3</v>
      </c>
      <c r="I211" t="s">
        <v>306</v>
      </c>
      <c r="J211" s="24">
        <f>AVERAGE(2.42,2.42)</f>
        <v>2.42</v>
      </c>
      <c r="K211" s="24">
        <f>AVERAGE(7.04,7.04)</f>
        <v>7.04</v>
      </c>
      <c r="L211" s="24">
        <f>AVERAGE(1.48,1.61)</f>
        <v>1.5449999999999999</v>
      </c>
    </row>
    <row r="212" spans="1:13" x14ac:dyDescent="0.25">
      <c r="A212" t="s">
        <v>158</v>
      </c>
      <c r="B212" t="s">
        <v>139</v>
      </c>
      <c r="C212" t="s">
        <v>61</v>
      </c>
      <c r="D212" t="s">
        <v>241</v>
      </c>
      <c r="E212">
        <v>1</v>
      </c>
      <c r="J212">
        <f>'emission data'!O117</f>
        <v>8.6999999999999993</v>
      </c>
      <c r="L212">
        <f>'emission data'!Q117</f>
        <v>1.95</v>
      </c>
    </row>
    <row r="213" spans="1:13" x14ac:dyDescent="0.25">
      <c r="A213" t="s">
        <v>158</v>
      </c>
      <c r="B213" t="s">
        <v>68</v>
      </c>
      <c r="C213" t="s">
        <v>61</v>
      </c>
      <c r="D213" t="s">
        <v>243</v>
      </c>
      <c r="E213">
        <v>1</v>
      </c>
      <c r="F213" s="22">
        <f>J213*H213/J212</f>
        <v>43.467808579370455</v>
      </c>
      <c r="G213" s="22">
        <f>L213*H213/L212</f>
        <v>83.303167420814475</v>
      </c>
      <c r="H213" s="22">
        <f>(J212-35)/(J213-35)*100</f>
        <v>85.947712418300654</v>
      </c>
      <c r="J213">
        <f>'emission data'!O118</f>
        <v>4.4000000000000004</v>
      </c>
      <c r="L213">
        <f>'emission data'!Q118</f>
        <v>1.89</v>
      </c>
    </row>
    <row r="214" spans="1:13" x14ac:dyDescent="0.25">
      <c r="A214" t="s">
        <v>158</v>
      </c>
      <c r="B214" t="s">
        <v>139</v>
      </c>
      <c r="C214" t="s">
        <v>61</v>
      </c>
      <c r="D214" t="s">
        <v>241</v>
      </c>
      <c r="E214">
        <v>2</v>
      </c>
      <c r="J214">
        <f>'emission data'!O119</f>
        <v>8.5</v>
      </c>
      <c r="L214">
        <f>'emission data'!Q119</f>
        <v>1.9</v>
      </c>
    </row>
    <row r="215" spans="1:13" x14ac:dyDescent="0.25">
      <c r="A215" t="s">
        <v>158</v>
      </c>
      <c r="B215" t="s">
        <v>139</v>
      </c>
      <c r="C215" t="s">
        <v>61</v>
      </c>
      <c r="D215" t="s">
        <v>243</v>
      </c>
      <c r="E215">
        <v>2</v>
      </c>
      <c r="F215" s="22">
        <f>J215*H215/J214</f>
        <v>43.667369227821425</v>
      </c>
      <c r="G215" s="22">
        <f>L215*H215/L214</f>
        <v>87.22784159094806</v>
      </c>
      <c r="H215" s="22">
        <f>(J214-35)/(J215-35)*100</f>
        <v>86.31921824104235</v>
      </c>
      <c r="J215">
        <f>'emission data'!O120</f>
        <v>4.3</v>
      </c>
      <c r="L215">
        <f>'emission data'!Q120</f>
        <v>1.92</v>
      </c>
    </row>
    <row r="216" spans="1:13" x14ac:dyDescent="0.25">
      <c r="A216" t="s">
        <v>307</v>
      </c>
      <c r="B216" t="s">
        <v>139</v>
      </c>
      <c r="C216" t="s">
        <v>137</v>
      </c>
      <c r="D216" t="s">
        <v>241</v>
      </c>
      <c r="E216">
        <v>1</v>
      </c>
      <c r="J216">
        <v>4.34</v>
      </c>
      <c r="L216" s="24">
        <f>79.7*J216/100</f>
        <v>3.4589800000000004</v>
      </c>
      <c r="M216" t="s">
        <v>308</v>
      </c>
    </row>
    <row r="217" spans="1:13" x14ac:dyDescent="0.25">
      <c r="A217" t="s">
        <v>307</v>
      </c>
      <c r="B217" t="s">
        <v>139</v>
      </c>
      <c r="C217" t="s">
        <v>137</v>
      </c>
      <c r="D217" t="s">
        <v>243</v>
      </c>
      <c r="E217">
        <v>1</v>
      </c>
      <c r="F217">
        <v>82.81</v>
      </c>
      <c r="G217" s="22">
        <f>L217*H217/L216</f>
        <v>81.434103006910618</v>
      </c>
      <c r="H217" s="22">
        <f>(J216-J218)/(J217-J218)*100</f>
        <v>94.646680942184162</v>
      </c>
      <c r="I217" t="s">
        <v>81</v>
      </c>
      <c r="J217">
        <v>3.59</v>
      </c>
      <c r="L217" s="24">
        <f>82.9*J217/100</f>
        <v>2.9761099999999998</v>
      </c>
      <c r="M217" t="s">
        <v>308</v>
      </c>
    </row>
    <row r="218" spans="1:13" x14ac:dyDescent="0.25">
      <c r="A218" t="s">
        <v>307</v>
      </c>
      <c r="B218" t="s">
        <v>139</v>
      </c>
      <c r="C218" t="s">
        <v>137</v>
      </c>
      <c r="D218" t="s">
        <v>244</v>
      </c>
      <c r="E218">
        <v>1</v>
      </c>
      <c r="F218">
        <v>17.190000000000001</v>
      </c>
      <c r="G218" s="22">
        <f>L218*H218/L216</f>
        <v>3.8951463739920156</v>
      </c>
      <c r="H218" s="22">
        <f>100-H217</f>
        <v>5.3533190578158383</v>
      </c>
      <c r="I218" t="s">
        <v>81</v>
      </c>
      <c r="J218">
        <v>17.600000000000001</v>
      </c>
      <c r="L218" s="24">
        <f>14.3*J218/100</f>
        <v>2.5168000000000004</v>
      </c>
      <c r="M218" t="s">
        <v>308</v>
      </c>
    </row>
    <row r="219" spans="1:13" x14ac:dyDescent="0.25">
      <c r="A219" t="s">
        <v>307</v>
      </c>
      <c r="B219" t="s">
        <v>139</v>
      </c>
      <c r="C219" t="s">
        <v>137</v>
      </c>
      <c r="D219" t="s">
        <v>241</v>
      </c>
      <c r="E219">
        <v>2</v>
      </c>
      <c r="J219">
        <v>5.85</v>
      </c>
      <c r="L219" s="24">
        <f>66.5*J219/100</f>
        <v>3.89025</v>
      </c>
      <c r="M219" t="s">
        <v>309</v>
      </c>
    </row>
    <row r="220" spans="1:13" x14ac:dyDescent="0.25">
      <c r="A220" t="s">
        <v>307</v>
      </c>
      <c r="B220" t="s">
        <v>139</v>
      </c>
      <c r="C220" t="s">
        <v>137</v>
      </c>
      <c r="D220" t="s">
        <v>243</v>
      </c>
      <c r="E220">
        <v>2</v>
      </c>
      <c r="F220">
        <v>74.760000000000005</v>
      </c>
      <c r="G220" s="22">
        <f>L220*H220/L219</f>
        <v>91.330735969255343</v>
      </c>
      <c r="H220" s="22">
        <f>(J219-J221)/(J220-J221)*100</f>
        <v>90.659340659340657</v>
      </c>
      <c r="I220" t="s">
        <v>81</v>
      </c>
      <c r="J220">
        <v>4.66</v>
      </c>
      <c r="L220" s="24">
        <f>84.1*J220/100</f>
        <v>3.91906</v>
      </c>
      <c r="M220" t="s">
        <v>309</v>
      </c>
    </row>
    <row r="221" spans="1:13" x14ac:dyDescent="0.25">
      <c r="A221" t="s">
        <v>307</v>
      </c>
      <c r="B221" t="s">
        <v>139</v>
      </c>
      <c r="C221" t="s">
        <v>137</v>
      </c>
      <c r="D221" t="s">
        <v>244</v>
      </c>
      <c r="E221">
        <v>2</v>
      </c>
      <c r="F221">
        <v>25.24</v>
      </c>
      <c r="G221" s="22">
        <f>L221*H221/L219</f>
        <v>6.4338360694636005</v>
      </c>
      <c r="H221" s="22">
        <f>100-H220</f>
        <v>9.340659340659343</v>
      </c>
      <c r="I221" t="s">
        <v>81</v>
      </c>
      <c r="J221">
        <v>17.399999999999999</v>
      </c>
      <c r="L221" s="24">
        <f>15.4*J221/100</f>
        <v>2.6795999999999998</v>
      </c>
      <c r="M221" t="s">
        <v>309</v>
      </c>
    </row>
    <row r="222" spans="1:13" x14ac:dyDescent="0.25">
      <c r="A222" t="s">
        <v>307</v>
      </c>
      <c r="B222" t="s">
        <v>139</v>
      </c>
      <c r="C222" t="s">
        <v>137</v>
      </c>
      <c r="D222" t="s">
        <v>241</v>
      </c>
      <c r="E222">
        <v>3</v>
      </c>
      <c r="J222">
        <v>5.34</v>
      </c>
      <c r="L222" s="24">
        <f>42.8*J222/100</f>
        <v>2.28552</v>
      </c>
      <c r="M222" t="s">
        <v>310</v>
      </c>
    </row>
    <row r="223" spans="1:13" x14ac:dyDescent="0.25">
      <c r="A223" t="s">
        <v>307</v>
      </c>
      <c r="B223" t="s">
        <v>139</v>
      </c>
      <c r="C223" t="s">
        <v>137</v>
      </c>
      <c r="D223" t="s">
        <v>243</v>
      </c>
      <c r="E223">
        <v>3</v>
      </c>
      <c r="F223">
        <v>64.260000000000005</v>
      </c>
      <c r="G223" s="22">
        <f>L223*H223/L222</f>
        <v>92.848849727984444</v>
      </c>
      <c r="H223" s="22">
        <f>(J222-J224)/(J223-J224)*100</f>
        <v>93.171717171717162</v>
      </c>
      <c r="I223" t="s">
        <v>81</v>
      </c>
      <c r="J223">
        <v>3.65</v>
      </c>
      <c r="L223" s="24">
        <f>62.4*J223/100</f>
        <v>2.2776000000000001</v>
      </c>
      <c r="M223" t="s">
        <v>310</v>
      </c>
    </row>
    <row r="224" spans="1:13" x14ac:dyDescent="0.25">
      <c r="A224" t="s">
        <v>307</v>
      </c>
      <c r="B224" t="s">
        <v>139</v>
      </c>
      <c r="C224" t="s">
        <v>137</v>
      </c>
      <c r="D224" t="s">
        <v>244</v>
      </c>
      <c r="E224">
        <v>3</v>
      </c>
      <c r="F224">
        <v>35.74</v>
      </c>
      <c r="G224" s="22">
        <f>L224*H224/L222</f>
        <v>5.8375854876957547</v>
      </c>
      <c r="H224" s="22">
        <f>100-H223</f>
        <v>6.8282828282828376</v>
      </c>
      <c r="I224" t="s">
        <v>81</v>
      </c>
      <c r="J224">
        <v>28.4</v>
      </c>
      <c r="L224" s="24">
        <f>6.88*J224/100</f>
        <v>1.9539199999999999</v>
      </c>
      <c r="M224" t="s">
        <v>310</v>
      </c>
    </row>
    <row r="225" spans="1:13" x14ac:dyDescent="0.25">
      <c r="A225" t="s">
        <v>307</v>
      </c>
      <c r="B225" t="s">
        <v>139</v>
      </c>
      <c r="C225" t="s">
        <v>137</v>
      </c>
      <c r="D225" t="s">
        <v>241</v>
      </c>
      <c r="E225">
        <v>4</v>
      </c>
      <c r="J225">
        <v>5.29</v>
      </c>
      <c r="L225" s="24">
        <f>52*J225/100</f>
        <v>2.7507999999999999</v>
      </c>
      <c r="M225" t="s">
        <v>311</v>
      </c>
    </row>
    <row r="226" spans="1:13" x14ac:dyDescent="0.25">
      <c r="A226" t="s">
        <v>307</v>
      </c>
      <c r="B226" t="s">
        <v>139</v>
      </c>
      <c r="C226" t="s">
        <v>137</v>
      </c>
      <c r="D226" t="s">
        <v>243</v>
      </c>
      <c r="E226">
        <v>4</v>
      </c>
      <c r="F226">
        <v>71.84</v>
      </c>
      <c r="G226" s="22">
        <f>L226*H226/L225</f>
        <v>91.332088055874863</v>
      </c>
      <c r="H226" s="22">
        <f>(J225-J227)/(J226-J227)*100</f>
        <v>91.433466590519714</v>
      </c>
      <c r="I226" t="s">
        <v>81</v>
      </c>
      <c r="J226">
        <v>3.79</v>
      </c>
      <c r="L226" s="24">
        <f>72.5*J226/100</f>
        <v>2.7477499999999999</v>
      </c>
      <c r="M226" t="s">
        <v>311</v>
      </c>
    </row>
    <row r="227" spans="1:13" x14ac:dyDescent="0.25">
      <c r="A227" t="s">
        <v>307</v>
      </c>
      <c r="B227" t="s">
        <v>139</v>
      </c>
      <c r="C227" t="s">
        <v>137</v>
      </c>
      <c r="D227" t="s">
        <v>244</v>
      </c>
      <c r="E227">
        <v>4</v>
      </c>
      <c r="F227">
        <v>28.16</v>
      </c>
      <c r="G227" s="22">
        <f>L227*H227/L225</f>
        <v>5.8903169812517797</v>
      </c>
      <c r="H227" s="22">
        <f>100-H226</f>
        <v>8.5665334094802859</v>
      </c>
      <c r="I227" t="s">
        <v>81</v>
      </c>
      <c r="J227">
        <v>21.3</v>
      </c>
      <c r="L227" s="24">
        <f>8.88*J227/100</f>
        <v>1.8914400000000002</v>
      </c>
      <c r="M227" t="s">
        <v>311</v>
      </c>
    </row>
    <row r="228" spans="1:13" x14ac:dyDescent="0.25">
      <c r="A228" t="s">
        <v>307</v>
      </c>
      <c r="B228" t="s">
        <v>139</v>
      </c>
      <c r="C228" t="s">
        <v>137</v>
      </c>
      <c r="D228" t="s">
        <v>241</v>
      </c>
      <c r="E228">
        <v>5</v>
      </c>
      <c r="J228">
        <v>4.91</v>
      </c>
      <c r="L228" s="24">
        <f>59.4*J228/100</f>
        <v>2.9165399999999999</v>
      </c>
      <c r="M228" t="s">
        <v>312</v>
      </c>
    </row>
    <row r="229" spans="1:13" x14ac:dyDescent="0.25">
      <c r="A229" t="s">
        <v>307</v>
      </c>
      <c r="B229" t="s">
        <v>139</v>
      </c>
      <c r="C229" t="s">
        <v>137</v>
      </c>
      <c r="D229" t="s">
        <v>243</v>
      </c>
      <c r="E229">
        <v>5</v>
      </c>
      <c r="F229">
        <v>74</v>
      </c>
      <c r="G229" s="22">
        <f>L229*H229/L228</f>
        <v>92.00276697730871</v>
      </c>
      <c r="H229" s="22">
        <f>(J228-J230)/(J229-J230)*100</f>
        <v>90.624999999999986</v>
      </c>
      <c r="I229" t="s">
        <v>81</v>
      </c>
      <c r="J229">
        <v>3.38</v>
      </c>
      <c r="L229" s="24">
        <f>87.6*J229/100</f>
        <v>2.9608799999999995</v>
      </c>
      <c r="M229" t="s">
        <v>312</v>
      </c>
    </row>
    <row r="230" spans="1:13" x14ac:dyDescent="0.25">
      <c r="A230" t="s">
        <v>307</v>
      </c>
      <c r="B230" t="s">
        <v>139</v>
      </c>
      <c r="C230" t="s">
        <v>137</v>
      </c>
      <c r="D230" t="s">
        <v>244</v>
      </c>
      <c r="E230">
        <v>5</v>
      </c>
      <c r="F230">
        <v>93</v>
      </c>
      <c r="G230" s="22">
        <f>L230*H230/L228</f>
        <v>7.788873973955452</v>
      </c>
      <c r="H230" s="22">
        <f>100-H229</f>
        <v>9.3750000000000142</v>
      </c>
      <c r="I230" t="s">
        <v>81</v>
      </c>
      <c r="J230">
        <v>19.7</v>
      </c>
      <c r="L230" s="24">
        <f>12.3*J230/100</f>
        <v>2.4230999999999998</v>
      </c>
      <c r="M230" t="s">
        <v>312</v>
      </c>
    </row>
    <row r="231" spans="1:13" x14ac:dyDescent="0.25">
      <c r="A231" t="s">
        <v>307</v>
      </c>
      <c r="B231" t="s">
        <v>139</v>
      </c>
      <c r="C231" t="s">
        <v>137</v>
      </c>
      <c r="D231" t="s">
        <v>241</v>
      </c>
      <c r="E231">
        <v>6</v>
      </c>
      <c r="J231">
        <v>5.73</v>
      </c>
      <c r="L231" s="24">
        <f>36.7*J231/100</f>
        <v>2.1029100000000001</v>
      </c>
      <c r="M231" t="s">
        <v>313</v>
      </c>
    </row>
    <row r="232" spans="1:13" x14ac:dyDescent="0.25">
      <c r="A232" t="s">
        <v>307</v>
      </c>
      <c r="B232" t="s">
        <v>139</v>
      </c>
      <c r="C232" t="s">
        <v>137</v>
      </c>
      <c r="D232" t="s">
        <v>243</v>
      </c>
      <c r="E232">
        <v>6</v>
      </c>
      <c r="F232">
        <v>68.709999999999994</v>
      </c>
      <c r="G232" s="22">
        <f>L232*H232/L231</f>
        <v>93.50182702371977</v>
      </c>
      <c r="H232" s="22">
        <f>(J231-J233)/(J232-J233)*100</f>
        <v>92.22042139384115</v>
      </c>
      <c r="I232" t="s">
        <v>81</v>
      </c>
      <c r="J232">
        <v>4.29</v>
      </c>
      <c r="L232" s="24">
        <f>49.7*J232/100</f>
        <v>2.1321300000000001</v>
      </c>
      <c r="M232" t="s">
        <v>313</v>
      </c>
    </row>
    <row r="233" spans="1:13" x14ac:dyDescent="0.25">
      <c r="A233" t="s">
        <v>307</v>
      </c>
      <c r="B233" t="s">
        <v>139</v>
      </c>
      <c r="C233" t="s">
        <v>137</v>
      </c>
      <c r="D233" t="s">
        <v>244</v>
      </c>
      <c r="E233">
        <v>6</v>
      </c>
      <c r="F233">
        <v>31.29</v>
      </c>
      <c r="G233" s="22">
        <f>L233*H233/L231</f>
        <v>7.1020271076553509</v>
      </c>
      <c r="H233" s="22">
        <f>100-H232</f>
        <v>7.7795786061588501</v>
      </c>
      <c r="I233" t="s">
        <v>81</v>
      </c>
      <c r="J233">
        <v>22.8</v>
      </c>
      <c r="L233" s="24">
        <f>8.42*J233/100</f>
        <v>1.9197599999999999</v>
      </c>
      <c r="M233" t="s">
        <v>313</v>
      </c>
    </row>
    <row r="234" spans="1:13" x14ac:dyDescent="0.25">
      <c r="A234" t="s">
        <v>307</v>
      </c>
      <c r="B234" t="s">
        <v>139</v>
      </c>
      <c r="C234" t="s">
        <v>137</v>
      </c>
      <c r="D234" t="s">
        <v>241</v>
      </c>
      <c r="E234">
        <v>7</v>
      </c>
      <c r="J234">
        <v>5.01</v>
      </c>
      <c r="L234" s="24">
        <f>29.1*J234/100</f>
        <v>1.45791</v>
      </c>
      <c r="M234" t="s">
        <v>314</v>
      </c>
    </row>
    <row r="235" spans="1:13" x14ac:dyDescent="0.25">
      <c r="A235" t="s">
        <v>307</v>
      </c>
      <c r="B235" t="s">
        <v>139</v>
      </c>
      <c r="C235" t="s">
        <v>137</v>
      </c>
      <c r="D235" t="s">
        <v>243</v>
      </c>
      <c r="E235">
        <v>7</v>
      </c>
      <c r="F235">
        <v>78.63</v>
      </c>
      <c r="G235" s="22">
        <f>L235*H235/L234</f>
        <v>84.176428277136992</v>
      </c>
      <c r="H235" s="22">
        <f>(J234-J236)/(J235-J236)*100</f>
        <v>88.578274760383394</v>
      </c>
      <c r="I235" t="s">
        <v>81</v>
      </c>
      <c r="J235">
        <v>3.58</v>
      </c>
      <c r="L235" s="24">
        <f>38.7*J235/100</f>
        <v>1.3854600000000001</v>
      </c>
      <c r="M235" t="s">
        <v>314</v>
      </c>
    </row>
    <row r="236" spans="1:13" x14ac:dyDescent="0.25">
      <c r="A236" t="s">
        <v>307</v>
      </c>
      <c r="B236" t="s">
        <v>139</v>
      </c>
      <c r="C236" t="s">
        <v>137</v>
      </c>
      <c r="D236" t="s">
        <v>244</v>
      </c>
      <c r="E236">
        <v>7</v>
      </c>
      <c r="F236">
        <v>42.15</v>
      </c>
      <c r="G236" s="22">
        <f>L236*H236/L234</f>
        <v>10.910457884884574</v>
      </c>
      <c r="H236" s="22">
        <f>100-H235</f>
        <v>11.421725239616606</v>
      </c>
      <c r="I236" t="s">
        <v>81</v>
      </c>
      <c r="J236">
        <v>16.100000000000001</v>
      </c>
      <c r="L236" s="24">
        <f>8.65*J236/100</f>
        <v>1.3926500000000002</v>
      </c>
      <c r="M236" t="s">
        <v>314</v>
      </c>
    </row>
    <row r="237" spans="1:13" x14ac:dyDescent="0.25">
      <c r="A237" t="s">
        <v>307</v>
      </c>
      <c r="B237" t="s">
        <v>139</v>
      </c>
      <c r="C237" t="s">
        <v>137</v>
      </c>
      <c r="D237" t="s">
        <v>241</v>
      </c>
      <c r="E237">
        <v>8</v>
      </c>
      <c r="J237">
        <v>7.16</v>
      </c>
      <c r="L237" s="24">
        <f>63.7*J237/100</f>
        <v>4.5609200000000003</v>
      </c>
      <c r="M237" t="s">
        <v>315</v>
      </c>
    </row>
    <row r="238" spans="1:13" x14ac:dyDescent="0.25">
      <c r="A238" t="s">
        <v>307</v>
      </c>
      <c r="B238" t="s">
        <v>139</v>
      </c>
      <c r="C238" t="s">
        <v>137</v>
      </c>
      <c r="D238" t="s">
        <v>243</v>
      </c>
      <c r="E238">
        <v>8</v>
      </c>
      <c r="F238">
        <v>58.96</v>
      </c>
      <c r="G238" s="22">
        <f>L238*H238/L237</f>
        <v>70.273849458929405</v>
      </c>
      <c r="H238" s="22">
        <f>(J237-J239)/(J238-J239)*100</f>
        <v>83.004455760661997</v>
      </c>
      <c r="I238" t="s">
        <v>81</v>
      </c>
      <c r="J238">
        <v>4.49</v>
      </c>
      <c r="L238" s="24">
        <f>86*J238/100</f>
        <v>3.8614000000000006</v>
      </c>
      <c r="M238" t="s">
        <v>315</v>
      </c>
    </row>
    <row r="239" spans="1:13" x14ac:dyDescent="0.25">
      <c r="A239" t="s">
        <v>307</v>
      </c>
      <c r="B239" t="s">
        <v>139</v>
      </c>
      <c r="C239" t="s">
        <v>137</v>
      </c>
      <c r="D239" t="s">
        <v>244</v>
      </c>
      <c r="E239">
        <v>8</v>
      </c>
      <c r="F239">
        <v>41.04</v>
      </c>
      <c r="G239" s="22">
        <f>L239*H239/L237</f>
        <v>11.892990667293258</v>
      </c>
      <c r="H239" s="22">
        <f>100-H238</f>
        <v>16.995544239338003</v>
      </c>
      <c r="I239" t="s">
        <v>81</v>
      </c>
      <c r="J239">
        <v>20.2</v>
      </c>
      <c r="L239" s="24">
        <f>15.8*J239/100</f>
        <v>3.1916000000000002</v>
      </c>
      <c r="M239" t="s">
        <v>315</v>
      </c>
    </row>
    <row r="240" spans="1:13" x14ac:dyDescent="0.25">
      <c r="A240" t="s">
        <v>307</v>
      </c>
      <c r="B240" t="s">
        <v>139</v>
      </c>
      <c r="C240" t="s">
        <v>137</v>
      </c>
      <c r="D240" t="s">
        <v>241</v>
      </c>
      <c r="E240">
        <v>9</v>
      </c>
      <c r="J240">
        <v>6.81</v>
      </c>
      <c r="L240" s="24">
        <f>31.9*J240/100</f>
        <v>2.1723899999999996</v>
      </c>
      <c r="M240" t="s">
        <v>316</v>
      </c>
    </row>
    <row r="241" spans="1:13" x14ac:dyDescent="0.25">
      <c r="A241" t="s">
        <v>307</v>
      </c>
      <c r="B241" t="s">
        <v>139</v>
      </c>
      <c r="C241" t="s">
        <v>137</v>
      </c>
      <c r="D241" t="s">
        <v>243</v>
      </c>
      <c r="E241">
        <v>9</v>
      </c>
      <c r="F241">
        <v>65.56</v>
      </c>
      <c r="G241" s="22">
        <f>L241*H241/L239</f>
        <v>60.842210803358824</v>
      </c>
      <c r="H241" s="22">
        <f>(J240-J242)/(J241-J242)*100</f>
        <v>86.111111111111114</v>
      </c>
      <c r="I241" t="s">
        <v>81</v>
      </c>
      <c r="J241">
        <v>4.8600000000000003</v>
      </c>
      <c r="L241" s="24">
        <f>46.4*J241/100</f>
        <v>2.2550400000000002</v>
      </c>
      <c r="M241" t="s">
        <v>316</v>
      </c>
    </row>
    <row r="242" spans="1:13" x14ac:dyDescent="0.25">
      <c r="A242" t="s">
        <v>307</v>
      </c>
      <c r="B242" t="s">
        <v>139</v>
      </c>
      <c r="C242" t="s">
        <v>137</v>
      </c>
      <c r="D242" t="s">
        <v>244</v>
      </c>
      <c r="E242">
        <v>9</v>
      </c>
      <c r="F242">
        <v>34.44</v>
      </c>
      <c r="G242" s="22">
        <f>L242*H242/L240</f>
        <v>12.44596964633422</v>
      </c>
      <c r="H242" s="22">
        <f>100-H241</f>
        <v>13.888888888888886</v>
      </c>
      <c r="I242" t="s">
        <v>81</v>
      </c>
      <c r="J242">
        <v>18.899999999999999</v>
      </c>
      <c r="L242" s="24">
        <f>10.3*J242/100</f>
        <v>1.9466999999999999</v>
      </c>
      <c r="M242" t="s">
        <v>316</v>
      </c>
    </row>
    <row r="243" spans="1:13" x14ac:dyDescent="0.25">
      <c r="A243" t="s">
        <v>307</v>
      </c>
      <c r="B243" t="s">
        <v>139</v>
      </c>
      <c r="C243" t="s">
        <v>137</v>
      </c>
      <c r="D243" t="s">
        <v>241</v>
      </c>
      <c r="E243">
        <v>10</v>
      </c>
      <c r="J243">
        <v>8.35</v>
      </c>
      <c r="L243" s="24">
        <f>36.9*J243/100</f>
        <v>3.0811499999999996</v>
      </c>
      <c r="M243" t="s">
        <v>317</v>
      </c>
    </row>
    <row r="244" spans="1:13" x14ac:dyDescent="0.25">
      <c r="A244" t="s">
        <v>307</v>
      </c>
      <c r="B244" t="s">
        <v>139</v>
      </c>
      <c r="C244" t="s">
        <v>137</v>
      </c>
      <c r="D244" t="s">
        <v>243</v>
      </c>
      <c r="E244">
        <v>10</v>
      </c>
      <c r="F244">
        <v>50.8</v>
      </c>
      <c r="G244" s="22">
        <f>L244*H244/L242</f>
        <v>133.05349745112693</v>
      </c>
      <c r="H244" s="22">
        <f>(J243-J245)/(J244-J245)*100</f>
        <v>85.787089467723675</v>
      </c>
      <c r="I244" t="s">
        <v>81</v>
      </c>
      <c r="J244">
        <v>5.84</v>
      </c>
      <c r="L244" s="24">
        <f>51.7*J244/100</f>
        <v>3.0192800000000002</v>
      </c>
      <c r="M244" t="s">
        <v>317</v>
      </c>
    </row>
    <row r="245" spans="1:13" x14ac:dyDescent="0.25">
      <c r="A245" t="s">
        <v>307</v>
      </c>
      <c r="B245" t="s">
        <v>139</v>
      </c>
      <c r="C245" t="s">
        <v>137</v>
      </c>
      <c r="D245" t="s">
        <v>244</v>
      </c>
      <c r="E245">
        <v>10</v>
      </c>
      <c r="F245">
        <v>49.2</v>
      </c>
      <c r="G245" s="22">
        <f>L245*H245/L243</f>
        <v>11.815838348806718</v>
      </c>
      <c r="H245" s="22">
        <f>100-H244</f>
        <v>14.212910532276325</v>
      </c>
      <c r="I245" t="s">
        <v>81</v>
      </c>
      <c r="J245">
        <v>23.5</v>
      </c>
      <c r="L245" s="24">
        <f>10.9*J245/100</f>
        <v>2.5615000000000006</v>
      </c>
      <c r="M245" t="s">
        <v>317</v>
      </c>
    </row>
    <row r="246" spans="1:13" x14ac:dyDescent="0.25">
      <c r="A246" t="s">
        <v>307</v>
      </c>
      <c r="B246" t="s">
        <v>139</v>
      </c>
      <c r="C246" t="s">
        <v>137</v>
      </c>
      <c r="D246" t="s">
        <v>241</v>
      </c>
      <c r="E246">
        <v>11</v>
      </c>
      <c r="J246">
        <v>5.51</v>
      </c>
      <c r="L246" s="24">
        <f>36.7*J246/100</f>
        <v>2.02217</v>
      </c>
      <c r="M246" t="s">
        <v>318</v>
      </c>
    </row>
    <row r="247" spans="1:13" x14ac:dyDescent="0.25">
      <c r="A247" t="s">
        <v>307</v>
      </c>
      <c r="B247" t="s">
        <v>139</v>
      </c>
      <c r="C247" t="s">
        <v>137</v>
      </c>
      <c r="D247" t="s">
        <v>243</v>
      </c>
      <c r="E247">
        <v>11</v>
      </c>
      <c r="F247">
        <v>70.63</v>
      </c>
      <c r="G247" s="22">
        <f>L247*H247/L246</f>
        <v>88.77619524763449</v>
      </c>
      <c r="H247" s="22">
        <f>(J246-J248)/(J247-J248)*100</f>
        <v>93.069842988630199</v>
      </c>
      <c r="I247" t="s">
        <v>81</v>
      </c>
      <c r="J247">
        <v>4.2300000000000004</v>
      </c>
      <c r="L247" s="24">
        <f>45.6*J247/100</f>
        <v>1.9288800000000004</v>
      </c>
      <c r="M247" t="s">
        <v>318</v>
      </c>
    </row>
    <row r="248" spans="1:13" x14ac:dyDescent="0.25">
      <c r="A248" t="s">
        <v>307</v>
      </c>
      <c r="B248" t="s">
        <v>139</v>
      </c>
      <c r="C248" t="s">
        <v>137</v>
      </c>
      <c r="D248" t="s">
        <v>244</v>
      </c>
      <c r="E248">
        <v>11</v>
      </c>
      <c r="F248">
        <v>29.37</v>
      </c>
      <c r="G248" s="22">
        <f>L248*H248/L246</f>
        <v>5.2900549225586495</v>
      </c>
      <c r="H248" s="22">
        <f>100-H247</f>
        <v>6.9301570113698006</v>
      </c>
      <c r="I248" t="s">
        <v>81</v>
      </c>
      <c r="J248">
        <v>22.7</v>
      </c>
      <c r="L248" s="24">
        <f>6.8*J248/100</f>
        <v>1.5435999999999999</v>
      </c>
      <c r="M248" t="s">
        <v>318</v>
      </c>
    </row>
    <row r="249" spans="1:13" x14ac:dyDescent="0.25">
      <c r="A249" t="s">
        <v>319</v>
      </c>
      <c r="B249" t="s">
        <v>139</v>
      </c>
      <c r="C249" t="s">
        <v>61</v>
      </c>
      <c r="D249" t="s">
        <v>241</v>
      </c>
      <c r="E249">
        <v>1</v>
      </c>
      <c r="J249">
        <v>5.24</v>
      </c>
    </row>
    <row r="250" spans="1:13" x14ac:dyDescent="0.25">
      <c r="A250" t="s">
        <v>319</v>
      </c>
      <c r="B250" t="s">
        <v>139</v>
      </c>
      <c r="C250" t="s">
        <v>61</v>
      </c>
      <c r="D250" t="s">
        <v>243</v>
      </c>
      <c r="E250">
        <v>1</v>
      </c>
      <c r="F250">
        <v>50</v>
      </c>
      <c r="H250" s="22">
        <f>(J249-J251)/(J250-J251)*100</f>
        <v>90.156486622917711</v>
      </c>
      <c r="I250" t="s">
        <v>320</v>
      </c>
      <c r="J250">
        <v>3.29</v>
      </c>
    </row>
    <row r="251" spans="1:13" x14ac:dyDescent="0.25">
      <c r="A251" t="s">
        <v>319</v>
      </c>
      <c r="B251" t="s">
        <v>139</v>
      </c>
      <c r="C251" t="s">
        <v>61</v>
      </c>
      <c r="D251" t="s">
        <v>244</v>
      </c>
      <c r="E251">
        <v>1</v>
      </c>
      <c r="F251">
        <v>50</v>
      </c>
      <c r="H251" s="22">
        <f>100-H250</f>
        <v>9.8435133770822887</v>
      </c>
      <c r="I251" t="s">
        <v>320</v>
      </c>
      <c r="J251">
        <v>23.1</v>
      </c>
    </row>
  </sheetData>
  <mergeCells count="3">
    <mergeCell ref="F1:I1"/>
    <mergeCell ref="J1:L1"/>
    <mergeCell ref="A1:E1"/>
  </mergeCells>
  <phoneticPr fontId="13"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662E54A-967B-44BB-90F9-1599E728B1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2DF2204-8892-4A94-90A5-6DCDBF4AC498}">
  <ds:schemaRefs>
    <ds:schemaRef ds:uri="http://schemas.microsoft.com/sharepoint/v3/contenttype/forms"/>
  </ds:schemaRefs>
</ds:datastoreItem>
</file>

<file path=customXml/itemProps3.xml><?xml version="1.0" encoding="utf-8"?>
<ds:datastoreItem xmlns:ds="http://schemas.openxmlformats.org/officeDocument/2006/customXml" ds:itemID="{B5A402CE-7A4B-44ED-A208-3884D1FBDB29}">
  <ds:schemaRefs>
    <ds:schemaRef ds:uri="http://purl.org/dc/terms/"/>
    <ds:schemaRef ds:uri="http://purl.org/dc/dcmitype/"/>
    <ds:schemaRef ds:uri="http://schemas.openxmlformats.org/package/2006/metadata/core-properties"/>
    <ds:schemaRef ds:uri="http://purl.org/dc/elements/1.1/"/>
    <ds:schemaRef ds:uri="2f148fa0-8849-43ca-a1ad-3219566f6285"/>
    <ds:schemaRef ds:uri="3b7cc9eb-1f2c-44c2-aef1-68ff51cd8f88"/>
    <ds:schemaRef ds:uri="http://schemas.microsoft.com/office/2006/documentManagement/types"/>
    <ds:schemaRef ds:uri="http://schemas.microsoft.com/office/infopath/2007/PartnerControl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emission data</vt:lpstr>
      <vt:lpstr>separation efficiency data</vt:lpstr>
    </vt:vector>
  </TitlesOfParts>
  <Manager/>
  <Company>Aarhus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 Pedersen</dc:creator>
  <cp:keywords/>
  <dc:description/>
  <cp:lastModifiedBy>Johanna Pedersen</cp:lastModifiedBy>
  <cp:revision/>
  <dcterms:created xsi:type="dcterms:W3CDTF">2021-11-03T07:17:48Z</dcterms:created>
  <dcterms:modified xsi:type="dcterms:W3CDTF">2022-03-25T14:04:53Z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0x0101000AF577DD6E8D684CAFF1362865632EC1</vt:lpwstr>
  </property>
</Properties>
</file>