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pers" sheetId="1" state="visible" r:id="rId2"/>
    <sheet name="data" sheetId="2" state="visible" r:id="rId3"/>
    <sheet name="% in liquid fraction" sheetId="3" state="visible" r:id="rId4"/>
    <sheet name="notes" sheetId="4" state="visible" r:id="rId5"/>
  </sheets>
  <definedNames>
    <definedName function="false" hidden="false" localSheetId="2" name="solver_eng" vbProcedure="false">1</definedName>
    <definedName function="false" hidden="false" localSheetId="2" name="solver_neg" vbProcedure="false">1</definedName>
    <definedName function="false" hidden="false" localSheetId="2" name="solver_num" vbProcedure="false">0</definedName>
    <definedName function="false" hidden="false" localSheetId="2" name="solver_opt" vbProcedure="false">'% in liquid fraction'!$B$7</definedName>
    <definedName function="false" hidden="false" localSheetId="2" name="solver_typ" vbProcedure="false">3</definedName>
    <definedName function="false" hidden="false" localSheetId="2" name="solver_val" vbProcedure="false">0</definedName>
    <definedName function="false" hidden="false" localSheetId="2" name="solver_ver" vbProcedure="false">3</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SDH</author>
  </authors>
  <commentList>
    <comment ref="H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We need scale (lab, pilot, full?)
Reply:
    I'll add that for the data I entered.</t>
        </r>
      </text>
    </comment>
    <comment ref="L19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Clearly reported mass separation makes no sense.</t>
        </r>
      </text>
    </comment>
    <comment ref="S2" authorId="0">
      <text>
        <r>
          <rPr>
            <sz val="11"/>
            <color rgb="FF000000"/>
            <rFont val="Calibri"/>
            <family val="2"/>
            <charset val="1"/>
          </rPr>
          <t xml:space="preserve">Sasha Hafner:
</t>
        </r>
        <r>
          <rPr>
            <sz val="9"/>
            <color rgb="FF000000"/>
            <rFont val="Tahoma"/>
            <family val="2"/>
            <charset val="1"/>
          </rPr>
          <t xml:space="preserve">% TAN present at start of measurements, correct?</t>
        </r>
      </text>
    </comment>
    <comment ref="T2" authorId="0">
      <text>
        <r>
          <rPr>
            <sz val="11"/>
            <color rgb="FF000000"/>
            <rFont val="Calibri"/>
            <family val="2"/>
            <charset val="1"/>
          </rPr>
          <t xml:space="preserve">Sasha Hafner:
</t>
        </r>
        <r>
          <rPr>
            <sz val="9"/>
            <color rgb="FF000000"/>
            <rFont val="Tahoma"/>
            <family val="2"/>
            <charset val="1"/>
          </rPr>
          <t xml:space="preserve">Include both and calculate missing?</t>
        </r>
      </text>
    </comment>
    <comment ref="W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Added this to make numerical summary easier</t>
        </r>
      </text>
    </comment>
    <comment ref="Y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Do we need this column if we have J?
Reply:
    I needed a column where all of the slurries are either raw, liquid or solids for the calculations I made in R. For Sommer et al. (1991) the fraction is described as 'mix' in column J - which is the most correct description.</t>
        </r>
      </text>
    </comment>
    <comment ref="AF69" authorId="0">
      <text>
        <r>
          <rPr>
            <sz val="11"/>
            <color rgb="FF000000"/>
            <rFont val="Calibri"/>
            <family val="2"/>
            <charset val="1"/>
          </rPr>
          <t xml:space="preserve">Sasha Hafner:
</t>
        </r>
        <r>
          <rPr>
            <sz val="9"/>
            <color rgb="FF000000"/>
            <rFont val="Tahoma"/>
            <family val="2"/>
            <charset val="1"/>
          </rPr>
          <t xml:space="preserve">Correct?</t>
        </r>
      </text>
    </comment>
    <comment ref="AO2" authorId="0">
      <text>
        <r>
          <rPr>
            <sz val="11"/>
            <color rgb="FF000000"/>
            <rFont val="Calibri"/>
            <family val="2"/>
            <charset val="1"/>
          </rPr>
          <t xml:space="preserve">Sasha Hafner:
</t>
        </r>
        <r>
          <rPr>
            <sz val="9"/>
            <color rgb="FF000000"/>
            <rFont val="Tahoma"/>
            <family val="2"/>
            <charset val="1"/>
          </rPr>
          <t xml:space="preserve">% TAN present at start of measurements, correct?</t>
        </r>
      </text>
    </comment>
    <comment ref="AP2" authorId="0">
      <text>
        <r>
          <rPr>
            <sz val="11"/>
            <color rgb="FF000000"/>
            <rFont val="Calibri"/>
            <family val="2"/>
            <charset val="1"/>
          </rPr>
          <t xml:space="preserve">Sasha Hafner:
</t>
        </r>
        <r>
          <rPr>
            <sz val="9"/>
            <color rgb="FF000000"/>
            <rFont val="Tahoma"/>
            <family val="2"/>
            <charset val="1"/>
          </rPr>
          <t xml:space="preserve">Include both and calculate missing?</t>
        </r>
      </text>
    </comment>
    <comment ref="AS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Added this to make numerical summary easier</t>
        </r>
      </text>
    </comment>
  </commentList>
</comments>
</file>

<file path=xl/sharedStrings.xml><?xml version="1.0" encoding="utf-8"?>
<sst xmlns="http://schemas.openxmlformats.org/spreadsheetml/2006/main" count="4303" uniqueCount="515">
  <si>
    <t xml:space="preserve">paper</t>
  </si>
  <si>
    <t xml:space="preserve">what</t>
  </si>
  <si>
    <t xml:space="preserve">title</t>
  </si>
  <si>
    <t xml:space="preserve">Anderson, in prep</t>
  </si>
  <si>
    <t xml:space="preserve">manuscript in preparation</t>
  </si>
  <si>
    <t xml:space="preserve">Ammonia emissions from spreading of cattle slurry – effects of slurry type and application method</t>
  </si>
  <si>
    <t xml:space="preserve">Amon et al. (2006)</t>
  </si>
  <si>
    <t xml:space="preserve">peer-review article</t>
  </si>
  <si>
    <t xml:space="preserve">Methane, nitrous oxide and ammonia emissions during storage and after application of dairy cattle slurry and influence of slurry treatment</t>
  </si>
  <si>
    <t xml:space="preserve">Bhandral et al. (2009)</t>
  </si>
  <si>
    <t xml:space="preserve">Enhancing soil infiltration reduces gaseous emissions and improves N uptake from applied dairy slurry</t>
  </si>
  <si>
    <t xml:space="preserve">Balsari et al. (2008a)</t>
  </si>
  <si>
    <t xml:space="preserve">Ammonia losses from the land application of raw pig slurry and solid and liquid fractions generated from its mechanical separation</t>
  </si>
  <si>
    <t xml:space="preserve">Balsari et al. (2008b)</t>
  </si>
  <si>
    <t xml:space="preserve">Ammonia emissions from rough cattle slurry and from derived solid and liquid fractions applied to alfalfa pasture</t>
  </si>
  <si>
    <t xml:space="preserve">Chantigny et al. (2007)</t>
  </si>
  <si>
    <t xml:space="preserve">Gaseous nitrogen emissions and forage nitrogen uptake on soils fertilized with raw and treated swine manure</t>
  </si>
  <si>
    <t xml:space="preserve">Chantigny et al. (2009)</t>
  </si>
  <si>
    <t xml:space="preserve">Ammonia volatilization following surface application of raw and treated liquid swine manure</t>
  </si>
  <si>
    <t xml:space="preserve">Dinuccio et al. (2011)</t>
  </si>
  <si>
    <t xml:space="preserve">Effects of mechanical separation on GHG and ammonia emissions from cattle slurry under winter conditions</t>
  </si>
  <si>
    <t xml:space="preserve">Dinuccio et al. (2012)</t>
  </si>
  <si>
    <t xml:space="preserve">Ammonia losses from the storage and application of raw and chemo-mechanically separated slurry</t>
  </si>
  <si>
    <t xml:space="preserve">Fangueiro et al. (2015)</t>
  </si>
  <si>
    <t xml:space="preserve">Effects of cattle-slurry treatment by acidification and separation on nitrogen dynamics and global warming potential after surface application to an acidic soil</t>
  </si>
  <si>
    <t xml:space="preserve">Fangueiro et al. (2017)</t>
  </si>
  <si>
    <t xml:space="preserve">Surface application of acidified cattle slurry compared to slurry injection: impact on NH3, N2O, CO2 and CH4 emissions and crop uptake</t>
  </si>
  <si>
    <t xml:space="preserve">Frost et al. (1990)</t>
  </si>
  <si>
    <t xml:space="preserve">Effect of separation and acidification of cattle slurry on ammonia volatilization and on the efficiency of slurry nitrogen for herbage production</t>
  </si>
  <si>
    <t xml:space="preserve">Hjort et al. (2009)</t>
  </si>
  <si>
    <t xml:space="preserve">Nutrient value, odour emission and energy production of manure as influenced by anaerobic digestion and separation</t>
  </si>
  <si>
    <t xml:space="preserve">Mattila et al. (2003)</t>
  </si>
  <si>
    <t xml:space="preserve">Effect of treatment and application technique of cattle slurry on its utilization by ley: I. Slurry properties and ammonia volatilization</t>
  </si>
  <si>
    <t xml:space="preserve">Monaco et al. (2012)</t>
  </si>
  <si>
    <t xml:space="preserve">Laboratory assessment of ammonia emission after soil application of treated and untreated manures</t>
  </si>
  <si>
    <t xml:space="preserve">Nyord et al. (2012)</t>
  </si>
  <si>
    <t xml:space="preserve">Ammonia volatilisation and crop yield following land application of solid-liquid separated, anaerobically digested, and soil injected animal slurry to winter wheat</t>
  </si>
  <si>
    <t xml:space="preserve">Nyord et al. (2018)</t>
  </si>
  <si>
    <t xml:space="preserve">report</t>
  </si>
  <si>
    <t xml:space="preserve">Ammoniak fordampning ved udbringning af separeret kvæggylle</t>
  </si>
  <si>
    <t xml:space="preserve">Owusu-Twum et al. (2017)</t>
  </si>
  <si>
    <t xml:space="preserve">Gaseous emissions and modification of slurry composition during storage and after field application: Effect of slurry additives and mechanical separation</t>
  </si>
  <si>
    <t xml:space="preserve">Pedersen et al. (2021a)</t>
  </si>
  <si>
    <t xml:space="preserve">The effect of manure exposed surface area on ammonia emission from untreated, separated, and digested cattle manure</t>
  </si>
  <si>
    <t xml:space="preserve">Pedersen et al. (2021b)</t>
  </si>
  <si>
    <t xml:space="preserve">Effect of exposed surface area and enhanced infiltration on ammonia emission from untreated and separated cattle slurry</t>
  </si>
  <si>
    <t xml:space="preserve">Sommer et al. (1991)</t>
  </si>
  <si>
    <t xml:space="preserve">Effects of dry matter content and temperature on ammonia loss from surface-applied cattle slurry</t>
  </si>
  <si>
    <t xml:space="preserve">Sommer et al. (2006)</t>
  </si>
  <si>
    <t xml:space="preserve">Ammonia volatilization from surface-applied livestock slurry as affected by slurry composition and slurry infiltration depth</t>
  </si>
  <si>
    <t xml:space="preserve">Stevens et al. (1992)</t>
  </si>
  <si>
    <t xml:space="preserve">Effects of separation, dilution, washing and acidificatoin on ammonia volatilization from surface-applied cattle slurry</t>
  </si>
  <si>
    <t xml:space="preserve">Thompson et al. (1990)</t>
  </si>
  <si>
    <t xml:space="preserve">Ammonia volatilization from cattle slurry following surface application to grassland - I. Influence of mechanical separation, changes in chemical composition during volatilization and the presence of the grass sward</t>
  </si>
  <si>
    <t xml:space="preserve">Vandre et al. (1997)</t>
  </si>
  <si>
    <t xml:space="preserve">NH3 and N2O emissions after landspreading of slurry as influenced by application technique and dry matter-reduction. I. NH3 emissions</t>
  </si>
  <si>
    <t xml:space="preserve">Wagner  et al. (2021)</t>
  </si>
  <si>
    <t xml:space="preserve">Acidification effects on in situ ammonia emissions and cereal yields depending on slurry type and application method acidification effects on in situ ammonia emissions and cereal yields depending on slurry type and application method</t>
  </si>
  <si>
    <t xml:space="preserve">Did not include</t>
  </si>
  <si>
    <t xml:space="preserve">Reason</t>
  </si>
  <si>
    <t xml:space="preserve">Fanguerio et al. (2008)</t>
  </si>
  <si>
    <t xml:space="preserve">They used static chambers and had an unrealistic low NH3 emission, they assign it to the static chambers. </t>
  </si>
  <si>
    <t xml:space="preserve">Cattle slurry treatment by screw press separation and chemically enhanced settling: Effect on greenhouse gas emissions after land spreading and grass yield</t>
  </si>
  <si>
    <t xml:space="preserve">Holly et al. (2007)</t>
  </si>
  <si>
    <t xml:space="preserve">Does not have amount of TAN in the slurries at application time</t>
  </si>
  <si>
    <t xml:space="preserve">Greenhouse gas and ammonia emissions from digested and separated dairy manure during storage and after land application</t>
  </si>
  <si>
    <t xml:space="preserve">general info</t>
  </si>
  <si>
    <t xml:space="preserve">separation efficiency</t>
  </si>
  <si>
    <t xml:space="preserve">storage samples</t>
  </si>
  <si>
    <t xml:space="preserve">storage emission</t>
  </si>
  <si>
    <t xml:space="preserve">field application samples</t>
  </si>
  <si>
    <t xml:space="preserve">application</t>
  </si>
  <si>
    <t xml:space="preserve">soil</t>
  </si>
  <si>
    <t xml:space="preserve">application emission</t>
  </si>
  <si>
    <t xml:space="preserve">source</t>
  </si>
  <si>
    <t xml:space="preserve">fractions studied</t>
  </si>
  <si>
    <t xml:space="preserve">routes measured</t>
  </si>
  <si>
    <t xml:space="preserve">storage emission measuring method</t>
  </si>
  <si>
    <t xml:space="preserve">storage description</t>
  </si>
  <si>
    <t xml:space="preserve">solids treatment</t>
  </si>
  <si>
    <t xml:space="preserve">field emission measuring method</t>
  </si>
  <si>
    <t xml:space="preserve">separation method</t>
  </si>
  <si>
    <t xml:space="preserve">separation scale</t>
  </si>
  <si>
    <t xml:space="preserve">slurry source</t>
  </si>
  <si>
    <t xml:space="preserve">fraction</t>
  </si>
  <si>
    <t xml:space="preserve">DM separation eff. [%]</t>
  </si>
  <si>
    <t xml:space="preserve">TAN separation eff. [%]</t>
  </si>
  <si>
    <t xml:space="preserve">% mass after separation</t>
  </si>
  <si>
    <t xml:space="preserve">separation efficiency source(s)</t>
  </si>
  <si>
    <t xml:space="preserve">dry matter [%]</t>
  </si>
  <si>
    <t xml:space="preserve">pH</t>
  </si>
  <si>
    <t xml:space="preserve">TAN [g/kg]</t>
  </si>
  <si>
    <t xml:space="preserve">emission [% TAN at start of storage]</t>
  </si>
  <si>
    <t xml:space="preserve">emission [% initial raw TAN]</t>
  </si>
  <si>
    <t xml:space="preserve">emission data source</t>
  </si>
  <si>
    <t xml:space="preserve">experiment ID</t>
  </si>
  <si>
    <t xml:space="preserve">overall effect of separation [% raw NH3 emission]</t>
  </si>
  <si>
    <t xml:space="preserve">overall effect of separation [description]</t>
  </si>
  <si>
    <t xml:space="preserve">fractionA</t>
  </si>
  <si>
    <t xml:space="preserve">notes</t>
  </si>
  <si>
    <t xml:space="preserve">TAN [g/L]</t>
  </si>
  <si>
    <t xml:space="preserve">set</t>
  </si>
  <si>
    <t xml:space="preserve">method</t>
  </si>
  <si>
    <t xml:space="preserve">amount [ton/ha]</t>
  </si>
  <si>
    <t xml:space="preserve">temperature at application</t>
  </si>
  <si>
    <t xml:space="preserve">average temperature</t>
  </si>
  <si>
    <t xml:space="preserve">rain</t>
  </si>
  <si>
    <t xml:space="preserve">type</t>
  </si>
  <si>
    <t xml:space="preserve">crop</t>
  </si>
  <si>
    <t xml:space="preserve">dry bulk density [g/cm3]</t>
  </si>
  <si>
    <t xml:space="preserve">gravemetric water content [g/g]</t>
  </si>
  <si>
    <t xml:space="preserve">duration [h]</t>
  </si>
  <si>
    <t xml:space="preserve">emission [% applied TAN]</t>
  </si>
  <si>
    <t xml:space="preserve">frac.stud</t>
  </si>
  <si>
    <t xml:space="preserve">rout.meas</t>
  </si>
  <si>
    <t xml:space="preserve">S.meas.meth</t>
  </si>
  <si>
    <t xml:space="preserve">S.description</t>
  </si>
  <si>
    <t xml:space="preserve">solid.treat</t>
  </si>
  <si>
    <t xml:space="preserve">A.meas.meth</t>
  </si>
  <si>
    <t xml:space="preserve">sep.meth</t>
  </si>
  <si>
    <t xml:space="preserve">sep.scale</t>
  </si>
  <si>
    <t xml:space="preserve">slurry.source</t>
  </si>
  <si>
    <t xml:space="preserve">DM.sep.eff</t>
  </si>
  <si>
    <t xml:space="preserve">TAN.sep.eff</t>
  </si>
  <si>
    <t xml:space="preserve">Mass.sep.eff</t>
  </si>
  <si>
    <t xml:space="preserve">S.DM</t>
  </si>
  <si>
    <t xml:space="preserve">S.pH</t>
  </si>
  <si>
    <t xml:space="preserve">S.TAN</t>
  </si>
  <si>
    <t xml:space="preserve">S.emis.perc</t>
  </si>
  <si>
    <t xml:space="preserve">S.emis.ini</t>
  </si>
  <si>
    <t xml:space="preserve">S.emis.source</t>
  </si>
  <si>
    <t xml:space="preserve">S.exp.ID</t>
  </si>
  <si>
    <t xml:space="preserve">S.effect</t>
  </si>
  <si>
    <t xml:space="preserve">S.notes</t>
  </si>
  <si>
    <t xml:space="preserve">A.DM</t>
  </si>
  <si>
    <t xml:space="preserve">A.pH</t>
  </si>
  <si>
    <t xml:space="preserve">A.TAN</t>
  </si>
  <si>
    <t xml:space="preserve">A.app.meth</t>
  </si>
  <si>
    <t xml:space="preserve">A.amount</t>
  </si>
  <si>
    <t xml:space="preserve">A.temp.app</t>
  </si>
  <si>
    <t xml:space="preserve">A.temp.AVG</t>
  </si>
  <si>
    <t xml:space="preserve">A.rain</t>
  </si>
  <si>
    <t xml:space="preserve">A.soil.type</t>
  </si>
  <si>
    <t xml:space="preserve">A.crop</t>
  </si>
  <si>
    <t xml:space="preserve">A.soil.density</t>
  </si>
  <si>
    <t xml:space="preserve">A.soil.water</t>
  </si>
  <si>
    <t xml:space="preserve">A.duration</t>
  </si>
  <si>
    <t xml:space="preserve">A.emis.perc</t>
  </si>
  <si>
    <t xml:space="preserve">A.emis.ini</t>
  </si>
  <si>
    <t xml:space="preserve">A.dat.source</t>
  </si>
  <si>
    <t xml:space="preserve">A.exp.ID</t>
  </si>
  <si>
    <t xml:space="preserve">A.effect</t>
  </si>
  <si>
    <t xml:space="preserve">A.notes</t>
  </si>
  <si>
    <t xml:space="preserve">Anderson et al, in prep</t>
  </si>
  <si>
    <t xml:space="preserve">raw, liquid</t>
  </si>
  <si>
    <t xml:space="preserve">AU WT</t>
  </si>
  <si>
    <t xml:space="preserve">cattle</t>
  </si>
  <si>
    <t xml:space="preserve">raw</t>
  </si>
  <si>
    <t xml:space="preserve">NA</t>
  </si>
  <si>
    <t xml:space="preserve">trailing hose</t>
  </si>
  <si>
    <t xml:space="preserve">23.7 (first 4 h)</t>
  </si>
  <si>
    <t xml:space="preserve">No/NR</t>
  </si>
  <si>
    <t xml:space="preserve">silty clay, 43% clay</t>
  </si>
  <si>
    <t xml:space="preserve">grass</t>
  </si>
  <si>
    <t xml:space="preserve">Karins first draft, Table 3</t>
  </si>
  <si>
    <r>
      <rPr>
        <i val="true"/>
        <sz val="11"/>
        <color rgb="FF000000"/>
        <rFont val="Calibri"/>
        <family val="2"/>
        <charset val="1"/>
      </rPr>
      <t xml:space="preserve">Experiment 4</t>
    </r>
    <r>
      <rPr>
        <sz val="11"/>
        <color rgb="FF000000"/>
        <rFont val="Calibri"/>
        <family val="2"/>
        <charset val="1"/>
      </rPr>
      <t xml:space="preserve">: </t>
    </r>
    <r>
      <rPr>
        <i val="true"/>
        <sz val="11"/>
        <color rgb="FF000000"/>
        <rFont val="Calibri"/>
        <family val="2"/>
        <charset val="1"/>
      </rPr>
      <t xml:space="preserve">Separated</t>
    </r>
    <r>
      <rPr>
        <sz val="11"/>
        <color rgb="FF000000"/>
        <rFont val="Calibri"/>
        <family val="2"/>
        <charset val="1"/>
      </rPr>
      <t xml:space="preserve"> and </t>
    </r>
    <r>
      <rPr>
        <i val="true"/>
        <sz val="11"/>
        <color rgb="FF000000"/>
        <rFont val="Calibri"/>
        <family val="2"/>
        <charset val="1"/>
      </rPr>
      <t xml:space="preserve">Untreated</t>
    </r>
  </si>
  <si>
    <t xml:space="preserve">screw press </t>
  </si>
  <si>
    <t xml:space="preserve">full</t>
  </si>
  <si>
    <t xml:space="preserve">liquid</t>
  </si>
  <si>
    <t xml:space="preserve">Calculated</t>
  </si>
  <si>
    <t xml:space="preserve">Karins first draft, Table 4</t>
  </si>
  <si>
    <t xml:space="preserve">not sig. red of 20%</t>
  </si>
  <si>
    <t xml:space="preserve">raw, liquid, solid</t>
  </si>
  <si>
    <t xml:space="preserve">storage (raw, liquid, solids), application (raw, liquid)</t>
  </si>
  <si>
    <t xml:space="preserve">Composting, no field application</t>
  </si>
  <si>
    <t xml:space="preserve">Large 27 m2 dynamic chambers</t>
  </si>
  <si>
    <t xml:space="preserve">Calculated from values in Tables 2 and 3, assuming "slurry" means raw slurry.</t>
  </si>
  <si>
    <t xml:space="preserve">Untreated</t>
  </si>
  <si>
    <t xml:space="preserve">Increase in NH3 emission due to solids composting</t>
  </si>
  <si>
    <t xml:space="preserve">Units are unclear</t>
  </si>
  <si>
    <t xml:space="preserve">Own calculation based on Table 2 and 3.</t>
  </si>
  <si>
    <r>
      <rPr>
        <i val="true"/>
        <sz val="11"/>
        <color rgb="FF000000"/>
        <rFont val="Calibri"/>
        <family val="2"/>
        <charset val="1"/>
      </rPr>
      <t xml:space="preserve">Untreated</t>
    </r>
    <r>
      <rPr>
        <sz val="11"/>
        <color rgb="FF000000"/>
        <rFont val="Calibri"/>
        <family val="2"/>
        <charset val="1"/>
      </rPr>
      <t xml:space="preserve"> and </t>
    </r>
    <r>
      <rPr>
        <i val="true"/>
        <sz val="11"/>
        <color rgb="FF000000"/>
        <rFont val="Calibri"/>
        <family val="2"/>
        <charset val="1"/>
      </rPr>
      <t xml:space="preserve">Separated</t>
    </r>
  </si>
  <si>
    <t xml:space="preserve">Unsure if the chambers are ok/usefull. Only measured for 48 h, then they didn't see any more emission. Application at 27 m2 with watering can - time issue? </t>
  </si>
  <si>
    <t xml:space="preserve">screw sieve press</t>
  </si>
  <si>
    <t xml:space="preserve">Separated</t>
  </si>
  <si>
    <t xml:space="preserve">sig red of 57%</t>
  </si>
  <si>
    <t xml:space="preserve">solid</t>
  </si>
  <si>
    <t xml:space="preserve">Separated - solid fraction</t>
  </si>
  <si>
    <t xml:space="preserve">Lockyer WT</t>
  </si>
  <si>
    <t xml:space="preserve">broadcast</t>
  </si>
  <si>
    <t xml:space="preserve">Silty to sandy loam</t>
  </si>
  <si>
    <t xml:space="preserve">none</t>
  </si>
  <si>
    <t xml:space="preserve">Table 3</t>
  </si>
  <si>
    <t xml:space="preserve">All experiments</t>
  </si>
  <si>
    <t xml:space="preserve"> Duration is minimum 11 days = 264 h, the longest exp was 15 d.</t>
  </si>
  <si>
    <t xml:space="preserve">decantation</t>
  </si>
  <si>
    <t xml:space="preserve">Table 4</t>
  </si>
  <si>
    <t xml:space="preserve">inc of 5%</t>
  </si>
  <si>
    <t xml:space="preserve">Table 5</t>
  </si>
  <si>
    <t xml:space="preserve">Table 6</t>
  </si>
  <si>
    <t xml:space="preserve">red of 3%</t>
  </si>
  <si>
    <t xml:space="preserve">Table 7</t>
  </si>
  <si>
    <t xml:space="preserve">Table 8</t>
  </si>
  <si>
    <t xml:space="preserve">inc of 39%</t>
  </si>
  <si>
    <t xml:space="preserve">Table 9</t>
  </si>
  <si>
    <t xml:space="preserve">Table 10</t>
  </si>
  <si>
    <t xml:space="preserve">Table 11</t>
  </si>
  <si>
    <t xml:space="preserve">Table 12</t>
  </si>
  <si>
    <t xml:space="preserve">red of 58%</t>
  </si>
  <si>
    <t xml:space="preserve">Table 13</t>
  </si>
  <si>
    <t xml:space="preserve">Table 14</t>
  </si>
  <si>
    <t xml:space="preserve">red of 68%</t>
  </si>
  <si>
    <t xml:space="preserve">band spread on slots</t>
  </si>
  <si>
    <t xml:space="preserve">Table 15</t>
  </si>
  <si>
    <t xml:space="preserve">Table 16</t>
  </si>
  <si>
    <t xml:space="preserve">red of 37%</t>
  </si>
  <si>
    <t xml:space="preserve">Table 17</t>
  </si>
  <si>
    <t xml:space="preserve">Table 18</t>
  </si>
  <si>
    <t xml:space="preserve">red of 26%</t>
  </si>
  <si>
    <t xml:space="preserve">Table 19</t>
  </si>
  <si>
    <t xml:space="preserve">Table 20</t>
  </si>
  <si>
    <t xml:space="preserve">inc of 12%</t>
  </si>
  <si>
    <t xml:space="preserve">Table 21</t>
  </si>
  <si>
    <t xml:space="preserve">Table 22</t>
  </si>
  <si>
    <t xml:space="preserve">inc of 22%</t>
  </si>
  <si>
    <t xml:space="preserve">Table 23</t>
  </si>
  <si>
    <t xml:space="preserve">Table 24</t>
  </si>
  <si>
    <t xml:space="preserve">red of 60%</t>
  </si>
  <si>
    <t xml:space="preserve">Table 25</t>
  </si>
  <si>
    <t xml:space="preserve">Table 26</t>
  </si>
  <si>
    <t xml:space="preserve">red of 71%</t>
  </si>
  <si>
    <t xml:space="preserve">Schmidt 2002 WT</t>
  </si>
  <si>
    <t xml:space="preserve">pig</t>
  </si>
  <si>
    <t xml:space="preserve">18.4 (11.3-27.8)</t>
  </si>
  <si>
    <t xml:space="preserve">Loamy sand</t>
  </si>
  <si>
    <t xml:space="preserve">Read of Fig. 2</t>
  </si>
  <si>
    <r>
      <rPr>
        <i val="true"/>
        <sz val="11"/>
        <color rgb="FF000000"/>
        <rFont val="Calibri"/>
        <family val="2"/>
        <charset val="1"/>
      </rPr>
      <t xml:space="preserve">All three fractions</t>
    </r>
    <r>
      <rPr>
        <sz val="11"/>
        <color rgb="FF000000"/>
        <rFont val="Calibri"/>
        <family val="2"/>
        <charset val="1"/>
      </rPr>
      <t xml:space="preserve">, Schmidt tunnels with airflow of 0.6 m/s</t>
    </r>
  </si>
  <si>
    <t xml:space="preserve">Amounts (ton/ha) are calculated based on applicatoin rate of 70 kgN/ha and info in Table 1. Unsure if it should be TAN. Emission is calulated from read of Fig 2. and the TAN/TKN ratio in Table 1. Did not include data with air speed of ~0 m/s as it has been shown that static chambers are not usefull for NH3 measurements. Unknown application method, assumed broadcast. </t>
  </si>
  <si>
    <t xml:space="preserve">screw press separator</t>
  </si>
  <si>
    <t xml:space="preserve">red of 33%</t>
  </si>
  <si>
    <t xml:space="preserve">11.4 (9.1-17.0)</t>
  </si>
  <si>
    <t xml:space="preserve">red of 48%</t>
  </si>
  <si>
    <t xml:space="preserve">27.8 (23.1-35.1)</t>
  </si>
  <si>
    <t xml:space="preserve">Amounts (ton/ha) are calculated based on applicatoin rate of 70 kgN/ha and info in Table 2. Unsure if it should be TAN. Emission is calulated from data in Table 3. and the TAN/TKN ratio in Table 2. Did not include data with air speed of ~0 m/s as it has been shown that static chambers are not usefull for NH3 measurements. Unknown application method, assumed broadcast. </t>
  </si>
  <si>
    <t xml:space="preserve">Table 2 and calculated</t>
  </si>
  <si>
    <t xml:space="preserve">12.5 (7.0-19.0)</t>
  </si>
  <si>
    <t xml:space="preserve">15.8-19.1</t>
  </si>
  <si>
    <t xml:space="preserve">Loam (23% clay) and sandy loam (17% clay)</t>
  </si>
  <si>
    <t xml:space="preserve">0.13-0.22</t>
  </si>
  <si>
    <t xml:space="preserve">Calculated from Table 1 and 2 and calculated application rate.</t>
  </si>
  <si>
    <r>
      <rPr>
        <i val="true"/>
        <sz val="11"/>
        <color rgb="FF000000"/>
        <rFont val="Calibri"/>
        <family val="2"/>
        <charset val="1"/>
      </rPr>
      <t xml:space="preserve">Raw</t>
    </r>
    <r>
      <rPr>
        <sz val="11"/>
        <color rgb="FF000000"/>
        <rFont val="Calibri"/>
        <family val="2"/>
        <charset val="1"/>
      </rPr>
      <t xml:space="preserve">, </t>
    </r>
    <r>
      <rPr>
        <i val="true"/>
        <sz val="11"/>
        <color rgb="FF000000"/>
        <rFont val="Calibri"/>
        <family val="2"/>
        <charset val="1"/>
      </rPr>
      <t xml:space="preserve">Decanted,</t>
    </r>
    <r>
      <rPr>
        <sz val="11"/>
        <color rgb="FF000000"/>
        <rFont val="Calibri"/>
        <family val="2"/>
        <charset val="1"/>
      </rPr>
      <t xml:space="preserve"> and </t>
    </r>
    <r>
      <rPr>
        <i val="true"/>
        <sz val="11"/>
        <color rgb="FF000000"/>
        <rFont val="Calibri"/>
        <family val="2"/>
        <charset val="1"/>
      </rPr>
      <t xml:space="preserve">Filtered</t>
    </r>
    <r>
      <rPr>
        <sz val="11"/>
        <color rgb="FF000000"/>
        <rFont val="Calibri"/>
        <family val="2"/>
        <charset val="1"/>
      </rPr>
      <t xml:space="preserve">.</t>
    </r>
  </si>
  <si>
    <t xml:space="preserve">Filtred: through bed of wood shaving and saw dust. Flocculated: Ca-based coagulant. Did not include 'flocculated' as it has anoter origin than the others. Application rate calculated from Table 1 and Total N content in Table 2. </t>
  </si>
  <si>
    <t xml:space="preserve">6.0-20.2</t>
  </si>
  <si>
    <t xml:space="preserve">0.21-0.23</t>
  </si>
  <si>
    <t xml:space="preserve">12.1-20.6</t>
  </si>
  <si>
    <t xml:space="preserve">0.25-0.30</t>
  </si>
  <si>
    <t xml:space="preserve">pilot</t>
  </si>
  <si>
    <t xml:space="preserve">mass in article (Materials and Method section), DM and TAN calculated</t>
  </si>
  <si>
    <t xml:space="preserve">red of 31%</t>
  </si>
  <si>
    <t xml:space="preserve">red of 15%</t>
  </si>
  <si>
    <t xml:space="preserve">filtered</t>
  </si>
  <si>
    <t xml:space="preserve">red of 38%</t>
  </si>
  <si>
    <t xml:space="preserve">red of 34%</t>
  </si>
  <si>
    <t xml:space="preserve">nothing for the first 50 h</t>
  </si>
  <si>
    <t xml:space="preserve">Silty clay (27% clay)</t>
  </si>
  <si>
    <r>
      <rPr>
        <i val="true"/>
        <sz val="11"/>
        <color rgb="FF000000"/>
        <rFont val="Calibri"/>
        <family val="2"/>
        <charset val="1"/>
      </rPr>
      <t xml:space="preserve">Untreated</t>
    </r>
    <r>
      <rPr>
        <sz val="11"/>
        <color rgb="FF000000"/>
        <rFont val="Calibri"/>
        <family val="2"/>
        <charset val="1"/>
      </rPr>
      <t xml:space="preserve">, </t>
    </r>
    <r>
      <rPr>
        <i val="true"/>
        <sz val="11"/>
        <color rgb="FF000000"/>
        <rFont val="Calibri"/>
        <family val="2"/>
        <charset val="1"/>
      </rPr>
      <t xml:space="preserve">Decanted</t>
    </r>
    <r>
      <rPr>
        <sz val="11"/>
        <color rgb="FF000000"/>
        <rFont val="Calibri"/>
        <family val="2"/>
        <charset val="1"/>
      </rPr>
      <t xml:space="preserve">, </t>
    </r>
    <r>
      <rPr>
        <i val="true"/>
        <sz val="11"/>
        <color rgb="FF000000"/>
        <rFont val="Calibri"/>
        <family val="2"/>
        <charset val="1"/>
      </rPr>
      <t xml:space="preserve">Filtered</t>
    </r>
    <r>
      <rPr>
        <sz val="11"/>
        <color rgb="FF000000"/>
        <rFont val="Calibri"/>
        <family val="2"/>
        <charset val="1"/>
      </rPr>
      <t xml:space="preserve">, and </t>
    </r>
    <r>
      <rPr>
        <i val="true"/>
        <sz val="11"/>
        <color rgb="FF000000"/>
        <rFont val="Calibri"/>
        <family val="2"/>
        <charset val="1"/>
      </rPr>
      <t xml:space="preserve">Flocculated</t>
    </r>
  </si>
  <si>
    <t xml:space="preserve">decanted</t>
  </si>
  <si>
    <t xml:space="preserve">Mass stated in article (Materials and Methods section)</t>
  </si>
  <si>
    <t xml:space="preserve">red of 10%</t>
  </si>
  <si>
    <t xml:space="preserve">unknown</t>
  </si>
  <si>
    <t xml:space="preserve">inc of 27%</t>
  </si>
  <si>
    <t xml:space="preserve">flocculated</t>
  </si>
  <si>
    <t xml:space="preserve">inc of 11%</t>
  </si>
  <si>
    <t xml:space="preserve">inc of 16%</t>
  </si>
  <si>
    <t xml:space="preserve">red of 2%</t>
  </si>
  <si>
    <t xml:space="preserve">red of 55%</t>
  </si>
  <si>
    <t xml:space="preserve">red of 36%</t>
  </si>
  <si>
    <t xml:space="preserve">inc of 40%</t>
  </si>
  <si>
    <t xml:space="preserve">storage, application</t>
  </si>
  <si>
    <t xml:space="preserve">Lab</t>
  </si>
  <si>
    <t xml:space="preserve">climate-controlled room, 1.5 L beaker</t>
  </si>
  <si>
    <t xml:space="preserve">Table 2</t>
  </si>
  <si>
    <t xml:space="preserve">Loamy sand (2% clay)</t>
  </si>
  <si>
    <r>
      <rPr>
        <i val="true"/>
        <sz val="11"/>
        <color rgb="FF000000"/>
        <rFont val="Calibri"/>
        <family val="2"/>
        <charset val="1"/>
      </rPr>
      <t xml:space="preserve">Raw slurry</t>
    </r>
    <r>
      <rPr>
        <sz val="11"/>
        <color rgb="FF000000"/>
        <rFont val="Calibri"/>
        <family val="2"/>
        <charset val="1"/>
      </rPr>
      <t xml:space="preserve"> and </t>
    </r>
    <r>
      <rPr>
        <i val="true"/>
        <sz val="11"/>
        <color rgb="FF000000"/>
        <rFont val="Calibri"/>
        <family val="2"/>
        <charset val="1"/>
      </rPr>
      <t xml:space="preserve">Liquid fraction</t>
    </r>
  </si>
  <si>
    <t xml:space="preserve">Lab mechanical</t>
  </si>
  <si>
    <t xml:space="preserve">lab</t>
  </si>
  <si>
    <t xml:space="preserve">Total in Section 2, others calculated</t>
  </si>
  <si>
    <t xml:space="preserve">inr of 61%</t>
  </si>
  <si>
    <t xml:space="preserve">On farm, raw and liquid in 1600 m3 tanks, solids in 4 t pile</t>
  </si>
  <si>
    <t xml:space="preserve">Table 2 and Figure 6</t>
  </si>
  <si>
    <t xml:space="preserve">5.80 (4.20-7.30)</t>
  </si>
  <si>
    <t xml:space="preserve">loamy sand (3.2% clay)</t>
  </si>
  <si>
    <t xml:space="preserve">Amounts (ton/ha) calculated from Table 1 tot N and application rate og 70 kgN/ha. Polymers used for separation.</t>
  </si>
  <si>
    <t xml:space="preserve">chemo-mechanically, see details in paper</t>
  </si>
  <si>
    <t xml:space="preserve">Calculated for total mass, otherwise reported in Section 3.1</t>
  </si>
  <si>
    <t xml:space="preserve">not sig red of 23%</t>
  </si>
  <si>
    <t xml:space="preserve">27.6 (26.9-31.8)</t>
  </si>
  <si>
    <t xml:space="preserve">not sig red of 15%</t>
  </si>
  <si>
    <t xml:space="preserve">Lab aerobic incubation and acid traps</t>
  </si>
  <si>
    <t xml:space="preserve">Haplic Cambisol (sandy texture, 9% clay), sieved</t>
  </si>
  <si>
    <r>
      <rPr>
        <i val="true"/>
        <sz val="11"/>
        <color rgb="FF000000"/>
        <rFont val="Calibri"/>
        <family val="2"/>
        <charset val="1"/>
      </rPr>
      <t xml:space="preserve">S-S</t>
    </r>
    <r>
      <rPr>
        <sz val="11"/>
        <color rgb="FF000000"/>
        <rFont val="Calibri"/>
        <family val="2"/>
        <charset val="1"/>
      </rPr>
      <t xml:space="preserve"> and </t>
    </r>
    <r>
      <rPr>
        <i val="true"/>
        <sz val="11"/>
        <color rgb="FF000000"/>
        <rFont val="Calibri"/>
        <family val="2"/>
        <charset val="1"/>
      </rPr>
      <t xml:space="preserve">LF-S</t>
    </r>
  </si>
  <si>
    <t xml:space="preserve">sig red of 96 %</t>
  </si>
  <si>
    <t xml:space="preserve">Not representative of real conditoins with centrifugation and very high DM removal.</t>
  </si>
  <si>
    <t xml:space="preserve">centrifugation</t>
  </si>
  <si>
    <t xml:space="preserve">broadcast and incorporated</t>
  </si>
  <si>
    <t xml:space="preserve">Cambic Arenosol (3% clay)</t>
  </si>
  <si>
    <r>
      <rPr>
        <i val="true"/>
        <sz val="11"/>
        <color rgb="FF000000"/>
        <rFont val="Calibri"/>
        <family val="2"/>
        <charset val="1"/>
      </rPr>
      <t xml:space="preserve">S-tillage</t>
    </r>
    <r>
      <rPr>
        <sz val="11"/>
        <color rgb="FF000000"/>
        <rFont val="Calibri"/>
        <family val="2"/>
        <charset val="1"/>
      </rPr>
      <t xml:space="preserve">  and </t>
    </r>
    <r>
      <rPr>
        <i val="true"/>
        <sz val="11"/>
        <color rgb="FF000000"/>
        <rFont val="Calibri"/>
        <family val="2"/>
        <charset val="1"/>
      </rPr>
      <t xml:space="preserve">LF-tillage</t>
    </r>
  </si>
  <si>
    <t xml:space="preserve">inc of 18%</t>
  </si>
  <si>
    <t xml:space="preserve">ventilated chambers from Stevens et al. (1989)</t>
  </si>
  <si>
    <t xml:space="preserve">clay loam</t>
  </si>
  <si>
    <t xml:space="preserve">Own calculation based on Table 2, Table 1 and the application rate</t>
  </si>
  <si>
    <r>
      <rPr>
        <sz val="11"/>
        <color rgb="FF000000"/>
        <rFont val="Calibri"/>
        <family val="2"/>
        <charset val="1"/>
      </rPr>
      <t xml:space="preserve">Application 1, 2 and 3, </t>
    </r>
    <r>
      <rPr>
        <i val="true"/>
        <sz val="11"/>
        <color rgb="FF000000"/>
        <rFont val="Calibri"/>
        <family val="2"/>
        <charset val="1"/>
      </rPr>
      <t xml:space="preserve">S</t>
    </r>
    <r>
      <rPr>
        <i val="true"/>
        <vertAlign val="subscript"/>
        <sz val="11"/>
        <color rgb="FF000000"/>
        <rFont val="Calibri"/>
        <family val="2"/>
        <charset val="1"/>
      </rPr>
      <t xml:space="preserve">1</t>
    </r>
    <r>
      <rPr>
        <sz val="11"/>
        <color rgb="FF000000"/>
        <rFont val="Calibri"/>
        <family val="2"/>
        <charset val="1"/>
      </rPr>
      <t xml:space="preserve">, </t>
    </r>
    <r>
      <rPr>
        <i val="true"/>
        <sz val="11"/>
        <color rgb="FF000000"/>
        <rFont val="Calibri"/>
        <family val="2"/>
        <charset val="1"/>
      </rPr>
      <t xml:space="preserve">S</t>
    </r>
    <r>
      <rPr>
        <i val="true"/>
        <vertAlign val="subscript"/>
        <sz val="11"/>
        <color rgb="FF000000"/>
        <rFont val="Calibri"/>
        <family val="2"/>
        <charset val="1"/>
      </rPr>
      <t xml:space="preserve">2</t>
    </r>
    <r>
      <rPr>
        <sz val="11"/>
        <color rgb="FF000000"/>
        <rFont val="Calibri"/>
        <family val="2"/>
        <charset val="1"/>
      </rPr>
      <t xml:space="preserve">, </t>
    </r>
    <r>
      <rPr>
        <i val="true"/>
        <sz val="11"/>
        <color rgb="FF000000"/>
        <rFont val="Calibri"/>
        <family val="2"/>
        <charset val="1"/>
      </rPr>
      <t xml:space="preserve">S</t>
    </r>
    <r>
      <rPr>
        <i val="true"/>
        <vertAlign val="subscript"/>
        <sz val="11"/>
        <color rgb="FF000000"/>
        <rFont val="Calibri"/>
        <family val="2"/>
        <charset val="1"/>
      </rPr>
      <t xml:space="preserve">3</t>
    </r>
    <r>
      <rPr>
        <sz val="11"/>
        <color rgb="FF000000"/>
        <rFont val="Calibri"/>
        <family val="2"/>
        <charset val="1"/>
      </rPr>
      <t xml:space="preserve">, </t>
    </r>
    <r>
      <rPr>
        <i val="true"/>
        <sz val="11"/>
        <color rgb="FF000000"/>
        <rFont val="Calibri"/>
        <family val="2"/>
        <charset val="1"/>
      </rPr>
      <t xml:space="preserve">S</t>
    </r>
    <r>
      <rPr>
        <i val="true"/>
        <vertAlign val="subscript"/>
        <sz val="11"/>
        <color rgb="FF000000"/>
        <rFont val="Calibri"/>
        <family val="2"/>
        <charset val="1"/>
      </rPr>
      <t xml:space="preserve">4</t>
    </r>
    <r>
      <rPr>
        <sz val="11"/>
        <color rgb="FF000000"/>
        <rFont val="Calibri"/>
        <family val="2"/>
        <charset val="1"/>
      </rPr>
      <t xml:space="preserve">, and </t>
    </r>
    <r>
      <rPr>
        <i val="true"/>
        <sz val="11"/>
        <color rgb="FF000000"/>
        <rFont val="Calibri"/>
        <family val="2"/>
        <charset val="1"/>
      </rPr>
      <t xml:space="preserve">S</t>
    </r>
    <r>
      <rPr>
        <i val="true"/>
        <vertAlign val="subscript"/>
        <sz val="11"/>
        <color rgb="FF000000"/>
        <rFont val="Calibri"/>
        <family val="2"/>
        <charset val="1"/>
      </rPr>
      <t xml:space="preserve">5</t>
    </r>
  </si>
  <si>
    <t xml:space="preserve">Splash plate application and sieving. But good for showing how a reduction in particle size and DM reduces emissions.</t>
  </si>
  <si>
    <t xml:space="preserve">sieving</t>
  </si>
  <si>
    <t xml:space="preserve">Own calculation based on Table 2 and the application rate</t>
  </si>
  <si>
    <t xml:space="preserve">red of 32%</t>
  </si>
  <si>
    <t xml:space="preserve">red of 47%</t>
  </si>
  <si>
    <t xml:space="preserve">red of 63%</t>
  </si>
  <si>
    <t xml:space="preserve">inc of 2.8%</t>
  </si>
  <si>
    <t xml:space="preserve">red of 4%</t>
  </si>
  <si>
    <t xml:space="preserve">red of 35%</t>
  </si>
  <si>
    <t xml:space="preserve">red of 39%</t>
  </si>
  <si>
    <t xml:space="preserve">red og 46%</t>
  </si>
  <si>
    <t xml:space="preserve">red of 46%</t>
  </si>
  <si>
    <t xml:space="preserve">red of 69%</t>
  </si>
  <si>
    <t xml:space="preserve">red of 92%</t>
  </si>
  <si>
    <t xml:space="preserve">Hjorth et al. (2009)</t>
  </si>
  <si>
    <t xml:space="preserve">lab dynamic chambers</t>
  </si>
  <si>
    <t xml:space="preserve">sandy soil (6% clay)</t>
  </si>
  <si>
    <t xml:space="preserve">All DM, TAN, pH and NH3 data is from raw data Tavs send.</t>
  </si>
  <si>
    <t xml:space="preserve">All data</t>
  </si>
  <si>
    <t xml:space="preserve">belt</t>
  </si>
  <si>
    <t xml:space="preserve">red of 25%</t>
  </si>
  <si>
    <t xml:space="preserve">belt + coagulant</t>
  </si>
  <si>
    <t xml:space="preserve">red of 83%</t>
  </si>
  <si>
    <t xml:space="preserve">digested pig</t>
  </si>
  <si>
    <t xml:space="preserve">red of 9%</t>
  </si>
  <si>
    <t xml:space="preserve">red of 45%</t>
  </si>
  <si>
    <t xml:space="preserve">mechanical separation</t>
  </si>
  <si>
    <t xml:space="preserve">chambers in laboratory</t>
  </si>
  <si>
    <t xml:space="preserve">NR</t>
  </si>
  <si>
    <t xml:space="preserve">loam and silty-loam. Dried and sieved.</t>
  </si>
  <si>
    <t xml:space="preserve">1.34 and 1.45</t>
  </si>
  <si>
    <r>
      <rPr>
        <i val="true"/>
        <sz val="11"/>
        <color rgb="FF000000"/>
        <rFont val="Calibri"/>
        <family val="2"/>
        <charset val="1"/>
      </rPr>
      <t xml:space="preserve">Untreated slurry </t>
    </r>
    <r>
      <rPr>
        <sz val="11"/>
        <color rgb="FF000000"/>
        <rFont val="Calibri"/>
        <family val="2"/>
        <charset val="1"/>
      </rPr>
      <t xml:space="preserve">and </t>
    </r>
    <r>
      <rPr>
        <i val="true"/>
        <sz val="11"/>
        <color rgb="FF000000"/>
        <rFont val="Calibri"/>
        <family val="2"/>
        <charset val="1"/>
      </rPr>
      <t xml:space="preserve">Untreated slurry liqudi</t>
    </r>
    <r>
      <rPr>
        <sz val="11"/>
        <color rgb="FF000000"/>
        <rFont val="Calibri"/>
        <family val="2"/>
        <charset val="1"/>
      </rPr>
      <t xml:space="preserve"> </t>
    </r>
  </si>
  <si>
    <t xml:space="preserve">Not representative for real conditions, but shows concept.</t>
  </si>
  <si>
    <t xml:space="preserve">loboratory centrifuge</t>
  </si>
  <si>
    <t xml:space="preserve">1.34 and 1.46</t>
  </si>
  <si>
    <t xml:space="preserve">sig red of 50%</t>
  </si>
  <si>
    <t xml:space="preserve">0 mm day 1 0.7 mm total</t>
  </si>
  <si>
    <t xml:space="preserve">winter wheat</t>
  </si>
  <si>
    <r>
      <rPr>
        <sz val="11"/>
        <color rgb="FF000000"/>
        <rFont val="Calibri"/>
        <family val="2"/>
        <charset val="1"/>
      </rPr>
      <t xml:space="preserve">Emission 2008, </t>
    </r>
    <r>
      <rPr>
        <i val="true"/>
        <sz val="11"/>
        <color rgb="FF000000"/>
        <rFont val="Calibri"/>
        <family val="2"/>
        <charset val="1"/>
      </rPr>
      <t xml:space="preserve">Untreated</t>
    </r>
    <r>
      <rPr>
        <sz val="11"/>
        <color rgb="FF000000"/>
        <rFont val="Calibri"/>
        <family val="2"/>
        <charset val="1"/>
      </rPr>
      <t xml:space="preserve"> and </t>
    </r>
    <r>
      <rPr>
        <i val="true"/>
        <sz val="11"/>
        <color rgb="FF000000"/>
        <rFont val="Calibri"/>
        <family val="2"/>
        <charset val="1"/>
      </rPr>
      <t xml:space="preserve">Separated</t>
    </r>
  </si>
  <si>
    <t xml:space="preserve">Danish conditions but extreem variation in data. </t>
  </si>
  <si>
    <t xml:space="preserve">experimental belt separator with addition of polymer</t>
  </si>
  <si>
    <t xml:space="preserve">1 mm day 1 0.7 mm total</t>
  </si>
  <si>
    <t xml:space="preserve">red of 74%, no stat</t>
  </si>
  <si>
    <t xml:space="preserve">Nyord (2018)</t>
  </si>
  <si>
    <t xml:space="preserve">Leuning samplers</t>
  </si>
  <si>
    <t xml:space="preserve">first day: 0; shole period: 12.8 mm</t>
  </si>
  <si>
    <t xml:space="preserve">5% clay</t>
  </si>
  <si>
    <t xml:space="preserve">Raw data from Tavs</t>
  </si>
  <si>
    <t xml:space="preserve">Very big variation in data and only single measurement for separated during second trial. Emission measurements between 48 and 65 hours. </t>
  </si>
  <si>
    <t xml:space="preserve">screw press</t>
  </si>
  <si>
    <t xml:space="preserve">red of 42%, no stat</t>
  </si>
  <si>
    <t xml:space="preserve">first day: 1.1 mm, whole period: 15.9 mm</t>
  </si>
  <si>
    <t xml:space="preserve">red of 27%, no stat</t>
  </si>
  <si>
    <t xml:space="preserve">WT</t>
  </si>
  <si>
    <t xml:space="preserve">Dystric cambisol 12% clay</t>
  </si>
  <si>
    <t xml:space="preserve">Red of Fig 1</t>
  </si>
  <si>
    <r>
      <rPr>
        <i val="true"/>
        <sz val="11"/>
        <color rgb="FF000000"/>
        <rFont val="Calibri"/>
        <family val="2"/>
        <charset val="1"/>
      </rPr>
      <t xml:space="preserve">WS</t>
    </r>
    <r>
      <rPr>
        <sz val="11"/>
        <color rgb="FF000000"/>
        <rFont val="Calibri"/>
        <family val="2"/>
        <charset val="1"/>
      </rPr>
      <t xml:space="preserve">, </t>
    </r>
    <r>
      <rPr>
        <i val="true"/>
        <sz val="11"/>
        <color rgb="FF000000"/>
        <rFont val="Calibri"/>
        <family val="2"/>
        <charset val="1"/>
      </rPr>
      <t xml:space="preserve">LF</t>
    </r>
    <r>
      <rPr>
        <sz val="11"/>
        <color rgb="FF000000"/>
        <rFont val="Calibri"/>
        <family val="2"/>
        <charset val="1"/>
      </rPr>
      <t xml:space="preserve">, </t>
    </r>
    <r>
      <rPr>
        <i val="true"/>
        <sz val="11"/>
        <color rgb="FF000000"/>
        <rFont val="Calibri"/>
        <family val="2"/>
        <charset val="1"/>
      </rPr>
      <t xml:space="preserve">LFB, </t>
    </r>
    <r>
      <rPr>
        <sz val="11"/>
        <color rgb="FF000000"/>
        <rFont val="Calibri"/>
        <family val="2"/>
        <charset val="1"/>
      </rPr>
      <t xml:space="preserve">and </t>
    </r>
    <r>
      <rPr>
        <i val="true"/>
        <sz val="11"/>
        <color rgb="FF000000"/>
        <rFont val="Calibri"/>
        <family val="2"/>
        <charset val="1"/>
      </rPr>
      <t xml:space="preserve">LFJ</t>
    </r>
  </si>
  <si>
    <t xml:space="preserve">Application rate calculated from tot N and application rate of 130 kgN/ha</t>
  </si>
  <si>
    <t xml:space="preserve">red of 59%</t>
  </si>
  <si>
    <t xml:space="preserve">screw press + biological additives</t>
  </si>
  <si>
    <t xml:space="preserve">red of 56%</t>
  </si>
  <si>
    <t xml:space="preserve">red of 64%</t>
  </si>
  <si>
    <t xml:space="preserve">spring oat stubble</t>
  </si>
  <si>
    <t xml:space="preserve">Fig 4. and own data</t>
  </si>
  <si>
    <r>
      <rPr>
        <sz val="11"/>
        <color rgb="FF000000"/>
        <rFont val="Calibri"/>
        <family val="2"/>
        <charset val="1"/>
      </rPr>
      <t xml:space="preserve">Both experiments, </t>
    </r>
    <r>
      <rPr>
        <i val="true"/>
        <sz val="11"/>
        <color rgb="FF000000"/>
        <rFont val="Calibri"/>
        <family val="2"/>
        <charset val="1"/>
      </rPr>
      <t xml:space="preserve">Untreated</t>
    </r>
    <r>
      <rPr>
        <sz val="11"/>
        <color rgb="FF000000"/>
        <rFont val="Calibri"/>
        <family val="2"/>
        <charset val="1"/>
      </rPr>
      <t xml:space="preserve"> and </t>
    </r>
    <r>
      <rPr>
        <i val="true"/>
        <sz val="11"/>
        <color rgb="FF000000"/>
        <rFont val="Calibri"/>
        <family val="2"/>
        <charset val="1"/>
      </rPr>
      <t xml:space="preserve">Separated</t>
    </r>
  </si>
  <si>
    <t xml:space="preserve">High ESA. Liquid volume% as in Anderson et al., in preparation</t>
  </si>
  <si>
    <t xml:space="preserve">sig red of 26%</t>
  </si>
  <si>
    <t xml:space="preserve">sandy loam (14% clay)</t>
  </si>
  <si>
    <t xml:space="preserve">sig inc of 20%</t>
  </si>
  <si>
    <t xml:space="preserve">silty loam</t>
  </si>
  <si>
    <t xml:space="preserve">Own data</t>
  </si>
  <si>
    <r>
      <rPr>
        <i val="true"/>
        <sz val="11"/>
        <color rgb="FF000000"/>
        <rFont val="Calibri"/>
        <family val="2"/>
        <charset val="1"/>
      </rPr>
      <t xml:space="preserve">Untreated broadcast </t>
    </r>
    <r>
      <rPr>
        <sz val="11"/>
        <color rgb="FF000000"/>
        <rFont val="Calibri"/>
        <family val="2"/>
        <charset val="1"/>
      </rPr>
      <t xml:space="preserve">and </t>
    </r>
    <r>
      <rPr>
        <i val="true"/>
        <sz val="11"/>
        <color rgb="FF000000"/>
        <rFont val="Calibri"/>
        <family val="2"/>
        <charset val="1"/>
      </rPr>
      <t xml:space="preserve">Separated broadcast </t>
    </r>
    <r>
      <rPr>
        <sz val="11"/>
        <color rgb="FF000000"/>
        <rFont val="Calibri"/>
        <family val="2"/>
        <charset val="1"/>
      </rPr>
      <t xml:space="preserve">from exeriment A and C, </t>
    </r>
    <r>
      <rPr>
        <i val="true"/>
        <sz val="11"/>
        <color rgb="FF000000"/>
        <rFont val="Calibri"/>
        <family val="2"/>
        <charset val="1"/>
      </rPr>
      <t xml:space="preserve">Untreated narrow banded,</t>
    </r>
    <r>
      <rPr>
        <sz val="11"/>
        <color rgb="FF000000"/>
        <rFont val="Calibri"/>
        <family val="2"/>
        <charset val="1"/>
      </rPr>
      <t xml:space="preserve"> </t>
    </r>
    <r>
      <rPr>
        <i val="true"/>
        <sz val="11"/>
        <color rgb="FF000000"/>
        <rFont val="Calibri"/>
        <family val="2"/>
        <charset val="1"/>
      </rPr>
      <t xml:space="preserve">Separated narrow banded, </t>
    </r>
    <r>
      <rPr>
        <sz val="11"/>
        <color rgb="FF000000"/>
        <rFont val="Calibri"/>
        <family val="2"/>
        <charset val="1"/>
      </rPr>
      <t xml:space="preserve">Untreated SSD</t>
    </r>
    <r>
      <rPr>
        <i val="true"/>
        <sz val="11"/>
        <color rgb="FF000000"/>
        <rFont val="Calibri"/>
        <family val="2"/>
        <charset val="1"/>
      </rPr>
      <t xml:space="preserve">, </t>
    </r>
    <r>
      <rPr>
        <sz val="11"/>
        <color rgb="FF000000"/>
        <rFont val="Calibri"/>
        <family val="2"/>
        <charset val="1"/>
      </rPr>
      <t xml:space="preserve">and </t>
    </r>
    <r>
      <rPr>
        <i val="true"/>
        <sz val="11"/>
        <color rgb="FF000000"/>
        <rFont val="Calibri"/>
        <family val="2"/>
        <charset val="1"/>
      </rPr>
      <t xml:space="preserve">Separated SSD</t>
    </r>
    <r>
      <rPr>
        <sz val="11"/>
        <color rgb="FF000000"/>
        <rFont val="Calibri"/>
        <family val="2"/>
        <charset val="1"/>
      </rPr>
      <t xml:space="preserve"> from experiment B and D.</t>
    </r>
  </si>
  <si>
    <t xml:space="preserve">Raw data numbers for each experiment, e.g. not the numbers that is in the article. </t>
  </si>
  <si>
    <t xml:space="preserve">settling in tank and decantation</t>
  </si>
  <si>
    <t xml:space="preserve">red of 65%</t>
  </si>
  <si>
    <t xml:space="preserve">red of 61%</t>
  </si>
  <si>
    <t xml:space="preserve">red of 341%</t>
  </si>
  <si>
    <t xml:space="preserve">mixtures</t>
  </si>
  <si>
    <t xml:space="preserve">mechanical separation and then mixed in different ratio</t>
  </si>
  <si>
    <t xml:space="preserve">mix</t>
  </si>
  <si>
    <t xml:space="preserve">19.6 (6 h avg)</t>
  </si>
  <si>
    <t xml:space="preserve">sandy loam (10% clay)</t>
  </si>
  <si>
    <r>
      <rPr>
        <sz val="11"/>
        <color rgb="FF000000"/>
        <rFont val="Calibri"/>
        <family val="2"/>
        <charset val="1"/>
      </rPr>
      <t xml:space="preserve">Exp no. 3, 6, and 7 all data, Exp no. 4 and 5 DM 2.8% and 8.2%.  </t>
    </r>
    <r>
      <rPr>
        <i val="true"/>
        <sz val="11"/>
        <color rgb="FF000000"/>
        <rFont val="Calibri"/>
        <family val="2"/>
        <charset val="1"/>
      </rPr>
      <t xml:space="preserve">Accum. NH</t>
    </r>
    <r>
      <rPr>
        <i val="true"/>
        <vertAlign val="subscript"/>
        <sz val="11"/>
        <color rgb="FF000000"/>
        <rFont val="Calibri"/>
        <family val="2"/>
        <charset val="1"/>
      </rPr>
      <t xml:space="preserve">3</t>
    </r>
    <r>
      <rPr>
        <i val="true"/>
        <sz val="11"/>
        <color rgb="FF000000"/>
        <rFont val="Calibri"/>
        <family val="2"/>
        <charset val="1"/>
      </rPr>
      <t xml:space="preserve"> loss 6 d</t>
    </r>
    <r>
      <rPr>
        <sz val="11"/>
        <color rgb="FF000000"/>
        <rFont val="Calibri"/>
        <family val="2"/>
        <charset val="1"/>
      </rPr>
      <t xml:space="preserve">.</t>
    </r>
  </si>
  <si>
    <t xml:space="preserve">Drawback: only single measurement (one WT pr. treatment). Extreemly high emissions, due to the correction they make or high wind speed in WT? Don't trust cumulative emission but relative should still be ok. Omitted data with 22% - not within the realistic range. </t>
  </si>
  <si>
    <t xml:space="preserve">11.7 (6 h avg)</t>
  </si>
  <si>
    <t xml:space="preserve">10.3 (6 h avg)</t>
  </si>
  <si>
    <t xml:space="preserve">7.9 (6 h avg)</t>
  </si>
  <si>
    <t xml:space="preserve">red of 49%</t>
  </si>
  <si>
    <t xml:space="preserve">1.9 (6 h avg)</t>
  </si>
  <si>
    <t xml:space="preserve">red of 43%</t>
  </si>
  <si>
    <t xml:space="preserve">sandy (4.1% clay)</t>
  </si>
  <si>
    <t xml:space="preserve">0.17-0.18</t>
  </si>
  <si>
    <t xml:space="preserve">Red of Fig. 2</t>
  </si>
  <si>
    <r>
      <rPr>
        <i val="true"/>
        <sz val="11"/>
        <color rgb="FF000000"/>
        <rFont val="Calibri"/>
        <family val="2"/>
        <charset val="1"/>
      </rPr>
      <t xml:space="preserve">Digested pig slurry/sandy-loam</t>
    </r>
    <r>
      <rPr>
        <sz val="11"/>
        <color rgb="FF000000"/>
        <rFont val="Calibri"/>
        <family val="2"/>
        <charset val="1"/>
      </rPr>
      <t xml:space="preserve">, </t>
    </r>
    <r>
      <rPr>
        <i val="true"/>
        <sz val="11"/>
        <color rgb="FF000000"/>
        <rFont val="Calibri"/>
        <family val="2"/>
        <charset val="1"/>
      </rPr>
      <t xml:space="preserve">Digested separated pig slurry/sandy-loam</t>
    </r>
    <r>
      <rPr>
        <sz val="11"/>
        <color rgb="FF000000"/>
        <rFont val="Calibri"/>
        <family val="2"/>
        <charset val="1"/>
      </rPr>
      <t xml:space="preserve">, </t>
    </r>
    <r>
      <rPr>
        <i val="true"/>
        <sz val="11"/>
        <color rgb="FF000000"/>
        <rFont val="Calibri"/>
        <family val="2"/>
        <charset val="1"/>
      </rPr>
      <t xml:space="preserve">Digested pig slurry/sandy soil</t>
    </r>
    <r>
      <rPr>
        <sz val="11"/>
        <color rgb="FF000000"/>
        <rFont val="Calibri"/>
        <family val="2"/>
        <charset val="1"/>
      </rPr>
      <t xml:space="preserve">, and </t>
    </r>
    <r>
      <rPr>
        <i val="true"/>
        <sz val="11"/>
        <color rgb="FF000000"/>
        <rFont val="Calibri"/>
        <family val="2"/>
        <charset val="1"/>
      </rPr>
      <t xml:space="preserve">Digested separated pig slurry/sandy soil.</t>
    </r>
  </si>
  <si>
    <t xml:space="preserve">decanter centrifuge</t>
  </si>
  <si>
    <t xml:space="preserve">Red of Fig. 3</t>
  </si>
  <si>
    <t xml:space="preserve">red of 20%</t>
  </si>
  <si>
    <t xml:space="preserve">sandy loam (19% clay)</t>
  </si>
  <si>
    <t xml:space="preserve">Red of Fig. 4</t>
  </si>
  <si>
    <t xml:space="preserve">Red of Fig. 5</t>
  </si>
  <si>
    <t xml:space="preserve">16% clay</t>
  </si>
  <si>
    <t xml:space="preserve">Fig 1</t>
  </si>
  <si>
    <t xml:space="preserve">Experiment 1, all data.</t>
  </si>
  <si>
    <t xml:space="preserve">Showing good effect, smaller mesh =&gt; higher reduction. Variation unknown as data from many experiments is pooled.</t>
  </si>
  <si>
    <t xml:space="preserve">belt press with different mesh size</t>
  </si>
  <si>
    <t xml:space="preserve">red of 14%</t>
  </si>
  <si>
    <t xml:space="preserve">red of 28%</t>
  </si>
  <si>
    <t xml:space="preserve">red of 41%</t>
  </si>
  <si>
    <t xml:space="preserve">sandy loam (10.4% clay)</t>
  </si>
  <si>
    <t xml:space="preserve">Data in Table 2 does not mach with text in 'Results and Discussion - Experiment 1 where they write that the emissions were 38 and 35%. </t>
  </si>
  <si>
    <t xml:space="preserve">red of 8%</t>
  </si>
  <si>
    <t xml:space="preserve">indirect open measurement technique</t>
  </si>
  <si>
    <t xml:space="preserve">~8</t>
  </si>
  <si>
    <t xml:space="preserve">yes, right after application</t>
  </si>
  <si>
    <r>
      <rPr>
        <i val="true"/>
        <sz val="11"/>
        <color rgb="FF000000"/>
        <rFont val="Calibri"/>
        <family val="2"/>
        <charset val="1"/>
      </rPr>
      <t xml:space="preserve">Untreated slurry</t>
    </r>
    <r>
      <rPr>
        <sz val="11"/>
        <color rgb="FF000000"/>
        <rFont val="Calibri"/>
        <family val="2"/>
        <charset val="1"/>
      </rPr>
      <t xml:space="preserve"> and </t>
    </r>
    <r>
      <rPr>
        <i val="true"/>
        <sz val="11"/>
        <color rgb="FF000000"/>
        <rFont val="Calibri"/>
        <family val="2"/>
        <charset val="1"/>
      </rPr>
      <t xml:space="preserve">Separated slurry</t>
    </r>
    <r>
      <rPr>
        <sz val="11"/>
        <color rgb="FF000000"/>
        <rFont val="Calibri"/>
        <family val="2"/>
        <charset val="1"/>
      </rPr>
      <t xml:space="preserve">, b.c. (broadcast)</t>
    </r>
    <r>
      <rPr>
        <i val="true"/>
        <sz val="11"/>
        <color rgb="FF000000"/>
        <rFont val="Calibri"/>
        <family val="2"/>
        <charset val="1"/>
      </rPr>
      <t xml:space="preserve">, </t>
    </r>
    <r>
      <rPr>
        <sz val="11"/>
        <color rgb="FF000000"/>
        <rFont val="Calibri"/>
        <family val="2"/>
        <charset val="1"/>
      </rPr>
      <t xml:space="preserve">inj. </t>
    </r>
    <r>
      <rPr>
        <i val="true"/>
        <sz val="11"/>
        <color rgb="FF000000"/>
        <rFont val="Calibri"/>
        <family val="2"/>
        <charset val="1"/>
      </rPr>
      <t xml:space="preserve">(injected), </t>
    </r>
    <r>
      <rPr>
        <sz val="11"/>
        <color rgb="FF000000"/>
        <rFont val="Calibri"/>
        <family val="2"/>
        <charset val="1"/>
      </rPr>
      <t xml:space="preserve">and harr</t>
    </r>
    <r>
      <rPr>
        <i val="true"/>
        <sz val="11"/>
        <color rgb="FF000000"/>
        <rFont val="Calibri"/>
        <family val="2"/>
        <charset val="1"/>
      </rPr>
      <t xml:space="preserve">. (harrowing)</t>
    </r>
  </si>
  <si>
    <t xml:space="preserve">Does not discuss the increases with broadcast. Injection: banded slurry application into slits in the soil made by metal hooks. Harrowing: banded slurry application followed by narrow tillage using a flexible harrrow.</t>
  </si>
  <si>
    <t xml:space="preserve">forcing slurry through coarse textile</t>
  </si>
  <si>
    <t xml:space="preserve">~22</t>
  </si>
  <si>
    <t xml:space="preserve">no</t>
  </si>
  <si>
    <t xml:space="preserve">Red of Fig. 6</t>
  </si>
  <si>
    <t xml:space="preserve">red of 67%</t>
  </si>
  <si>
    <t xml:space="preserve">~19</t>
  </si>
  <si>
    <t xml:space="preserve">Red of Fig. 7</t>
  </si>
  <si>
    <t xml:space="preserve">Red of Fig. 8</t>
  </si>
  <si>
    <t xml:space="preserve">inc of 21%</t>
  </si>
  <si>
    <t xml:space="preserve">~15</t>
  </si>
  <si>
    <t xml:space="preserve">Red of Fig. 9</t>
  </si>
  <si>
    <t xml:space="preserve">Red of Fig. 10</t>
  </si>
  <si>
    <t xml:space="preserve">inc of 60%</t>
  </si>
  <si>
    <t xml:space="preserve">open slot injection</t>
  </si>
  <si>
    <t xml:space="preserve">Red of Fig. 11</t>
  </si>
  <si>
    <t xml:space="preserve">Red of Fig. 12</t>
  </si>
  <si>
    <t xml:space="preserve">Red of Fig. 13</t>
  </si>
  <si>
    <t xml:space="preserve">Red of Fig. 14</t>
  </si>
  <si>
    <t xml:space="preserve">red of 7%</t>
  </si>
  <si>
    <t xml:space="preserve">Red of Fig. 15</t>
  </si>
  <si>
    <t xml:space="preserve">Red of Fig. 16</t>
  </si>
  <si>
    <t xml:space="preserve">red of 54%</t>
  </si>
  <si>
    <t xml:space="preserve">Red of Fig. 17</t>
  </si>
  <si>
    <t xml:space="preserve">Red of Fig. 18</t>
  </si>
  <si>
    <t xml:space="preserve">red of 40%</t>
  </si>
  <si>
    <t xml:space="preserve">trailing hose + harrowing</t>
  </si>
  <si>
    <t xml:space="preserve">Red of Fig. 19</t>
  </si>
  <si>
    <t xml:space="preserve">Red of Fig. 20</t>
  </si>
  <si>
    <t xml:space="preserve">red of 13%</t>
  </si>
  <si>
    <t xml:space="preserve">Red of Fig. 21</t>
  </si>
  <si>
    <t xml:space="preserve">Red of Fig. 22</t>
  </si>
  <si>
    <t xml:space="preserve">Red of Fig. 23</t>
  </si>
  <si>
    <t xml:space="preserve">Red of Fig. 24</t>
  </si>
  <si>
    <t xml:space="preserve">Red of Fig. 25</t>
  </si>
  <si>
    <t xml:space="preserve">Red of Fig. 26</t>
  </si>
  <si>
    <t xml:space="preserve">red of 53%</t>
  </si>
  <si>
    <t xml:space="preserve">Wagner et al. (2021)</t>
  </si>
  <si>
    <t xml:space="preserve">DTM</t>
  </si>
  <si>
    <t xml:space="preserve">digestate</t>
  </si>
  <si>
    <t xml:space="preserve">range 4.2-10.1</t>
  </si>
  <si>
    <t xml:space="preserve">on-setting rainy periods on the third day</t>
  </si>
  <si>
    <t xml:space="preserve">loamy sand, 6.9% clay</t>
  </si>
  <si>
    <t xml:space="preserve">Fig. 4 and mail from Andreas Pacholski</t>
  </si>
  <si>
    <r>
      <rPr>
        <i val="true"/>
        <sz val="11"/>
        <color rgb="FF000000"/>
        <rFont val="Calibri"/>
        <family val="2"/>
        <charset val="1"/>
      </rPr>
      <t xml:space="preserve">First winter wheat trial</t>
    </r>
    <r>
      <rPr>
        <sz val="11"/>
        <color rgb="FF000000"/>
        <rFont val="Calibri"/>
        <family val="2"/>
        <charset val="1"/>
      </rPr>
      <t xml:space="preserve"> and </t>
    </r>
    <r>
      <rPr>
        <i val="true"/>
        <sz val="11"/>
        <color rgb="FF000000"/>
        <rFont val="Calibri"/>
        <family val="2"/>
        <charset val="1"/>
      </rPr>
      <t xml:space="preserve">Second winter wheat trial</t>
    </r>
    <r>
      <rPr>
        <sz val="11"/>
        <color rgb="FF000000"/>
        <rFont val="Calibri"/>
        <family val="2"/>
        <charset val="1"/>
      </rPr>
      <t xml:space="preserve">, </t>
    </r>
    <r>
      <rPr>
        <i val="true"/>
        <sz val="11"/>
        <color rgb="FF000000"/>
        <rFont val="Calibri"/>
        <family val="2"/>
        <charset val="1"/>
      </rPr>
      <t xml:space="preserve">AD</t>
    </r>
    <r>
      <rPr>
        <sz val="11"/>
        <color rgb="FF000000"/>
        <rFont val="Calibri"/>
        <family val="2"/>
        <charset val="1"/>
      </rPr>
      <t xml:space="preserve"> and </t>
    </r>
    <r>
      <rPr>
        <i val="true"/>
        <sz val="11"/>
        <color rgb="FF000000"/>
        <rFont val="Calibri"/>
        <family val="2"/>
        <charset val="1"/>
      </rPr>
      <t xml:space="preserve">AS.</t>
    </r>
  </si>
  <si>
    <t xml:space="preserve">Emission data from Andreas Pacholski, see mail from 25-11-2021. Same data as in Ramiran2015 abstract. Low TAN in the digeste. Unexplaned differences between the two experiments. Duration varied between 72 and 96 h.</t>
  </si>
  <si>
    <t xml:space="preserve">mechanical, possibly dekanter centrifuge (PS and TN guess)</t>
  </si>
  <si>
    <t xml:space="preserve">not sig red of 50%</t>
  </si>
  <si>
    <t xml:space="preserve">range 9.4-16.2</t>
  </si>
  <si>
    <t xml:space="preserve">not sig red of 54%</t>
  </si>
  <si>
    <t xml:space="preserve">Perazzolo et al. (2016)</t>
  </si>
  <si>
    <t xml:space="preserve">storage</t>
  </si>
  <si>
    <t xml:space="preserve">mass balance</t>
  </si>
  <si>
    <t xml:space="preserve">0.8 m3 tank</t>
  </si>
  <si>
    <t xml:space="preserve">Field experiments period 1</t>
  </si>
  <si>
    <t xml:space="preserve">2% increase</t>
  </si>
  <si>
    <t xml:space="preserve">roller press</t>
  </si>
  <si>
    <t xml:space="preserve">250 kg pile</t>
  </si>
  <si>
    <t xml:space="preserve">Field experiments period 2</t>
  </si>
  <si>
    <t xml:space="preserve">Maffia et al. (2016)</t>
  </si>
  <si>
    <t xml:space="preserve">lab dynamic chamber</t>
  </si>
  <si>
    <t xml:space="preserve">1.5 kg in 5 L jar</t>
  </si>
  <si>
    <t xml:space="preserve">Figure 3</t>
  </si>
  <si>
    <t xml:space="preserve">Control treatment</t>
  </si>
  <si>
    <t xml:space="preserve">roughly 8% increase from Fig. 2</t>
  </si>
  <si>
    <t xml:space="preserve">Email message from J. Maffia 14 Dec 2021 to sasha.hafner@au.dk.</t>
  </si>
  <si>
    <t xml:space="preserve">800 g in 5 L jar</t>
  </si>
  <si>
    <t xml:space="preserve">Holly et al. (2017)</t>
  </si>
  <si>
    <t xml:space="preserve">raw, liquid, solid, digestate</t>
  </si>
  <si>
    <t xml:space="preserve">closed loop chamber</t>
  </si>
  <si>
    <t xml:space="preserve">210 L barrels with 185 L material</t>
  </si>
  <si>
    <t xml:space="preserve">closed loop chamber?</t>
  </si>
  <si>
    <t xml:space="preserve">Figure 1 and calculations</t>
  </si>
  <si>
    <t xml:space="preserve">Emission very low and in figure only</t>
  </si>
  <si>
    <t xml:space="preserve">cattle digestate</t>
  </si>
  <si>
    <t xml:space="preserve">Calculated from values in Table 1</t>
  </si>
  <si>
    <t xml:space="preserve">DM%</t>
  </si>
  <si>
    <t xml:space="preserve">Anderson, in preparation</t>
  </si>
  <si>
    <t xml:space="preserve">Balsari et al. (2008)</t>
  </si>
  <si>
    <t xml:space="preserve">winter</t>
  </si>
  <si>
    <t xml:space="preserve">summer</t>
  </si>
  <si>
    <t xml:space="preserve">% of liquid fraction</t>
  </si>
  <si>
    <t xml:space="preserve">Notes</t>
  </si>
  <si>
    <t xml:space="preserve">Taken as 'start' values in table 2, therefore DM is different than in 'data' sheet where we use 'end' values</t>
  </si>
  <si>
    <t xml:space="preserve">Values from 'storage' as this was later used for application </t>
  </si>
  <si>
    <t xml:space="preserve">Hvad er normal effekt af de seperations metoder vi bruger I DK? Skal tages højde for ift. hvilken artikler der er relevante at se på.</t>
  </si>
  <si>
    <t xml:space="preserve">I tilfælde hvor separation ikke giver en hurtigere infiltration kan det være 'dobbelt negativt' med både større overfladeareal og højere pH? Men hvor ofte er det tilfældet? </t>
  </si>
  <si>
    <t xml:space="preserve">Hvad er 'mesh size' på commercial separators i DK? Diskussion fra Stevens1992, for lille mesh er nødvendig for at få 'høje' NH3 reduktioner. </t>
  </si>
</sst>
</file>

<file path=xl/styles.xml><?xml version="1.0" encoding="utf-8"?>
<styleSheet xmlns="http://schemas.openxmlformats.org/spreadsheetml/2006/main">
  <numFmts count="6">
    <numFmt numFmtId="164" formatCode="General"/>
    <numFmt numFmtId="165" formatCode="0"/>
    <numFmt numFmtId="166" formatCode="0.0"/>
    <numFmt numFmtId="167" formatCode="0.00"/>
    <numFmt numFmtId="168" formatCode="0.000"/>
    <numFmt numFmtId="169" formatCode="0%"/>
  </numFmts>
  <fonts count="1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808080"/>
      <name val="Calibri"/>
      <family val="2"/>
      <charset val="1"/>
    </font>
    <font>
      <b val="true"/>
      <sz val="12"/>
      <color rgb="FF000000"/>
      <name val="Calibri"/>
      <family val="2"/>
      <charset val="1"/>
    </font>
    <font>
      <b val="true"/>
      <sz val="12"/>
      <color rgb="FF808080"/>
      <name val="Calibri"/>
      <family val="2"/>
      <charset val="1"/>
    </font>
    <font>
      <i val="true"/>
      <sz val="11"/>
      <color rgb="FF000000"/>
      <name val="Calibri"/>
      <family val="2"/>
      <charset val="1"/>
    </font>
    <font>
      <b val="true"/>
      <sz val="11"/>
      <color rgb="FFFA7D00"/>
      <name val="Calibri"/>
      <family val="2"/>
      <charset val="1"/>
    </font>
    <font>
      <sz val="11"/>
      <color rgb="FFFA7D00"/>
      <name val="Calibri"/>
      <family val="2"/>
      <charset val="1"/>
    </font>
    <font>
      <i val="true"/>
      <vertAlign val="subscript"/>
      <sz val="11"/>
      <color rgb="FF000000"/>
      <name val="Calibri"/>
      <family val="2"/>
      <charset val="1"/>
    </font>
    <font>
      <sz val="11"/>
      <color rgb="FFFF0000"/>
      <name val="Calibri"/>
      <family val="2"/>
      <charset val="1"/>
    </font>
    <font>
      <sz val="11"/>
      <name val="Calibri"/>
      <family val="2"/>
      <charset val="1"/>
    </font>
    <font>
      <sz val="9"/>
      <color rgb="FF000000"/>
      <name val="Tahoma"/>
      <family val="2"/>
      <charset val="1"/>
    </font>
  </fonts>
  <fills count="8">
    <fill>
      <patternFill patternType="none"/>
    </fill>
    <fill>
      <patternFill patternType="gray125"/>
    </fill>
    <fill>
      <patternFill patternType="solid">
        <fgColor rgb="FFF2F2F2"/>
        <bgColor rgb="FFE2F0D9"/>
      </patternFill>
    </fill>
    <fill>
      <patternFill patternType="solid">
        <fgColor rgb="FFFFFF00"/>
        <bgColor rgb="FFFFFF00"/>
      </patternFill>
    </fill>
    <fill>
      <patternFill patternType="solid">
        <fgColor rgb="FFE2F0D9"/>
        <bgColor rgb="FFF2F2F2"/>
      </patternFill>
    </fill>
    <fill>
      <patternFill patternType="solid">
        <fgColor rgb="FFFBE5D6"/>
        <bgColor rgb="FFFFF2CC"/>
      </patternFill>
    </fill>
    <fill>
      <patternFill patternType="solid">
        <fgColor rgb="FFFFF2CC"/>
        <bgColor rgb="FFFBE5D6"/>
      </patternFill>
    </fill>
    <fill>
      <patternFill patternType="solid">
        <fgColor rgb="FFC55A11"/>
        <bgColor rgb="FFFA7D00"/>
      </patternFill>
    </fill>
  </fills>
  <borders count="4">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top/>
      <bottom/>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2" borderId="1" applyFont="true" applyBorder="true" applyAlignment="true" applyProtection="false">
      <alignment horizontal="general" vertical="bottom" textRotation="0" wrapText="false" indent="0" shrinkToFit="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3"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20" applyFont="false" applyBorder="true" applyAlignment="true" applyProtection="tru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9" fillId="2" borderId="0" xfId="20" applyFont="false" applyBorder="true" applyAlignment="true" applyProtection="true">
      <alignment horizontal="general" vertical="bottom" textRotation="0" wrapText="false" indent="0" shrinkToFit="false"/>
      <protection locked="true" hidden="false"/>
    </xf>
    <xf numFmtId="165" fontId="9" fillId="2" borderId="0" xfId="20" applyFont="false" applyBorder="true" applyAlignment="true" applyProtection="true">
      <alignment horizontal="general" vertical="bottom" textRotation="0" wrapText="false" indent="0" shrinkToFit="false"/>
      <protection locked="true" hidden="false"/>
    </xf>
    <xf numFmtId="164" fontId="9" fillId="2" borderId="0" xfId="20" applyFont="false" applyBorder="true" applyAlignment="true" applyProtection="tru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9" fillId="2" borderId="0" xfId="20" applyFont="false" applyBorder="true" applyAlignment="true" applyProtection="true">
      <alignment horizontal="center"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5" fontId="0" fillId="6"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5" fontId="0" fillId="5"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10" fillId="2" borderId="0" xfId="20" applyFont="true" applyBorder="tru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5" borderId="0" xfId="0" applyFont="true" applyBorder="false" applyAlignment="true" applyProtection="false">
      <alignment horizontal="center" vertical="bottom" textRotation="0" wrapText="false" indent="0" shrinkToFit="false"/>
      <protection locked="true" hidden="false"/>
    </xf>
    <xf numFmtId="167" fontId="9" fillId="2" borderId="0"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center" vertical="bottom" textRotation="0" wrapText="true" indent="0" shrinkToFit="false"/>
      <protection locked="true" hidden="false"/>
    </xf>
    <xf numFmtId="164" fontId="0" fillId="7" borderId="0" xfId="0" applyFont="true" applyBorder="false" applyAlignment="true" applyProtection="false">
      <alignment horizontal="center" vertical="bottom" textRotation="0" wrapText="fals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5" fontId="4" fillId="2" borderId="0" xfId="20" applyFont="true" applyBorder="true" applyAlignment="true" applyProtection="true">
      <alignment horizontal="general" vertical="bottom" textRotation="0" wrapText="tru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6" fontId="0" fillId="4"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8" fontId="9" fillId="2" borderId="0" xfId="20" applyFont="false" applyBorder="true" applyAlignment="true" applyProtection="tru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Calculation"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BE5D6"/>
      <rgbColor rgb="FF3366FF"/>
      <rgbColor rgb="FF33CCCC"/>
      <rgbColor rgb="FF99CC00"/>
      <rgbColor rgb="FFFFCC00"/>
      <rgbColor rgb="FFFF9900"/>
      <rgbColor rgb="FFFA7D00"/>
      <rgbColor rgb="FF666699"/>
      <rgbColor rgb="FF7F7F7F"/>
      <rgbColor rgb="FF003366"/>
      <rgbColor rgb="FF339966"/>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8.6875" defaultRowHeight="15" zeroHeight="false" outlineLevelRow="0" outlineLevelCol="0"/>
  <cols>
    <col collapsed="false" customWidth="true" hidden="false" outlineLevel="0" max="2" min="1" style="0" width="23.01"/>
    <col collapsed="false" customWidth="true" hidden="false" outlineLevel="0" max="3" min="3" style="0" width="215.29"/>
  </cols>
  <sheetData>
    <row r="1" customFormat="false" ht="15" hidden="false" customHeight="false" outlineLevel="0" collapsed="false">
      <c r="A1" s="1" t="s">
        <v>0</v>
      </c>
      <c r="B1" s="1" t="s">
        <v>1</v>
      </c>
      <c r="C1" s="1" t="s">
        <v>2</v>
      </c>
    </row>
    <row r="2" customFormat="false" ht="15" hidden="false" customHeight="false" outlineLevel="0" collapsed="false">
      <c r="A2" s="2" t="s">
        <v>3</v>
      </c>
      <c r="B2" s="2" t="s">
        <v>4</v>
      </c>
      <c r="C2" s="3" t="s">
        <v>5</v>
      </c>
    </row>
    <row r="3" customFormat="false" ht="15" hidden="false" customHeight="false" outlineLevel="0" collapsed="false">
      <c r="A3" s="2" t="s">
        <v>6</v>
      </c>
      <c r="B3" s="2" t="s">
        <v>7</v>
      </c>
      <c r="C3" s="0" t="s">
        <v>8</v>
      </c>
    </row>
    <row r="4" customFormat="false" ht="15" hidden="false" customHeight="false" outlineLevel="0" collapsed="false">
      <c r="A4" s="2" t="s">
        <v>9</v>
      </c>
      <c r="B4" s="2" t="s">
        <v>7</v>
      </c>
      <c r="C4" s="0" t="s">
        <v>10</v>
      </c>
    </row>
    <row r="5" customFormat="false" ht="15" hidden="false" customHeight="false" outlineLevel="0" collapsed="false">
      <c r="A5" s="2" t="s">
        <v>11</v>
      </c>
      <c r="B5" s="2" t="s">
        <v>7</v>
      </c>
      <c r="C5" s="0" t="s">
        <v>12</v>
      </c>
    </row>
    <row r="6" customFormat="false" ht="15" hidden="false" customHeight="false" outlineLevel="0" collapsed="false">
      <c r="A6" s="2" t="s">
        <v>13</v>
      </c>
      <c r="B6" s="2" t="s">
        <v>7</v>
      </c>
      <c r="C6" s="0" t="s">
        <v>14</v>
      </c>
    </row>
    <row r="7" customFormat="false" ht="15" hidden="false" customHeight="false" outlineLevel="0" collapsed="false">
      <c r="A7" s="4" t="s">
        <v>15</v>
      </c>
      <c r="B7" s="2" t="s">
        <v>7</v>
      </c>
      <c r="C7" s="0" t="s">
        <v>16</v>
      </c>
    </row>
    <row r="8" customFormat="false" ht="15" hidden="false" customHeight="false" outlineLevel="0" collapsed="false">
      <c r="A8" s="4" t="s">
        <v>17</v>
      </c>
      <c r="B8" s="2" t="s">
        <v>7</v>
      </c>
      <c r="C8" s="0" t="s">
        <v>18</v>
      </c>
    </row>
    <row r="9" customFormat="false" ht="15" hidden="false" customHeight="false" outlineLevel="0" collapsed="false">
      <c r="A9" s="5" t="s">
        <v>19</v>
      </c>
      <c r="B9" s="2" t="s">
        <v>7</v>
      </c>
      <c r="C9" s="0" t="s">
        <v>20</v>
      </c>
    </row>
    <row r="10" customFormat="false" ht="15" hidden="false" customHeight="false" outlineLevel="0" collapsed="false">
      <c r="A10" s="2" t="s">
        <v>21</v>
      </c>
      <c r="B10" s="2" t="s">
        <v>7</v>
      </c>
      <c r="C10" s="0" t="s">
        <v>22</v>
      </c>
    </row>
    <row r="11" customFormat="false" ht="15" hidden="false" customHeight="false" outlineLevel="0" collapsed="false">
      <c r="A11" s="2" t="s">
        <v>23</v>
      </c>
      <c r="B11" s="2" t="s">
        <v>7</v>
      </c>
      <c r="C11" s="0" t="s">
        <v>24</v>
      </c>
    </row>
    <row r="12" customFormat="false" ht="15" hidden="false" customHeight="false" outlineLevel="0" collapsed="false">
      <c r="A12" s="0" t="s">
        <v>25</v>
      </c>
      <c r="B12" s="2" t="s">
        <v>7</v>
      </c>
      <c r="C12" s="0" t="s">
        <v>26</v>
      </c>
    </row>
    <row r="13" customFormat="false" ht="15" hidden="false" customHeight="false" outlineLevel="0" collapsed="false">
      <c r="A13" s="2" t="s">
        <v>27</v>
      </c>
      <c r="B13" s="2" t="s">
        <v>7</v>
      </c>
      <c r="C13" s="0" t="s">
        <v>28</v>
      </c>
    </row>
    <row r="14" customFormat="false" ht="15" hidden="false" customHeight="false" outlineLevel="0" collapsed="false">
      <c r="A14" s="2" t="s">
        <v>29</v>
      </c>
      <c r="B14" s="2" t="s">
        <v>7</v>
      </c>
      <c r="C14" s="0" t="s">
        <v>30</v>
      </c>
    </row>
    <row r="15" s="6" customFormat="true" ht="15" hidden="false" customHeight="false" outlineLevel="0" collapsed="false">
      <c r="A15" s="5" t="s">
        <v>31</v>
      </c>
      <c r="B15" s="2" t="s">
        <v>7</v>
      </c>
      <c r="C15" s="6" t="s">
        <v>32</v>
      </c>
    </row>
    <row r="16" customFormat="false" ht="15" hidden="false" customHeight="false" outlineLevel="0" collapsed="false">
      <c r="A16" s="2" t="s">
        <v>33</v>
      </c>
      <c r="B16" s="2" t="s">
        <v>7</v>
      </c>
      <c r="C16" s="0" t="s">
        <v>34</v>
      </c>
    </row>
    <row r="17" customFormat="false" ht="15" hidden="false" customHeight="false" outlineLevel="0" collapsed="false">
      <c r="A17" s="2" t="s">
        <v>35</v>
      </c>
      <c r="B17" s="2" t="s">
        <v>7</v>
      </c>
      <c r="C17" s="0" t="s">
        <v>36</v>
      </c>
    </row>
    <row r="18" customFormat="false" ht="15" hidden="false" customHeight="false" outlineLevel="0" collapsed="false">
      <c r="A18" s="2" t="s">
        <v>37</v>
      </c>
      <c r="B18" s="2" t="s">
        <v>38</v>
      </c>
      <c r="C18" s="0" t="s">
        <v>39</v>
      </c>
    </row>
    <row r="19" customFormat="false" ht="15" hidden="false" customHeight="false" outlineLevel="0" collapsed="false">
      <c r="A19" s="0" t="s">
        <v>40</v>
      </c>
      <c r="B19" s="2" t="s">
        <v>7</v>
      </c>
      <c r="C19" s="0" t="s">
        <v>41</v>
      </c>
    </row>
    <row r="20" customFormat="false" ht="15" hidden="false" customHeight="false" outlineLevel="0" collapsed="false">
      <c r="A20" s="2" t="s">
        <v>42</v>
      </c>
      <c r="B20" s="2" t="s">
        <v>7</v>
      </c>
      <c r="C20" s="0" t="s">
        <v>43</v>
      </c>
    </row>
    <row r="21" customFormat="false" ht="15" hidden="false" customHeight="false" outlineLevel="0" collapsed="false">
      <c r="A21" s="2" t="s">
        <v>44</v>
      </c>
      <c r="B21" s="2" t="s">
        <v>7</v>
      </c>
      <c r="C21" s="0" t="s">
        <v>45</v>
      </c>
    </row>
    <row r="22" customFormat="false" ht="15" hidden="false" customHeight="false" outlineLevel="0" collapsed="false">
      <c r="A22" s="2" t="s">
        <v>46</v>
      </c>
      <c r="B22" s="2" t="s">
        <v>7</v>
      </c>
      <c r="C22" s="0" t="s">
        <v>47</v>
      </c>
    </row>
    <row r="23" customFormat="false" ht="15" hidden="false" customHeight="false" outlineLevel="0" collapsed="false">
      <c r="A23" s="2" t="s">
        <v>48</v>
      </c>
      <c r="B23" s="2" t="s">
        <v>7</v>
      </c>
      <c r="C23" s="0" t="s">
        <v>49</v>
      </c>
    </row>
    <row r="24" customFormat="false" ht="15" hidden="false" customHeight="false" outlineLevel="0" collapsed="false">
      <c r="A24" s="2" t="s">
        <v>50</v>
      </c>
      <c r="B24" s="2" t="s">
        <v>7</v>
      </c>
      <c r="C24" s="0" t="s">
        <v>51</v>
      </c>
    </row>
    <row r="25" customFormat="false" ht="15" hidden="false" customHeight="false" outlineLevel="0" collapsed="false">
      <c r="A25" s="2" t="s">
        <v>52</v>
      </c>
      <c r="B25" s="2" t="s">
        <v>7</v>
      </c>
      <c r="C25" s="0" t="s">
        <v>53</v>
      </c>
    </row>
    <row r="26" customFormat="false" ht="15" hidden="false" customHeight="false" outlineLevel="0" collapsed="false">
      <c r="A26" s="2" t="s">
        <v>54</v>
      </c>
      <c r="B26" s="2" t="s">
        <v>7</v>
      </c>
      <c r="C26" s="0" t="s">
        <v>55</v>
      </c>
    </row>
    <row r="27" customFormat="false" ht="15" hidden="false" customHeight="false" outlineLevel="0" collapsed="false">
      <c r="A27" s="2" t="s">
        <v>56</v>
      </c>
      <c r="B27" s="2" t="s">
        <v>7</v>
      </c>
      <c r="C27" s="0" t="s">
        <v>57</v>
      </c>
    </row>
    <row r="32" customFormat="false" ht="15" hidden="false" customHeight="false" outlineLevel="0" collapsed="false">
      <c r="A32" s="0" t="s">
        <v>58</v>
      </c>
      <c r="B32" s="0" t="s">
        <v>59</v>
      </c>
    </row>
    <row r="33" customFormat="false" ht="15" hidden="false" customHeight="false" outlineLevel="0" collapsed="false">
      <c r="A33" s="0" t="s">
        <v>60</v>
      </c>
      <c r="B33" s="0" t="s">
        <v>61</v>
      </c>
      <c r="C33" s="0" t="s">
        <v>62</v>
      </c>
    </row>
    <row r="34" customFormat="false" ht="15" hidden="false" customHeight="false" outlineLevel="0" collapsed="false">
      <c r="A34" s="0" t="s">
        <v>63</v>
      </c>
      <c r="B34" s="0" t="s">
        <v>64</v>
      </c>
      <c r="C34" s="0" t="s">
        <v>65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F204"/>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11" ySplit="3" topLeftCell="O88" activePane="bottomRight" state="frozen"/>
      <selection pane="topLeft" activeCell="A1" activeCellId="0" sqref="A1"/>
      <selection pane="topRight" activeCell="O1" activeCellId="0" sqref="O1"/>
      <selection pane="bottomLeft" activeCell="A88" activeCellId="0" sqref="A88"/>
      <selection pane="bottomRight" activeCell="J106" activeCellId="0" sqref="J106"/>
    </sheetView>
  </sheetViews>
  <sheetFormatPr defaultColWidth="8.6875" defaultRowHeight="15" zeroHeight="false" outlineLevelRow="0" outlineLevelCol="0"/>
  <cols>
    <col collapsed="false" customWidth="true" hidden="false" outlineLevel="0" max="1" min="1" style="7" width="24.42"/>
    <col collapsed="false" customWidth="true" hidden="false" outlineLevel="0" max="2" min="2" style="8" width="23.86"/>
    <col collapsed="false" customWidth="true" hidden="false" outlineLevel="0" max="3" min="3" style="9" width="9.85"/>
    <col collapsed="false" customWidth="true" hidden="false" outlineLevel="0" max="4" min="4" style="8" width="15.15"/>
    <col collapsed="false" customWidth="true" hidden="false" outlineLevel="0" max="5" min="5" style="9" width="12.29"/>
    <col collapsed="false" customWidth="true" hidden="false" outlineLevel="0" max="6" min="6" style="9" width="14.7"/>
    <col collapsed="false" customWidth="true" hidden="false" outlineLevel="0" max="7" min="7" style="0" width="13.57"/>
    <col collapsed="false" customWidth="true" hidden="false" outlineLevel="0" max="9" min="8" style="0" width="11.99"/>
    <col collapsed="false" customWidth="true" hidden="false" outlineLevel="0" max="10" min="10" style="9" width="13.7"/>
    <col collapsed="false" customWidth="true" hidden="false" outlineLevel="0" max="11" min="11" style="10" width="10.42"/>
    <col collapsed="false" customWidth="true" hidden="false" outlineLevel="0" max="13" min="12" style="11" width="18"/>
    <col collapsed="false" customWidth="true" hidden="false" outlineLevel="0" max="14" min="14" style="0" width="18"/>
    <col collapsed="false" customWidth="true" hidden="false" outlineLevel="0" max="15" min="15" style="9" width="18"/>
    <col collapsed="false" customWidth="true" hidden="false" outlineLevel="0" max="16" min="16" style="10" width="10.71"/>
    <col collapsed="false" customWidth="true" hidden="false" outlineLevel="0" max="18" min="17" style="10" width="9.14"/>
    <col collapsed="false" customWidth="true" hidden="false" outlineLevel="0" max="20" min="19" style="10" width="17.58"/>
    <col collapsed="false" customWidth="true" hidden="false" outlineLevel="0" max="21" min="21" style="9" width="17.58"/>
    <col collapsed="false" customWidth="true" hidden="false" outlineLevel="0" max="22" min="22" style="9" width="13.43"/>
    <col collapsed="false" customWidth="true" hidden="false" outlineLevel="0" max="23" min="23" style="9" width="11.29"/>
    <col collapsed="false" customWidth="true" hidden="false" outlineLevel="0" max="24" min="24" style="9" width="12.29"/>
    <col collapsed="false" customWidth="true" hidden="false" outlineLevel="0" max="25" min="25" style="10" width="10.42"/>
    <col collapsed="false" customWidth="true" hidden="false" outlineLevel="0" max="26" min="26" style="8" width="25.71"/>
    <col collapsed="false" customWidth="true" hidden="false" outlineLevel="0" max="27" min="27" style="10" width="10.71"/>
    <col collapsed="false" customWidth="true" hidden="false" outlineLevel="0" max="29" min="28" style="10" width="9.14"/>
    <col collapsed="false" customWidth="true" hidden="false" outlineLevel="0" max="30" min="30" style="12" width="9.14"/>
    <col collapsed="false" customWidth="true" hidden="false" outlineLevel="0" max="31" min="31" style="0" width="21.29"/>
    <col collapsed="false" customWidth="true" hidden="false" outlineLevel="0" max="33" min="33" style="0" width="13.01"/>
    <col collapsed="false" customWidth="true" hidden="false" outlineLevel="0" max="34" min="34" style="0" width="12.29"/>
    <col collapsed="false" customWidth="true" hidden="false" outlineLevel="0" max="35" min="35" style="0" width="14.15"/>
    <col collapsed="false" customWidth="true" hidden="false" outlineLevel="0" max="38" min="38" style="0" width="11.14"/>
    <col collapsed="false" customWidth="true" hidden="false" outlineLevel="0" max="40" min="39" style="0" width="13.01"/>
    <col collapsed="false" customWidth="true" hidden="false" outlineLevel="0" max="45" min="41" style="0" width="17.58"/>
    <col collapsed="false" customWidth="true" hidden="false" outlineLevel="0" max="46" min="46" style="0" width="19.71"/>
    <col collapsed="false" customWidth="true" hidden="false" outlineLevel="0" max="47" min="47" style="0" width="25.71"/>
    <col collapsed="false" customWidth="true" hidden="false" outlineLevel="0" max="48" min="48" style="7" width="27.29"/>
    <col collapsed="false" customWidth="true" hidden="false" outlineLevel="0" max="49" min="49" style="0" width="9.58"/>
  </cols>
  <sheetData>
    <row r="1" s="15" customFormat="true" ht="15.75" hidden="false" customHeight="false" outlineLevel="0" collapsed="false">
      <c r="A1" s="13" t="s">
        <v>66</v>
      </c>
      <c r="B1" s="13"/>
      <c r="C1" s="13"/>
      <c r="D1" s="13"/>
      <c r="E1" s="13"/>
      <c r="F1" s="13"/>
      <c r="G1" s="13"/>
      <c r="H1" s="13"/>
      <c r="I1" s="14"/>
      <c r="K1" s="14"/>
      <c r="L1" s="13" t="s">
        <v>67</v>
      </c>
      <c r="M1" s="13"/>
      <c r="N1" s="13"/>
      <c r="O1" s="13"/>
      <c r="P1" s="13" t="s">
        <v>68</v>
      </c>
      <c r="Q1" s="13"/>
      <c r="R1" s="13"/>
      <c r="S1" s="16" t="s">
        <v>69</v>
      </c>
      <c r="T1" s="16"/>
      <c r="U1" s="16"/>
      <c r="V1" s="16"/>
      <c r="W1" s="16"/>
      <c r="X1" s="16"/>
      <c r="Y1" s="16"/>
      <c r="Z1" s="16"/>
      <c r="AA1" s="13" t="s">
        <v>70</v>
      </c>
      <c r="AB1" s="13"/>
      <c r="AC1" s="13"/>
      <c r="AD1" s="17"/>
      <c r="AE1" s="15" t="s">
        <v>71</v>
      </c>
      <c r="AJ1" s="16" t="s">
        <v>72</v>
      </c>
      <c r="AK1" s="16"/>
      <c r="AL1" s="16"/>
      <c r="AM1" s="16"/>
      <c r="AN1" s="18"/>
      <c r="AO1" s="16" t="s">
        <v>73</v>
      </c>
      <c r="AP1" s="16"/>
      <c r="AQ1" s="16"/>
      <c r="AR1" s="16"/>
      <c r="AS1" s="16"/>
      <c r="AT1" s="16"/>
      <c r="AU1" s="16"/>
      <c r="AV1" s="19"/>
    </row>
    <row r="2" s="20" customFormat="true" ht="75" hidden="false" customHeight="false" outlineLevel="0" collapsed="false">
      <c r="A2" s="20" t="s">
        <v>74</v>
      </c>
      <c r="B2" s="20" t="s">
        <v>75</v>
      </c>
      <c r="C2" s="20" t="s">
        <v>76</v>
      </c>
      <c r="D2" s="20" t="s">
        <v>77</v>
      </c>
      <c r="E2" s="20" t="s">
        <v>78</v>
      </c>
      <c r="F2" s="20" t="s">
        <v>79</v>
      </c>
      <c r="G2" s="20" t="s">
        <v>80</v>
      </c>
      <c r="H2" s="20" t="s">
        <v>81</v>
      </c>
      <c r="I2" s="20" t="s">
        <v>82</v>
      </c>
      <c r="J2" s="20" t="s">
        <v>83</v>
      </c>
      <c r="K2" s="21" t="s">
        <v>84</v>
      </c>
      <c r="L2" s="20" t="s">
        <v>85</v>
      </c>
      <c r="M2" s="20" t="s">
        <v>86</v>
      </c>
      <c r="N2" s="20" t="s">
        <v>87</v>
      </c>
      <c r="O2" s="20" t="s">
        <v>88</v>
      </c>
      <c r="P2" s="21" t="s">
        <v>89</v>
      </c>
      <c r="Q2" s="21" t="s">
        <v>90</v>
      </c>
      <c r="R2" s="21" t="s">
        <v>91</v>
      </c>
      <c r="S2" s="21" t="s">
        <v>92</v>
      </c>
      <c r="T2" s="21" t="s">
        <v>93</v>
      </c>
      <c r="U2" s="20" t="s">
        <v>94</v>
      </c>
      <c r="V2" s="20" t="s">
        <v>95</v>
      </c>
      <c r="W2" s="20" t="s">
        <v>96</v>
      </c>
      <c r="X2" s="20" t="s">
        <v>97</v>
      </c>
      <c r="Y2" s="22" t="s">
        <v>98</v>
      </c>
      <c r="Z2" s="20" t="s">
        <v>99</v>
      </c>
      <c r="AA2" s="21" t="s">
        <v>89</v>
      </c>
      <c r="AB2" s="21" t="s">
        <v>90</v>
      </c>
      <c r="AC2" s="21" t="s">
        <v>100</v>
      </c>
      <c r="AD2" s="21" t="s">
        <v>101</v>
      </c>
      <c r="AE2" s="20" t="s">
        <v>102</v>
      </c>
      <c r="AF2" s="20" t="s">
        <v>103</v>
      </c>
      <c r="AG2" s="20" t="s">
        <v>104</v>
      </c>
      <c r="AH2" s="20" t="s">
        <v>105</v>
      </c>
      <c r="AI2" s="20" t="s">
        <v>106</v>
      </c>
      <c r="AJ2" s="20" t="s">
        <v>107</v>
      </c>
      <c r="AK2" s="20" t="s">
        <v>108</v>
      </c>
      <c r="AL2" s="20" t="s">
        <v>109</v>
      </c>
      <c r="AM2" s="20" t="s">
        <v>110</v>
      </c>
      <c r="AN2" s="20" t="s">
        <v>111</v>
      </c>
      <c r="AO2" s="21" t="s">
        <v>112</v>
      </c>
      <c r="AP2" s="21" t="s">
        <v>93</v>
      </c>
      <c r="AQ2" s="20" t="s">
        <v>74</v>
      </c>
      <c r="AR2" s="20" t="s">
        <v>95</v>
      </c>
      <c r="AS2" s="20" t="s">
        <v>96</v>
      </c>
      <c r="AT2" s="20" t="s">
        <v>97</v>
      </c>
      <c r="AU2" s="20" t="s">
        <v>99</v>
      </c>
    </row>
    <row r="3" s="1" customFormat="true" ht="30" hidden="false" customHeight="false" outlineLevel="0" collapsed="false">
      <c r="A3" s="20" t="s">
        <v>74</v>
      </c>
      <c r="B3" s="20" t="s">
        <v>113</v>
      </c>
      <c r="C3" s="1" t="s">
        <v>114</v>
      </c>
      <c r="D3" s="20" t="s">
        <v>115</v>
      </c>
      <c r="E3" s="1" t="s">
        <v>116</v>
      </c>
      <c r="F3" s="1" t="s">
        <v>117</v>
      </c>
      <c r="G3" s="1" t="s">
        <v>118</v>
      </c>
      <c r="H3" s="1" t="s">
        <v>119</v>
      </c>
      <c r="I3" s="1" t="s">
        <v>120</v>
      </c>
      <c r="J3" s="1" t="s">
        <v>121</v>
      </c>
      <c r="K3" s="23" t="s">
        <v>84</v>
      </c>
      <c r="L3" s="20" t="s">
        <v>122</v>
      </c>
      <c r="M3" s="20" t="s">
        <v>123</v>
      </c>
      <c r="N3" s="20" t="s">
        <v>124</v>
      </c>
      <c r="O3" s="20"/>
      <c r="P3" s="21" t="s">
        <v>125</v>
      </c>
      <c r="Q3" s="23" t="s">
        <v>126</v>
      </c>
      <c r="R3" s="21" t="s">
        <v>127</v>
      </c>
      <c r="S3" s="21" t="s">
        <v>128</v>
      </c>
      <c r="T3" s="21" t="s">
        <v>129</v>
      </c>
      <c r="U3" s="1" t="s">
        <v>130</v>
      </c>
      <c r="V3" s="1" t="s">
        <v>131</v>
      </c>
      <c r="X3" s="1" t="s">
        <v>132</v>
      </c>
      <c r="Y3" s="23" t="s">
        <v>98</v>
      </c>
      <c r="Z3" s="20" t="s">
        <v>133</v>
      </c>
      <c r="AA3" s="21" t="s">
        <v>134</v>
      </c>
      <c r="AB3" s="23" t="s">
        <v>135</v>
      </c>
      <c r="AC3" s="21" t="s">
        <v>136</v>
      </c>
      <c r="AD3" s="21" t="s">
        <v>101</v>
      </c>
      <c r="AE3" s="1" t="s">
        <v>137</v>
      </c>
      <c r="AF3" s="20" t="s">
        <v>138</v>
      </c>
      <c r="AG3" s="1" t="s">
        <v>139</v>
      </c>
      <c r="AH3" s="1" t="s">
        <v>140</v>
      </c>
      <c r="AI3" s="1" t="s">
        <v>141</v>
      </c>
      <c r="AJ3" s="1" t="s">
        <v>142</v>
      </c>
      <c r="AK3" s="1" t="s">
        <v>143</v>
      </c>
      <c r="AL3" s="20" t="s">
        <v>144</v>
      </c>
      <c r="AM3" s="20" t="s">
        <v>145</v>
      </c>
      <c r="AN3" s="20" t="s">
        <v>146</v>
      </c>
      <c r="AO3" s="21" t="s">
        <v>147</v>
      </c>
      <c r="AP3" s="21" t="s">
        <v>148</v>
      </c>
      <c r="AQ3" s="1" t="s">
        <v>149</v>
      </c>
      <c r="AR3" s="1" t="s">
        <v>150</v>
      </c>
      <c r="AT3" s="1" t="s">
        <v>151</v>
      </c>
      <c r="AU3" s="1" t="s">
        <v>152</v>
      </c>
      <c r="AV3" s="20"/>
    </row>
    <row r="4" customFormat="false" ht="15" hidden="false" customHeight="true" outlineLevel="0" collapsed="false">
      <c r="A4" s="7" t="s">
        <v>153</v>
      </c>
      <c r="B4" s="8" t="s">
        <v>154</v>
      </c>
      <c r="C4" s="9" t="s">
        <v>71</v>
      </c>
      <c r="G4" s="0" t="s">
        <v>155</v>
      </c>
      <c r="J4" s="9" t="s">
        <v>156</v>
      </c>
      <c r="K4" s="10" t="s">
        <v>157</v>
      </c>
      <c r="L4" s="24" t="s">
        <v>158</v>
      </c>
      <c r="M4" s="24" t="s">
        <v>158</v>
      </c>
      <c r="N4" s="24" t="s">
        <v>158</v>
      </c>
      <c r="O4" s="8"/>
      <c r="Y4" s="10" t="s">
        <v>157</v>
      </c>
      <c r="AA4" s="10" t="n">
        <v>9</v>
      </c>
      <c r="AB4" s="10" t="n">
        <v>6.8</v>
      </c>
      <c r="AC4" s="10" t="n">
        <v>1.9</v>
      </c>
      <c r="AD4" s="12" t="n">
        <v>1</v>
      </c>
      <c r="AE4" s="0" t="s">
        <v>159</v>
      </c>
      <c r="AF4" s="0" t="n">
        <v>35</v>
      </c>
      <c r="AG4" s="0" t="s">
        <v>160</v>
      </c>
      <c r="AH4" s="0" t="n">
        <v>19.1</v>
      </c>
      <c r="AI4" s="0" t="s">
        <v>161</v>
      </c>
      <c r="AJ4" s="0" t="s">
        <v>162</v>
      </c>
      <c r="AK4" s="0" t="s">
        <v>163</v>
      </c>
      <c r="AL4" s="0" t="n">
        <v>1.05</v>
      </c>
      <c r="AM4" s="0" t="s">
        <v>158</v>
      </c>
      <c r="AN4" s="0" t="n">
        <v>70</v>
      </c>
      <c r="AO4" s="0" t="n">
        <v>28.7</v>
      </c>
      <c r="AQ4" s="0" t="s">
        <v>164</v>
      </c>
      <c r="AR4" s="25" t="s">
        <v>165</v>
      </c>
    </row>
    <row r="5" customFormat="false" ht="15" hidden="false" customHeight="false" outlineLevel="0" collapsed="false">
      <c r="A5" s="7" t="s">
        <v>153</v>
      </c>
      <c r="B5" s="8" t="s">
        <v>154</v>
      </c>
      <c r="C5" s="9" t="s">
        <v>71</v>
      </c>
      <c r="G5" s="0" t="s">
        <v>155</v>
      </c>
      <c r="H5" s="0" t="s">
        <v>166</v>
      </c>
      <c r="I5" s="0" t="s">
        <v>167</v>
      </c>
      <c r="J5" s="9" t="s">
        <v>156</v>
      </c>
      <c r="K5" s="10" t="s">
        <v>168</v>
      </c>
      <c r="L5" s="24" t="s">
        <v>158</v>
      </c>
      <c r="M5" s="24" t="s">
        <v>158</v>
      </c>
      <c r="N5" s="26" t="n">
        <f aca="false">(AA4-35)/(AA5-35)*100</f>
        <v>85.5263157894737</v>
      </c>
      <c r="O5" s="8" t="s">
        <v>169</v>
      </c>
      <c r="Y5" s="10" t="s">
        <v>168</v>
      </c>
      <c r="AA5" s="10" t="n">
        <v>4.6</v>
      </c>
      <c r="AB5" s="10" t="n">
        <v>7.1</v>
      </c>
      <c r="AC5" s="10" t="n">
        <v>2</v>
      </c>
      <c r="AD5" s="12" t="n">
        <v>1</v>
      </c>
      <c r="AE5" s="0" t="s">
        <v>159</v>
      </c>
      <c r="AF5" s="0" t="n">
        <v>35</v>
      </c>
      <c r="AG5" s="0" t="s">
        <v>160</v>
      </c>
      <c r="AH5" s="0" t="n">
        <v>20.1</v>
      </c>
      <c r="AI5" s="0" t="s">
        <v>161</v>
      </c>
      <c r="AJ5" s="0" t="s">
        <v>162</v>
      </c>
      <c r="AK5" s="0" t="s">
        <v>163</v>
      </c>
      <c r="AL5" s="0" t="n">
        <v>1.05</v>
      </c>
      <c r="AM5" s="0" t="s">
        <v>158</v>
      </c>
      <c r="AN5" s="0" t="n">
        <v>70</v>
      </c>
      <c r="AO5" s="0" t="n">
        <v>23.1</v>
      </c>
      <c r="AQ5" s="0" t="s">
        <v>170</v>
      </c>
      <c r="AR5" s="25" t="s">
        <v>165</v>
      </c>
      <c r="AT5" s="27" t="s">
        <v>171</v>
      </c>
    </row>
    <row r="6" customFormat="false" ht="15" hidden="false" customHeight="false" outlineLevel="0" collapsed="false">
      <c r="A6" s="7" t="s">
        <v>6</v>
      </c>
      <c r="B6" s="8" t="s">
        <v>172</v>
      </c>
      <c r="C6" s="9" t="s">
        <v>173</v>
      </c>
      <c r="F6" s="9" t="s">
        <v>174</v>
      </c>
      <c r="G6" s="0" t="s">
        <v>175</v>
      </c>
      <c r="J6" s="9" t="s">
        <v>156</v>
      </c>
      <c r="K6" s="10" t="s">
        <v>157</v>
      </c>
      <c r="L6" s="24" t="s">
        <v>158</v>
      </c>
      <c r="M6" s="24" t="s">
        <v>158</v>
      </c>
      <c r="N6" s="24" t="s">
        <v>158</v>
      </c>
      <c r="O6" s="8"/>
      <c r="P6" s="10" t="n">
        <v>9.24</v>
      </c>
      <c r="R6" s="10" t="n">
        <v>1.57</v>
      </c>
      <c r="S6" s="28"/>
      <c r="T6" s="28" t="n">
        <f aca="false">100*41.5/(1000*1.57)</f>
        <v>2.64331210191083</v>
      </c>
      <c r="U6" s="9" t="s">
        <v>176</v>
      </c>
      <c r="V6" s="9" t="s">
        <v>177</v>
      </c>
      <c r="W6" s="9" t="s">
        <v>158</v>
      </c>
      <c r="X6" s="9" t="s">
        <v>178</v>
      </c>
      <c r="Y6" s="10" t="s">
        <v>157</v>
      </c>
      <c r="Z6" s="8" t="s">
        <v>179</v>
      </c>
      <c r="AA6" s="10" t="n">
        <v>5.7</v>
      </c>
      <c r="AB6" s="10" t="n">
        <v>7.8</v>
      </c>
      <c r="AC6" s="10" t="n">
        <v>1.82</v>
      </c>
      <c r="AD6" s="12" t="n">
        <v>1</v>
      </c>
      <c r="AE6" s="0" t="s">
        <v>159</v>
      </c>
      <c r="AF6" s="0" t="n">
        <v>40</v>
      </c>
      <c r="AG6" s="0" t="s">
        <v>158</v>
      </c>
      <c r="AH6" s="0" t="s">
        <v>158</v>
      </c>
      <c r="AI6" s="0" t="s">
        <v>158</v>
      </c>
      <c r="AJ6" s="0" t="s">
        <v>158</v>
      </c>
      <c r="AK6" s="0" t="s">
        <v>163</v>
      </c>
      <c r="AL6" s="0" t="s">
        <v>158</v>
      </c>
      <c r="AM6" s="0" t="s">
        <v>158</v>
      </c>
      <c r="AN6" s="0" t="n">
        <v>48</v>
      </c>
      <c r="AO6" s="29" t="n">
        <f aca="false">(185.8/1000)/1.82*100</f>
        <v>10.2087912087912</v>
      </c>
      <c r="AQ6" s="0" t="s">
        <v>180</v>
      </c>
      <c r="AR6" s="25" t="s">
        <v>181</v>
      </c>
      <c r="AU6" s="0" t="s">
        <v>182</v>
      </c>
    </row>
    <row r="7" customFormat="false" ht="15" hidden="false" customHeight="false" outlineLevel="0" collapsed="false">
      <c r="A7" s="7" t="s">
        <v>6</v>
      </c>
      <c r="B7" s="8" t="s">
        <v>172</v>
      </c>
      <c r="C7" s="9" t="s">
        <v>173</v>
      </c>
      <c r="F7" s="9" t="s">
        <v>174</v>
      </c>
      <c r="G7" s="0" t="s">
        <v>175</v>
      </c>
      <c r="H7" s="0" t="s">
        <v>183</v>
      </c>
      <c r="I7" s="0" t="s">
        <v>167</v>
      </c>
      <c r="J7" s="9" t="s">
        <v>156</v>
      </c>
      <c r="K7" s="10" t="s">
        <v>168</v>
      </c>
      <c r="L7" s="29" t="n">
        <f aca="false">(P7*N7)/P6</f>
        <v>50.4970980922885</v>
      </c>
      <c r="M7" s="26" t="n">
        <f aca="false">(R7*N7)/R6</f>
        <v>73.6760144492807</v>
      </c>
      <c r="N7" s="29" t="n">
        <f aca="false">(P6-P8)/(P7-P8)*100</f>
        <v>78.1563126252505</v>
      </c>
      <c r="O7" s="8" t="s">
        <v>169</v>
      </c>
      <c r="P7" s="10" t="n">
        <v>5.97</v>
      </c>
      <c r="R7" s="10" t="n">
        <v>1.48</v>
      </c>
      <c r="S7" s="28"/>
      <c r="T7" s="28" t="n">
        <f aca="false">100*39.3/(1000*1.57)</f>
        <v>2.5031847133758</v>
      </c>
      <c r="U7" s="9" t="s">
        <v>176</v>
      </c>
      <c r="V7" s="9" t="s">
        <v>184</v>
      </c>
      <c r="W7" s="9" t="s">
        <v>158</v>
      </c>
      <c r="X7" s="9" t="s">
        <v>178</v>
      </c>
      <c r="Y7" s="10" t="s">
        <v>168</v>
      </c>
      <c r="Z7" s="8" t="s">
        <v>179</v>
      </c>
      <c r="AA7" s="10" t="n">
        <v>4.1</v>
      </c>
      <c r="AB7" s="10" t="n">
        <v>7.88</v>
      </c>
      <c r="AC7" s="10" t="n">
        <v>1.73</v>
      </c>
      <c r="AD7" s="12" t="n">
        <v>1</v>
      </c>
      <c r="AE7" s="0" t="s">
        <v>159</v>
      </c>
      <c r="AF7" s="0" t="n">
        <v>40</v>
      </c>
      <c r="AG7" s="0" t="s">
        <v>158</v>
      </c>
      <c r="AH7" s="0" t="s">
        <v>158</v>
      </c>
      <c r="AI7" s="0" t="s">
        <v>158</v>
      </c>
      <c r="AJ7" s="0" t="s">
        <v>158</v>
      </c>
      <c r="AK7" s="0" t="s">
        <v>163</v>
      </c>
      <c r="AL7" s="0" t="s">
        <v>158</v>
      </c>
      <c r="AM7" s="0" t="s">
        <v>158</v>
      </c>
      <c r="AN7" s="0" t="n">
        <v>48</v>
      </c>
      <c r="AO7" s="29" t="n">
        <f aca="false">(75.8/1000)/1.73*100</f>
        <v>4.38150289017341</v>
      </c>
      <c r="AQ7" s="0" t="s">
        <v>180</v>
      </c>
      <c r="AR7" s="25" t="s">
        <v>181</v>
      </c>
      <c r="AT7" s="27" t="s">
        <v>185</v>
      </c>
      <c r="AU7" s="0" t="s">
        <v>182</v>
      </c>
    </row>
    <row r="8" customFormat="false" ht="15" hidden="false" customHeight="false" outlineLevel="0" collapsed="false">
      <c r="A8" s="7" t="s">
        <v>6</v>
      </c>
      <c r="B8" s="8" t="s">
        <v>172</v>
      </c>
      <c r="C8" s="9" t="s">
        <v>173</v>
      </c>
      <c r="F8" s="9" t="s">
        <v>174</v>
      </c>
      <c r="G8" s="0" t="s">
        <v>175</v>
      </c>
      <c r="H8" s="0" t="s">
        <v>183</v>
      </c>
      <c r="I8" s="0" t="s">
        <v>167</v>
      </c>
      <c r="J8" s="9" t="s">
        <v>156</v>
      </c>
      <c r="K8" s="10" t="s">
        <v>186</v>
      </c>
      <c r="L8" s="29" t="n">
        <f aca="false">(P8*N8)/P6</f>
        <v>49.5029019077115</v>
      </c>
      <c r="M8" s="29" t="n">
        <f aca="false">(R8*N8)/R6</f>
        <v>12.9392543047879</v>
      </c>
      <c r="N8" s="29" t="n">
        <f aca="false">100-N7</f>
        <v>21.8436873747495</v>
      </c>
      <c r="O8" s="8" t="s">
        <v>169</v>
      </c>
      <c r="P8" s="10" t="n">
        <v>20.94</v>
      </c>
      <c r="R8" s="10" t="n">
        <v>0.93</v>
      </c>
      <c r="S8" s="28"/>
      <c r="T8" s="28" t="n">
        <f aca="false">100*287.5/(1000*1.57)</f>
        <v>18.312101910828</v>
      </c>
      <c r="U8" s="9" t="s">
        <v>176</v>
      </c>
      <c r="V8" s="9" t="s">
        <v>187</v>
      </c>
      <c r="W8" s="9" t="s">
        <v>158</v>
      </c>
      <c r="X8" s="9" t="s">
        <v>178</v>
      </c>
      <c r="Y8" s="10" t="s">
        <v>186</v>
      </c>
      <c r="Z8" s="8" t="s">
        <v>179</v>
      </c>
      <c r="AO8" s="30"/>
    </row>
    <row r="9" customFormat="false" ht="15" hidden="false" customHeight="true" outlineLevel="0" collapsed="false">
      <c r="A9" s="7" t="s">
        <v>9</v>
      </c>
      <c r="B9" s="8" t="s">
        <v>154</v>
      </c>
      <c r="C9" s="9" t="s">
        <v>71</v>
      </c>
      <c r="G9" s="0" t="s">
        <v>188</v>
      </c>
      <c r="J9" s="9" t="s">
        <v>156</v>
      </c>
      <c r="K9" s="10" t="s">
        <v>157</v>
      </c>
      <c r="L9" s="24" t="s">
        <v>158</v>
      </c>
      <c r="M9" s="24" t="s">
        <v>158</v>
      </c>
      <c r="N9" s="24" t="s">
        <v>158</v>
      </c>
      <c r="O9" s="8"/>
      <c r="Y9" s="10" t="s">
        <v>157</v>
      </c>
      <c r="AA9" s="10" t="n">
        <v>6.8</v>
      </c>
      <c r="AB9" s="10" t="n">
        <v>6.8</v>
      </c>
      <c r="AC9" s="10" t="n">
        <v>1.3</v>
      </c>
      <c r="AD9" s="12" t="n">
        <v>1</v>
      </c>
      <c r="AE9" s="0" t="s">
        <v>189</v>
      </c>
      <c r="AF9" s="12" t="n">
        <v>100</v>
      </c>
      <c r="AG9" s="0" t="s">
        <v>158</v>
      </c>
      <c r="AH9" s="0" t="s">
        <v>158</v>
      </c>
      <c r="AI9" s="0" t="s">
        <v>158</v>
      </c>
      <c r="AJ9" s="0" t="s">
        <v>190</v>
      </c>
      <c r="AK9" s="0" t="s">
        <v>191</v>
      </c>
      <c r="AL9" s="0" t="n">
        <v>1.09</v>
      </c>
      <c r="AM9" s="0" t="n">
        <v>0.31</v>
      </c>
      <c r="AN9" s="0" t="n">
        <v>264</v>
      </c>
      <c r="AO9" s="0" t="n">
        <v>37.5</v>
      </c>
      <c r="AQ9" s="0" t="s">
        <v>192</v>
      </c>
      <c r="AR9" s="0" t="s">
        <v>193</v>
      </c>
      <c r="AU9" s="0" t="s">
        <v>194</v>
      </c>
    </row>
    <row r="10" customFormat="false" ht="15" hidden="false" customHeight="false" outlineLevel="0" collapsed="false">
      <c r="A10" s="7" t="s">
        <v>9</v>
      </c>
      <c r="B10" s="8" t="s">
        <v>154</v>
      </c>
      <c r="C10" s="9" t="s">
        <v>71</v>
      </c>
      <c r="G10" s="0" t="s">
        <v>188</v>
      </c>
      <c r="H10" s="0" t="s">
        <v>195</v>
      </c>
      <c r="I10" s="0" t="s">
        <v>167</v>
      </c>
      <c r="J10" s="9" t="s">
        <v>156</v>
      </c>
      <c r="K10" s="10" t="s">
        <v>168</v>
      </c>
      <c r="L10" s="24" t="s">
        <v>158</v>
      </c>
      <c r="M10" s="24" t="s">
        <v>158</v>
      </c>
      <c r="N10" s="24" t="s">
        <v>158</v>
      </c>
      <c r="O10" s="8"/>
      <c r="Y10" s="10" t="s">
        <v>168</v>
      </c>
      <c r="AA10" s="10" t="n">
        <v>2.8</v>
      </c>
      <c r="AB10" s="10" t="n">
        <v>7</v>
      </c>
      <c r="AC10" s="10" t="n">
        <v>1.2</v>
      </c>
      <c r="AD10" s="12" t="n">
        <v>1</v>
      </c>
      <c r="AE10" s="0" t="s">
        <v>189</v>
      </c>
      <c r="AF10" s="12" t="n">
        <v>120</v>
      </c>
      <c r="AG10" s="0" t="s">
        <v>158</v>
      </c>
      <c r="AH10" s="0" t="s">
        <v>158</v>
      </c>
      <c r="AI10" s="0" t="s">
        <v>158</v>
      </c>
      <c r="AJ10" s="0" t="s">
        <v>190</v>
      </c>
      <c r="AK10" s="0" t="s">
        <v>191</v>
      </c>
      <c r="AL10" s="0" t="n">
        <v>1.09</v>
      </c>
      <c r="AN10" s="0" t="n">
        <v>264</v>
      </c>
      <c r="AO10" s="0" t="n">
        <v>39.2</v>
      </c>
      <c r="AQ10" s="0" t="s">
        <v>196</v>
      </c>
      <c r="AR10" s="0" t="s">
        <v>193</v>
      </c>
      <c r="AT10" s="31" t="s">
        <v>197</v>
      </c>
      <c r="AU10" s="0" t="s">
        <v>194</v>
      </c>
    </row>
    <row r="11" customFormat="false" ht="15" hidden="false" customHeight="false" outlineLevel="0" collapsed="false">
      <c r="A11" s="7" t="s">
        <v>9</v>
      </c>
      <c r="B11" s="8" t="s">
        <v>154</v>
      </c>
      <c r="C11" s="9" t="s">
        <v>71</v>
      </c>
      <c r="G11" s="0" t="s">
        <v>188</v>
      </c>
      <c r="J11" s="9" t="s">
        <v>156</v>
      </c>
      <c r="K11" s="10" t="s">
        <v>157</v>
      </c>
      <c r="L11" s="24" t="s">
        <v>158</v>
      </c>
      <c r="M11" s="24" t="s">
        <v>158</v>
      </c>
      <c r="N11" s="24" t="s">
        <v>158</v>
      </c>
      <c r="O11" s="8"/>
      <c r="Y11" s="10" t="s">
        <v>157</v>
      </c>
      <c r="AA11" s="10" t="n">
        <v>7.2</v>
      </c>
      <c r="AB11" s="10" t="n">
        <v>6.8</v>
      </c>
      <c r="AC11" s="10" t="n">
        <v>1.2</v>
      </c>
      <c r="AD11" s="12" t="n">
        <v>2</v>
      </c>
      <c r="AE11" s="0" t="s">
        <v>189</v>
      </c>
      <c r="AF11" s="12" t="n">
        <v>104</v>
      </c>
      <c r="AG11" s="0" t="s">
        <v>158</v>
      </c>
      <c r="AH11" s="0" t="s">
        <v>158</v>
      </c>
      <c r="AI11" s="0" t="s">
        <v>158</v>
      </c>
      <c r="AJ11" s="0" t="s">
        <v>190</v>
      </c>
      <c r="AK11" s="0" t="s">
        <v>191</v>
      </c>
      <c r="AL11" s="0" t="n">
        <v>1.09</v>
      </c>
      <c r="AM11" s="0" t="n">
        <v>0.36</v>
      </c>
      <c r="AN11" s="0" t="n">
        <v>264</v>
      </c>
      <c r="AO11" s="0" t="n">
        <v>39.3</v>
      </c>
      <c r="AQ11" s="0" t="s">
        <v>198</v>
      </c>
      <c r="AR11" s="0" t="s">
        <v>193</v>
      </c>
      <c r="AU11" s="0" t="s">
        <v>194</v>
      </c>
    </row>
    <row r="12" customFormat="false" ht="15" hidden="false" customHeight="false" outlineLevel="0" collapsed="false">
      <c r="A12" s="7" t="s">
        <v>9</v>
      </c>
      <c r="B12" s="8" t="s">
        <v>154</v>
      </c>
      <c r="C12" s="9" t="s">
        <v>71</v>
      </c>
      <c r="G12" s="0" t="s">
        <v>188</v>
      </c>
      <c r="H12" s="0" t="s">
        <v>195</v>
      </c>
      <c r="I12" s="0" t="s">
        <v>167</v>
      </c>
      <c r="J12" s="9" t="s">
        <v>156</v>
      </c>
      <c r="K12" s="10" t="s">
        <v>168</v>
      </c>
      <c r="L12" s="24" t="s">
        <v>158</v>
      </c>
      <c r="M12" s="24" t="s">
        <v>158</v>
      </c>
      <c r="N12" s="24" t="s">
        <v>158</v>
      </c>
      <c r="O12" s="8"/>
      <c r="Y12" s="10" t="s">
        <v>168</v>
      </c>
      <c r="AA12" s="10" t="n">
        <v>2.2</v>
      </c>
      <c r="AB12" s="10" t="n">
        <v>7.4</v>
      </c>
      <c r="AC12" s="10" t="n">
        <v>1.1</v>
      </c>
      <c r="AD12" s="12" t="n">
        <v>2</v>
      </c>
      <c r="AE12" s="0" t="s">
        <v>189</v>
      </c>
      <c r="AF12" s="12" t="n">
        <v>126</v>
      </c>
      <c r="AG12" s="0" t="s">
        <v>158</v>
      </c>
      <c r="AH12" s="0" t="s">
        <v>158</v>
      </c>
      <c r="AI12" s="0" t="s">
        <v>158</v>
      </c>
      <c r="AJ12" s="0" t="s">
        <v>190</v>
      </c>
      <c r="AK12" s="0" t="s">
        <v>191</v>
      </c>
      <c r="AL12" s="0" t="n">
        <v>1.09</v>
      </c>
      <c r="AN12" s="0" t="n">
        <v>264</v>
      </c>
      <c r="AO12" s="0" t="n">
        <v>38</v>
      </c>
      <c r="AQ12" s="0" t="s">
        <v>199</v>
      </c>
      <c r="AR12" s="0" t="s">
        <v>193</v>
      </c>
      <c r="AT12" s="27" t="s">
        <v>200</v>
      </c>
      <c r="AU12" s="0" t="s">
        <v>194</v>
      </c>
    </row>
    <row r="13" customFormat="false" ht="15" hidden="false" customHeight="false" outlineLevel="0" collapsed="false">
      <c r="A13" s="7" t="s">
        <v>9</v>
      </c>
      <c r="B13" s="8" t="s">
        <v>154</v>
      </c>
      <c r="C13" s="9" t="s">
        <v>71</v>
      </c>
      <c r="G13" s="0" t="s">
        <v>188</v>
      </c>
      <c r="J13" s="9" t="s">
        <v>156</v>
      </c>
      <c r="K13" s="10" t="s">
        <v>157</v>
      </c>
      <c r="L13" s="24" t="s">
        <v>158</v>
      </c>
      <c r="M13" s="24" t="s">
        <v>158</v>
      </c>
      <c r="N13" s="24" t="s">
        <v>158</v>
      </c>
      <c r="O13" s="8"/>
      <c r="Y13" s="10" t="s">
        <v>157</v>
      </c>
      <c r="AA13" s="10" t="n">
        <v>7</v>
      </c>
      <c r="AB13" s="10" t="n">
        <v>7.5</v>
      </c>
      <c r="AC13" s="10" t="n">
        <v>1.1</v>
      </c>
      <c r="AD13" s="12" t="n">
        <v>3</v>
      </c>
      <c r="AE13" s="0" t="s">
        <v>189</v>
      </c>
      <c r="AF13" s="12" t="n">
        <v>109</v>
      </c>
      <c r="AG13" s="0" t="s">
        <v>158</v>
      </c>
      <c r="AH13" s="0" t="s">
        <v>158</v>
      </c>
      <c r="AI13" s="0" t="s">
        <v>158</v>
      </c>
      <c r="AJ13" s="0" t="s">
        <v>190</v>
      </c>
      <c r="AK13" s="0" t="s">
        <v>191</v>
      </c>
      <c r="AL13" s="0" t="n">
        <v>1.09</v>
      </c>
      <c r="AM13" s="0" t="n">
        <v>0.33</v>
      </c>
      <c r="AN13" s="0" t="n">
        <v>264</v>
      </c>
      <c r="AO13" s="0" t="n">
        <v>36.7</v>
      </c>
      <c r="AQ13" s="0" t="s">
        <v>201</v>
      </c>
      <c r="AR13" s="0" t="s">
        <v>193</v>
      </c>
      <c r="AU13" s="0" t="s">
        <v>194</v>
      </c>
    </row>
    <row r="14" customFormat="false" ht="15" hidden="false" customHeight="false" outlineLevel="0" collapsed="false">
      <c r="A14" s="7" t="s">
        <v>9</v>
      </c>
      <c r="B14" s="8" t="s">
        <v>154</v>
      </c>
      <c r="C14" s="9" t="s">
        <v>71</v>
      </c>
      <c r="G14" s="0" t="s">
        <v>188</v>
      </c>
      <c r="H14" s="0" t="s">
        <v>195</v>
      </c>
      <c r="I14" s="0" t="s">
        <v>167</v>
      </c>
      <c r="J14" s="9" t="s">
        <v>156</v>
      </c>
      <c r="K14" s="10" t="s">
        <v>168</v>
      </c>
      <c r="L14" s="24" t="s">
        <v>158</v>
      </c>
      <c r="M14" s="24" t="s">
        <v>158</v>
      </c>
      <c r="N14" s="24" t="s">
        <v>158</v>
      </c>
      <c r="O14" s="8"/>
      <c r="Y14" s="10" t="s">
        <v>168</v>
      </c>
      <c r="AA14" s="10" t="n">
        <v>1.3</v>
      </c>
      <c r="AB14" s="10" t="n">
        <v>8.1</v>
      </c>
      <c r="AC14" s="10" t="n">
        <v>1</v>
      </c>
      <c r="AD14" s="12" t="n">
        <v>3</v>
      </c>
      <c r="AE14" s="0" t="s">
        <v>189</v>
      </c>
      <c r="AF14" s="12" t="n">
        <v>133</v>
      </c>
      <c r="AG14" s="0" t="s">
        <v>158</v>
      </c>
      <c r="AH14" s="0" t="s">
        <v>158</v>
      </c>
      <c r="AI14" s="0" t="s">
        <v>158</v>
      </c>
      <c r="AJ14" s="0" t="s">
        <v>190</v>
      </c>
      <c r="AK14" s="0" t="s">
        <v>191</v>
      </c>
      <c r="AL14" s="0" t="n">
        <v>1.09</v>
      </c>
      <c r="AN14" s="0" t="n">
        <v>264</v>
      </c>
      <c r="AO14" s="0" t="n">
        <v>51</v>
      </c>
      <c r="AQ14" s="0" t="s">
        <v>202</v>
      </c>
      <c r="AR14" s="0" t="s">
        <v>193</v>
      </c>
      <c r="AT14" s="31" t="s">
        <v>203</v>
      </c>
      <c r="AU14" s="0" t="s">
        <v>194</v>
      </c>
    </row>
    <row r="15" customFormat="false" ht="15" hidden="false" customHeight="false" outlineLevel="0" collapsed="false">
      <c r="A15" s="7" t="s">
        <v>9</v>
      </c>
      <c r="B15" s="8" t="s">
        <v>154</v>
      </c>
      <c r="C15" s="9" t="s">
        <v>71</v>
      </c>
      <c r="G15" s="0" t="s">
        <v>188</v>
      </c>
      <c r="J15" s="9" t="s">
        <v>156</v>
      </c>
      <c r="K15" s="10" t="s">
        <v>157</v>
      </c>
      <c r="L15" s="24" t="s">
        <v>158</v>
      </c>
      <c r="M15" s="24" t="s">
        <v>158</v>
      </c>
      <c r="N15" s="24" t="s">
        <v>158</v>
      </c>
      <c r="O15" s="8"/>
      <c r="Q15" s="9"/>
      <c r="Y15" s="10" t="s">
        <v>157</v>
      </c>
      <c r="AA15" s="10" t="n">
        <v>6</v>
      </c>
      <c r="AB15" s="9" t="s">
        <v>158</v>
      </c>
      <c r="AC15" s="10" t="n">
        <v>1</v>
      </c>
      <c r="AD15" s="12" t="n">
        <v>4</v>
      </c>
      <c r="AE15" s="0" t="s">
        <v>189</v>
      </c>
      <c r="AF15" s="12" t="n">
        <v>115</v>
      </c>
      <c r="AG15" s="0" t="s">
        <v>158</v>
      </c>
      <c r="AH15" s="0" t="s">
        <v>158</v>
      </c>
      <c r="AI15" s="0" t="s">
        <v>158</v>
      </c>
      <c r="AJ15" s="0" t="s">
        <v>190</v>
      </c>
      <c r="AK15" s="0" t="s">
        <v>191</v>
      </c>
      <c r="AL15" s="0" t="n">
        <v>1.09</v>
      </c>
      <c r="AM15" s="0" t="n">
        <v>0.26</v>
      </c>
      <c r="AN15" s="0" t="n">
        <v>264</v>
      </c>
      <c r="AO15" s="0" t="n">
        <v>37.4</v>
      </c>
      <c r="AQ15" s="0" t="s">
        <v>204</v>
      </c>
      <c r="AR15" s="0" t="s">
        <v>193</v>
      </c>
      <c r="AU15" s="0" t="s">
        <v>194</v>
      </c>
    </row>
    <row r="16" customFormat="false" ht="15" hidden="false" customHeight="false" outlineLevel="0" collapsed="false">
      <c r="A16" s="7" t="s">
        <v>9</v>
      </c>
      <c r="B16" s="8" t="s">
        <v>154</v>
      </c>
      <c r="C16" s="9" t="s">
        <v>71</v>
      </c>
      <c r="G16" s="0" t="s">
        <v>188</v>
      </c>
      <c r="H16" s="0" t="s">
        <v>195</v>
      </c>
      <c r="I16" s="0" t="s">
        <v>167</v>
      </c>
      <c r="J16" s="9" t="s">
        <v>156</v>
      </c>
      <c r="K16" s="10" t="s">
        <v>168</v>
      </c>
      <c r="L16" s="24" t="s">
        <v>158</v>
      </c>
      <c r="M16" s="24" t="s">
        <v>158</v>
      </c>
      <c r="N16" s="24" t="s">
        <v>158</v>
      </c>
      <c r="O16" s="8"/>
      <c r="Q16" s="9"/>
      <c r="Y16" s="10" t="s">
        <v>168</v>
      </c>
      <c r="AA16" s="10" t="n">
        <v>2.8</v>
      </c>
      <c r="AB16" s="9" t="s">
        <v>158</v>
      </c>
      <c r="AC16" s="10" t="n">
        <v>0.9</v>
      </c>
      <c r="AD16" s="12" t="n">
        <v>4</v>
      </c>
      <c r="AE16" s="0" t="s">
        <v>189</v>
      </c>
      <c r="AF16" s="12" t="n">
        <v>124</v>
      </c>
      <c r="AG16" s="0" t="s">
        <v>158</v>
      </c>
      <c r="AH16" s="0" t="s">
        <v>158</v>
      </c>
      <c r="AI16" s="0" t="s">
        <v>158</v>
      </c>
      <c r="AJ16" s="0" t="s">
        <v>190</v>
      </c>
      <c r="AK16" s="0" t="s">
        <v>191</v>
      </c>
      <c r="AL16" s="0" t="n">
        <v>1.09</v>
      </c>
      <c r="AN16" s="0" t="n">
        <v>264</v>
      </c>
      <c r="AO16" s="0" t="n">
        <v>39.1</v>
      </c>
      <c r="AQ16" s="0" t="s">
        <v>205</v>
      </c>
      <c r="AR16" s="0" t="s">
        <v>193</v>
      </c>
      <c r="AT16" s="31" t="s">
        <v>197</v>
      </c>
      <c r="AU16" s="0" t="s">
        <v>194</v>
      </c>
    </row>
    <row r="17" customFormat="false" ht="15" hidden="false" customHeight="false" outlineLevel="0" collapsed="false">
      <c r="A17" s="7" t="s">
        <v>9</v>
      </c>
      <c r="B17" s="8" t="s">
        <v>154</v>
      </c>
      <c r="C17" s="9" t="s">
        <v>71</v>
      </c>
      <c r="G17" s="0" t="s">
        <v>188</v>
      </c>
      <c r="J17" s="9" t="s">
        <v>156</v>
      </c>
      <c r="K17" s="10" t="s">
        <v>157</v>
      </c>
      <c r="L17" s="24" t="s">
        <v>158</v>
      </c>
      <c r="M17" s="24" t="s">
        <v>158</v>
      </c>
      <c r="N17" s="24" t="s">
        <v>158</v>
      </c>
      <c r="O17" s="8"/>
      <c r="Q17" s="9"/>
      <c r="Y17" s="10" t="s">
        <v>157</v>
      </c>
      <c r="AA17" s="10" t="n">
        <v>5.7</v>
      </c>
      <c r="AB17" s="9" t="s">
        <v>158</v>
      </c>
      <c r="AC17" s="10" t="n">
        <v>1</v>
      </c>
      <c r="AD17" s="12" t="n">
        <v>5</v>
      </c>
      <c r="AE17" s="0" t="s">
        <v>189</v>
      </c>
      <c r="AF17" s="12" t="n">
        <v>120</v>
      </c>
      <c r="AG17" s="0" t="s">
        <v>158</v>
      </c>
      <c r="AH17" s="0" t="s">
        <v>158</v>
      </c>
      <c r="AI17" s="0" t="s">
        <v>158</v>
      </c>
      <c r="AJ17" s="0" t="s">
        <v>190</v>
      </c>
      <c r="AK17" s="0" t="s">
        <v>191</v>
      </c>
      <c r="AL17" s="0" t="n">
        <v>1.09</v>
      </c>
      <c r="AM17" s="0" t="n">
        <v>0.37</v>
      </c>
      <c r="AN17" s="0" t="n">
        <v>264</v>
      </c>
      <c r="AO17" s="0" t="n">
        <v>39.1</v>
      </c>
      <c r="AQ17" s="0" t="s">
        <v>206</v>
      </c>
      <c r="AR17" s="0" t="s">
        <v>193</v>
      </c>
      <c r="AU17" s="0" t="s">
        <v>194</v>
      </c>
    </row>
    <row r="18" customFormat="false" ht="15" hidden="false" customHeight="false" outlineLevel="0" collapsed="false">
      <c r="A18" s="7" t="s">
        <v>9</v>
      </c>
      <c r="B18" s="8" t="s">
        <v>154</v>
      </c>
      <c r="C18" s="9" t="s">
        <v>71</v>
      </c>
      <c r="G18" s="0" t="s">
        <v>188</v>
      </c>
      <c r="H18" s="0" t="s">
        <v>195</v>
      </c>
      <c r="I18" s="0" t="s">
        <v>167</v>
      </c>
      <c r="J18" s="9" t="s">
        <v>156</v>
      </c>
      <c r="K18" s="10" t="s">
        <v>168</v>
      </c>
      <c r="L18" s="24" t="s">
        <v>158</v>
      </c>
      <c r="M18" s="24" t="s">
        <v>158</v>
      </c>
      <c r="N18" s="24" t="s">
        <v>158</v>
      </c>
      <c r="O18" s="8"/>
      <c r="Q18" s="9"/>
      <c r="Y18" s="10" t="s">
        <v>168</v>
      </c>
      <c r="AA18" s="10" t="n">
        <v>2</v>
      </c>
      <c r="AB18" s="9" t="s">
        <v>158</v>
      </c>
      <c r="AC18" s="10" t="n">
        <v>0.9</v>
      </c>
      <c r="AD18" s="12" t="n">
        <v>5</v>
      </c>
      <c r="AE18" s="0" t="s">
        <v>189</v>
      </c>
      <c r="AF18" s="12" t="n">
        <v>141</v>
      </c>
      <c r="AG18" s="0" t="s">
        <v>158</v>
      </c>
      <c r="AH18" s="0" t="s">
        <v>158</v>
      </c>
      <c r="AI18" s="0" t="s">
        <v>158</v>
      </c>
      <c r="AJ18" s="0" t="s">
        <v>190</v>
      </c>
      <c r="AK18" s="0" t="s">
        <v>191</v>
      </c>
      <c r="AL18" s="0" t="n">
        <v>1.09</v>
      </c>
      <c r="AN18" s="0" t="n">
        <v>264</v>
      </c>
      <c r="AO18" s="0" t="n">
        <v>16.3</v>
      </c>
      <c r="AQ18" s="0" t="s">
        <v>207</v>
      </c>
      <c r="AR18" s="0" t="s">
        <v>193</v>
      </c>
      <c r="AT18" s="27" t="s">
        <v>208</v>
      </c>
      <c r="AU18" s="0" t="s">
        <v>194</v>
      </c>
    </row>
    <row r="19" customFormat="false" ht="15" hidden="false" customHeight="false" outlineLevel="0" collapsed="false">
      <c r="A19" s="7" t="s">
        <v>9</v>
      </c>
      <c r="B19" s="8" t="s">
        <v>154</v>
      </c>
      <c r="C19" s="9" t="s">
        <v>71</v>
      </c>
      <c r="G19" s="0" t="s">
        <v>188</v>
      </c>
      <c r="J19" s="9" t="s">
        <v>156</v>
      </c>
      <c r="K19" s="10" t="s">
        <v>157</v>
      </c>
      <c r="L19" s="24" t="s">
        <v>158</v>
      </c>
      <c r="M19" s="24" t="s">
        <v>158</v>
      </c>
      <c r="N19" s="24" t="s">
        <v>158</v>
      </c>
      <c r="O19" s="8"/>
      <c r="Q19" s="9"/>
      <c r="Y19" s="10" t="s">
        <v>157</v>
      </c>
      <c r="AA19" s="10" t="n">
        <v>4.6</v>
      </c>
      <c r="AB19" s="9" t="s">
        <v>158</v>
      </c>
      <c r="AC19" s="10" t="n">
        <v>1</v>
      </c>
      <c r="AD19" s="12" t="n">
        <v>6</v>
      </c>
      <c r="AE19" s="0" t="s">
        <v>189</v>
      </c>
      <c r="AF19" s="12" t="n">
        <v>70</v>
      </c>
      <c r="AG19" s="0" t="s">
        <v>158</v>
      </c>
      <c r="AH19" s="0" t="s">
        <v>158</v>
      </c>
      <c r="AI19" s="0" t="s">
        <v>158</v>
      </c>
      <c r="AJ19" s="0" t="s">
        <v>190</v>
      </c>
      <c r="AK19" s="0" t="s">
        <v>191</v>
      </c>
      <c r="AL19" s="0" t="n">
        <v>1.09</v>
      </c>
      <c r="AM19" s="0" t="n">
        <v>0.33</v>
      </c>
      <c r="AN19" s="0" t="n">
        <v>264</v>
      </c>
      <c r="AO19" s="0" t="n">
        <v>41.9</v>
      </c>
      <c r="AQ19" s="0" t="s">
        <v>209</v>
      </c>
      <c r="AR19" s="0" t="s">
        <v>193</v>
      </c>
      <c r="AU19" s="0" t="s">
        <v>194</v>
      </c>
    </row>
    <row r="20" customFormat="false" ht="15" hidden="false" customHeight="false" outlineLevel="0" collapsed="false">
      <c r="A20" s="7" t="s">
        <v>9</v>
      </c>
      <c r="B20" s="8" t="s">
        <v>154</v>
      </c>
      <c r="C20" s="9" t="s">
        <v>71</v>
      </c>
      <c r="G20" s="0" t="s">
        <v>188</v>
      </c>
      <c r="H20" s="0" t="s">
        <v>195</v>
      </c>
      <c r="I20" s="0" t="s">
        <v>167</v>
      </c>
      <c r="J20" s="9" t="s">
        <v>156</v>
      </c>
      <c r="K20" s="10" t="s">
        <v>168</v>
      </c>
      <c r="L20" s="24" t="s">
        <v>158</v>
      </c>
      <c r="M20" s="24" t="s">
        <v>158</v>
      </c>
      <c r="N20" s="24" t="s">
        <v>158</v>
      </c>
      <c r="O20" s="8"/>
      <c r="Q20" s="9"/>
      <c r="Y20" s="10" t="s">
        <v>168</v>
      </c>
      <c r="AA20" s="10" t="n">
        <v>1.3</v>
      </c>
      <c r="AB20" s="9" t="s">
        <v>158</v>
      </c>
      <c r="AC20" s="10" t="n">
        <v>0.6</v>
      </c>
      <c r="AD20" s="12" t="n">
        <v>6</v>
      </c>
      <c r="AE20" s="0" t="s">
        <v>189</v>
      </c>
      <c r="AF20" s="12" t="n">
        <v>127</v>
      </c>
      <c r="AG20" s="0" t="s">
        <v>158</v>
      </c>
      <c r="AH20" s="0" t="s">
        <v>158</v>
      </c>
      <c r="AI20" s="0" t="s">
        <v>158</v>
      </c>
      <c r="AJ20" s="0" t="s">
        <v>190</v>
      </c>
      <c r="AK20" s="0" t="s">
        <v>191</v>
      </c>
      <c r="AL20" s="0" t="n">
        <v>1.09</v>
      </c>
      <c r="AN20" s="0" t="n">
        <v>264</v>
      </c>
      <c r="AO20" s="0" t="n">
        <v>13.4</v>
      </c>
      <c r="AQ20" s="0" t="s">
        <v>210</v>
      </c>
      <c r="AR20" s="0" t="s">
        <v>193</v>
      </c>
      <c r="AT20" s="27" t="s">
        <v>211</v>
      </c>
      <c r="AU20" s="0" t="s">
        <v>194</v>
      </c>
    </row>
    <row r="21" customFormat="false" ht="15" hidden="false" customHeight="false" outlineLevel="0" collapsed="false">
      <c r="A21" s="7" t="s">
        <v>9</v>
      </c>
      <c r="B21" s="8" t="s">
        <v>154</v>
      </c>
      <c r="C21" s="9" t="s">
        <v>71</v>
      </c>
      <c r="G21" s="0" t="s">
        <v>188</v>
      </c>
      <c r="J21" s="9" t="s">
        <v>156</v>
      </c>
      <c r="K21" s="10" t="s">
        <v>157</v>
      </c>
      <c r="L21" s="24" t="s">
        <v>158</v>
      </c>
      <c r="M21" s="24" t="s">
        <v>158</v>
      </c>
      <c r="N21" s="24" t="s">
        <v>158</v>
      </c>
      <c r="O21" s="8"/>
      <c r="Y21" s="10" t="s">
        <v>157</v>
      </c>
      <c r="AA21" s="10" t="n">
        <v>6.8</v>
      </c>
      <c r="AB21" s="10" t="n">
        <v>6.8</v>
      </c>
      <c r="AC21" s="10" t="n">
        <v>1.3</v>
      </c>
      <c r="AD21" s="12" t="n">
        <v>1</v>
      </c>
      <c r="AE21" s="0" t="s">
        <v>212</v>
      </c>
      <c r="AF21" s="12" t="n">
        <v>100</v>
      </c>
      <c r="AG21" s="0" t="s">
        <v>158</v>
      </c>
      <c r="AH21" s="0" t="s">
        <v>158</v>
      </c>
      <c r="AI21" s="0" t="s">
        <v>158</v>
      </c>
      <c r="AJ21" s="0" t="s">
        <v>190</v>
      </c>
      <c r="AK21" s="0" t="s">
        <v>191</v>
      </c>
      <c r="AL21" s="0" t="n">
        <v>1.09</v>
      </c>
      <c r="AM21" s="0" t="n">
        <v>0.31</v>
      </c>
      <c r="AN21" s="0" t="n">
        <v>264</v>
      </c>
      <c r="AO21" s="0" t="n">
        <v>24.6</v>
      </c>
      <c r="AQ21" s="0" t="s">
        <v>213</v>
      </c>
      <c r="AR21" s="0" t="s">
        <v>193</v>
      </c>
      <c r="AU21" s="0" t="s">
        <v>194</v>
      </c>
    </row>
    <row r="22" customFormat="false" ht="15" hidden="false" customHeight="false" outlineLevel="0" collapsed="false">
      <c r="A22" s="7" t="s">
        <v>9</v>
      </c>
      <c r="B22" s="8" t="s">
        <v>154</v>
      </c>
      <c r="C22" s="9" t="s">
        <v>71</v>
      </c>
      <c r="G22" s="0" t="s">
        <v>188</v>
      </c>
      <c r="H22" s="0" t="s">
        <v>195</v>
      </c>
      <c r="I22" s="0" t="s">
        <v>167</v>
      </c>
      <c r="J22" s="9" t="s">
        <v>156</v>
      </c>
      <c r="K22" s="10" t="s">
        <v>168</v>
      </c>
      <c r="L22" s="24" t="s">
        <v>158</v>
      </c>
      <c r="M22" s="24" t="s">
        <v>158</v>
      </c>
      <c r="N22" s="24" t="s">
        <v>158</v>
      </c>
      <c r="O22" s="8"/>
      <c r="Y22" s="10" t="s">
        <v>168</v>
      </c>
      <c r="AA22" s="10" t="n">
        <v>2.8</v>
      </c>
      <c r="AB22" s="10" t="n">
        <v>7</v>
      </c>
      <c r="AC22" s="10" t="n">
        <v>1.2</v>
      </c>
      <c r="AD22" s="12" t="n">
        <v>1</v>
      </c>
      <c r="AE22" s="0" t="s">
        <v>212</v>
      </c>
      <c r="AF22" s="12" t="n">
        <v>120</v>
      </c>
      <c r="AG22" s="0" t="s">
        <v>158</v>
      </c>
      <c r="AH22" s="0" t="s">
        <v>158</v>
      </c>
      <c r="AI22" s="0" t="s">
        <v>158</v>
      </c>
      <c r="AJ22" s="0" t="s">
        <v>190</v>
      </c>
      <c r="AK22" s="0" t="s">
        <v>191</v>
      </c>
      <c r="AL22" s="0" t="n">
        <v>1.09</v>
      </c>
      <c r="AM22" s="0" t="n">
        <v>0.31</v>
      </c>
      <c r="AN22" s="0" t="n">
        <v>264</v>
      </c>
      <c r="AO22" s="0" t="n">
        <v>14.9</v>
      </c>
      <c r="AQ22" s="0" t="s">
        <v>214</v>
      </c>
      <c r="AR22" s="0" t="s">
        <v>193</v>
      </c>
      <c r="AT22" s="27" t="s">
        <v>215</v>
      </c>
      <c r="AU22" s="0" t="s">
        <v>194</v>
      </c>
    </row>
    <row r="23" customFormat="false" ht="15" hidden="false" customHeight="false" outlineLevel="0" collapsed="false">
      <c r="A23" s="7" t="s">
        <v>9</v>
      </c>
      <c r="B23" s="8" t="s">
        <v>154</v>
      </c>
      <c r="C23" s="9" t="s">
        <v>71</v>
      </c>
      <c r="G23" s="0" t="s">
        <v>188</v>
      </c>
      <c r="J23" s="9" t="s">
        <v>156</v>
      </c>
      <c r="K23" s="10" t="s">
        <v>157</v>
      </c>
      <c r="L23" s="24" t="s">
        <v>158</v>
      </c>
      <c r="M23" s="24" t="s">
        <v>158</v>
      </c>
      <c r="N23" s="24" t="s">
        <v>158</v>
      </c>
      <c r="O23" s="8"/>
      <c r="Y23" s="10" t="s">
        <v>157</v>
      </c>
      <c r="AA23" s="10" t="n">
        <v>7.2</v>
      </c>
      <c r="AB23" s="10" t="n">
        <v>6.8</v>
      </c>
      <c r="AC23" s="10" t="n">
        <v>1.2</v>
      </c>
      <c r="AD23" s="12" t="n">
        <v>2</v>
      </c>
      <c r="AE23" s="0" t="s">
        <v>212</v>
      </c>
      <c r="AF23" s="12" t="n">
        <v>104</v>
      </c>
      <c r="AG23" s="0" t="s">
        <v>158</v>
      </c>
      <c r="AH23" s="0" t="s">
        <v>158</v>
      </c>
      <c r="AI23" s="0" t="s">
        <v>158</v>
      </c>
      <c r="AJ23" s="0" t="s">
        <v>190</v>
      </c>
      <c r="AK23" s="0" t="s">
        <v>191</v>
      </c>
      <c r="AL23" s="0" t="n">
        <v>1.09</v>
      </c>
      <c r="AM23" s="0" t="n">
        <v>0.36</v>
      </c>
      <c r="AN23" s="0" t="n">
        <v>264</v>
      </c>
      <c r="AO23" s="0" t="n">
        <v>24.1</v>
      </c>
      <c r="AQ23" s="0" t="s">
        <v>216</v>
      </c>
      <c r="AR23" s="0" t="s">
        <v>193</v>
      </c>
      <c r="AU23" s="0" t="s">
        <v>194</v>
      </c>
    </row>
    <row r="24" customFormat="false" ht="15" hidden="false" customHeight="false" outlineLevel="0" collapsed="false">
      <c r="A24" s="7" t="s">
        <v>9</v>
      </c>
      <c r="B24" s="8" t="s">
        <v>154</v>
      </c>
      <c r="C24" s="9" t="s">
        <v>71</v>
      </c>
      <c r="G24" s="0" t="s">
        <v>188</v>
      </c>
      <c r="H24" s="0" t="s">
        <v>195</v>
      </c>
      <c r="I24" s="0" t="s">
        <v>167</v>
      </c>
      <c r="J24" s="9" t="s">
        <v>156</v>
      </c>
      <c r="K24" s="10" t="s">
        <v>168</v>
      </c>
      <c r="L24" s="24" t="s">
        <v>158</v>
      </c>
      <c r="M24" s="24" t="s">
        <v>158</v>
      </c>
      <c r="N24" s="24" t="s">
        <v>158</v>
      </c>
      <c r="O24" s="8"/>
      <c r="Y24" s="10" t="s">
        <v>168</v>
      </c>
      <c r="AA24" s="10" t="n">
        <v>2.2</v>
      </c>
      <c r="AB24" s="10" t="n">
        <v>7.4</v>
      </c>
      <c r="AC24" s="10" t="n">
        <v>1.1</v>
      </c>
      <c r="AD24" s="12" t="n">
        <v>2</v>
      </c>
      <c r="AE24" s="0" t="s">
        <v>212</v>
      </c>
      <c r="AF24" s="12" t="n">
        <v>126</v>
      </c>
      <c r="AG24" s="0" t="s">
        <v>158</v>
      </c>
      <c r="AH24" s="0" t="s">
        <v>158</v>
      </c>
      <c r="AI24" s="0" t="s">
        <v>158</v>
      </c>
      <c r="AJ24" s="0" t="s">
        <v>190</v>
      </c>
      <c r="AK24" s="0" t="s">
        <v>191</v>
      </c>
      <c r="AL24" s="0" t="n">
        <v>1.09</v>
      </c>
      <c r="AM24" s="0" t="n">
        <v>0.36</v>
      </c>
      <c r="AN24" s="0" t="n">
        <v>264</v>
      </c>
      <c r="AO24" s="0" t="n">
        <v>17.9</v>
      </c>
      <c r="AQ24" s="0" t="s">
        <v>217</v>
      </c>
      <c r="AR24" s="0" t="s">
        <v>193</v>
      </c>
      <c r="AT24" s="27" t="s">
        <v>218</v>
      </c>
      <c r="AU24" s="0" t="s">
        <v>194</v>
      </c>
    </row>
    <row r="25" customFormat="false" ht="15" hidden="false" customHeight="false" outlineLevel="0" collapsed="false">
      <c r="A25" s="7" t="s">
        <v>9</v>
      </c>
      <c r="B25" s="8" t="s">
        <v>154</v>
      </c>
      <c r="C25" s="9" t="s">
        <v>71</v>
      </c>
      <c r="G25" s="0" t="s">
        <v>188</v>
      </c>
      <c r="J25" s="9" t="s">
        <v>156</v>
      </c>
      <c r="K25" s="10" t="s">
        <v>157</v>
      </c>
      <c r="L25" s="24" t="s">
        <v>158</v>
      </c>
      <c r="M25" s="24" t="s">
        <v>158</v>
      </c>
      <c r="N25" s="24" t="s">
        <v>158</v>
      </c>
      <c r="O25" s="8"/>
      <c r="Y25" s="10" t="s">
        <v>157</v>
      </c>
      <c r="AA25" s="10" t="n">
        <v>7</v>
      </c>
      <c r="AB25" s="10" t="n">
        <v>7.5</v>
      </c>
      <c r="AC25" s="10" t="n">
        <v>1.1</v>
      </c>
      <c r="AD25" s="12" t="n">
        <v>3</v>
      </c>
      <c r="AE25" s="0" t="s">
        <v>212</v>
      </c>
      <c r="AF25" s="12" t="n">
        <v>109</v>
      </c>
      <c r="AG25" s="0" t="s">
        <v>158</v>
      </c>
      <c r="AH25" s="0" t="s">
        <v>158</v>
      </c>
      <c r="AI25" s="0" t="s">
        <v>158</v>
      </c>
      <c r="AJ25" s="0" t="s">
        <v>190</v>
      </c>
      <c r="AK25" s="0" t="s">
        <v>191</v>
      </c>
      <c r="AL25" s="0" t="n">
        <v>1.09</v>
      </c>
      <c r="AM25" s="0" t="n">
        <v>0.33</v>
      </c>
      <c r="AN25" s="0" t="n">
        <v>264</v>
      </c>
      <c r="AO25" s="0" t="n">
        <v>25.1</v>
      </c>
      <c r="AQ25" s="0" t="s">
        <v>219</v>
      </c>
      <c r="AR25" s="0" t="s">
        <v>193</v>
      </c>
      <c r="AU25" s="0" t="s">
        <v>194</v>
      </c>
    </row>
    <row r="26" customFormat="false" ht="15" hidden="false" customHeight="false" outlineLevel="0" collapsed="false">
      <c r="A26" s="7" t="s">
        <v>9</v>
      </c>
      <c r="B26" s="8" t="s">
        <v>154</v>
      </c>
      <c r="C26" s="9" t="s">
        <v>71</v>
      </c>
      <c r="G26" s="0" t="s">
        <v>188</v>
      </c>
      <c r="H26" s="0" t="s">
        <v>195</v>
      </c>
      <c r="I26" s="0" t="s">
        <v>167</v>
      </c>
      <c r="J26" s="9" t="s">
        <v>156</v>
      </c>
      <c r="K26" s="10" t="s">
        <v>168</v>
      </c>
      <c r="L26" s="24" t="s">
        <v>158</v>
      </c>
      <c r="M26" s="24" t="s">
        <v>158</v>
      </c>
      <c r="N26" s="24" t="s">
        <v>158</v>
      </c>
      <c r="O26" s="8"/>
      <c r="Y26" s="10" t="s">
        <v>168</v>
      </c>
      <c r="AA26" s="10" t="n">
        <v>1.3</v>
      </c>
      <c r="AB26" s="10" t="n">
        <v>8.1</v>
      </c>
      <c r="AC26" s="10" t="n">
        <v>1</v>
      </c>
      <c r="AD26" s="12" t="n">
        <v>3</v>
      </c>
      <c r="AE26" s="0" t="s">
        <v>212</v>
      </c>
      <c r="AF26" s="12" t="n">
        <v>133</v>
      </c>
      <c r="AG26" s="0" t="s">
        <v>158</v>
      </c>
      <c r="AH26" s="0" t="s">
        <v>158</v>
      </c>
      <c r="AI26" s="0" t="s">
        <v>158</v>
      </c>
      <c r="AJ26" s="0" t="s">
        <v>190</v>
      </c>
      <c r="AK26" s="0" t="s">
        <v>191</v>
      </c>
      <c r="AL26" s="0" t="n">
        <v>1.09</v>
      </c>
      <c r="AM26" s="0" t="n">
        <v>0.33</v>
      </c>
      <c r="AN26" s="0" t="n">
        <v>264</v>
      </c>
      <c r="AO26" s="0" t="n">
        <v>28.2</v>
      </c>
      <c r="AQ26" s="0" t="s">
        <v>220</v>
      </c>
      <c r="AR26" s="0" t="s">
        <v>193</v>
      </c>
      <c r="AT26" s="31" t="s">
        <v>221</v>
      </c>
      <c r="AU26" s="0" t="s">
        <v>194</v>
      </c>
    </row>
    <row r="27" customFormat="false" ht="15" hidden="false" customHeight="false" outlineLevel="0" collapsed="false">
      <c r="A27" s="7" t="s">
        <v>9</v>
      </c>
      <c r="B27" s="8" t="s">
        <v>154</v>
      </c>
      <c r="C27" s="9" t="s">
        <v>71</v>
      </c>
      <c r="G27" s="0" t="s">
        <v>188</v>
      </c>
      <c r="J27" s="9" t="s">
        <v>156</v>
      </c>
      <c r="K27" s="10" t="s">
        <v>157</v>
      </c>
      <c r="L27" s="24" t="s">
        <v>158</v>
      </c>
      <c r="M27" s="24" t="s">
        <v>158</v>
      </c>
      <c r="N27" s="24" t="s">
        <v>158</v>
      </c>
      <c r="O27" s="8"/>
      <c r="Q27" s="9"/>
      <c r="Y27" s="10" t="s">
        <v>157</v>
      </c>
      <c r="AA27" s="10" t="n">
        <v>6</v>
      </c>
      <c r="AB27" s="9" t="s">
        <v>158</v>
      </c>
      <c r="AC27" s="10" t="n">
        <v>1</v>
      </c>
      <c r="AD27" s="12" t="n">
        <v>4</v>
      </c>
      <c r="AE27" s="0" t="s">
        <v>212</v>
      </c>
      <c r="AF27" s="12" t="n">
        <v>115</v>
      </c>
      <c r="AG27" s="0" t="s">
        <v>158</v>
      </c>
      <c r="AH27" s="0" t="s">
        <v>158</v>
      </c>
      <c r="AI27" s="0" t="s">
        <v>158</v>
      </c>
      <c r="AJ27" s="0" t="s">
        <v>190</v>
      </c>
      <c r="AK27" s="0" t="s">
        <v>191</v>
      </c>
      <c r="AL27" s="0" t="n">
        <v>1.09</v>
      </c>
      <c r="AM27" s="0" t="n">
        <v>0.26</v>
      </c>
      <c r="AN27" s="0" t="n">
        <v>264</v>
      </c>
      <c r="AO27" s="0" t="n">
        <v>23.5</v>
      </c>
      <c r="AQ27" s="0" t="s">
        <v>222</v>
      </c>
      <c r="AR27" s="0" t="s">
        <v>193</v>
      </c>
      <c r="AU27" s="0" t="s">
        <v>194</v>
      </c>
    </row>
    <row r="28" customFormat="false" ht="15" hidden="false" customHeight="false" outlineLevel="0" collapsed="false">
      <c r="A28" s="7" t="s">
        <v>9</v>
      </c>
      <c r="B28" s="8" t="s">
        <v>154</v>
      </c>
      <c r="C28" s="9" t="s">
        <v>71</v>
      </c>
      <c r="G28" s="0" t="s">
        <v>188</v>
      </c>
      <c r="H28" s="0" t="s">
        <v>195</v>
      </c>
      <c r="I28" s="0" t="s">
        <v>167</v>
      </c>
      <c r="J28" s="9" t="s">
        <v>156</v>
      </c>
      <c r="K28" s="10" t="s">
        <v>168</v>
      </c>
      <c r="L28" s="24" t="s">
        <v>158</v>
      </c>
      <c r="M28" s="24" t="s">
        <v>158</v>
      </c>
      <c r="N28" s="24" t="s">
        <v>158</v>
      </c>
      <c r="O28" s="8"/>
      <c r="Q28" s="9"/>
      <c r="Y28" s="10" t="s">
        <v>168</v>
      </c>
      <c r="AA28" s="10" t="n">
        <v>2.8</v>
      </c>
      <c r="AB28" s="9" t="s">
        <v>158</v>
      </c>
      <c r="AC28" s="10" t="n">
        <v>0.9</v>
      </c>
      <c r="AD28" s="12" t="n">
        <v>4</v>
      </c>
      <c r="AE28" s="0" t="s">
        <v>212</v>
      </c>
      <c r="AF28" s="12" t="n">
        <v>124</v>
      </c>
      <c r="AG28" s="0" t="s">
        <v>158</v>
      </c>
      <c r="AH28" s="0" t="s">
        <v>158</v>
      </c>
      <c r="AI28" s="0" t="s">
        <v>158</v>
      </c>
      <c r="AJ28" s="0" t="s">
        <v>190</v>
      </c>
      <c r="AK28" s="0" t="s">
        <v>191</v>
      </c>
      <c r="AL28" s="0" t="n">
        <v>1.09</v>
      </c>
      <c r="AM28" s="0" t="n">
        <v>0.26</v>
      </c>
      <c r="AN28" s="0" t="n">
        <v>264</v>
      </c>
      <c r="AO28" s="0" t="n">
        <v>28.6</v>
      </c>
      <c r="AQ28" s="0" t="s">
        <v>223</v>
      </c>
      <c r="AR28" s="0" t="s">
        <v>193</v>
      </c>
      <c r="AT28" s="31" t="s">
        <v>224</v>
      </c>
      <c r="AU28" s="0" t="s">
        <v>194</v>
      </c>
    </row>
    <row r="29" customFormat="false" ht="15" hidden="false" customHeight="false" outlineLevel="0" collapsed="false">
      <c r="A29" s="7" t="s">
        <v>9</v>
      </c>
      <c r="B29" s="8" t="s">
        <v>154</v>
      </c>
      <c r="C29" s="9" t="s">
        <v>71</v>
      </c>
      <c r="G29" s="0" t="s">
        <v>188</v>
      </c>
      <c r="J29" s="9" t="s">
        <v>156</v>
      </c>
      <c r="K29" s="10" t="s">
        <v>157</v>
      </c>
      <c r="L29" s="24" t="s">
        <v>158</v>
      </c>
      <c r="M29" s="24" t="s">
        <v>158</v>
      </c>
      <c r="N29" s="24" t="s">
        <v>158</v>
      </c>
      <c r="O29" s="8"/>
      <c r="Q29" s="9"/>
      <c r="Y29" s="10" t="s">
        <v>157</v>
      </c>
      <c r="AA29" s="10" t="n">
        <v>5.7</v>
      </c>
      <c r="AB29" s="9" t="s">
        <v>158</v>
      </c>
      <c r="AC29" s="10" t="n">
        <v>1</v>
      </c>
      <c r="AD29" s="12" t="n">
        <v>5</v>
      </c>
      <c r="AE29" s="0" t="s">
        <v>212</v>
      </c>
      <c r="AF29" s="12" t="n">
        <v>120</v>
      </c>
      <c r="AG29" s="0" t="s">
        <v>158</v>
      </c>
      <c r="AH29" s="0" t="s">
        <v>158</v>
      </c>
      <c r="AI29" s="0" t="s">
        <v>158</v>
      </c>
      <c r="AJ29" s="0" t="s">
        <v>190</v>
      </c>
      <c r="AK29" s="0" t="s">
        <v>191</v>
      </c>
      <c r="AL29" s="0" t="n">
        <v>1.09</v>
      </c>
      <c r="AM29" s="0" t="n">
        <v>0.37</v>
      </c>
      <c r="AN29" s="0" t="n">
        <v>264</v>
      </c>
      <c r="AO29" s="0" t="n">
        <v>25.4</v>
      </c>
      <c r="AQ29" s="0" t="s">
        <v>225</v>
      </c>
      <c r="AR29" s="0" t="s">
        <v>193</v>
      </c>
      <c r="AU29" s="0" t="s">
        <v>194</v>
      </c>
    </row>
    <row r="30" customFormat="false" ht="15" hidden="false" customHeight="false" outlineLevel="0" collapsed="false">
      <c r="A30" s="7" t="s">
        <v>9</v>
      </c>
      <c r="B30" s="8" t="s">
        <v>154</v>
      </c>
      <c r="C30" s="9" t="s">
        <v>71</v>
      </c>
      <c r="G30" s="0" t="s">
        <v>188</v>
      </c>
      <c r="H30" s="0" t="s">
        <v>195</v>
      </c>
      <c r="I30" s="0" t="s">
        <v>167</v>
      </c>
      <c r="J30" s="9" t="s">
        <v>156</v>
      </c>
      <c r="K30" s="10" t="s">
        <v>168</v>
      </c>
      <c r="L30" s="24" t="s">
        <v>158</v>
      </c>
      <c r="M30" s="24" t="s">
        <v>158</v>
      </c>
      <c r="N30" s="24" t="s">
        <v>158</v>
      </c>
      <c r="O30" s="8"/>
      <c r="Q30" s="9"/>
      <c r="Y30" s="10" t="s">
        <v>168</v>
      </c>
      <c r="AA30" s="10" t="n">
        <v>2</v>
      </c>
      <c r="AB30" s="9" t="s">
        <v>158</v>
      </c>
      <c r="AC30" s="10" t="n">
        <v>0.9</v>
      </c>
      <c r="AD30" s="12" t="n">
        <v>5</v>
      </c>
      <c r="AE30" s="0" t="s">
        <v>212</v>
      </c>
      <c r="AF30" s="12" t="n">
        <v>141</v>
      </c>
      <c r="AG30" s="0" t="s">
        <v>158</v>
      </c>
      <c r="AH30" s="0" t="s">
        <v>158</v>
      </c>
      <c r="AI30" s="0" t="s">
        <v>158</v>
      </c>
      <c r="AJ30" s="0" t="s">
        <v>190</v>
      </c>
      <c r="AK30" s="0" t="s">
        <v>191</v>
      </c>
      <c r="AL30" s="0" t="n">
        <v>1.09</v>
      </c>
      <c r="AM30" s="0" t="n">
        <v>0.37</v>
      </c>
      <c r="AN30" s="0" t="n">
        <v>264</v>
      </c>
      <c r="AO30" s="0" t="n">
        <v>10</v>
      </c>
      <c r="AQ30" s="0" t="s">
        <v>226</v>
      </c>
      <c r="AR30" s="0" t="s">
        <v>193</v>
      </c>
      <c r="AT30" s="27" t="s">
        <v>227</v>
      </c>
      <c r="AU30" s="0" t="s">
        <v>194</v>
      </c>
    </row>
    <row r="31" customFormat="false" ht="15" hidden="false" customHeight="false" outlineLevel="0" collapsed="false">
      <c r="A31" s="7" t="s">
        <v>9</v>
      </c>
      <c r="B31" s="8" t="s">
        <v>154</v>
      </c>
      <c r="C31" s="9" t="s">
        <v>71</v>
      </c>
      <c r="G31" s="0" t="s">
        <v>188</v>
      </c>
      <c r="J31" s="9" t="s">
        <v>156</v>
      </c>
      <c r="K31" s="10" t="s">
        <v>157</v>
      </c>
      <c r="L31" s="24" t="s">
        <v>158</v>
      </c>
      <c r="M31" s="24" t="s">
        <v>158</v>
      </c>
      <c r="N31" s="24" t="s">
        <v>158</v>
      </c>
      <c r="O31" s="8"/>
      <c r="Q31" s="9"/>
      <c r="Y31" s="10" t="s">
        <v>157</v>
      </c>
      <c r="AA31" s="10" t="n">
        <v>4.6</v>
      </c>
      <c r="AB31" s="9" t="s">
        <v>158</v>
      </c>
      <c r="AC31" s="10" t="n">
        <v>1</v>
      </c>
      <c r="AD31" s="12" t="n">
        <v>6</v>
      </c>
      <c r="AE31" s="0" t="s">
        <v>212</v>
      </c>
      <c r="AF31" s="12" t="n">
        <v>70</v>
      </c>
      <c r="AG31" s="0" t="s">
        <v>158</v>
      </c>
      <c r="AH31" s="0" t="s">
        <v>158</v>
      </c>
      <c r="AI31" s="0" t="s">
        <v>158</v>
      </c>
      <c r="AJ31" s="0" t="s">
        <v>190</v>
      </c>
      <c r="AK31" s="0" t="s">
        <v>191</v>
      </c>
      <c r="AL31" s="0" t="n">
        <v>1.09</v>
      </c>
      <c r="AM31" s="0" t="n">
        <v>0.33</v>
      </c>
      <c r="AN31" s="0" t="n">
        <v>264</v>
      </c>
      <c r="AO31" s="0" t="n">
        <v>14.7</v>
      </c>
      <c r="AQ31" s="0" t="s">
        <v>228</v>
      </c>
      <c r="AR31" s="0" t="s">
        <v>193</v>
      </c>
      <c r="AU31" s="0" t="s">
        <v>194</v>
      </c>
    </row>
    <row r="32" customFormat="false" ht="15" hidden="false" customHeight="false" outlineLevel="0" collapsed="false">
      <c r="A32" s="7" t="s">
        <v>9</v>
      </c>
      <c r="B32" s="8" t="s">
        <v>154</v>
      </c>
      <c r="C32" s="9" t="s">
        <v>71</v>
      </c>
      <c r="G32" s="0" t="s">
        <v>188</v>
      </c>
      <c r="H32" s="0" t="s">
        <v>195</v>
      </c>
      <c r="I32" s="0" t="s">
        <v>167</v>
      </c>
      <c r="J32" s="9" t="s">
        <v>156</v>
      </c>
      <c r="K32" s="10" t="s">
        <v>168</v>
      </c>
      <c r="L32" s="24" t="s">
        <v>158</v>
      </c>
      <c r="M32" s="24" t="s">
        <v>158</v>
      </c>
      <c r="N32" s="24" t="s">
        <v>158</v>
      </c>
      <c r="O32" s="8"/>
      <c r="Q32" s="9"/>
      <c r="Y32" s="10" t="s">
        <v>168</v>
      </c>
      <c r="AA32" s="10" t="n">
        <v>1.3</v>
      </c>
      <c r="AB32" s="9" t="s">
        <v>158</v>
      </c>
      <c r="AC32" s="10" t="n">
        <v>0.6</v>
      </c>
      <c r="AD32" s="12" t="n">
        <v>6</v>
      </c>
      <c r="AE32" s="0" t="s">
        <v>212</v>
      </c>
      <c r="AF32" s="12" t="n">
        <v>127</v>
      </c>
      <c r="AG32" s="0" t="s">
        <v>158</v>
      </c>
      <c r="AH32" s="0" t="s">
        <v>158</v>
      </c>
      <c r="AI32" s="0" t="s">
        <v>158</v>
      </c>
      <c r="AJ32" s="0" t="s">
        <v>190</v>
      </c>
      <c r="AK32" s="0" t="s">
        <v>191</v>
      </c>
      <c r="AL32" s="0" t="n">
        <v>1.09</v>
      </c>
      <c r="AM32" s="0" t="n">
        <v>0.33</v>
      </c>
      <c r="AN32" s="0" t="n">
        <v>264</v>
      </c>
      <c r="AO32" s="0" t="n">
        <v>4.3</v>
      </c>
      <c r="AQ32" s="0" t="s">
        <v>229</v>
      </c>
      <c r="AR32" s="0" t="s">
        <v>193</v>
      </c>
      <c r="AT32" s="27" t="s">
        <v>230</v>
      </c>
      <c r="AU32" s="0" t="s">
        <v>194</v>
      </c>
    </row>
    <row r="33" customFormat="false" ht="15" hidden="false" customHeight="true" outlineLevel="0" collapsed="false">
      <c r="A33" s="7" t="s">
        <v>11</v>
      </c>
      <c r="B33" s="8" t="s">
        <v>172</v>
      </c>
      <c r="C33" s="9" t="s">
        <v>71</v>
      </c>
      <c r="G33" s="0" t="s">
        <v>231</v>
      </c>
      <c r="J33" s="9" t="s">
        <v>232</v>
      </c>
      <c r="K33" s="10" t="s">
        <v>157</v>
      </c>
      <c r="L33" s="24" t="s">
        <v>158</v>
      </c>
      <c r="M33" s="24" t="s">
        <v>158</v>
      </c>
      <c r="N33" s="24" t="s">
        <v>158</v>
      </c>
      <c r="O33" s="8"/>
      <c r="Y33" s="10" t="s">
        <v>157</v>
      </c>
      <c r="AA33" s="10" t="n">
        <v>3.5</v>
      </c>
      <c r="AB33" s="10" t="n">
        <v>7.8</v>
      </c>
      <c r="AC33" s="10" t="n">
        <v>3</v>
      </c>
      <c r="AD33" s="12" t="n">
        <v>1</v>
      </c>
      <c r="AE33" s="0" t="s">
        <v>189</v>
      </c>
      <c r="AF33" s="32" t="n">
        <f aca="false">70/4.3</f>
        <v>16.2790697674419</v>
      </c>
      <c r="AG33" s="0" t="s">
        <v>158</v>
      </c>
      <c r="AH33" s="0" t="s">
        <v>233</v>
      </c>
      <c r="AI33" s="0" t="s">
        <v>158</v>
      </c>
      <c r="AJ33" s="0" t="s">
        <v>234</v>
      </c>
      <c r="AK33" s="0" t="s">
        <v>163</v>
      </c>
      <c r="AL33" s="0" t="s">
        <v>158</v>
      </c>
      <c r="AM33" s="0" t="s">
        <v>158</v>
      </c>
      <c r="AN33" s="0" t="n">
        <v>120</v>
      </c>
      <c r="AO33" s="29" t="n">
        <f aca="false">21/0.7</f>
        <v>30</v>
      </c>
      <c r="AQ33" s="0" t="s">
        <v>235</v>
      </c>
      <c r="AR33" s="25" t="s">
        <v>236</v>
      </c>
      <c r="AU33" s="0" t="s">
        <v>237</v>
      </c>
    </row>
    <row r="34" customFormat="false" ht="15" hidden="false" customHeight="false" outlineLevel="0" collapsed="false">
      <c r="A34" s="7" t="s">
        <v>11</v>
      </c>
      <c r="B34" s="8" t="s">
        <v>172</v>
      </c>
      <c r="C34" s="9" t="s">
        <v>71</v>
      </c>
      <c r="G34" s="0" t="s">
        <v>231</v>
      </c>
      <c r="H34" s="0" t="s">
        <v>238</v>
      </c>
      <c r="I34" s="0" t="s">
        <v>167</v>
      </c>
      <c r="J34" s="9" t="s">
        <v>232</v>
      </c>
      <c r="K34" s="10" t="s">
        <v>168</v>
      </c>
      <c r="L34" s="29" t="n">
        <f aca="false">(AA34*N34)/AA33</f>
        <v>64.9450549450549</v>
      </c>
      <c r="M34" s="29" t="n">
        <f aca="false">(AC34*N34)/AC33</f>
        <v>94.7115384615385</v>
      </c>
      <c r="N34" s="29" t="n">
        <f aca="false">(AA33-AA35)/(AA34-AA35)*100</f>
        <v>94.7115384615385</v>
      </c>
      <c r="O34" s="8" t="s">
        <v>169</v>
      </c>
      <c r="Y34" s="10" t="s">
        <v>168</v>
      </c>
      <c r="AA34" s="10" t="n">
        <v>2.4</v>
      </c>
      <c r="AB34" s="10" t="n">
        <v>8</v>
      </c>
      <c r="AC34" s="10" t="n">
        <v>3</v>
      </c>
      <c r="AD34" s="12" t="n">
        <v>1</v>
      </c>
      <c r="AE34" s="0" t="s">
        <v>189</v>
      </c>
      <c r="AF34" s="32" t="n">
        <f aca="false">70/4</f>
        <v>17.5</v>
      </c>
      <c r="AG34" s="0" t="s">
        <v>158</v>
      </c>
      <c r="AH34" s="0" t="s">
        <v>233</v>
      </c>
      <c r="AI34" s="0" t="s">
        <v>158</v>
      </c>
      <c r="AJ34" s="0" t="s">
        <v>234</v>
      </c>
      <c r="AK34" s="0" t="s">
        <v>163</v>
      </c>
      <c r="AL34" s="0" t="s">
        <v>158</v>
      </c>
      <c r="AM34" s="0" t="s">
        <v>158</v>
      </c>
      <c r="AN34" s="0" t="n">
        <v>120</v>
      </c>
      <c r="AO34" s="29" t="n">
        <f aca="false">14/0.75</f>
        <v>18.6666666666667</v>
      </c>
      <c r="AQ34" s="0" t="s">
        <v>235</v>
      </c>
      <c r="AR34" s="25" t="s">
        <v>236</v>
      </c>
      <c r="AT34" s="27" t="s">
        <v>239</v>
      </c>
      <c r="AU34" s="0" t="s">
        <v>237</v>
      </c>
    </row>
    <row r="35" customFormat="false" ht="15" hidden="false" customHeight="false" outlineLevel="0" collapsed="false">
      <c r="A35" s="7" t="s">
        <v>11</v>
      </c>
      <c r="B35" s="8" t="s">
        <v>172</v>
      </c>
      <c r="C35" s="9" t="s">
        <v>71</v>
      </c>
      <c r="G35" s="0" t="s">
        <v>231</v>
      </c>
      <c r="H35" s="0" t="s">
        <v>238</v>
      </c>
      <c r="I35" s="0" t="s">
        <v>167</v>
      </c>
      <c r="J35" s="9" t="s">
        <v>232</v>
      </c>
      <c r="K35" s="10" t="s">
        <v>186</v>
      </c>
      <c r="L35" s="29" t="n">
        <f aca="false">(AA35*N35)/AA33</f>
        <v>35.0549450549451</v>
      </c>
      <c r="M35" s="29" t="n">
        <f aca="false">(AC35*N35)/AC33</f>
        <v>5.8173076923077</v>
      </c>
      <c r="N35" s="26" t="n">
        <f aca="false">100-N34</f>
        <v>5.28846153846155</v>
      </c>
      <c r="O35" s="8" t="s">
        <v>169</v>
      </c>
      <c r="Y35" s="10" t="s">
        <v>186</v>
      </c>
      <c r="AA35" s="10" t="n">
        <v>23.2</v>
      </c>
      <c r="AB35" s="10" t="n">
        <v>8.4</v>
      </c>
      <c r="AC35" s="10" t="n">
        <v>3.3</v>
      </c>
      <c r="AE35" s="0" t="s">
        <v>189</v>
      </c>
      <c r="AF35" s="29" t="n">
        <f aca="false">70/7.2</f>
        <v>9.72222222222222</v>
      </c>
      <c r="AG35" s="0" t="s">
        <v>158</v>
      </c>
      <c r="AH35" s="0" t="s">
        <v>233</v>
      </c>
      <c r="AI35" s="0" t="s">
        <v>158</v>
      </c>
      <c r="AJ35" s="0" t="s">
        <v>234</v>
      </c>
      <c r="AK35" s="0" t="s">
        <v>163</v>
      </c>
      <c r="AL35" s="0" t="s">
        <v>158</v>
      </c>
      <c r="AM35" s="0" t="s">
        <v>158</v>
      </c>
      <c r="AN35" s="0" t="n">
        <v>120</v>
      </c>
      <c r="AO35" s="29" t="n">
        <f aca="false">19/0.45</f>
        <v>42.2222222222222</v>
      </c>
      <c r="AQ35" s="0" t="s">
        <v>235</v>
      </c>
      <c r="AR35" s="25" t="s">
        <v>236</v>
      </c>
      <c r="AU35" s="0" t="s">
        <v>237</v>
      </c>
    </row>
    <row r="36" customFormat="false" ht="15" hidden="false" customHeight="true" outlineLevel="0" collapsed="false">
      <c r="A36" s="7" t="s">
        <v>11</v>
      </c>
      <c r="B36" s="8" t="s">
        <v>172</v>
      </c>
      <c r="C36" s="9" t="s">
        <v>71</v>
      </c>
      <c r="G36" s="0" t="s">
        <v>231</v>
      </c>
      <c r="J36" s="9" t="s">
        <v>232</v>
      </c>
      <c r="K36" s="10" t="s">
        <v>157</v>
      </c>
      <c r="L36" s="24" t="s">
        <v>158</v>
      </c>
      <c r="M36" s="24" t="s">
        <v>158</v>
      </c>
      <c r="N36" s="24" t="s">
        <v>158</v>
      </c>
      <c r="O36" s="8"/>
      <c r="Y36" s="10" t="s">
        <v>157</v>
      </c>
      <c r="AA36" s="10" t="n">
        <v>3.5</v>
      </c>
      <c r="AB36" s="10" t="n">
        <v>7.8</v>
      </c>
      <c r="AC36" s="10" t="n">
        <v>2</v>
      </c>
      <c r="AD36" s="12" t="n">
        <v>2</v>
      </c>
      <c r="AE36" s="0" t="s">
        <v>189</v>
      </c>
      <c r="AF36" s="32" t="n">
        <f aca="false">70/3.6</f>
        <v>19.4444444444444</v>
      </c>
      <c r="AG36" s="0" t="s">
        <v>158</v>
      </c>
      <c r="AH36" s="0" t="s">
        <v>240</v>
      </c>
      <c r="AI36" s="0" t="s">
        <v>158</v>
      </c>
      <c r="AJ36" s="0" t="s">
        <v>234</v>
      </c>
      <c r="AK36" s="0" t="s">
        <v>163</v>
      </c>
      <c r="AL36" s="0" t="s">
        <v>158</v>
      </c>
      <c r="AM36" s="0" t="s">
        <v>158</v>
      </c>
      <c r="AN36" s="0" t="n">
        <v>120</v>
      </c>
      <c r="AO36" s="29" t="n">
        <f aca="false">23/0.56</f>
        <v>41.0714285714286</v>
      </c>
      <c r="AQ36" s="0" t="s">
        <v>235</v>
      </c>
      <c r="AR36" s="25" t="s">
        <v>236</v>
      </c>
      <c r="AU36" s="0" t="s">
        <v>237</v>
      </c>
    </row>
    <row r="37" customFormat="false" ht="15" hidden="false" customHeight="false" outlineLevel="0" collapsed="false">
      <c r="A37" s="7" t="s">
        <v>11</v>
      </c>
      <c r="B37" s="8" t="s">
        <v>172</v>
      </c>
      <c r="C37" s="9" t="s">
        <v>71</v>
      </c>
      <c r="G37" s="0" t="s">
        <v>231</v>
      </c>
      <c r="H37" s="0" t="s">
        <v>238</v>
      </c>
      <c r="I37" s="0" t="s">
        <v>167</v>
      </c>
      <c r="J37" s="9" t="s">
        <v>232</v>
      </c>
      <c r="K37" s="10" t="s">
        <v>168</v>
      </c>
      <c r="L37" s="29" t="n">
        <f aca="false">(AA37*N37)/AA36</f>
        <v>56.8656716417911</v>
      </c>
      <c r="M37" s="29" t="n">
        <f aca="false">(AC37*N37)/AC36</f>
        <v>99.5149253731343</v>
      </c>
      <c r="N37" s="29" t="n">
        <f aca="false">(AA36-AA38)/(AA37-AA38)*100</f>
        <v>94.7761194029851</v>
      </c>
      <c r="O37" s="8" t="s">
        <v>169</v>
      </c>
      <c r="Y37" s="10" t="s">
        <v>168</v>
      </c>
      <c r="AA37" s="10" t="n">
        <v>2.1</v>
      </c>
      <c r="AB37" s="10" t="n">
        <v>7.8</v>
      </c>
      <c r="AC37" s="10" t="n">
        <v>2.1</v>
      </c>
      <c r="AD37" s="12" t="n">
        <v>2</v>
      </c>
      <c r="AE37" s="0" t="s">
        <v>189</v>
      </c>
      <c r="AF37" s="32" t="n">
        <f aca="false">70/3.2</f>
        <v>21.875</v>
      </c>
      <c r="AG37" s="0" t="s">
        <v>158</v>
      </c>
      <c r="AH37" s="0" t="s">
        <v>240</v>
      </c>
      <c r="AI37" s="0" t="s">
        <v>158</v>
      </c>
      <c r="AJ37" s="0" t="s">
        <v>234</v>
      </c>
      <c r="AK37" s="0" t="s">
        <v>163</v>
      </c>
      <c r="AL37" s="0" t="s">
        <v>158</v>
      </c>
      <c r="AM37" s="0" t="s">
        <v>158</v>
      </c>
      <c r="AN37" s="0" t="n">
        <v>120</v>
      </c>
      <c r="AO37" s="29" t="n">
        <f aca="false">12/0.66</f>
        <v>18.1818181818182</v>
      </c>
      <c r="AQ37" s="0" t="s">
        <v>235</v>
      </c>
      <c r="AR37" s="25" t="s">
        <v>236</v>
      </c>
      <c r="AT37" s="27" t="s">
        <v>241</v>
      </c>
      <c r="AU37" s="0" t="s">
        <v>237</v>
      </c>
    </row>
    <row r="38" customFormat="false" ht="15" hidden="false" customHeight="false" outlineLevel="0" collapsed="false">
      <c r="A38" s="7" t="s">
        <v>11</v>
      </c>
      <c r="B38" s="8" t="s">
        <v>172</v>
      </c>
      <c r="C38" s="9" t="s">
        <v>71</v>
      </c>
      <c r="G38" s="0" t="s">
        <v>231</v>
      </c>
      <c r="H38" s="0" t="s">
        <v>238</v>
      </c>
      <c r="I38" s="0" t="s">
        <v>167</v>
      </c>
      <c r="J38" s="9" t="s">
        <v>232</v>
      </c>
      <c r="K38" s="10" t="s">
        <v>186</v>
      </c>
      <c r="L38" s="29" t="n">
        <f aca="false">(AA38*N38)/AA36</f>
        <v>43.1343283582088</v>
      </c>
      <c r="M38" s="29" t="n">
        <f aca="false">(AC38*N38)/AC36</f>
        <v>6.52985074626864</v>
      </c>
      <c r="N38" s="29" t="n">
        <f aca="false">100-N37</f>
        <v>5.22388059701491</v>
      </c>
      <c r="O38" s="8" t="s">
        <v>169</v>
      </c>
      <c r="Y38" s="10" t="s">
        <v>186</v>
      </c>
      <c r="AA38" s="10" t="n">
        <v>28.9</v>
      </c>
      <c r="AB38" s="10" t="n">
        <v>8.2</v>
      </c>
      <c r="AC38" s="10" t="n">
        <v>2.5</v>
      </c>
      <c r="AE38" s="0" t="s">
        <v>189</v>
      </c>
      <c r="AF38" s="29" t="n">
        <f aca="false">70/6.8</f>
        <v>10.2941176470588</v>
      </c>
      <c r="AG38" s="0" t="s">
        <v>158</v>
      </c>
      <c r="AH38" s="0" t="s">
        <v>240</v>
      </c>
      <c r="AI38" s="0" t="s">
        <v>158</v>
      </c>
      <c r="AJ38" s="0" t="s">
        <v>234</v>
      </c>
      <c r="AK38" s="0" t="s">
        <v>163</v>
      </c>
      <c r="AL38" s="0" t="s">
        <v>158</v>
      </c>
      <c r="AM38" s="0" t="s">
        <v>158</v>
      </c>
      <c r="AN38" s="0" t="n">
        <v>120</v>
      </c>
      <c r="AO38" s="29" t="n">
        <f aca="false">18/0.37</f>
        <v>48.6486486486487</v>
      </c>
      <c r="AQ38" s="0" t="s">
        <v>235</v>
      </c>
      <c r="AR38" s="25" t="s">
        <v>236</v>
      </c>
      <c r="AU38" s="0" t="s">
        <v>237</v>
      </c>
    </row>
    <row r="39" customFormat="false" ht="15" hidden="false" customHeight="false" outlineLevel="0" collapsed="false">
      <c r="A39" s="7" t="s">
        <v>13</v>
      </c>
      <c r="B39" s="8" t="s">
        <v>172</v>
      </c>
      <c r="C39" s="9" t="s">
        <v>71</v>
      </c>
      <c r="G39" s="0" t="s">
        <v>231</v>
      </c>
      <c r="J39" s="9" t="s">
        <v>156</v>
      </c>
      <c r="K39" s="10" t="s">
        <v>157</v>
      </c>
      <c r="L39" s="11" t="s">
        <v>158</v>
      </c>
      <c r="M39" s="11" t="s">
        <v>158</v>
      </c>
      <c r="N39" s="0" t="s">
        <v>158</v>
      </c>
      <c r="O39" s="8"/>
      <c r="Y39" s="10" t="s">
        <v>157</v>
      </c>
      <c r="AA39" s="10" t="n">
        <v>5.7</v>
      </c>
      <c r="AB39" s="10" t="n">
        <v>7.6</v>
      </c>
      <c r="AC39" s="10" t="n">
        <v>2.1</v>
      </c>
      <c r="AD39" s="12" t="n">
        <v>1</v>
      </c>
      <c r="AE39" s="0" t="s">
        <v>189</v>
      </c>
      <c r="AF39" s="29" t="n">
        <f aca="false">70/3.5</f>
        <v>20</v>
      </c>
      <c r="AG39" s="0" t="s">
        <v>158</v>
      </c>
      <c r="AH39" s="0" t="s">
        <v>242</v>
      </c>
      <c r="AI39" s="0" t="s">
        <v>158</v>
      </c>
      <c r="AJ39" s="0" t="s">
        <v>234</v>
      </c>
      <c r="AK39" s="0" t="s">
        <v>163</v>
      </c>
      <c r="AL39" s="0" t="s">
        <v>158</v>
      </c>
      <c r="AM39" s="0" t="s">
        <v>158</v>
      </c>
      <c r="AN39" s="0" t="n">
        <v>120</v>
      </c>
      <c r="AO39" s="29" t="n">
        <f aca="false">35.2/0.6</f>
        <v>58.6666666666667</v>
      </c>
      <c r="AQ39" s="0" t="s">
        <v>192</v>
      </c>
      <c r="AR39" s="25" t="s">
        <v>236</v>
      </c>
      <c r="AU39" s="0" t="s">
        <v>243</v>
      </c>
    </row>
    <row r="40" customFormat="false" ht="15" hidden="false" customHeight="false" outlineLevel="0" collapsed="false">
      <c r="A40" s="7" t="s">
        <v>13</v>
      </c>
      <c r="B40" s="8" t="s">
        <v>172</v>
      </c>
      <c r="C40" s="9" t="s">
        <v>71</v>
      </c>
      <c r="G40" s="0" t="s">
        <v>231</v>
      </c>
      <c r="H40" s="0" t="s">
        <v>238</v>
      </c>
      <c r="I40" s="0" t="s">
        <v>167</v>
      </c>
      <c r="J40" s="9" t="s">
        <v>156</v>
      </c>
      <c r="K40" s="10" t="s">
        <v>168</v>
      </c>
      <c r="L40" s="29" t="n">
        <f aca="false">(AA40*N40)/AA39</f>
        <v>71.0175438596491</v>
      </c>
      <c r="M40" s="29" t="n">
        <f aca="false">(AC40*N40)/AC39</f>
        <v>92</v>
      </c>
      <c r="N40" s="0" t="n">
        <v>92</v>
      </c>
      <c r="O40" s="9" t="s">
        <v>244</v>
      </c>
      <c r="Y40" s="10" t="s">
        <v>168</v>
      </c>
      <c r="AA40" s="10" t="n">
        <v>4.4</v>
      </c>
      <c r="AB40" s="10" t="n">
        <v>7.8</v>
      </c>
      <c r="AC40" s="10" t="n">
        <v>2.1</v>
      </c>
      <c r="AD40" s="12" t="n">
        <v>1</v>
      </c>
      <c r="AE40" s="0" t="s">
        <v>189</v>
      </c>
      <c r="AF40" s="29" t="n">
        <f aca="false">70/3.3</f>
        <v>21.2121212121212</v>
      </c>
      <c r="AG40" s="0" t="s">
        <v>158</v>
      </c>
      <c r="AH40" s="0" t="s">
        <v>242</v>
      </c>
      <c r="AI40" s="0" t="s">
        <v>158</v>
      </c>
      <c r="AJ40" s="0" t="s">
        <v>234</v>
      </c>
      <c r="AK40" s="0" t="s">
        <v>163</v>
      </c>
      <c r="AL40" s="0" t="s">
        <v>158</v>
      </c>
      <c r="AM40" s="0" t="s">
        <v>158</v>
      </c>
      <c r="AN40" s="0" t="n">
        <v>120</v>
      </c>
      <c r="AO40" s="29" t="n">
        <f aca="false">32.3/0.64</f>
        <v>50.46875</v>
      </c>
      <c r="AQ40" s="0" t="s">
        <v>192</v>
      </c>
      <c r="AR40" s="25" t="s">
        <v>236</v>
      </c>
      <c r="AU40" s="0" t="s">
        <v>243</v>
      </c>
    </row>
    <row r="41" customFormat="false" ht="15" hidden="false" customHeight="false" outlineLevel="0" collapsed="false">
      <c r="A41" s="7" t="s">
        <v>13</v>
      </c>
      <c r="B41" s="8" t="s">
        <v>172</v>
      </c>
      <c r="C41" s="9" t="s">
        <v>71</v>
      </c>
      <c r="G41" s="0" t="s">
        <v>231</v>
      </c>
      <c r="H41" s="0" t="s">
        <v>238</v>
      </c>
      <c r="I41" s="0" t="s">
        <v>167</v>
      </c>
      <c r="J41" s="9" t="s">
        <v>156</v>
      </c>
      <c r="K41" s="10" t="s">
        <v>186</v>
      </c>
      <c r="L41" s="29" t="n">
        <f aca="false">(AA41*N41)/AA39</f>
        <v>32</v>
      </c>
      <c r="M41" s="29" t="n">
        <f aca="false">(AC41*N41)/AC39</f>
        <v>6.85714285714286</v>
      </c>
      <c r="N41" s="0" t="n">
        <v>8</v>
      </c>
      <c r="O41" s="9" t="s">
        <v>244</v>
      </c>
      <c r="Y41" s="10" t="s">
        <v>186</v>
      </c>
      <c r="AA41" s="10" t="n">
        <v>22.8</v>
      </c>
      <c r="AB41" s="10" t="n">
        <v>8.7</v>
      </c>
      <c r="AC41" s="10" t="n">
        <v>1.8</v>
      </c>
      <c r="AE41" s="0" t="s">
        <v>189</v>
      </c>
      <c r="AF41" s="29" t="n">
        <f aca="false">70/5.1</f>
        <v>13.7254901960784</v>
      </c>
      <c r="AG41" s="0" t="s">
        <v>158</v>
      </c>
      <c r="AH41" s="0" t="s">
        <v>242</v>
      </c>
      <c r="AI41" s="0" t="s">
        <v>158</v>
      </c>
      <c r="AJ41" s="0" t="s">
        <v>234</v>
      </c>
      <c r="AK41" s="0" t="s">
        <v>163</v>
      </c>
      <c r="AL41" s="0" t="s">
        <v>158</v>
      </c>
      <c r="AM41" s="0" t="s">
        <v>158</v>
      </c>
      <c r="AN41" s="0" t="n">
        <v>120</v>
      </c>
      <c r="AO41" s="29" t="n">
        <f aca="false">16.9/0.36</f>
        <v>46.9444444444444</v>
      </c>
      <c r="AQ41" s="0" t="s">
        <v>192</v>
      </c>
      <c r="AR41" s="25" t="s">
        <v>236</v>
      </c>
      <c r="AU41" s="0" t="s">
        <v>243</v>
      </c>
    </row>
    <row r="42" customFormat="false" ht="15" hidden="false" customHeight="false" outlineLevel="0" collapsed="false">
      <c r="A42" s="7" t="s">
        <v>13</v>
      </c>
      <c r="B42" s="8" t="s">
        <v>172</v>
      </c>
      <c r="C42" s="9" t="s">
        <v>71</v>
      </c>
      <c r="G42" s="0" t="s">
        <v>231</v>
      </c>
      <c r="J42" s="9" t="s">
        <v>156</v>
      </c>
      <c r="K42" s="10" t="s">
        <v>157</v>
      </c>
      <c r="L42" s="11" t="s">
        <v>158</v>
      </c>
      <c r="M42" s="11" t="s">
        <v>158</v>
      </c>
      <c r="N42" s="0" t="s">
        <v>158</v>
      </c>
      <c r="Y42" s="10" t="s">
        <v>157</v>
      </c>
      <c r="AA42" s="10" t="n">
        <v>7.1</v>
      </c>
      <c r="AB42" s="10" t="n">
        <v>7.5</v>
      </c>
      <c r="AC42" s="10" t="n">
        <v>1.5</v>
      </c>
      <c r="AD42" s="12" t="n">
        <v>2</v>
      </c>
      <c r="AE42" s="0" t="s">
        <v>189</v>
      </c>
      <c r="AF42" s="29" t="n">
        <f aca="false">70/3.4</f>
        <v>20.5882352941176</v>
      </c>
      <c r="AG42" s="0" t="s">
        <v>158</v>
      </c>
      <c r="AH42" s="0" t="s">
        <v>245</v>
      </c>
      <c r="AI42" s="0" t="s">
        <v>158</v>
      </c>
      <c r="AJ42" s="0" t="s">
        <v>234</v>
      </c>
      <c r="AK42" s="0" t="s">
        <v>163</v>
      </c>
      <c r="AL42" s="0" t="s">
        <v>158</v>
      </c>
      <c r="AM42" s="0" t="s">
        <v>158</v>
      </c>
      <c r="AN42" s="0" t="n">
        <v>120</v>
      </c>
      <c r="AO42" s="29" t="n">
        <f aca="false">23.2/0.44</f>
        <v>52.7272727272727</v>
      </c>
      <c r="AQ42" s="0" t="s">
        <v>192</v>
      </c>
      <c r="AR42" s="25" t="s">
        <v>236</v>
      </c>
      <c r="AU42" s="0" t="s">
        <v>243</v>
      </c>
    </row>
    <row r="43" customFormat="false" ht="15" hidden="false" customHeight="false" outlineLevel="0" collapsed="false">
      <c r="A43" s="7" t="s">
        <v>13</v>
      </c>
      <c r="B43" s="8" t="s">
        <v>172</v>
      </c>
      <c r="C43" s="9" t="s">
        <v>71</v>
      </c>
      <c r="G43" s="0" t="s">
        <v>231</v>
      </c>
      <c r="H43" s="0" t="s">
        <v>238</v>
      </c>
      <c r="I43" s="0" t="s">
        <v>167</v>
      </c>
      <c r="J43" s="9" t="s">
        <v>156</v>
      </c>
      <c r="K43" s="10" t="s">
        <v>168</v>
      </c>
      <c r="L43" s="29" t="n">
        <f aca="false">(AA43*N43)/AA42</f>
        <v>53.2957746478873</v>
      </c>
      <c r="M43" s="29" t="n">
        <f aca="false">(AC43*N43)/AC42</f>
        <v>97.4666666666667</v>
      </c>
      <c r="N43" s="0" t="n">
        <v>86</v>
      </c>
      <c r="O43" s="9" t="s">
        <v>244</v>
      </c>
      <c r="Y43" s="10" t="s">
        <v>168</v>
      </c>
      <c r="AA43" s="10" t="n">
        <v>4.4</v>
      </c>
      <c r="AB43" s="10" t="n">
        <v>7.8</v>
      </c>
      <c r="AC43" s="10" t="n">
        <v>1.7</v>
      </c>
      <c r="AD43" s="12" t="n">
        <v>2</v>
      </c>
      <c r="AE43" s="0" t="s">
        <v>189</v>
      </c>
      <c r="AF43" s="29" t="n">
        <f aca="false">70/3.2</f>
        <v>21.875</v>
      </c>
      <c r="AG43" s="0" t="s">
        <v>158</v>
      </c>
      <c r="AH43" s="0" t="s">
        <v>245</v>
      </c>
      <c r="AI43" s="0" t="s">
        <v>158</v>
      </c>
      <c r="AJ43" s="0" t="s">
        <v>234</v>
      </c>
      <c r="AK43" s="0" t="s">
        <v>163</v>
      </c>
      <c r="AL43" s="0" t="s">
        <v>158</v>
      </c>
      <c r="AM43" s="0" t="s">
        <v>158</v>
      </c>
      <c r="AN43" s="0" t="n">
        <v>120</v>
      </c>
      <c r="AO43" s="29" t="n">
        <f aca="false">17.5/0.53</f>
        <v>33.0188679245283</v>
      </c>
      <c r="AQ43" s="0" t="s">
        <v>192</v>
      </c>
      <c r="AR43" s="25" t="s">
        <v>236</v>
      </c>
      <c r="AU43" s="0" t="s">
        <v>243</v>
      </c>
    </row>
    <row r="44" customFormat="false" ht="15" hidden="false" customHeight="false" outlineLevel="0" collapsed="false">
      <c r="A44" s="7" t="s">
        <v>13</v>
      </c>
      <c r="B44" s="8" t="s">
        <v>172</v>
      </c>
      <c r="C44" s="9" t="s">
        <v>71</v>
      </c>
      <c r="G44" s="0" t="s">
        <v>231</v>
      </c>
      <c r="H44" s="0" t="s">
        <v>238</v>
      </c>
      <c r="I44" s="0" t="s">
        <v>167</v>
      </c>
      <c r="J44" s="9" t="s">
        <v>156</v>
      </c>
      <c r="K44" s="10" t="s">
        <v>186</v>
      </c>
      <c r="L44" s="29" t="n">
        <f aca="false">(AA44*N44)/AA42</f>
        <v>41.2112676056338</v>
      </c>
      <c r="M44" s="29" t="n">
        <f aca="false">(AC44*N44)/AC42</f>
        <v>13.0666666666667</v>
      </c>
      <c r="N44" s="0" t="n">
        <v>14</v>
      </c>
      <c r="O44" s="9" t="s">
        <v>244</v>
      </c>
      <c r="Y44" s="10" t="s">
        <v>186</v>
      </c>
      <c r="AA44" s="10" t="n">
        <v>20.9</v>
      </c>
      <c r="AB44" s="10" t="n">
        <v>8.2</v>
      </c>
      <c r="AC44" s="10" t="n">
        <v>1.4</v>
      </c>
      <c r="AE44" s="0" t="s">
        <v>189</v>
      </c>
      <c r="AF44" s="29" t="n">
        <f aca="false">70/4.7</f>
        <v>14.8936170212766</v>
      </c>
      <c r="AG44" s="0" t="s">
        <v>158</v>
      </c>
      <c r="AH44" s="0" t="s">
        <v>245</v>
      </c>
      <c r="AI44" s="0" t="s">
        <v>158</v>
      </c>
      <c r="AJ44" s="0" t="s">
        <v>234</v>
      </c>
      <c r="AK44" s="0" t="s">
        <v>163</v>
      </c>
      <c r="AL44" s="0" t="s">
        <v>158</v>
      </c>
      <c r="AM44" s="0" t="s">
        <v>158</v>
      </c>
      <c r="AN44" s="0" t="n">
        <v>120</v>
      </c>
      <c r="AO44" s="29" t="n">
        <f aca="false">13.7/0.3</f>
        <v>45.6666666666667</v>
      </c>
      <c r="AQ44" s="0" t="s">
        <v>192</v>
      </c>
      <c r="AR44" s="25" t="s">
        <v>236</v>
      </c>
      <c r="AU44" s="0" t="s">
        <v>243</v>
      </c>
    </row>
    <row r="45" customFormat="false" ht="15" hidden="false" customHeight="true" outlineLevel="0" collapsed="false">
      <c r="A45" s="7" t="s">
        <v>15</v>
      </c>
      <c r="B45" s="8" t="s">
        <v>154</v>
      </c>
      <c r="C45" s="9" t="s">
        <v>71</v>
      </c>
      <c r="G45" s="0" t="s">
        <v>188</v>
      </c>
      <c r="J45" s="9" t="s">
        <v>232</v>
      </c>
      <c r="K45" s="9" t="s">
        <v>157</v>
      </c>
      <c r="L45" s="24" t="s">
        <v>158</v>
      </c>
      <c r="M45" s="24" t="s">
        <v>158</v>
      </c>
      <c r="N45" s="24" t="s">
        <v>158</v>
      </c>
      <c r="O45" s="8"/>
      <c r="P45" s="9"/>
      <c r="Q45" s="9"/>
      <c r="R45" s="9"/>
      <c r="S45" s="33"/>
      <c r="T45" s="33"/>
      <c r="X45" s="10"/>
      <c r="Y45" s="9" t="s">
        <v>157</v>
      </c>
      <c r="AA45" s="9" t="n">
        <v>4.58</v>
      </c>
      <c r="AB45" s="9" t="n">
        <v>7.4</v>
      </c>
      <c r="AC45" s="9" t="n">
        <v>3.76</v>
      </c>
      <c r="AD45" s="12" t="n">
        <v>1</v>
      </c>
      <c r="AE45" s="0" t="s">
        <v>189</v>
      </c>
      <c r="AF45" s="29" t="n">
        <f aca="false">145.3/5.46</f>
        <v>26.6117216117216</v>
      </c>
      <c r="AG45" s="12" t="s">
        <v>246</v>
      </c>
      <c r="AH45" s="0" t="s">
        <v>158</v>
      </c>
      <c r="AI45" s="0" t="s">
        <v>158</v>
      </c>
      <c r="AJ45" s="0" t="s">
        <v>247</v>
      </c>
      <c r="AK45" s="0" t="s">
        <v>163</v>
      </c>
      <c r="AL45" s="7" t="s">
        <v>158</v>
      </c>
      <c r="AM45" s="12" t="s">
        <v>248</v>
      </c>
      <c r="AN45" s="0" t="n">
        <v>192</v>
      </c>
      <c r="AO45" s="29" t="n">
        <f aca="false">13.5/(AF45*AC45)*100</f>
        <v>13.4918949788406</v>
      </c>
      <c r="AQ45" s="0" t="s">
        <v>249</v>
      </c>
      <c r="AR45" s="25" t="s">
        <v>250</v>
      </c>
      <c r="AT45" s="12"/>
      <c r="AU45" s="0" t="s">
        <v>251</v>
      </c>
      <c r="AV45" s="6"/>
    </row>
    <row r="46" customFormat="false" ht="15" hidden="false" customHeight="false" outlineLevel="0" collapsed="false">
      <c r="A46" s="7" t="s">
        <v>15</v>
      </c>
      <c r="B46" s="8" t="s">
        <v>154</v>
      </c>
      <c r="C46" s="9" t="s">
        <v>71</v>
      </c>
      <c r="G46" s="0" t="s">
        <v>188</v>
      </c>
      <c r="J46" s="9" t="s">
        <v>232</v>
      </c>
      <c r="K46" s="9" t="s">
        <v>157</v>
      </c>
      <c r="L46" s="24" t="s">
        <v>158</v>
      </c>
      <c r="M46" s="24" t="s">
        <v>158</v>
      </c>
      <c r="N46" s="24" t="s">
        <v>158</v>
      </c>
      <c r="O46" s="8"/>
      <c r="P46" s="9"/>
      <c r="Q46" s="9"/>
      <c r="R46" s="9"/>
      <c r="S46" s="33"/>
      <c r="T46" s="33"/>
      <c r="X46" s="10"/>
      <c r="Y46" s="9" t="s">
        <v>157</v>
      </c>
      <c r="AA46" s="9" t="n">
        <v>4.58</v>
      </c>
      <c r="AB46" s="9" t="n">
        <v>7.4</v>
      </c>
      <c r="AC46" s="9" t="n">
        <v>3.76</v>
      </c>
      <c r="AD46" s="12" t="n">
        <v>2</v>
      </c>
      <c r="AE46" s="0" t="s">
        <v>189</v>
      </c>
      <c r="AF46" s="29" t="n">
        <f aca="false">145.3/5.46</f>
        <v>26.6117216117216</v>
      </c>
      <c r="AG46" s="12" t="s">
        <v>252</v>
      </c>
      <c r="AH46" s="0" t="s">
        <v>158</v>
      </c>
      <c r="AI46" s="0" t="s">
        <v>158</v>
      </c>
      <c r="AJ46" s="0" t="s">
        <v>247</v>
      </c>
      <c r="AK46" s="0" t="s">
        <v>163</v>
      </c>
      <c r="AL46" s="7" t="s">
        <v>158</v>
      </c>
      <c r="AM46" s="12" t="s">
        <v>253</v>
      </c>
      <c r="AN46" s="0" t="n">
        <v>192</v>
      </c>
      <c r="AO46" s="29" t="n">
        <f aca="false">19.6/(AF46*AC46)*100</f>
        <v>19.5882327100204</v>
      </c>
      <c r="AQ46" s="0" t="s">
        <v>249</v>
      </c>
      <c r="AR46" s="25" t="s">
        <v>250</v>
      </c>
      <c r="AT46" s="12"/>
      <c r="AU46" s="0" t="s">
        <v>251</v>
      </c>
      <c r="AV46" s="6"/>
    </row>
    <row r="47" customFormat="false" ht="15" hidden="false" customHeight="false" outlineLevel="0" collapsed="false">
      <c r="A47" s="7" t="s">
        <v>15</v>
      </c>
      <c r="B47" s="8" t="s">
        <v>154</v>
      </c>
      <c r="C47" s="9" t="s">
        <v>71</v>
      </c>
      <c r="G47" s="0" t="s">
        <v>188</v>
      </c>
      <c r="J47" s="9" t="s">
        <v>232</v>
      </c>
      <c r="K47" s="9" t="s">
        <v>157</v>
      </c>
      <c r="L47" s="24" t="s">
        <v>158</v>
      </c>
      <c r="M47" s="24" t="s">
        <v>158</v>
      </c>
      <c r="N47" s="24" t="s">
        <v>158</v>
      </c>
      <c r="O47" s="8"/>
      <c r="P47" s="9"/>
      <c r="Q47" s="9"/>
      <c r="R47" s="9"/>
      <c r="S47" s="33"/>
      <c r="T47" s="33"/>
      <c r="X47" s="10"/>
      <c r="Y47" s="9" t="s">
        <v>157</v>
      </c>
      <c r="AA47" s="9" t="n">
        <v>4.58</v>
      </c>
      <c r="AB47" s="9" t="n">
        <v>7.4</v>
      </c>
      <c r="AC47" s="9" t="n">
        <v>3.76</v>
      </c>
      <c r="AD47" s="12" t="n">
        <v>3</v>
      </c>
      <c r="AE47" s="0" t="s">
        <v>189</v>
      </c>
      <c r="AF47" s="29" t="n">
        <f aca="false">145.3/5.46</f>
        <v>26.6117216117216</v>
      </c>
      <c r="AG47" s="12" t="s">
        <v>254</v>
      </c>
      <c r="AH47" s="0" t="s">
        <v>158</v>
      </c>
      <c r="AI47" s="0" t="s">
        <v>158</v>
      </c>
      <c r="AJ47" s="0" t="s">
        <v>247</v>
      </c>
      <c r="AK47" s="0" t="s">
        <v>163</v>
      </c>
      <c r="AL47" s="7" t="s">
        <v>158</v>
      </c>
      <c r="AM47" s="12" t="s">
        <v>255</v>
      </c>
      <c r="AN47" s="0" t="n">
        <v>192</v>
      </c>
      <c r="AO47" s="29" t="n">
        <f aca="false">32.7/(AF47*AC47)*100</f>
        <v>32.680367837636</v>
      </c>
      <c r="AQ47" s="0" t="s">
        <v>249</v>
      </c>
      <c r="AR47" s="25" t="s">
        <v>250</v>
      </c>
      <c r="AT47" s="12"/>
      <c r="AU47" s="0" t="s">
        <v>251</v>
      </c>
      <c r="AV47" s="6"/>
    </row>
    <row r="48" customFormat="false" ht="15" hidden="false" customHeight="false" outlineLevel="0" collapsed="false">
      <c r="A48" s="7" t="s">
        <v>15</v>
      </c>
      <c r="B48" s="8" t="s">
        <v>154</v>
      </c>
      <c r="C48" s="9" t="s">
        <v>71</v>
      </c>
      <c r="G48" s="0" t="s">
        <v>188</v>
      </c>
      <c r="H48" s="0" t="s">
        <v>195</v>
      </c>
      <c r="I48" s="0" t="s">
        <v>256</v>
      </c>
      <c r="J48" s="9" t="s">
        <v>232</v>
      </c>
      <c r="K48" s="9" t="s">
        <v>168</v>
      </c>
      <c r="L48" s="29" t="n">
        <f aca="false">(AA48*N48)/AA45</f>
        <v>28.2751091703057</v>
      </c>
      <c r="M48" s="29" t="n">
        <f aca="false">(AC48*N48)/AC45</f>
        <v>46.8085106382979</v>
      </c>
      <c r="N48" s="0" t="n">
        <v>50</v>
      </c>
      <c r="O48" s="9" t="s">
        <v>257</v>
      </c>
      <c r="P48" s="9"/>
      <c r="Q48" s="9"/>
      <c r="R48" s="9"/>
      <c r="S48" s="33"/>
      <c r="T48" s="33"/>
      <c r="X48" s="34"/>
      <c r="Y48" s="9" t="s">
        <v>168</v>
      </c>
      <c r="AA48" s="9" t="n">
        <v>2.59</v>
      </c>
      <c r="AB48" s="9" t="n">
        <v>7.6</v>
      </c>
      <c r="AC48" s="9" t="n">
        <v>3.52</v>
      </c>
      <c r="AD48" s="12" t="n">
        <v>1</v>
      </c>
      <c r="AE48" s="0" t="s">
        <v>189</v>
      </c>
      <c r="AF48" s="29" t="n">
        <f aca="false">141.9/5.09</f>
        <v>27.8781925343811</v>
      </c>
      <c r="AG48" s="12" t="s">
        <v>246</v>
      </c>
      <c r="AH48" s="0" t="s">
        <v>158</v>
      </c>
      <c r="AI48" s="0" t="s">
        <v>158</v>
      </c>
      <c r="AJ48" s="0" t="s">
        <v>247</v>
      </c>
      <c r="AK48" s="0" t="s">
        <v>163</v>
      </c>
      <c r="AL48" s="7" t="s">
        <v>158</v>
      </c>
      <c r="AM48" s="12" t="s">
        <v>248</v>
      </c>
      <c r="AN48" s="0" t="n">
        <v>192</v>
      </c>
      <c r="AO48" s="29" t="n">
        <f aca="false">13.2/(AF48*AC48)*100</f>
        <v>13.4513742071882</v>
      </c>
      <c r="AQ48" s="0" t="s">
        <v>249</v>
      </c>
      <c r="AR48" s="25" t="s">
        <v>250</v>
      </c>
      <c r="AT48" s="35" t="s">
        <v>191</v>
      </c>
      <c r="AU48" s="0" t="s">
        <v>251</v>
      </c>
      <c r="AV48" s="6"/>
    </row>
    <row r="49" customFormat="false" ht="15" hidden="false" customHeight="false" outlineLevel="0" collapsed="false">
      <c r="A49" s="7" t="s">
        <v>15</v>
      </c>
      <c r="B49" s="8" t="s">
        <v>154</v>
      </c>
      <c r="C49" s="9" t="s">
        <v>71</v>
      </c>
      <c r="G49" s="0" t="s">
        <v>188</v>
      </c>
      <c r="H49" s="0" t="s">
        <v>195</v>
      </c>
      <c r="I49" s="0" t="s">
        <v>256</v>
      </c>
      <c r="J49" s="9" t="s">
        <v>232</v>
      </c>
      <c r="K49" s="9" t="s">
        <v>168</v>
      </c>
      <c r="L49" s="29" t="n">
        <f aca="false">(AA48*N48)/AA45</f>
        <v>28.2751091703057</v>
      </c>
      <c r="M49" s="29" t="n">
        <f aca="false">(AC48*N48)/AC45</f>
        <v>46.8085106382979</v>
      </c>
      <c r="N49" s="0" t="n">
        <v>50</v>
      </c>
      <c r="O49" s="9" t="s">
        <v>257</v>
      </c>
      <c r="P49" s="9"/>
      <c r="Q49" s="9"/>
      <c r="R49" s="9"/>
      <c r="S49" s="33"/>
      <c r="T49" s="33"/>
      <c r="X49" s="34"/>
      <c r="Y49" s="9" t="s">
        <v>168</v>
      </c>
      <c r="AA49" s="9" t="n">
        <v>2.59</v>
      </c>
      <c r="AB49" s="9" t="n">
        <v>7.6</v>
      </c>
      <c r="AC49" s="9" t="n">
        <v>3.52</v>
      </c>
      <c r="AD49" s="12" t="n">
        <v>2</v>
      </c>
      <c r="AE49" s="0" t="s">
        <v>189</v>
      </c>
      <c r="AF49" s="29" t="n">
        <f aca="false">141.9/5.09</f>
        <v>27.8781925343811</v>
      </c>
      <c r="AG49" s="12" t="s">
        <v>252</v>
      </c>
      <c r="AH49" s="0" t="s">
        <v>158</v>
      </c>
      <c r="AI49" s="0" t="s">
        <v>158</v>
      </c>
      <c r="AJ49" s="0" t="s">
        <v>247</v>
      </c>
      <c r="AK49" s="0" t="s">
        <v>163</v>
      </c>
      <c r="AL49" s="7" t="s">
        <v>158</v>
      </c>
      <c r="AM49" s="12" t="s">
        <v>253</v>
      </c>
      <c r="AN49" s="0" t="n">
        <v>192</v>
      </c>
      <c r="AO49" s="29" t="n">
        <f aca="false">13.4/(AF49*AC49)*100</f>
        <v>13.6551829072971</v>
      </c>
      <c r="AQ49" s="0" t="s">
        <v>249</v>
      </c>
      <c r="AR49" s="25" t="s">
        <v>250</v>
      </c>
      <c r="AT49" s="36" t="s">
        <v>258</v>
      </c>
      <c r="AU49" s="0" t="s">
        <v>251</v>
      </c>
      <c r="AV49" s="6"/>
    </row>
    <row r="50" customFormat="false" ht="15" hidden="false" customHeight="false" outlineLevel="0" collapsed="false">
      <c r="A50" s="7" t="s">
        <v>15</v>
      </c>
      <c r="B50" s="8" t="s">
        <v>154</v>
      </c>
      <c r="C50" s="9" t="s">
        <v>71</v>
      </c>
      <c r="G50" s="0" t="s">
        <v>188</v>
      </c>
      <c r="H50" s="0" t="s">
        <v>195</v>
      </c>
      <c r="I50" s="0" t="s">
        <v>256</v>
      </c>
      <c r="J50" s="9" t="s">
        <v>232</v>
      </c>
      <c r="K50" s="9" t="s">
        <v>168</v>
      </c>
      <c r="L50" s="29" t="n">
        <f aca="false">(AA48*N48)/AA45</f>
        <v>28.2751091703057</v>
      </c>
      <c r="M50" s="29" t="n">
        <f aca="false">(AC50*N50)/AC45</f>
        <v>46.8085106382979</v>
      </c>
      <c r="N50" s="0" t="n">
        <v>50</v>
      </c>
      <c r="O50" s="9" t="s">
        <v>257</v>
      </c>
      <c r="P50" s="9"/>
      <c r="Q50" s="9"/>
      <c r="R50" s="9"/>
      <c r="S50" s="33"/>
      <c r="T50" s="33"/>
      <c r="X50" s="34"/>
      <c r="Y50" s="9" t="s">
        <v>168</v>
      </c>
      <c r="AA50" s="9" t="n">
        <v>2.59</v>
      </c>
      <c r="AB50" s="9" t="n">
        <v>7.6</v>
      </c>
      <c r="AC50" s="9" t="n">
        <v>3.52</v>
      </c>
      <c r="AD50" s="12" t="n">
        <v>3</v>
      </c>
      <c r="AE50" s="0" t="s">
        <v>189</v>
      </c>
      <c r="AF50" s="29" t="n">
        <f aca="false">141.9/5.09</f>
        <v>27.8781925343811</v>
      </c>
      <c r="AG50" s="12" t="s">
        <v>254</v>
      </c>
      <c r="AH50" s="0" t="s">
        <v>158</v>
      </c>
      <c r="AI50" s="0" t="s">
        <v>158</v>
      </c>
      <c r="AJ50" s="0" t="s">
        <v>247</v>
      </c>
      <c r="AK50" s="0" t="s">
        <v>163</v>
      </c>
      <c r="AL50" s="7" t="s">
        <v>158</v>
      </c>
      <c r="AM50" s="12" t="s">
        <v>255</v>
      </c>
      <c r="AN50" s="0" t="n">
        <v>192</v>
      </c>
      <c r="AO50" s="29" t="n">
        <f aca="false">26.7/(AF50*AC50)*100</f>
        <v>27.2084614645397</v>
      </c>
      <c r="AQ50" s="0" t="s">
        <v>249</v>
      </c>
      <c r="AR50" s="25" t="s">
        <v>250</v>
      </c>
      <c r="AT50" s="36" t="s">
        <v>259</v>
      </c>
      <c r="AU50" s="0" t="s">
        <v>251</v>
      </c>
      <c r="AV50" s="6"/>
    </row>
    <row r="51" customFormat="false" ht="15" hidden="false" customHeight="false" outlineLevel="0" collapsed="false">
      <c r="A51" s="7" t="s">
        <v>15</v>
      </c>
      <c r="B51" s="8" t="s">
        <v>154</v>
      </c>
      <c r="C51" s="9" t="s">
        <v>71</v>
      </c>
      <c r="G51" s="0" t="s">
        <v>188</v>
      </c>
      <c r="H51" s="0" t="s">
        <v>260</v>
      </c>
      <c r="I51" s="0" t="s">
        <v>256</v>
      </c>
      <c r="J51" s="9" t="s">
        <v>232</v>
      </c>
      <c r="K51" s="9" t="s">
        <v>168</v>
      </c>
      <c r="L51" s="29" t="n">
        <f aca="false">(AA51*N51)/AA45</f>
        <v>53.6244541484716</v>
      </c>
      <c r="M51" s="29" t="n">
        <f aca="false">(AC51*N51)/AC45</f>
        <v>67.0212765957447</v>
      </c>
      <c r="N51" s="0" t="n">
        <v>80</v>
      </c>
      <c r="O51" s="9" t="s">
        <v>257</v>
      </c>
      <c r="P51" s="9"/>
      <c r="Q51" s="9"/>
      <c r="R51" s="9"/>
      <c r="S51" s="33"/>
      <c r="T51" s="33"/>
      <c r="X51" s="34"/>
      <c r="Y51" s="9" t="s">
        <v>168</v>
      </c>
      <c r="AA51" s="9" t="n">
        <v>3.07</v>
      </c>
      <c r="AB51" s="9" t="n">
        <v>7.7</v>
      </c>
      <c r="AC51" s="9" t="n">
        <v>3.15</v>
      </c>
      <c r="AD51" s="12" t="n">
        <v>1</v>
      </c>
      <c r="AE51" s="0" t="s">
        <v>189</v>
      </c>
      <c r="AF51" s="29" t="n">
        <f aca="false">148.7/4.93</f>
        <v>30.1622718052738</v>
      </c>
      <c r="AG51" s="12" t="s">
        <v>246</v>
      </c>
      <c r="AH51" s="0" t="s">
        <v>158</v>
      </c>
      <c r="AI51" s="0" t="s">
        <v>158</v>
      </c>
      <c r="AJ51" s="0" t="s">
        <v>247</v>
      </c>
      <c r="AK51" s="0" t="s">
        <v>163</v>
      </c>
      <c r="AL51" s="7" t="s">
        <v>158</v>
      </c>
      <c r="AM51" s="12" t="s">
        <v>248</v>
      </c>
      <c r="AN51" s="0" t="n">
        <v>192</v>
      </c>
      <c r="AO51" s="29" t="n">
        <f aca="false">8.6/(AF51*AC51)*100</f>
        <v>9.05156862117185</v>
      </c>
      <c r="AQ51" s="0" t="s">
        <v>249</v>
      </c>
      <c r="AR51" s="25" t="s">
        <v>250</v>
      </c>
      <c r="AT51" s="36" t="s">
        <v>261</v>
      </c>
      <c r="AU51" s="0" t="s">
        <v>251</v>
      </c>
      <c r="AV51" s="6"/>
    </row>
    <row r="52" customFormat="false" ht="15" hidden="false" customHeight="false" outlineLevel="0" collapsed="false">
      <c r="A52" s="7" t="s">
        <v>15</v>
      </c>
      <c r="B52" s="8" t="s">
        <v>154</v>
      </c>
      <c r="C52" s="9" t="s">
        <v>71</v>
      </c>
      <c r="G52" s="0" t="s">
        <v>188</v>
      </c>
      <c r="H52" s="0" t="s">
        <v>260</v>
      </c>
      <c r="I52" s="0" t="s">
        <v>256</v>
      </c>
      <c r="J52" s="9" t="s">
        <v>232</v>
      </c>
      <c r="K52" s="9" t="s">
        <v>168</v>
      </c>
      <c r="L52" s="29" t="n">
        <f aca="false">(AA51*N51)/AA45</f>
        <v>53.6244541484716</v>
      </c>
      <c r="M52" s="29" t="n">
        <f aca="false">(AC51*N51)/AC45</f>
        <v>67.0212765957447</v>
      </c>
      <c r="N52" s="0" t="n">
        <v>80</v>
      </c>
      <c r="O52" s="9" t="s">
        <v>257</v>
      </c>
      <c r="P52" s="9"/>
      <c r="Q52" s="9"/>
      <c r="R52" s="9"/>
      <c r="S52" s="33"/>
      <c r="T52" s="33"/>
      <c r="X52" s="34"/>
      <c r="Y52" s="9" t="s">
        <v>168</v>
      </c>
      <c r="AA52" s="9" t="n">
        <v>3.07</v>
      </c>
      <c r="AB52" s="9" t="n">
        <v>7.7</v>
      </c>
      <c r="AC52" s="9" t="n">
        <v>3.15</v>
      </c>
      <c r="AD52" s="12" t="n">
        <v>2</v>
      </c>
      <c r="AE52" s="0" t="s">
        <v>189</v>
      </c>
      <c r="AF52" s="29" t="n">
        <f aca="false">148.7/4.93</f>
        <v>30.1622718052738</v>
      </c>
      <c r="AG52" s="12" t="s">
        <v>252</v>
      </c>
      <c r="AH52" s="0" t="s">
        <v>158</v>
      </c>
      <c r="AI52" s="0" t="s">
        <v>158</v>
      </c>
      <c r="AJ52" s="0" t="s">
        <v>247</v>
      </c>
      <c r="AK52" s="0" t="s">
        <v>163</v>
      </c>
      <c r="AL52" s="7" t="s">
        <v>158</v>
      </c>
      <c r="AM52" s="12" t="s">
        <v>253</v>
      </c>
      <c r="AN52" s="0" t="n">
        <v>192</v>
      </c>
      <c r="AO52" s="29" t="n">
        <f aca="false">12.9/(AF52*AC52)*100</f>
        <v>13.5773529317578</v>
      </c>
      <c r="AQ52" s="0" t="s">
        <v>249</v>
      </c>
      <c r="AR52" s="25" t="s">
        <v>250</v>
      </c>
      <c r="AT52" s="36" t="s">
        <v>239</v>
      </c>
      <c r="AU52" s="0" t="s">
        <v>251</v>
      </c>
      <c r="AV52" s="6"/>
    </row>
    <row r="53" customFormat="false" ht="15" hidden="false" customHeight="false" outlineLevel="0" collapsed="false">
      <c r="A53" s="7" t="s">
        <v>15</v>
      </c>
      <c r="B53" s="8" t="s">
        <v>154</v>
      </c>
      <c r="C53" s="9" t="s">
        <v>71</v>
      </c>
      <c r="G53" s="0" t="s">
        <v>188</v>
      </c>
      <c r="H53" s="0" t="s">
        <v>260</v>
      </c>
      <c r="I53" s="0" t="s">
        <v>256</v>
      </c>
      <c r="J53" s="9" t="s">
        <v>232</v>
      </c>
      <c r="K53" s="9" t="s">
        <v>168</v>
      </c>
      <c r="L53" s="29" t="n">
        <f aca="false">(AA51*N51)/AA45</f>
        <v>53.6244541484716</v>
      </c>
      <c r="M53" s="29" t="n">
        <f aca="false">(AC51*N51)/AC45</f>
        <v>67.0212765957447</v>
      </c>
      <c r="N53" s="0" t="n">
        <v>80</v>
      </c>
      <c r="O53" s="9" t="s">
        <v>257</v>
      </c>
      <c r="P53" s="9"/>
      <c r="Q53" s="9"/>
      <c r="R53" s="9"/>
      <c r="S53" s="33"/>
      <c r="T53" s="33"/>
      <c r="X53" s="34"/>
      <c r="Y53" s="9" t="s">
        <v>168</v>
      </c>
      <c r="AA53" s="9" t="n">
        <v>3.07</v>
      </c>
      <c r="AB53" s="9" t="n">
        <v>7.7</v>
      </c>
      <c r="AC53" s="9" t="n">
        <v>3.15</v>
      </c>
      <c r="AD53" s="12" t="n">
        <v>3</v>
      </c>
      <c r="AE53" s="0" t="s">
        <v>189</v>
      </c>
      <c r="AF53" s="29" t="n">
        <f aca="false">148.7/4.93</f>
        <v>30.1622718052738</v>
      </c>
      <c r="AG53" s="12" t="s">
        <v>254</v>
      </c>
      <c r="AH53" s="0" t="s">
        <v>158</v>
      </c>
      <c r="AI53" s="0" t="s">
        <v>158</v>
      </c>
      <c r="AJ53" s="0" t="s">
        <v>247</v>
      </c>
      <c r="AK53" s="0" t="s">
        <v>163</v>
      </c>
      <c r="AL53" s="7" t="s">
        <v>158</v>
      </c>
      <c r="AM53" s="12" t="s">
        <v>255</v>
      </c>
      <c r="AN53" s="0" t="n">
        <v>192</v>
      </c>
      <c r="AO53" s="29" t="n">
        <f aca="false">20.6/(AF53*AC53)*100</f>
        <v>21.6816643716442</v>
      </c>
      <c r="AQ53" s="0" t="s">
        <v>249</v>
      </c>
      <c r="AR53" s="25" t="s">
        <v>250</v>
      </c>
      <c r="AT53" s="36" t="s">
        <v>262</v>
      </c>
      <c r="AU53" s="0" t="s">
        <v>251</v>
      </c>
      <c r="AV53" s="6"/>
    </row>
    <row r="54" customFormat="false" ht="15" hidden="false" customHeight="true" outlineLevel="0" collapsed="false">
      <c r="A54" s="7" t="s">
        <v>17</v>
      </c>
      <c r="B54" s="8" t="s">
        <v>154</v>
      </c>
      <c r="C54" s="9" t="s">
        <v>71</v>
      </c>
      <c r="G54" s="0" t="s">
        <v>188</v>
      </c>
      <c r="J54" s="9" t="s">
        <v>232</v>
      </c>
      <c r="K54" s="10" t="s">
        <v>157</v>
      </c>
      <c r="L54" s="37" t="s">
        <v>158</v>
      </c>
      <c r="M54" s="37" t="s">
        <v>158</v>
      </c>
      <c r="N54" s="12" t="s">
        <v>158</v>
      </c>
      <c r="O54" s="10"/>
      <c r="S54" s="38"/>
      <c r="T54" s="38"/>
      <c r="X54" s="34"/>
      <c r="Y54" s="10" t="s">
        <v>157</v>
      </c>
      <c r="AA54" s="10" t="n">
        <v>5.2</v>
      </c>
      <c r="AB54" s="10" t="n">
        <v>7.4</v>
      </c>
      <c r="AC54" s="10" t="n">
        <v>3.5</v>
      </c>
      <c r="AD54" s="12" t="n">
        <v>1</v>
      </c>
      <c r="AE54" s="0" t="s">
        <v>189</v>
      </c>
      <c r="AF54" s="39" t="n">
        <v>14</v>
      </c>
      <c r="AG54" s="0" t="s">
        <v>158</v>
      </c>
      <c r="AH54" s="0" t="s">
        <v>158</v>
      </c>
      <c r="AI54" s="0" t="s">
        <v>263</v>
      </c>
      <c r="AJ54" s="0" t="s">
        <v>264</v>
      </c>
      <c r="AK54" s="0" t="s">
        <v>191</v>
      </c>
      <c r="AL54" s="0" t="s">
        <v>158</v>
      </c>
      <c r="AM54" s="0" t="n">
        <v>0.3</v>
      </c>
      <c r="AN54" s="0" t="n">
        <v>240</v>
      </c>
      <c r="AO54" s="40" t="n">
        <v>22.7</v>
      </c>
      <c r="AP54" s="40"/>
      <c r="AQ54" s="0" t="s">
        <v>196</v>
      </c>
      <c r="AR54" s="25" t="s">
        <v>265</v>
      </c>
      <c r="AT54" s="41"/>
    </row>
    <row r="55" customFormat="false" ht="15" hidden="false" customHeight="false" outlineLevel="0" collapsed="false">
      <c r="A55" s="7" t="s">
        <v>17</v>
      </c>
      <c r="B55" s="8" t="s">
        <v>154</v>
      </c>
      <c r="C55" s="9" t="s">
        <v>71</v>
      </c>
      <c r="G55" s="0" t="s">
        <v>188</v>
      </c>
      <c r="H55" s="12" t="s">
        <v>266</v>
      </c>
      <c r="I55" s="12" t="s">
        <v>256</v>
      </c>
      <c r="J55" s="9" t="s">
        <v>232</v>
      </c>
      <c r="K55" s="10" t="s">
        <v>168</v>
      </c>
      <c r="L55" s="37" t="s">
        <v>158</v>
      </c>
      <c r="M55" s="37" t="s">
        <v>158</v>
      </c>
      <c r="N55" s="12" t="n">
        <v>50</v>
      </c>
      <c r="O55" s="10" t="s">
        <v>267</v>
      </c>
      <c r="S55" s="38"/>
      <c r="T55" s="38"/>
      <c r="X55" s="34"/>
      <c r="Y55" s="10" t="s">
        <v>168</v>
      </c>
      <c r="AA55" s="10" t="n">
        <v>2.8</v>
      </c>
      <c r="AB55" s="10" t="n">
        <v>7.7</v>
      </c>
      <c r="AC55" s="10" t="n">
        <v>3.7</v>
      </c>
      <c r="AD55" s="12" t="n">
        <v>1</v>
      </c>
      <c r="AE55" s="0" t="s">
        <v>189</v>
      </c>
      <c r="AF55" s="39" t="n">
        <v>16</v>
      </c>
      <c r="AG55" s="0" t="s">
        <v>158</v>
      </c>
      <c r="AH55" s="0" t="s">
        <v>158</v>
      </c>
      <c r="AI55" s="0" t="s">
        <v>263</v>
      </c>
      <c r="AJ55" s="0" t="s">
        <v>264</v>
      </c>
      <c r="AK55" s="0" t="s">
        <v>191</v>
      </c>
      <c r="AL55" s="0" t="s">
        <v>158</v>
      </c>
      <c r="AM55" s="0" t="n">
        <v>0.3</v>
      </c>
      <c r="AN55" s="0" t="n">
        <v>240</v>
      </c>
      <c r="AO55" s="40" t="n">
        <v>20.5</v>
      </c>
      <c r="AP55" s="40"/>
      <c r="AQ55" s="0" t="s">
        <v>196</v>
      </c>
      <c r="AR55" s="25" t="s">
        <v>265</v>
      </c>
      <c r="AT55" s="36" t="s">
        <v>268</v>
      </c>
    </row>
    <row r="56" customFormat="false" ht="15" hidden="false" customHeight="false" outlineLevel="0" collapsed="false">
      <c r="A56" s="7" t="s">
        <v>17</v>
      </c>
      <c r="B56" s="8" t="s">
        <v>154</v>
      </c>
      <c r="C56" s="9" t="s">
        <v>71</v>
      </c>
      <c r="G56" s="0" t="s">
        <v>188</v>
      </c>
      <c r="H56" s="12" t="s">
        <v>260</v>
      </c>
      <c r="I56" s="12" t="s">
        <v>269</v>
      </c>
      <c r="J56" s="9" t="s">
        <v>232</v>
      </c>
      <c r="K56" s="10" t="s">
        <v>168</v>
      </c>
      <c r="L56" s="37" t="s">
        <v>158</v>
      </c>
      <c r="M56" s="37" t="s">
        <v>158</v>
      </c>
      <c r="N56" s="12" t="s">
        <v>158</v>
      </c>
      <c r="O56" s="10"/>
      <c r="S56" s="38"/>
      <c r="T56" s="38"/>
      <c r="X56" s="34"/>
      <c r="Y56" s="10" t="s">
        <v>168</v>
      </c>
      <c r="AA56" s="10" t="n">
        <v>1.6</v>
      </c>
      <c r="AB56" s="10" t="n">
        <v>8.1</v>
      </c>
      <c r="AC56" s="10" t="n">
        <v>3.2</v>
      </c>
      <c r="AD56" s="12" t="n">
        <v>1</v>
      </c>
      <c r="AE56" s="0" t="s">
        <v>189</v>
      </c>
      <c r="AF56" s="39" t="n">
        <v>34</v>
      </c>
      <c r="AG56" s="0" t="s">
        <v>158</v>
      </c>
      <c r="AH56" s="0" t="s">
        <v>158</v>
      </c>
      <c r="AI56" s="0" t="s">
        <v>263</v>
      </c>
      <c r="AJ56" s="0" t="s">
        <v>264</v>
      </c>
      <c r="AK56" s="0" t="s">
        <v>191</v>
      </c>
      <c r="AL56" s="0" t="s">
        <v>158</v>
      </c>
      <c r="AM56" s="0" t="n">
        <v>0.3</v>
      </c>
      <c r="AN56" s="0" t="n">
        <v>240</v>
      </c>
      <c r="AO56" s="40" t="n">
        <v>28.9</v>
      </c>
      <c r="AP56" s="40"/>
      <c r="AQ56" s="0" t="s">
        <v>196</v>
      </c>
      <c r="AR56" s="25" t="s">
        <v>265</v>
      </c>
      <c r="AT56" s="42" t="s">
        <v>270</v>
      </c>
    </row>
    <row r="57" customFormat="false" ht="15" hidden="false" customHeight="true" outlineLevel="0" collapsed="false">
      <c r="A57" s="7" t="s">
        <v>17</v>
      </c>
      <c r="B57" s="8" t="s">
        <v>154</v>
      </c>
      <c r="C57" s="9" t="s">
        <v>71</v>
      </c>
      <c r="G57" s="0" t="s">
        <v>188</v>
      </c>
      <c r="H57" s="12"/>
      <c r="I57" s="12"/>
      <c r="J57" s="9" t="s">
        <v>232</v>
      </c>
      <c r="K57" s="10" t="s">
        <v>157</v>
      </c>
      <c r="L57" s="37" t="s">
        <v>158</v>
      </c>
      <c r="M57" s="37" t="s">
        <v>158</v>
      </c>
      <c r="N57" s="12" t="s">
        <v>158</v>
      </c>
      <c r="O57" s="10"/>
      <c r="S57" s="38"/>
      <c r="T57" s="38"/>
      <c r="X57" s="34"/>
      <c r="Y57" s="10" t="s">
        <v>157</v>
      </c>
      <c r="AA57" s="10" t="n">
        <v>2.6</v>
      </c>
      <c r="AB57" s="10" t="n">
        <v>8</v>
      </c>
      <c r="AC57" s="10" t="n">
        <v>3.7</v>
      </c>
      <c r="AD57" s="12" t="n">
        <v>2</v>
      </c>
      <c r="AE57" s="0" t="s">
        <v>189</v>
      </c>
      <c r="AF57" s="39" t="n">
        <v>16</v>
      </c>
      <c r="AG57" s="0" t="s">
        <v>158</v>
      </c>
      <c r="AH57" s="0" t="s">
        <v>158</v>
      </c>
      <c r="AI57" s="0" t="s">
        <v>263</v>
      </c>
      <c r="AJ57" s="0" t="s">
        <v>264</v>
      </c>
      <c r="AK57" s="0" t="s">
        <v>191</v>
      </c>
      <c r="AL57" s="0" t="s">
        <v>158</v>
      </c>
      <c r="AM57" s="0" t="n">
        <v>0.3</v>
      </c>
      <c r="AN57" s="0" t="n">
        <v>240</v>
      </c>
      <c r="AO57" s="40" t="n">
        <v>22.1</v>
      </c>
      <c r="AP57" s="40"/>
      <c r="AQ57" s="0" t="s">
        <v>196</v>
      </c>
      <c r="AR57" s="25" t="s">
        <v>265</v>
      </c>
      <c r="AT57" s="41"/>
    </row>
    <row r="58" customFormat="false" ht="15" hidden="false" customHeight="false" outlineLevel="0" collapsed="false">
      <c r="A58" s="7" t="s">
        <v>17</v>
      </c>
      <c r="B58" s="8" t="s">
        <v>154</v>
      </c>
      <c r="C58" s="9" t="s">
        <v>71</v>
      </c>
      <c r="G58" s="0" t="s">
        <v>188</v>
      </c>
      <c r="H58" s="12" t="s">
        <v>271</v>
      </c>
      <c r="I58" s="12" t="s">
        <v>269</v>
      </c>
      <c r="J58" s="9" t="s">
        <v>232</v>
      </c>
      <c r="K58" s="10" t="s">
        <v>168</v>
      </c>
      <c r="L58" s="37" t="s">
        <v>158</v>
      </c>
      <c r="M58" s="37" t="s">
        <v>158</v>
      </c>
      <c r="N58" s="12" t="s">
        <v>158</v>
      </c>
      <c r="O58" s="10"/>
      <c r="S58" s="38"/>
      <c r="T58" s="38"/>
      <c r="X58" s="34"/>
      <c r="Y58" s="10" t="s">
        <v>168</v>
      </c>
      <c r="AA58" s="10" t="n">
        <v>1</v>
      </c>
      <c r="AB58" s="10" t="n">
        <v>8.3</v>
      </c>
      <c r="AC58" s="10" t="n">
        <v>2.8</v>
      </c>
      <c r="AD58" s="12" t="n">
        <v>2</v>
      </c>
      <c r="AE58" s="0" t="s">
        <v>189</v>
      </c>
      <c r="AF58" s="39" t="n">
        <v>25</v>
      </c>
      <c r="AG58" s="0" t="s">
        <v>158</v>
      </c>
      <c r="AH58" s="0" t="s">
        <v>158</v>
      </c>
      <c r="AI58" s="0" t="s">
        <v>263</v>
      </c>
      <c r="AJ58" s="0" t="s">
        <v>264</v>
      </c>
      <c r="AK58" s="0" t="s">
        <v>191</v>
      </c>
      <c r="AL58" s="0" t="s">
        <v>158</v>
      </c>
      <c r="AM58" s="0" t="n">
        <v>0.3</v>
      </c>
      <c r="AN58" s="0" t="n">
        <v>240</v>
      </c>
      <c r="AO58" s="40" t="n">
        <v>22.1</v>
      </c>
      <c r="AP58" s="40"/>
      <c r="AQ58" s="0" t="s">
        <v>196</v>
      </c>
      <c r="AR58" s="25" t="s">
        <v>265</v>
      </c>
      <c r="AT58" s="35" t="s">
        <v>191</v>
      </c>
    </row>
    <row r="59" customFormat="false" ht="15" hidden="false" customHeight="true" outlineLevel="0" collapsed="false">
      <c r="A59" s="7" t="s">
        <v>17</v>
      </c>
      <c r="B59" s="8" t="s">
        <v>154</v>
      </c>
      <c r="C59" s="9" t="s">
        <v>71</v>
      </c>
      <c r="G59" s="0" t="s">
        <v>188</v>
      </c>
      <c r="H59" s="12"/>
      <c r="I59" s="12"/>
      <c r="J59" s="9" t="s">
        <v>232</v>
      </c>
      <c r="K59" s="10" t="s">
        <v>157</v>
      </c>
      <c r="L59" s="37" t="s">
        <v>158</v>
      </c>
      <c r="M59" s="37" t="s">
        <v>158</v>
      </c>
      <c r="N59" s="12" t="s">
        <v>158</v>
      </c>
      <c r="O59" s="10"/>
      <c r="S59" s="38"/>
      <c r="T59" s="38"/>
      <c r="X59" s="34"/>
      <c r="Y59" s="10" t="s">
        <v>157</v>
      </c>
      <c r="AA59" s="10" t="n">
        <v>7.6</v>
      </c>
      <c r="AB59" s="10" t="n">
        <v>7.5</v>
      </c>
      <c r="AC59" s="10" t="n">
        <v>5.3</v>
      </c>
      <c r="AD59" s="12" t="n">
        <v>3</v>
      </c>
      <c r="AE59" s="0" t="s">
        <v>189</v>
      </c>
      <c r="AF59" s="39" t="n">
        <v>21</v>
      </c>
      <c r="AG59" s="0" t="s">
        <v>158</v>
      </c>
      <c r="AH59" s="0" t="s">
        <v>158</v>
      </c>
      <c r="AI59" s="0" t="s">
        <v>263</v>
      </c>
      <c r="AJ59" s="0" t="s">
        <v>264</v>
      </c>
      <c r="AK59" s="0" t="s">
        <v>191</v>
      </c>
      <c r="AL59" s="0" t="s">
        <v>158</v>
      </c>
      <c r="AM59" s="0" t="n">
        <v>0.3</v>
      </c>
      <c r="AN59" s="0" t="n">
        <v>240</v>
      </c>
      <c r="AO59" s="40" t="n">
        <v>25</v>
      </c>
      <c r="AP59" s="40"/>
      <c r="AQ59" s="0" t="s">
        <v>196</v>
      </c>
      <c r="AR59" s="25" t="s">
        <v>265</v>
      </c>
      <c r="AT59" s="41"/>
    </row>
    <row r="60" customFormat="false" ht="15" hidden="false" customHeight="false" outlineLevel="0" collapsed="false">
      <c r="A60" s="7" t="s">
        <v>17</v>
      </c>
      <c r="B60" s="8" t="s">
        <v>154</v>
      </c>
      <c r="C60" s="9" t="s">
        <v>71</v>
      </c>
      <c r="G60" s="0" t="s">
        <v>188</v>
      </c>
      <c r="H60" s="12" t="s">
        <v>266</v>
      </c>
      <c r="I60" s="12" t="s">
        <v>256</v>
      </c>
      <c r="J60" s="9" t="s">
        <v>232</v>
      </c>
      <c r="K60" s="10" t="s">
        <v>168</v>
      </c>
      <c r="L60" s="37" t="s">
        <v>158</v>
      </c>
      <c r="M60" s="37" t="s">
        <v>158</v>
      </c>
      <c r="N60" s="12" t="n">
        <v>50</v>
      </c>
      <c r="O60" s="10" t="s">
        <v>267</v>
      </c>
      <c r="S60" s="38"/>
      <c r="T60" s="38"/>
      <c r="X60" s="34"/>
      <c r="Y60" s="10" t="s">
        <v>168</v>
      </c>
      <c r="AA60" s="10" t="n">
        <v>4.1</v>
      </c>
      <c r="AB60" s="10" t="n">
        <v>7.8</v>
      </c>
      <c r="AC60" s="10" t="n">
        <v>5.1</v>
      </c>
      <c r="AD60" s="12" t="n">
        <v>3</v>
      </c>
      <c r="AE60" s="0" t="s">
        <v>189</v>
      </c>
      <c r="AF60" s="39" t="n">
        <v>24</v>
      </c>
      <c r="AG60" s="0" t="s">
        <v>158</v>
      </c>
      <c r="AH60" s="0" t="s">
        <v>158</v>
      </c>
      <c r="AI60" s="0" t="s">
        <v>263</v>
      </c>
      <c r="AJ60" s="0" t="s">
        <v>264</v>
      </c>
      <c r="AK60" s="0" t="s">
        <v>191</v>
      </c>
      <c r="AL60" s="0" t="s">
        <v>158</v>
      </c>
      <c r="AM60" s="0" t="n">
        <v>0.3</v>
      </c>
      <c r="AN60" s="0" t="n">
        <v>240</v>
      </c>
      <c r="AO60" s="40" t="n">
        <v>27.8</v>
      </c>
      <c r="AP60" s="40"/>
      <c r="AQ60" s="0" t="s">
        <v>196</v>
      </c>
      <c r="AR60" s="25" t="s">
        <v>265</v>
      </c>
      <c r="AT60" s="42" t="s">
        <v>272</v>
      </c>
    </row>
    <row r="61" customFormat="false" ht="15" hidden="false" customHeight="false" outlineLevel="0" collapsed="false">
      <c r="A61" s="7" t="s">
        <v>17</v>
      </c>
      <c r="B61" s="8" t="s">
        <v>154</v>
      </c>
      <c r="C61" s="9" t="s">
        <v>71</v>
      </c>
      <c r="G61" s="0" t="s">
        <v>188</v>
      </c>
      <c r="H61" s="12" t="s">
        <v>260</v>
      </c>
      <c r="I61" s="12" t="s">
        <v>269</v>
      </c>
      <c r="J61" s="9" t="s">
        <v>232</v>
      </c>
      <c r="K61" s="10" t="s">
        <v>168</v>
      </c>
      <c r="L61" s="37" t="s">
        <v>158</v>
      </c>
      <c r="M61" s="37" t="s">
        <v>158</v>
      </c>
      <c r="N61" s="12" t="s">
        <v>158</v>
      </c>
      <c r="O61" s="10"/>
      <c r="S61" s="38"/>
      <c r="T61" s="38"/>
      <c r="X61" s="34"/>
      <c r="Y61" s="10" t="s">
        <v>168</v>
      </c>
      <c r="AA61" s="10" t="n">
        <v>3.2</v>
      </c>
      <c r="AB61" s="10" t="n">
        <v>8.1</v>
      </c>
      <c r="AC61" s="10" t="n">
        <v>3.5</v>
      </c>
      <c r="AD61" s="12" t="n">
        <v>3</v>
      </c>
      <c r="AE61" s="0" t="s">
        <v>189</v>
      </c>
      <c r="AF61" s="39" t="n">
        <v>34</v>
      </c>
      <c r="AG61" s="0" t="s">
        <v>158</v>
      </c>
      <c r="AH61" s="0" t="s">
        <v>158</v>
      </c>
      <c r="AI61" s="0" t="s">
        <v>263</v>
      </c>
      <c r="AJ61" s="0" t="s">
        <v>264</v>
      </c>
      <c r="AK61" s="0" t="s">
        <v>191</v>
      </c>
      <c r="AL61" s="0" t="s">
        <v>158</v>
      </c>
      <c r="AM61" s="0" t="n">
        <v>0.3</v>
      </c>
      <c r="AN61" s="0" t="n">
        <v>240</v>
      </c>
      <c r="AO61" s="40" t="n">
        <v>29</v>
      </c>
      <c r="AP61" s="40"/>
      <c r="AQ61" s="0" t="s">
        <v>196</v>
      </c>
      <c r="AR61" s="25" t="s">
        <v>265</v>
      </c>
      <c r="AT61" s="42" t="s">
        <v>273</v>
      </c>
    </row>
    <row r="62" customFormat="false" ht="15" hidden="false" customHeight="true" outlineLevel="0" collapsed="false">
      <c r="A62" s="7" t="s">
        <v>17</v>
      </c>
      <c r="B62" s="8" t="s">
        <v>154</v>
      </c>
      <c r="C62" s="9" t="s">
        <v>71</v>
      </c>
      <c r="G62" s="0" t="s">
        <v>188</v>
      </c>
      <c r="H62" s="12"/>
      <c r="I62" s="12"/>
      <c r="J62" s="9" t="s">
        <v>232</v>
      </c>
      <c r="K62" s="10" t="s">
        <v>157</v>
      </c>
      <c r="L62" s="37" t="s">
        <v>158</v>
      </c>
      <c r="M62" s="37" t="s">
        <v>158</v>
      </c>
      <c r="N62" s="12" t="s">
        <v>158</v>
      </c>
      <c r="O62" s="10"/>
      <c r="S62" s="38"/>
      <c r="T62" s="38"/>
      <c r="X62" s="34"/>
      <c r="Y62" s="10" t="s">
        <v>157</v>
      </c>
      <c r="AA62" s="10" t="n">
        <v>4.8</v>
      </c>
      <c r="AB62" s="10" t="n">
        <v>8.3</v>
      </c>
      <c r="AC62" s="10" t="n">
        <v>4.9</v>
      </c>
      <c r="AD62" s="12" t="n">
        <v>4</v>
      </c>
      <c r="AE62" s="0" t="s">
        <v>189</v>
      </c>
      <c r="AF62" s="39" t="n">
        <v>23</v>
      </c>
      <c r="AG62" s="0" t="s">
        <v>158</v>
      </c>
      <c r="AH62" s="0" t="s">
        <v>158</v>
      </c>
      <c r="AI62" s="0" t="s">
        <v>263</v>
      </c>
      <c r="AJ62" s="0" t="s">
        <v>264</v>
      </c>
      <c r="AK62" s="0" t="s">
        <v>191</v>
      </c>
      <c r="AL62" s="0" t="s">
        <v>158</v>
      </c>
      <c r="AM62" s="0" t="n">
        <v>0.3</v>
      </c>
      <c r="AN62" s="0" t="n">
        <v>240</v>
      </c>
      <c r="AO62" s="40" t="n">
        <v>19.6</v>
      </c>
      <c r="AP62" s="40"/>
      <c r="AQ62" s="0" t="s">
        <v>196</v>
      </c>
      <c r="AR62" s="25" t="s">
        <v>265</v>
      </c>
      <c r="AT62" s="41"/>
    </row>
    <row r="63" customFormat="false" ht="15" hidden="false" customHeight="false" outlineLevel="0" collapsed="false">
      <c r="A63" s="7" t="s">
        <v>17</v>
      </c>
      <c r="B63" s="8" t="s">
        <v>154</v>
      </c>
      <c r="C63" s="9" t="s">
        <v>71</v>
      </c>
      <c r="G63" s="0" t="s">
        <v>188</v>
      </c>
      <c r="H63" s="12" t="s">
        <v>271</v>
      </c>
      <c r="I63" s="12" t="s">
        <v>269</v>
      </c>
      <c r="J63" s="9" t="s">
        <v>232</v>
      </c>
      <c r="K63" s="10" t="s">
        <v>168</v>
      </c>
      <c r="L63" s="37" t="s">
        <v>158</v>
      </c>
      <c r="M63" s="37" t="s">
        <v>158</v>
      </c>
      <c r="N63" s="12" t="s">
        <v>158</v>
      </c>
      <c r="O63" s="10"/>
      <c r="S63" s="38"/>
      <c r="T63" s="38"/>
      <c r="X63" s="34"/>
      <c r="Y63" s="10" t="s">
        <v>168</v>
      </c>
      <c r="AA63" s="10" t="n">
        <v>2.7</v>
      </c>
      <c r="AB63" s="10" t="n">
        <v>8.3</v>
      </c>
      <c r="AC63" s="10" t="n">
        <v>4.4</v>
      </c>
      <c r="AD63" s="12" t="n">
        <v>4</v>
      </c>
      <c r="AE63" s="0" t="s">
        <v>189</v>
      </c>
      <c r="AF63" s="39" t="n">
        <v>28</v>
      </c>
      <c r="AG63" s="0" t="s">
        <v>158</v>
      </c>
      <c r="AH63" s="0" t="s">
        <v>158</v>
      </c>
      <c r="AI63" s="0" t="s">
        <v>263</v>
      </c>
      <c r="AJ63" s="0" t="s">
        <v>264</v>
      </c>
      <c r="AK63" s="0" t="s">
        <v>191</v>
      </c>
      <c r="AL63" s="0" t="s">
        <v>158</v>
      </c>
      <c r="AM63" s="0" t="n">
        <v>0.3</v>
      </c>
      <c r="AN63" s="0" t="n">
        <v>240</v>
      </c>
      <c r="AO63" s="40" t="n">
        <v>19.3</v>
      </c>
      <c r="AP63" s="40"/>
      <c r="AQ63" s="0" t="s">
        <v>196</v>
      </c>
      <c r="AR63" s="25" t="s">
        <v>265</v>
      </c>
      <c r="AT63" s="36" t="s">
        <v>274</v>
      </c>
    </row>
    <row r="64" customFormat="false" ht="15" hidden="false" customHeight="true" outlineLevel="0" collapsed="false">
      <c r="A64" s="7" t="s">
        <v>17</v>
      </c>
      <c r="B64" s="8" t="s">
        <v>154</v>
      </c>
      <c r="C64" s="9" t="s">
        <v>71</v>
      </c>
      <c r="G64" s="0" t="s">
        <v>188</v>
      </c>
      <c r="H64" s="12"/>
      <c r="I64" s="12"/>
      <c r="J64" s="9" t="s">
        <v>232</v>
      </c>
      <c r="K64" s="10" t="s">
        <v>157</v>
      </c>
      <c r="L64" s="37" t="s">
        <v>158</v>
      </c>
      <c r="M64" s="37" t="s">
        <v>158</v>
      </c>
      <c r="N64" s="12" t="s">
        <v>158</v>
      </c>
      <c r="O64" s="10"/>
      <c r="S64" s="38"/>
      <c r="T64" s="38"/>
      <c r="X64" s="34"/>
      <c r="Y64" s="10" t="s">
        <v>157</v>
      </c>
      <c r="AA64" s="10" t="n">
        <v>5</v>
      </c>
      <c r="AB64" s="10" t="n">
        <v>8.7</v>
      </c>
      <c r="AC64" s="10" t="n">
        <v>5.4</v>
      </c>
      <c r="AD64" s="12" t="n">
        <v>5</v>
      </c>
      <c r="AE64" s="0" t="s">
        <v>189</v>
      </c>
      <c r="AF64" s="39" t="n">
        <v>21</v>
      </c>
      <c r="AG64" s="0" t="s">
        <v>158</v>
      </c>
      <c r="AH64" s="0" t="s">
        <v>158</v>
      </c>
      <c r="AI64" s="0" t="s">
        <v>263</v>
      </c>
      <c r="AJ64" s="0" t="s">
        <v>264</v>
      </c>
      <c r="AK64" s="0" t="s">
        <v>191</v>
      </c>
      <c r="AL64" s="0" t="s">
        <v>158</v>
      </c>
      <c r="AM64" s="0" t="n">
        <v>0.22</v>
      </c>
      <c r="AN64" s="0" t="n">
        <v>240</v>
      </c>
      <c r="AO64" s="40" t="n">
        <v>19.3</v>
      </c>
      <c r="AP64" s="40"/>
      <c r="AQ64" s="0" t="s">
        <v>196</v>
      </c>
      <c r="AR64" s="25" t="s">
        <v>265</v>
      </c>
      <c r="AT64" s="41"/>
    </row>
    <row r="65" customFormat="false" ht="15" hidden="false" customHeight="false" outlineLevel="0" collapsed="false">
      <c r="A65" s="7" t="s">
        <v>17</v>
      </c>
      <c r="B65" s="8" t="s">
        <v>154</v>
      </c>
      <c r="C65" s="9" t="s">
        <v>71</v>
      </c>
      <c r="G65" s="0" t="s">
        <v>188</v>
      </c>
      <c r="H65" s="12" t="s">
        <v>266</v>
      </c>
      <c r="I65" s="12" t="s">
        <v>256</v>
      </c>
      <c r="J65" s="9" t="s">
        <v>232</v>
      </c>
      <c r="K65" s="10" t="s">
        <v>168</v>
      </c>
      <c r="L65" s="37" t="s">
        <v>158</v>
      </c>
      <c r="M65" s="37" t="s">
        <v>158</v>
      </c>
      <c r="N65" s="12" t="n">
        <v>50</v>
      </c>
      <c r="O65" s="10" t="s">
        <v>267</v>
      </c>
      <c r="S65" s="38"/>
      <c r="T65" s="38"/>
      <c r="X65" s="34"/>
      <c r="Y65" s="10" t="s">
        <v>168</v>
      </c>
      <c r="AA65" s="10" t="n">
        <v>1.2</v>
      </c>
      <c r="AB65" s="10" t="n">
        <v>8.2</v>
      </c>
      <c r="AC65" s="10" t="n">
        <v>3.4</v>
      </c>
      <c r="AD65" s="12" t="n">
        <v>5</v>
      </c>
      <c r="AE65" s="0" t="s">
        <v>189</v>
      </c>
      <c r="AF65" s="39" t="n">
        <v>24</v>
      </c>
      <c r="AG65" s="0" t="s">
        <v>158</v>
      </c>
      <c r="AH65" s="0" t="s">
        <v>158</v>
      </c>
      <c r="AI65" s="0" t="s">
        <v>263</v>
      </c>
      <c r="AJ65" s="0" t="s">
        <v>264</v>
      </c>
      <c r="AK65" s="0" t="s">
        <v>191</v>
      </c>
      <c r="AL65" s="0" t="s">
        <v>158</v>
      </c>
      <c r="AM65" s="0" t="n">
        <v>0.22</v>
      </c>
      <c r="AN65" s="0" t="n">
        <v>240</v>
      </c>
      <c r="AO65" s="40" t="n">
        <v>8.7</v>
      </c>
      <c r="AP65" s="40"/>
      <c r="AQ65" s="0" t="s">
        <v>196</v>
      </c>
      <c r="AR65" s="25" t="s">
        <v>265</v>
      </c>
      <c r="AT65" s="36" t="s">
        <v>275</v>
      </c>
    </row>
    <row r="66" customFormat="false" ht="15" hidden="false" customHeight="false" outlineLevel="0" collapsed="false">
      <c r="A66" s="7" t="s">
        <v>17</v>
      </c>
      <c r="B66" s="8" t="s">
        <v>154</v>
      </c>
      <c r="C66" s="9" t="s">
        <v>71</v>
      </c>
      <c r="G66" s="0" t="s">
        <v>188</v>
      </c>
      <c r="H66" s="12" t="s">
        <v>260</v>
      </c>
      <c r="I66" s="12" t="s">
        <v>269</v>
      </c>
      <c r="J66" s="9" t="s">
        <v>232</v>
      </c>
      <c r="K66" s="10" t="s">
        <v>168</v>
      </c>
      <c r="L66" s="37" t="s">
        <v>158</v>
      </c>
      <c r="M66" s="37" t="s">
        <v>158</v>
      </c>
      <c r="N66" s="12" t="s">
        <v>158</v>
      </c>
      <c r="O66" s="10"/>
      <c r="S66" s="38"/>
      <c r="T66" s="38"/>
      <c r="X66" s="34"/>
      <c r="Y66" s="10" t="s">
        <v>168</v>
      </c>
      <c r="AA66" s="10" t="n">
        <v>1.3</v>
      </c>
      <c r="AB66" s="10" t="n">
        <v>8.4</v>
      </c>
      <c r="AC66" s="10" t="n">
        <v>3.5</v>
      </c>
      <c r="AD66" s="12" t="n">
        <v>5</v>
      </c>
      <c r="AE66" s="0" t="s">
        <v>189</v>
      </c>
      <c r="AF66" s="39" t="n">
        <v>34</v>
      </c>
      <c r="AG66" s="0" t="s">
        <v>158</v>
      </c>
      <c r="AH66" s="0" t="s">
        <v>158</v>
      </c>
      <c r="AI66" s="0" t="s">
        <v>263</v>
      </c>
      <c r="AJ66" s="0" t="s">
        <v>264</v>
      </c>
      <c r="AK66" s="0" t="s">
        <v>191</v>
      </c>
      <c r="AL66" s="0" t="s">
        <v>158</v>
      </c>
      <c r="AM66" s="0" t="n">
        <v>0.22</v>
      </c>
      <c r="AN66" s="0" t="n">
        <v>240</v>
      </c>
      <c r="AO66" s="40" t="n">
        <v>12.4</v>
      </c>
      <c r="AP66" s="40"/>
      <c r="AQ66" s="0" t="s">
        <v>196</v>
      </c>
      <c r="AR66" s="25" t="s">
        <v>265</v>
      </c>
      <c r="AT66" s="36" t="s">
        <v>276</v>
      </c>
    </row>
    <row r="67" customFormat="false" ht="15" hidden="false" customHeight="true" outlineLevel="0" collapsed="false">
      <c r="A67" s="7" t="s">
        <v>17</v>
      </c>
      <c r="B67" s="8" t="s">
        <v>154</v>
      </c>
      <c r="C67" s="9" t="s">
        <v>71</v>
      </c>
      <c r="G67" s="0" t="s">
        <v>188</v>
      </c>
      <c r="H67" s="12"/>
      <c r="I67" s="12"/>
      <c r="J67" s="9" t="s">
        <v>232</v>
      </c>
      <c r="K67" s="10" t="s">
        <v>157</v>
      </c>
      <c r="L67" s="37" t="s">
        <v>158</v>
      </c>
      <c r="M67" s="37" t="s">
        <v>158</v>
      </c>
      <c r="N67" s="12" t="s">
        <v>158</v>
      </c>
      <c r="O67" s="10"/>
      <c r="S67" s="38"/>
      <c r="T67" s="38"/>
      <c r="X67" s="34"/>
      <c r="Y67" s="10" t="s">
        <v>157</v>
      </c>
      <c r="AA67" s="10" t="n">
        <v>2.6</v>
      </c>
      <c r="AB67" s="10" t="n">
        <v>8.8</v>
      </c>
      <c r="AC67" s="10" t="n">
        <v>5.6</v>
      </c>
      <c r="AD67" s="12" t="n">
        <v>6</v>
      </c>
      <c r="AE67" s="0" t="s">
        <v>189</v>
      </c>
      <c r="AF67" s="39" t="n">
        <v>24</v>
      </c>
      <c r="AG67" s="0" t="s">
        <v>158</v>
      </c>
      <c r="AH67" s="0" t="s">
        <v>158</v>
      </c>
      <c r="AI67" s="0" t="s">
        <v>263</v>
      </c>
      <c r="AJ67" s="0" t="s">
        <v>264</v>
      </c>
      <c r="AK67" s="0" t="s">
        <v>191</v>
      </c>
      <c r="AL67" s="0" t="s">
        <v>158</v>
      </c>
      <c r="AM67" s="0" t="n">
        <v>0.22</v>
      </c>
      <c r="AN67" s="0" t="n">
        <v>240</v>
      </c>
      <c r="AO67" s="40" t="n">
        <v>12.6</v>
      </c>
      <c r="AP67" s="40"/>
      <c r="AQ67" s="0" t="s">
        <v>196</v>
      </c>
      <c r="AR67" s="25" t="s">
        <v>265</v>
      </c>
      <c r="AT67" s="41"/>
    </row>
    <row r="68" customFormat="false" ht="15" hidden="false" customHeight="false" outlineLevel="0" collapsed="false">
      <c r="A68" s="7" t="s">
        <v>17</v>
      </c>
      <c r="B68" s="8" t="s">
        <v>154</v>
      </c>
      <c r="C68" s="9" t="s">
        <v>71</v>
      </c>
      <c r="G68" s="0" t="s">
        <v>188</v>
      </c>
      <c r="H68" s="12" t="s">
        <v>271</v>
      </c>
      <c r="I68" s="12" t="s">
        <v>269</v>
      </c>
      <c r="J68" s="9" t="s">
        <v>232</v>
      </c>
      <c r="K68" s="10" t="s">
        <v>168</v>
      </c>
      <c r="L68" s="37" t="s">
        <v>158</v>
      </c>
      <c r="M68" s="37" t="s">
        <v>158</v>
      </c>
      <c r="N68" s="12" t="s">
        <v>158</v>
      </c>
      <c r="O68" s="10"/>
      <c r="S68" s="38"/>
      <c r="T68" s="38"/>
      <c r="X68" s="34"/>
      <c r="Y68" s="10" t="s">
        <v>168</v>
      </c>
      <c r="AA68" s="10" t="n">
        <v>1.2</v>
      </c>
      <c r="AB68" s="10" t="n">
        <v>9</v>
      </c>
      <c r="AC68" s="10" t="n">
        <v>4.7</v>
      </c>
      <c r="AD68" s="12" t="n">
        <v>6</v>
      </c>
      <c r="AE68" s="0" t="s">
        <v>189</v>
      </c>
      <c r="AF68" s="39" t="n">
        <v>30</v>
      </c>
      <c r="AG68" s="0" t="s">
        <v>158</v>
      </c>
      <c r="AH68" s="0" t="s">
        <v>158</v>
      </c>
      <c r="AI68" s="0" t="s">
        <v>263</v>
      </c>
      <c r="AJ68" s="0" t="s">
        <v>264</v>
      </c>
      <c r="AK68" s="0" t="s">
        <v>191</v>
      </c>
      <c r="AL68" s="0" t="s">
        <v>158</v>
      </c>
      <c r="AM68" s="0" t="n">
        <v>0.22</v>
      </c>
      <c r="AN68" s="0" t="n">
        <v>240</v>
      </c>
      <c r="AO68" s="40" t="n">
        <v>17.6</v>
      </c>
      <c r="AP68" s="40"/>
      <c r="AQ68" s="0" t="s">
        <v>196</v>
      </c>
      <c r="AR68" s="25" t="s">
        <v>265</v>
      </c>
      <c r="AT68" s="42" t="s">
        <v>277</v>
      </c>
    </row>
    <row r="69" customFormat="false" ht="15" hidden="false" customHeight="false" outlineLevel="0" collapsed="false">
      <c r="A69" s="7" t="s">
        <v>19</v>
      </c>
      <c r="B69" s="8" t="s">
        <v>172</v>
      </c>
      <c r="C69" s="9" t="s">
        <v>278</v>
      </c>
      <c r="D69" s="8" t="s">
        <v>279</v>
      </c>
      <c r="E69" s="9" t="s">
        <v>280</v>
      </c>
      <c r="F69" s="9" t="s">
        <v>191</v>
      </c>
      <c r="G69" s="0" t="s">
        <v>279</v>
      </c>
      <c r="J69" s="9" t="s">
        <v>156</v>
      </c>
      <c r="K69" s="10" t="s">
        <v>157</v>
      </c>
      <c r="L69" s="37" t="s">
        <v>158</v>
      </c>
      <c r="M69" s="11" t="s">
        <v>158</v>
      </c>
      <c r="N69" s="12" t="s">
        <v>158</v>
      </c>
      <c r="O69" s="10"/>
      <c r="P69" s="10" t="n">
        <v>7.46</v>
      </c>
      <c r="Q69" s="10" t="n">
        <v>7.1</v>
      </c>
      <c r="R69" s="10" t="n">
        <v>1.47</v>
      </c>
      <c r="S69" s="38" t="n">
        <v>10.2</v>
      </c>
      <c r="T69" s="38"/>
      <c r="U69" s="9" t="s">
        <v>281</v>
      </c>
      <c r="W69" s="9" t="n">
        <v>37</v>
      </c>
      <c r="X69" s="34"/>
      <c r="Y69" s="10" t="s">
        <v>157</v>
      </c>
      <c r="Z69" s="6" t="s">
        <v>179</v>
      </c>
      <c r="AA69" s="10" t="n">
        <v>7.7</v>
      </c>
      <c r="AB69" s="10" t="n">
        <v>6.8</v>
      </c>
      <c r="AC69" s="10" t="n">
        <v>1.4</v>
      </c>
      <c r="AD69" s="12" t="n">
        <v>1</v>
      </c>
      <c r="AE69" s="0" t="s">
        <v>189</v>
      </c>
      <c r="AF69" s="39" t="n">
        <f aca="false">70/1.4</f>
        <v>50</v>
      </c>
      <c r="AG69" s="0" t="n">
        <v>10</v>
      </c>
      <c r="AH69" s="0" t="n">
        <v>10</v>
      </c>
      <c r="AI69" s="0" t="s">
        <v>161</v>
      </c>
      <c r="AJ69" s="0" t="s">
        <v>282</v>
      </c>
      <c r="AK69" s="0" t="s">
        <v>191</v>
      </c>
      <c r="AL69" s="0" t="n">
        <v>1.16</v>
      </c>
      <c r="AM69" s="0" t="n">
        <v>0.1</v>
      </c>
      <c r="AN69" s="0" t="n">
        <v>168</v>
      </c>
      <c r="AO69" s="40" t="n">
        <v>14</v>
      </c>
      <c r="AP69" s="40"/>
      <c r="AQ69" s="0" t="s">
        <v>281</v>
      </c>
      <c r="AR69" s="25" t="s">
        <v>283</v>
      </c>
      <c r="AS69" s="0" t="n">
        <v>48</v>
      </c>
      <c r="AT69" s="41"/>
      <c r="AU69" s="12"/>
      <c r="AV69" s="6"/>
    </row>
    <row r="70" customFormat="false" ht="15" hidden="false" customHeight="false" outlineLevel="0" collapsed="false">
      <c r="A70" s="7" t="s">
        <v>19</v>
      </c>
      <c r="B70" s="8" t="s">
        <v>172</v>
      </c>
      <c r="C70" s="9" t="s">
        <v>278</v>
      </c>
      <c r="D70" s="8" t="s">
        <v>279</v>
      </c>
      <c r="E70" s="9" t="s">
        <v>280</v>
      </c>
      <c r="F70" s="9" t="s">
        <v>191</v>
      </c>
      <c r="G70" s="0" t="s">
        <v>279</v>
      </c>
      <c r="H70" s="0" t="s">
        <v>284</v>
      </c>
      <c r="I70" s="12" t="s">
        <v>285</v>
      </c>
      <c r="J70" s="9" t="s">
        <v>156</v>
      </c>
      <c r="K70" s="10" t="s">
        <v>168</v>
      </c>
      <c r="L70" s="29" t="n">
        <f aca="false">P70*N70/P$69</f>
        <v>56.2788203753351</v>
      </c>
      <c r="M70" s="29" t="n">
        <f aca="false">(R70*N70)/R$69</f>
        <v>83.1156462585034</v>
      </c>
      <c r="N70" s="10" t="n">
        <v>82</v>
      </c>
      <c r="O70" s="10" t="s">
        <v>286</v>
      </c>
      <c r="P70" s="10" t="n">
        <v>5.12</v>
      </c>
      <c r="Q70" s="10" t="n">
        <v>7.1</v>
      </c>
      <c r="R70" s="10" t="n">
        <v>1.49</v>
      </c>
      <c r="S70" s="38" t="n">
        <v>12.8</v>
      </c>
      <c r="T70" s="38"/>
      <c r="U70" s="9" t="s">
        <v>281</v>
      </c>
      <c r="W70" s="9" t="n">
        <v>37</v>
      </c>
      <c r="X70" s="34"/>
      <c r="Y70" s="10" t="s">
        <v>168</v>
      </c>
      <c r="Z70" s="6" t="s">
        <v>179</v>
      </c>
      <c r="AA70" s="10" t="n">
        <v>5</v>
      </c>
      <c r="AB70" s="10" t="n">
        <v>7</v>
      </c>
      <c r="AC70" s="10" t="n">
        <v>1.4</v>
      </c>
      <c r="AD70" s="12" t="n">
        <v>1</v>
      </c>
      <c r="AE70" s="0" t="s">
        <v>189</v>
      </c>
      <c r="AF70" s="39" t="n">
        <v>50</v>
      </c>
      <c r="AG70" s="0" t="n">
        <v>10</v>
      </c>
      <c r="AH70" s="0" t="n">
        <v>10</v>
      </c>
      <c r="AI70" s="0" t="s">
        <v>161</v>
      </c>
      <c r="AJ70" s="0" t="s">
        <v>282</v>
      </c>
      <c r="AK70" s="0" t="s">
        <v>191</v>
      </c>
      <c r="AL70" s="0" t="n">
        <v>1.16</v>
      </c>
      <c r="AM70" s="0" t="n">
        <v>0.1</v>
      </c>
      <c r="AN70" s="0" t="n">
        <v>168</v>
      </c>
      <c r="AO70" s="40" t="n">
        <v>22.5</v>
      </c>
      <c r="AP70" s="40"/>
      <c r="AQ70" s="0" t="s">
        <v>281</v>
      </c>
      <c r="AR70" s="25" t="s">
        <v>283</v>
      </c>
      <c r="AS70" s="0" t="n">
        <v>48</v>
      </c>
      <c r="AT70" s="42" t="s">
        <v>287</v>
      </c>
      <c r="AU70" s="12"/>
      <c r="AV70" s="6"/>
    </row>
    <row r="71" customFormat="false" ht="15" hidden="false" customHeight="false" outlineLevel="0" collapsed="false">
      <c r="A71" s="7" t="s">
        <v>19</v>
      </c>
      <c r="B71" s="8" t="s">
        <v>172</v>
      </c>
      <c r="C71" s="9" t="s">
        <v>278</v>
      </c>
      <c r="D71" s="8" t="s">
        <v>279</v>
      </c>
      <c r="E71" s="9" t="s">
        <v>280</v>
      </c>
      <c r="F71" s="9" t="s">
        <v>191</v>
      </c>
      <c r="G71" s="0" t="s">
        <v>279</v>
      </c>
      <c r="H71" s="0" t="s">
        <v>284</v>
      </c>
      <c r="I71" s="12" t="s">
        <v>285</v>
      </c>
      <c r="J71" s="9" t="s">
        <v>156</v>
      </c>
      <c r="K71" s="10" t="s">
        <v>186</v>
      </c>
      <c r="L71" s="29" t="n">
        <f aca="false">P71*N71/P$69</f>
        <v>46.3270777479893</v>
      </c>
      <c r="M71" s="29" t="n">
        <f aca="false">(R71*N71)/R$69</f>
        <v>14.2040816326531</v>
      </c>
      <c r="N71" s="10" t="n">
        <v>18</v>
      </c>
      <c r="O71" s="10" t="s">
        <v>286</v>
      </c>
      <c r="P71" s="10" t="n">
        <v>19.2</v>
      </c>
      <c r="Q71" s="10" t="n">
        <v>8.3</v>
      </c>
      <c r="R71" s="10" t="n">
        <v>1.16</v>
      </c>
      <c r="S71" s="38" t="n">
        <v>12.3</v>
      </c>
      <c r="T71" s="38"/>
      <c r="U71" s="9" t="s">
        <v>281</v>
      </c>
      <c r="W71" s="9" t="n">
        <v>37</v>
      </c>
      <c r="X71" s="34"/>
      <c r="Y71" s="10" t="s">
        <v>186</v>
      </c>
      <c r="Z71" s="6" t="s">
        <v>179</v>
      </c>
      <c r="AA71" s="10" t="n">
        <v>18.6</v>
      </c>
      <c r="AB71" s="10" t="n">
        <v>8.5</v>
      </c>
      <c r="AC71" s="10" t="n">
        <v>0.2</v>
      </c>
      <c r="AD71" s="37"/>
      <c r="AE71" s="0" t="s">
        <v>189</v>
      </c>
      <c r="AF71" s="43" t="n">
        <f aca="false">70/3.57</f>
        <v>19.6078431372549</v>
      </c>
      <c r="AG71" s="0" t="n">
        <v>10</v>
      </c>
      <c r="AH71" s="0" t="n">
        <v>10</v>
      </c>
      <c r="AI71" s="0" t="s">
        <v>161</v>
      </c>
      <c r="AJ71" s="0" t="s">
        <v>282</v>
      </c>
      <c r="AK71" s="0" t="s">
        <v>191</v>
      </c>
      <c r="AL71" s="0" t="n">
        <v>1.16</v>
      </c>
      <c r="AM71" s="0" t="n">
        <v>0.1</v>
      </c>
      <c r="AN71" s="0" t="n">
        <v>168</v>
      </c>
      <c r="AO71" s="44" t="n">
        <v>68.1</v>
      </c>
      <c r="AP71" s="44"/>
      <c r="AQ71" s="9" t="s">
        <v>281</v>
      </c>
      <c r="AR71" s="25" t="s">
        <v>283</v>
      </c>
      <c r="AS71" s="9" t="n">
        <v>48</v>
      </c>
      <c r="AT71" s="41"/>
      <c r="AU71" s="12"/>
      <c r="AV71" s="6"/>
    </row>
    <row r="72" customFormat="false" ht="15" hidden="false" customHeight="true" outlineLevel="0" collapsed="false">
      <c r="A72" s="7" t="s">
        <v>21</v>
      </c>
      <c r="B72" s="8" t="s">
        <v>172</v>
      </c>
      <c r="C72" s="9" t="s">
        <v>278</v>
      </c>
      <c r="D72" s="8" t="s">
        <v>231</v>
      </c>
      <c r="E72" s="9" t="s">
        <v>288</v>
      </c>
      <c r="F72" s="9" t="s">
        <v>191</v>
      </c>
      <c r="G72" s="0" t="s">
        <v>231</v>
      </c>
      <c r="J72" s="9" t="s">
        <v>232</v>
      </c>
      <c r="K72" s="10" t="s">
        <v>157</v>
      </c>
      <c r="L72" s="11" t="s">
        <v>158</v>
      </c>
      <c r="M72" s="11" t="s">
        <v>158</v>
      </c>
      <c r="N72" s="0" t="s">
        <v>158</v>
      </c>
      <c r="O72" s="10"/>
      <c r="P72" s="10" t="n">
        <v>3.6</v>
      </c>
      <c r="Q72" s="10" t="n">
        <v>7.74</v>
      </c>
      <c r="R72" s="10" t="n">
        <v>2.1</v>
      </c>
      <c r="S72" s="10" t="n">
        <v>1.9</v>
      </c>
      <c r="T72" s="38" t="n">
        <f aca="false">31.1/2100*100</f>
        <v>1.48095238095238</v>
      </c>
      <c r="U72" s="9" t="s">
        <v>289</v>
      </c>
      <c r="Y72" s="10" t="s">
        <v>157</v>
      </c>
      <c r="AA72" s="10" t="n">
        <v>3.03</v>
      </c>
      <c r="AB72" s="10" t="n">
        <v>7.94</v>
      </c>
      <c r="AC72" s="10" t="n">
        <v>2.1</v>
      </c>
      <c r="AD72" s="12" t="n">
        <v>1</v>
      </c>
      <c r="AE72" s="0" t="s">
        <v>189</v>
      </c>
      <c r="AF72" s="32" t="n">
        <f aca="false">70/3</f>
        <v>23.3333333333333</v>
      </c>
      <c r="AG72" s="0" t="s">
        <v>158</v>
      </c>
      <c r="AH72" s="0" t="s">
        <v>290</v>
      </c>
      <c r="AI72" s="0" t="s">
        <v>161</v>
      </c>
      <c r="AJ72" s="0" t="s">
        <v>291</v>
      </c>
      <c r="AK72" s="0" t="s">
        <v>163</v>
      </c>
      <c r="AL72" s="0" t="s">
        <v>158</v>
      </c>
      <c r="AM72" s="0" t="s">
        <v>158</v>
      </c>
      <c r="AN72" s="0" t="n">
        <v>96</v>
      </c>
      <c r="AO72" s="9" t="n">
        <v>11.4</v>
      </c>
      <c r="AP72" s="44" t="n">
        <f aca="false">206/2100*100</f>
        <v>9.80952380952381</v>
      </c>
      <c r="AQ72" s="9" t="s">
        <v>289</v>
      </c>
      <c r="AR72" s="25" t="s">
        <v>283</v>
      </c>
      <c r="AS72" s="9"/>
      <c r="AU72" s="0" t="s">
        <v>292</v>
      </c>
    </row>
    <row r="73" s="11" customFormat="true" ht="15" hidden="false" customHeight="false" outlineLevel="0" collapsed="false">
      <c r="A73" s="7" t="s">
        <v>21</v>
      </c>
      <c r="B73" s="8" t="s">
        <v>172</v>
      </c>
      <c r="C73" s="9" t="s">
        <v>278</v>
      </c>
      <c r="D73" s="9" t="s">
        <v>231</v>
      </c>
      <c r="E73" s="9" t="s">
        <v>288</v>
      </c>
      <c r="F73" s="9" t="s">
        <v>191</v>
      </c>
      <c r="G73" s="11" t="s">
        <v>231</v>
      </c>
      <c r="H73" s="11" t="s">
        <v>293</v>
      </c>
      <c r="I73" s="12" t="s">
        <v>167</v>
      </c>
      <c r="J73" s="9" t="s">
        <v>232</v>
      </c>
      <c r="K73" s="10" t="s">
        <v>186</v>
      </c>
      <c r="L73" s="10" t="n">
        <v>66.2</v>
      </c>
      <c r="M73" s="10" t="n">
        <v>16.6</v>
      </c>
      <c r="N73" s="29" t="n">
        <f aca="false">100-N74</f>
        <v>12.3867069486405</v>
      </c>
      <c r="O73" s="10" t="s">
        <v>294</v>
      </c>
      <c r="P73" s="10" t="n">
        <v>18.1</v>
      </c>
      <c r="Q73" s="10" t="n">
        <v>8.06</v>
      </c>
      <c r="R73" s="10" t="n">
        <v>2</v>
      </c>
      <c r="S73" s="10" t="n">
        <v>15.7</v>
      </c>
      <c r="T73" s="38" t="n">
        <f aca="false">22.1/2100*100</f>
        <v>1.05238095238095</v>
      </c>
      <c r="U73" s="9" t="s">
        <v>289</v>
      </c>
      <c r="V73" s="9"/>
      <c r="W73" s="9"/>
      <c r="X73" s="9"/>
      <c r="Y73" s="10" t="s">
        <v>186</v>
      </c>
      <c r="Z73" s="8"/>
      <c r="AA73" s="10" t="n">
        <v>23.1</v>
      </c>
      <c r="AB73" s="10" t="n">
        <v>8.26</v>
      </c>
      <c r="AC73" s="10" t="n">
        <v>2.5</v>
      </c>
      <c r="AD73" s="37"/>
      <c r="AE73" s="11" t="s">
        <v>189</v>
      </c>
      <c r="AF73" s="32" t="n">
        <f aca="false">70/6.6</f>
        <v>10.6060606060606</v>
      </c>
      <c r="AG73" s="11" t="s">
        <v>158</v>
      </c>
      <c r="AH73" s="11" t="s">
        <v>290</v>
      </c>
      <c r="AI73" s="11" t="s">
        <v>161</v>
      </c>
      <c r="AJ73" s="11" t="s">
        <v>291</v>
      </c>
      <c r="AK73" s="11" t="s">
        <v>163</v>
      </c>
      <c r="AL73" s="11" t="s">
        <v>158</v>
      </c>
      <c r="AM73" s="11" t="s">
        <v>158</v>
      </c>
      <c r="AN73" s="11" t="n">
        <v>96</v>
      </c>
      <c r="AO73" s="9" t="n">
        <v>56.7</v>
      </c>
      <c r="AP73" s="44" t="n">
        <f aca="false">80.3/2100*100</f>
        <v>3.82380952380952</v>
      </c>
      <c r="AQ73" s="9" t="s">
        <v>289</v>
      </c>
      <c r="AR73" s="25" t="s">
        <v>283</v>
      </c>
      <c r="AS73" s="9"/>
      <c r="AU73" s="11" t="s">
        <v>292</v>
      </c>
      <c r="AV73" s="24"/>
    </row>
    <row r="74" customFormat="false" ht="15" hidden="false" customHeight="false" outlineLevel="0" collapsed="false">
      <c r="A74" s="7" t="s">
        <v>21</v>
      </c>
      <c r="B74" s="8" t="s">
        <v>172</v>
      </c>
      <c r="C74" s="9" t="s">
        <v>278</v>
      </c>
      <c r="D74" s="9" t="s">
        <v>231</v>
      </c>
      <c r="E74" s="9" t="s">
        <v>288</v>
      </c>
      <c r="F74" s="9" t="s">
        <v>191</v>
      </c>
      <c r="G74" s="0" t="s">
        <v>231</v>
      </c>
      <c r="H74" s="0" t="s">
        <v>293</v>
      </c>
      <c r="I74" s="12" t="s">
        <v>167</v>
      </c>
      <c r="J74" s="9" t="s">
        <v>232</v>
      </c>
      <c r="K74" s="10" t="s">
        <v>168</v>
      </c>
      <c r="L74" s="29" t="n">
        <f aca="false">100-L73</f>
        <v>33.8</v>
      </c>
      <c r="M74" s="29" t="n">
        <f aca="false">100-M73</f>
        <v>83.4</v>
      </c>
      <c r="N74" s="29" t="n">
        <f aca="false">(P72-P73)/(P74-P73)*100</f>
        <v>87.6132930513595</v>
      </c>
      <c r="O74" s="10" t="s">
        <v>294</v>
      </c>
      <c r="P74" s="10" t="n">
        <v>1.55</v>
      </c>
      <c r="Q74" s="10" t="n">
        <v>7.89</v>
      </c>
      <c r="R74" s="10" t="n">
        <v>1.6</v>
      </c>
      <c r="S74" s="10" t="n">
        <v>2.36</v>
      </c>
      <c r="T74" s="38" t="n">
        <f aca="false">29/2100*100</f>
        <v>1.38095238095238</v>
      </c>
      <c r="U74" s="9" t="s">
        <v>289</v>
      </c>
      <c r="Y74" s="10" t="s">
        <v>168</v>
      </c>
      <c r="AA74" s="10" t="n">
        <v>1.09</v>
      </c>
      <c r="AB74" s="10" t="n">
        <v>8.05</v>
      </c>
      <c r="AC74" s="10" t="n">
        <v>1.5</v>
      </c>
      <c r="AD74" s="12" t="n">
        <v>1</v>
      </c>
      <c r="AE74" s="0" t="s">
        <v>189</v>
      </c>
      <c r="AF74" s="32" t="n">
        <f aca="false">70/1.8</f>
        <v>38.8888888888889</v>
      </c>
      <c r="AG74" s="0" t="s">
        <v>158</v>
      </c>
      <c r="AH74" s="0" t="s">
        <v>290</v>
      </c>
      <c r="AI74" s="0" t="s">
        <v>161</v>
      </c>
      <c r="AJ74" s="0" t="s">
        <v>291</v>
      </c>
      <c r="AK74" s="0" t="s">
        <v>163</v>
      </c>
      <c r="AL74" s="0" t="s">
        <v>158</v>
      </c>
      <c r="AM74" s="0" t="s">
        <v>158</v>
      </c>
      <c r="AN74" s="0" t="n">
        <v>96</v>
      </c>
      <c r="AO74" s="9" t="n">
        <v>8.79</v>
      </c>
      <c r="AP74" s="44" t="n">
        <f aca="false">101/2100*100</f>
        <v>4.80952380952381</v>
      </c>
      <c r="AQ74" s="9" t="s">
        <v>289</v>
      </c>
      <c r="AR74" s="25" t="s">
        <v>283</v>
      </c>
      <c r="AS74" s="9"/>
      <c r="AT74" s="27" t="s">
        <v>295</v>
      </c>
      <c r="AU74" s="0" t="s">
        <v>292</v>
      </c>
    </row>
    <row r="75" customFormat="false" ht="15" hidden="false" customHeight="false" outlineLevel="0" collapsed="false">
      <c r="A75" s="7" t="s">
        <v>21</v>
      </c>
      <c r="B75" s="8" t="s">
        <v>172</v>
      </c>
      <c r="C75" s="9" t="s">
        <v>278</v>
      </c>
      <c r="D75" s="9" t="s">
        <v>231</v>
      </c>
      <c r="E75" s="9" t="s">
        <v>288</v>
      </c>
      <c r="F75" s="9" t="s">
        <v>191</v>
      </c>
      <c r="G75" s="0" t="s">
        <v>231</v>
      </c>
      <c r="J75" s="9" t="s">
        <v>232</v>
      </c>
      <c r="K75" s="10" t="s">
        <v>157</v>
      </c>
      <c r="L75" s="11" t="s">
        <v>158</v>
      </c>
      <c r="M75" s="11" t="s">
        <v>158</v>
      </c>
      <c r="N75" s="0" t="s">
        <v>158</v>
      </c>
      <c r="O75" s="10"/>
      <c r="P75" s="10" t="n">
        <v>5.18</v>
      </c>
      <c r="Q75" s="10" t="n">
        <v>7.54</v>
      </c>
      <c r="R75" s="10" t="n">
        <v>2.9</v>
      </c>
      <c r="S75" s="10" t="n">
        <v>5.49</v>
      </c>
      <c r="T75" s="38" t="n">
        <f aca="false">124/2900*100</f>
        <v>4.27586206896552</v>
      </c>
      <c r="U75" s="9" t="s">
        <v>289</v>
      </c>
      <c r="Y75" s="10" t="s">
        <v>157</v>
      </c>
      <c r="AA75" s="10" t="n">
        <v>4.02</v>
      </c>
      <c r="AB75" s="10" t="n">
        <v>7.77</v>
      </c>
      <c r="AC75" s="10" t="n">
        <v>2.6</v>
      </c>
      <c r="AD75" s="12" t="n">
        <v>2</v>
      </c>
      <c r="AE75" s="0" t="s">
        <v>189</v>
      </c>
      <c r="AF75" s="32" t="n">
        <f aca="false">70/3.6</f>
        <v>19.4444444444444</v>
      </c>
      <c r="AG75" s="0" t="s">
        <v>158</v>
      </c>
      <c r="AH75" s="0" t="s">
        <v>296</v>
      </c>
      <c r="AI75" s="0" t="s">
        <v>161</v>
      </c>
      <c r="AJ75" s="0" t="s">
        <v>291</v>
      </c>
      <c r="AK75" s="0" t="s">
        <v>163</v>
      </c>
      <c r="AL75" s="0" t="s">
        <v>158</v>
      </c>
      <c r="AM75" s="0" t="s">
        <v>158</v>
      </c>
      <c r="AN75" s="0" t="n">
        <v>96</v>
      </c>
      <c r="AO75" s="9" t="n">
        <v>28</v>
      </c>
      <c r="AP75" s="44" t="n">
        <f aca="false">564/2900*100</f>
        <v>19.448275862069</v>
      </c>
      <c r="AQ75" s="9" t="s">
        <v>289</v>
      </c>
      <c r="AR75" s="25" t="s">
        <v>283</v>
      </c>
      <c r="AS75" s="9"/>
      <c r="AU75" s="0" t="s">
        <v>292</v>
      </c>
    </row>
    <row r="76" s="11" customFormat="true" ht="15" hidden="false" customHeight="false" outlineLevel="0" collapsed="false">
      <c r="A76" s="7" t="s">
        <v>21</v>
      </c>
      <c r="B76" s="8" t="s">
        <v>172</v>
      </c>
      <c r="C76" s="9" t="s">
        <v>278</v>
      </c>
      <c r="D76" s="9" t="s">
        <v>231</v>
      </c>
      <c r="E76" s="9" t="s">
        <v>288</v>
      </c>
      <c r="F76" s="9" t="s">
        <v>191</v>
      </c>
      <c r="G76" s="11" t="s">
        <v>231</v>
      </c>
      <c r="H76" s="11" t="s">
        <v>293</v>
      </c>
      <c r="I76" s="12" t="s">
        <v>167</v>
      </c>
      <c r="J76" s="9" t="s">
        <v>232</v>
      </c>
      <c r="K76" s="10" t="s">
        <v>186</v>
      </c>
      <c r="L76" s="10" t="n">
        <v>66.2</v>
      </c>
      <c r="M76" s="10" t="n">
        <v>16.6</v>
      </c>
      <c r="N76" s="45" t="n">
        <f aca="false">100-N77</f>
        <v>20.2292263610315</v>
      </c>
      <c r="O76" s="10" t="s">
        <v>294</v>
      </c>
      <c r="P76" s="10" t="n">
        <v>19.1</v>
      </c>
      <c r="Q76" s="10" t="n">
        <v>8.07</v>
      </c>
      <c r="R76" s="10" t="n">
        <v>3</v>
      </c>
      <c r="S76" s="10" t="n">
        <v>11.7</v>
      </c>
      <c r="T76" s="38" t="n">
        <f aca="false">68.2/2900*100</f>
        <v>2.35172413793103</v>
      </c>
      <c r="U76" s="9" t="s">
        <v>289</v>
      </c>
      <c r="V76" s="9"/>
      <c r="W76" s="9"/>
      <c r="X76" s="9"/>
      <c r="Y76" s="10" t="s">
        <v>186</v>
      </c>
      <c r="Z76" s="8"/>
      <c r="AA76" s="10" t="n">
        <v>22.9</v>
      </c>
      <c r="AB76" s="10" t="n">
        <v>8.3</v>
      </c>
      <c r="AC76" s="10" t="n">
        <v>1.9</v>
      </c>
      <c r="AD76" s="37"/>
      <c r="AE76" s="11" t="s">
        <v>189</v>
      </c>
      <c r="AF76" s="32" t="n">
        <f aca="false">70/5.3</f>
        <v>13.2075471698113</v>
      </c>
      <c r="AG76" s="11" t="s">
        <v>158</v>
      </c>
      <c r="AH76" s="11" t="s">
        <v>296</v>
      </c>
      <c r="AI76" s="11" t="s">
        <v>161</v>
      </c>
      <c r="AJ76" s="11" t="s">
        <v>291</v>
      </c>
      <c r="AK76" s="11" t="s">
        <v>163</v>
      </c>
      <c r="AL76" s="11" t="s">
        <v>158</v>
      </c>
      <c r="AM76" s="11" t="s">
        <v>158</v>
      </c>
      <c r="AN76" s="11" t="n">
        <v>96</v>
      </c>
      <c r="AO76" s="9" t="n">
        <v>96.3</v>
      </c>
      <c r="AP76" s="44" t="n">
        <f aca="false">300/2900*100</f>
        <v>10.3448275862069</v>
      </c>
      <c r="AQ76" s="9" t="s">
        <v>289</v>
      </c>
      <c r="AR76" s="25" t="s">
        <v>283</v>
      </c>
      <c r="AS76" s="9"/>
      <c r="AU76" s="11" t="s">
        <v>292</v>
      </c>
      <c r="AV76" s="24"/>
    </row>
    <row r="77" customFormat="false" ht="15" hidden="false" customHeight="false" outlineLevel="0" collapsed="false">
      <c r="A77" s="7" t="s">
        <v>21</v>
      </c>
      <c r="B77" s="8" t="s">
        <v>172</v>
      </c>
      <c r="C77" s="9" t="s">
        <v>278</v>
      </c>
      <c r="D77" s="9" t="s">
        <v>231</v>
      </c>
      <c r="E77" s="9" t="s">
        <v>288</v>
      </c>
      <c r="F77" s="9" t="s">
        <v>191</v>
      </c>
      <c r="G77" s="0" t="s">
        <v>231</v>
      </c>
      <c r="H77" s="0" t="s">
        <v>293</v>
      </c>
      <c r="I77" s="12" t="s">
        <v>167</v>
      </c>
      <c r="J77" s="9" t="s">
        <v>232</v>
      </c>
      <c r="K77" s="10" t="s">
        <v>168</v>
      </c>
      <c r="L77" s="29" t="n">
        <f aca="false">100-L76</f>
        <v>33.8</v>
      </c>
      <c r="M77" s="29" t="n">
        <f aca="false">100-M76</f>
        <v>83.4</v>
      </c>
      <c r="N77" s="29" t="n">
        <f aca="false">(P75-P76)/(P77-P76)*100</f>
        <v>79.7707736389685</v>
      </c>
      <c r="O77" s="10" t="s">
        <v>294</v>
      </c>
      <c r="P77" s="10" t="n">
        <v>1.65</v>
      </c>
      <c r="Q77" s="10" t="n">
        <v>7.88</v>
      </c>
      <c r="R77" s="10" t="n">
        <v>2</v>
      </c>
      <c r="S77" s="10" t="n">
        <v>6.22</v>
      </c>
      <c r="T77" s="38" t="n">
        <f aca="false">93.9/2900*100</f>
        <v>3.23793103448276</v>
      </c>
      <c r="U77" s="9" t="s">
        <v>289</v>
      </c>
      <c r="Y77" s="10" t="s">
        <v>168</v>
      </c>
      <c r="AA77" s="10" t="n">
        <v>1.25</v>
      </c>
      <c r="AB77" s="10" t="n">
        <v>8.07</v>
      </c>
      <c r="AC77" s="10" t="n">
        <v>1.9</v>
      </c>
      <c r="AD77" s="12" t="n">
        <v>2</v>
      </c>
      <c r="AE77" s="0" t="s">
        <v>189</v>
      </c>
      <c r="AF77" s="32" t="n">
        <f aca="false">70/1.9</f>
        <v>36.8421052631579</v>
      </c>
      <c r="AG77" s="0" t="s">
        <v>158</v>
      </c>
      <c r="AH77" s="0" t="s">
        <v>296</v>
      </c>
      <c r="AI77" s="0" t="s">
        <v>161</v>
      </c>
      <c r="AJ77" s="0" t="s">
        <v>291</v>
      </c>
      <c r="AK77" s="0" t="s">
        <v>163</v>
      </c>
      <c r="AL77" s="0" t="s">
        <v>158</v>
      </c>
      <c r="AM77" s="0" t="s">
        <v>158</v>
      </c>
      <c r="AN77" s="0" t="n">
        <v>96</v>
      </c>
      <c r="AO77" s="9" t="n">
        <v>23.8</v>
      </c>
      <c r="AP77" s="44" t="n">
        <f aca="false">339/2900*100</f>
        <v>11.6896551724138</v>
      </c>
      <c r="AQ77" s="9" t="s">
        <v>289</v>
      </c>
      <c r="AR77" s="25" t="s">
        <v>283</v>
      </c>
      <c r="AS77" s="9"/>
      <c r="AT77" s="27" t="s">
        <v>297</v>
      </c>
      <c r="AU77" s="0" t="s">
        <v>292</v>
      </c>
    </row>
    <row r="78" customFormat="false" ht="15" hidden="false" customHeight="true" outlineLevel="0" collapsed="false">
      <c r="A78" s="7" t="s">
        <v>23</v>
      </c>
      <c r="B78" s="8" t="s">
        <v>154</v>
      </c>
      <c r="G78" s="0" t="s">
        <v>298</v>
      </c>
      <c r="J78" s="9" t="s">
        <v>156</v>
      </c>
      <c r="K78" s="10" t="s">
        <v>157</v>
      </c>
      <c r="L78" s="11" t="s">
        <v>158</v>
      </c>
      <c r="M78" s="11" t="s">
        <v>158</v>
      </c>
      <c r="N78" s="0" t="s">
        <v>158</v>
      </c>
      <c r="V78" s="25"/>
      <c r="W78" s="25"/>
      <c r="X78" s="10"/>
      <c r="Y78" s="10" t="s">
        <v>157</v>
      </c>
      <c r="AA78" s="10" t="n">
        <v>11.3</v>
      </c>
      <c r="AB78" s="10" t="n">
        <v>7.2</v>
      </c>
      <c r="AC78" s="10" t="n">
        <v>1.3</v>
      </c>
      <c r="AD78" s="12" t="n">
        <v>1</v>
      </c>
      <c r="AE78" s="0" t="s">
        <v>159</v>
      </c>
      <c r="AF78" s="39"/>
      <c r="AG78" s="0" t="n">
        <v>25</v>
      </c>
      <c r="AH78" s="0" t="n">
        <v>25</v>
      </c>
      <c r="AI78" s="0" t="s">
        <v>191</v>
      </c>
      <c r="AJ78" s="0" t="s">
        <v>299</v>
      </c>
      <c r="AK78" s="0" t="s">
        <v>191</v>
      </c>
      <c r="AL78" s="0" t="n">
        <v>1.52</v>
      </c>
      <c r="AM78" s="0" t="s">
        <v>158</v>
      </c>
      <c r="AN78" s="0" t="n">
        <v>333</v>
      </c>
      <c r="AO78" s="9" t="n">
        <v>5.2</v>
      </c>
      <c r="AP78" s="9"/>
      <c r="AQ78" s="9" t="s">
        <v>192</v>
      </c>
      <c r="AR78" s="25" t="s">
        <v>300</v>
      </c>
      <c r="AS78" s="25"/>
      <c r="AT78" s="46" t="s">
        <v>301</v>
      </c>
      <c r="AU78" s="0" t="s">
        <v>302</v>
      </c>
    </row>
    <row r="79" customFormat="false" ht="15" hidden="false" customHeight="false" outlineLevel="0" collapsed="false">
      <c r="A79" s="7" t="s">
        <v>23</v>
      </c>
      <c r="B79" s="8" t="s">
        <v>154</v>
      </c>
      <c r="G79" s="0" t="s">
        <v>298</v>
      </c>
      <c r="H79" s="0" t="s">
        <v>303</v>
      </c>
      <c r="I79" s="12" t="s">
        <v>285</v>
      </c>
      <c r="J79" s="9" t="s">
        <v>156</v>
      </c>
      <c r="K79" s="10" t="s">
        <v>168</v>
      </c>
      <c r="L79" s="11" t="s">
        <v>158</v>
      </c>
      <c r="M79" s="11" t="s">
        <v>158</v>
      </c>
      <c r="N79" s="0" t="s">
        <v>158</v>
      </c>
      <c r="V79" s="25"/>
      <c r="W79" s="25"/>
      <c r="X79" s="10"/>
      <c r="Y79" s="10" t="s">
        <v>168</v>
      </c>
      <c r="AA79" s="10" t="n">
        <v>2.1</v>
      </c>
      <c r="AB79" s="10" t="n">
        <v>7.2</v>
      </c>
      <c r="AC79" s="10" t="n">
        <v>1.2</v>
      </c>
      <c r="AD79" s="12" t="n">
        <v>1</v>
      </c>
      <c r="AE79" s="0" t="s">
        <v>159</v>
      </c>
      <c r="AF79" s="39"/>
      <c r="AG79" s="0" t="n">
        <v>25</v>
      </c>
      <c r="AH79" s="0" t="n">
        <v>25</v>
      </c>
      <c r="AI79" s="0" t="s">
        <v>191</v>
      </c>
      <c r="AJ79" s="0" t="s">
        <v>299</v>
      </c>
      <c r="AK79" s="0" t="s">
        <v>191</v>
      </c>
      <c r="AL79" s="0" t="n">
        <v>1.52</v>
      </c>
      <c r="AM79" s="0" t="s">
        <v>158</v>
      </c>
      <c r="AN79" s="0" t="n">
        <v>333</v>
      </c>
      <c r="AO79" s="0" t="n">
        <v>0.2</v>
      </c>
      <c r="AQ79" s="0" t="s">
        <v>192</v>
      </c>
      <c r="AR79" s="25" t="s">
        <v>300</v>
      </c>
      <c r="AS79" s="25"/>
      <c r="AT79" s="46"/>
      <c r="AU79" s="0" t="s">
        <v>302</v>
      </c>
    </row>
    <row r="80" customFormat="false" ht="15" hidden="false" customHeight="false" outlineLevel="0" collapsed="false">
      <c r="A80" s="7" t="s">
        <v>25</v>
      </c>
      <c r="B80" s="8" t="s">
        <v>154</v>
      </c>
      <c r="G80" s="0" t="s">
        <v>279</v>
      </c>
      <c r="J80" s="9" t="s">
        <v>156</v>
      </c>
      <c r="K80" s="6" t="s">
        <v>157</v>
      </c>
      <c r="L80" s="7" t="s">
        <v>158</v>
      </c>
      <c r="M80" s="7" t="s">
        <v>158</v>
      </c>
      <c r="N80" s="7" t="s">
        <v>158</v>
      </c>
      <c r="O80" s="8"/>
      <c r="X80" s="10"/>
      <c r="Y80" s="6" t="s">
        <v>157</v>
      </c>
      <c r="Z80" s="6"/>
      <c r="AA80" s="10" t="n">
        <v>4.3</v>
      </c>
      <c r="AB80" s="10" t="n">
        <v>7.4</v>
      </c>
      <c r="AC80" s="10" t="n">
        <v>1.3</v>
      </c>
      <c r="AD80" s="12" t="n">
        <v>1</v>
      </c>
      <c r="AE80" s="0" t="s">
        <v>304</v>
      </c>
      <c r="AF80" s="39" t="s">
        <v>158</v>
      </c>
      <c r="AG80" s="0" t="s">
        <v>158</v>
      </c>
      <c r="AH80" s="0" t="s">
        <v>158</v>
      </c>
      <c r="AI80" s="0" t="s">
        <v>158</v>
      </c>
      <c r="AJ80" s="0" t="s">
        <v>305</v>
      </c>
      <c r="AK80" s="0" t="s">
        <v>191</v>
      </c>
      <c r="AL80" s="0" t="s">
        <v>158</v>
      </c>
      <c r="AM80" s="0" t="s">
        <v>158</v>
      </c>
      <c r="AN80" s="0" t="n">
        <v>168</v>
      </c>
      <c r="AO80" s="0" t="n">
        <v>11.3</v>
      </c>
      <c r="AQ80" s="0" t="s">
        <v>196</v>
      </c>
      <c r="AR80" s="25" t="s">
        <v>306</v>
      </c>
      <c r="AT80" s="12"/>
      <c r="AU80" s="12"/>
    </row>
    <row r="81" customFormat="false" ht="15" hidden="false" customHeight="false" outlineLevel="0" collapsed="false">
      <c r="A81" s="7" t="s">
        <v>25</v>
      </c>
      <c r="B81" s="8" t="s">
        <v>154</v>
      </c>
      <c r="G81" s="0" t="s">
        <v>279</v>
      </c>
      <c r="H81" s="0" t="s">
        <v>303</v>
      </c>
      <c r="I81" s="12" t="s">
        <v>285</v>
      </c>
      <c r="J81" s="9" t="s">
        <v>156</v>
      </c>
      <c r="K81" s="10" t="s">
        <v>168</v>
      </c>
      <c r="L81" s="7" t="s">
        <v>158</v>
      </c>
      <c r="M81" s="7" t="s">
        <v>158</v>
      </c>
      <c r="N81" s="7" t="s">
        <v>158</v>
      </c>
      <c r="O81" s="8"/>
      <c r="X81" s="10"/>
      <c r="Y81" s="10" t="s">
        <v>168</v>
      </c>
      <c r="Z81" s="6"/>
      <c r="AA81" s="10" t="n">
        <v>2.1</v>
      </c>
      <c r="AB81" s="10" t="n">
        <v>7.3</v>
      </c>
      <c r="AC81" s="10" t="n">
        <v>1.1</v>
      </c>
      <c r="AD81" s="12" t="n">
        <v>1</v>
      </c>
      <c r="AE81" s="0" t="s">
        <v>304</v>
      </c>
      <c r="AF81" s="39"/>
      <c r="AG81" s="0" t="s">
        <v>158</v>
      </c>
      <c r="AH81" s="0" t="s">
        <v>158</v>
      </c>
      <c r="AI81" s="0" t="s">
        <v>158</v>
      </c>
      <c r="AJ81" s="0" t="s">
        <v>305</v>
      </c>
      <c r="AK81" s="0" t="s">
        <v>191</v>
      </c>
      <c r="AL81" s="0" t="s">
        <v>158</v>
      </c>
      <c r="AM81" s="0" t="s">
        <v>158</v>
      </c>
      <c r="AN81" s="0" t="n">
        <v>169</v>
      </c>
      <c r="AO81" s="0" t="n">
        <v>13.3</v>
      </c>
      <c r="AQ81" s="0" t="s">
        <v>196</v>
      </c>
      <c r="AR81" s="25" t="s">
        <v>306</v>
      </c>
      <c r="AT81" s="47" t="s">
        <v>307</v>
      </c>
      <c r="AU81" s="12"/>
    </row>
    <row r="82" customFormat="false" ht="15" hidden="false" customHeight="true" outlineLevel="0" collapsed="false">
      <c r="A82" s="7" t="s">
        <v>27</v>
      </c>
      <c r="B82" s="8" t="s">
        <v>154</v>
      </c>
      <c r="G82" s="0" t="s">
        <v>308</v>
      </c>
      <c r="H82" s="12"/>
      <c r="I82" s="12"/>
      <c r="J82" s="9" t="s">
        <v>156</v>
      </c>
      <c r="K82" s="10" t="s">
        <v>157</v>
      </c>
      <c r="L82" s="11" t="s">
        <v>158</v>
      </c>
      <c r="M82" s="11" t="s">
        <v>158</v>
      </c>
      <c r="N82" s="0" t="s">
        <v>158</v>
      </c>
      <c r="S82" s="33"/>
      <c r="T82" s="33"/>
      <c r="X82" s="10"/>
      <c r="Y82" s="10" t="s">
        <v>157</v>
      </c>
      <c r="AA82" s="10" t="n">
        <v>8.7</v>
      </c>
      <c r="AB82" s="10" t="n">
        <v>7.6</v>
      </c>
      <c r="AC82" s="10" t="n">
        <v>3.5</v>
      </c>
      <c r="AD82" s="12" t="n">
        <v>1</v>
      </c>
      <c r="AE82" s="0" t="s">
        <v>189</v>
      </c>
      <c r="AF82" s="29" t="n">
        <f aca="false">75/AC82</f>
        <v>21.4285714285714</v>
      </c>
      <c r="AG82" s="0" t="s">
        <v>158</v>
      </c>
      <c r="AH82" s="0" t="s">
        <v>158</v>
      </c>
      <c r="AI82" s="0" t="s">
        <v>158</v>
      </c>
      <c r="AJ82" s="0" t="s">
        <v>309</v>
      </c>
      <c r="AK82" s="0" t="s">
        <v>163</v>
      </c>
      <c r="AL82" s="0" t="s">
        <v>158</v>
      </c>
      <c r="AM82" s="0" t="s">
        <v>158</v>
      </c>
      <c r="AN82" s="0" t="n">
        <v>101</v>
      </c>
      <c r="AO82" s="48" t="n">
        <f aca="false">14.34/(AF82*AC82)*100</f>
        <v>19.12</v>
      </c>
      <c r="AQ82" s="0" t="s">
        <v>310</v>
      </c>
      <c r="AR82" s="0" t="s">
        <v>311</v>
      </c>
      <c r="AT82" s="12"/>
      <c r="AU82" s="0" t="s">
        <v>312</v>
      </c>
      <c r="AW82" s="49"/>
      <c r="AY82" s="40"/>
      <c r="AZ82" s="40"/>
      <c r="BA82" s="40"/>
      <c r="BC82" s="40"/>
      <c r="BD82" s="40"/>
      <c r="BE82" s="40"/>
      <c r="BF82" s="40"/>
    </row>
    <row r="83" customFormat="false" ht="15" hidden="false" customHeight="false" outlineLevel="0" collapsed="false">
      <c r="A83" s="7" t="s">
        <v>27</v>
      </c>
      <c r="B83" s="8" t="s">
        <v>154</v>
      </c>
      <c r="G83" s="0" t="s">
        <v>308</v>
      </c>
      <c r="H83" s="12" t="s">
        <v>313</v>
      </c>
      <c r="I83" s="12" t="s">
        <v>285</v>
      </c>
      <c r="J83" s="9" t="s">
        <v>156</v>
      </c>
      <c r="K83" s="10" t="s">
        <v>168</v>
      </c>
      <c r="L83" s="11" t="s">
        <v>158</v>
      </c>
      <c r="M83" s="11" t="s">
        <v>158</v>
      </c>
      <c r="N83" s="0" t="s">
        <v>158</v>
      </c>
      <c r="S83" s="33"/>
      <c r="T83" s="33"/>
      <c r="X83" s="10"/>
      <c r="Y83" s="10" t="s">
        <v>168</v>
      </c>
      <c r="AA83" s="10" t="n">
        <v>8.1</v>
      </c>
      <c r="AB83" s="10" t="n">
        <v>7.6</v>
      </c>
      <c r="AC83" s="10" t="n">
        <v>3.6</v>
      </c>
      <c r="AD83" s="12" t="n">
        <v>1</v>
      </c>
      <c r="AE83" s="0" t="s">
        <v>189</v>
      </c>
      <c r="AF83" s="29" t="n">
        <f aca="false">75/AC83</f>
        <v>20.8333333333333</v>
      </c>
      <c r="AG83" s="0" t="s">
        <v>158</v>
      </c>
      <c r="AH83" s="0" t="s">
        <v>158</v>
      </c>
      <c r="AI83" s="0" t="s">
        <v>158</v>
      </c>
      <c r="AJ83" s="0" t="s">
        <v>309</v>
      </c>
      <c r="AK83" s="0" t="s">
        <v>163</v>
      </c>
      <c r="AL83" s="0" t="s">
        <v>158</v>
      </c>
      <c r="AM83" s="0" t="s">
        <v>158</v>
      </c>
      <c r="AN83" s="0" t="n">
        <v>101</v>
      </c>
      <c r="AO83" s="48" t="n">
        <f aca="false">10.05/(AF83*AC83)*100</f>
        <v>13.4</v>
      </c>
      <c r="AQ83" s="0" t="s">
        <v>314</v>
      </c>
      <c r="AR83" s="0" t="s">
        <v>311</v>
      </c>
      <c r="AT83" s="46" t="s">
        <v>315</v>
      </c>
      <c r="AU83" s="0" t="s">
        <v>312</v>
      </c>
      <c r="AW83" s="49"/>
      <c r="AY83" s="40"/>
      <c r="AZ83" s="40"/>
      <c r="BA83" s="40"/>
      <c r="BC83" s="40"/>
      <c r="BD83" s="40"/>
      <c r="BE83" s="40"/>
      <c r="BF83" s="40"/>
    </row>
    <row r="84" customFormat="false" ht="15" hidden="false" customHeight="false" outlineLevel="0" collapsed="false">
      <c r="A84" s="7" t="s">
        <v>27</v>
      </c>
      <c r="B84" s="8" t="s">
        <v>154</v>
      </c>
      <c r="G84" s="0" t="s">
        <v>308</v>
      </c>
      <c r="H84" s="12" t="s">
        <v>313</v>
      </c>
      <c r="I84" s="12" t="s">
        <v>285</v>
      </c>
      <c r="J84" s="9" t="s">
        <v>156</v>
      </c>
      <c r="K84" s="10" t="s">
        <v>168</v>
      </c>
      <c r="L84" s="11" t="s">
        <v>158</v>
      </c>
      <c r="M84" s="11" t="s">
        <v>158</v>
      </c>
      <c r="N84" s="0" t="s">
        <v>158</v>
      </c>
      <c r="S84" s="33"/>
      <c r="T84" s="33"/>
      <c r="X84" s="10"/>
      <c r="Y84" s="10" t="s">
        <v>168</v>
      </c>
      <c r="AA84" s="10" t="n">
        <v>7.8</v>
      </c>
      <c r="AB84" s="10" t="n">
        <v>7.6</v>
      </c>
      <c r="AC84" s="10" t="n">
        <v>3.6</v>
      </c>
      <c r="AD84" s="12" t="n">
        <v>1</v>
      </c>
      <c r="AE84" s="0" t="s">
        <v>189</v>
      </c>
      <c r="AF84" s="29" t="n">
        <f aca="false">75/AC84</f>
        <v>20.8333333333333</v>
      </c>
      <c r="AG84" s="0" t="s">
        <v>158</v>
      </c>
      <c r="AH84" s="0" t="s">
        <v>158</v>
      </c>
      <c r="AI84" s="0" t="s">
        <v>158</v>
      </c>
      <c r="AJ84" s="0" t="s">
        <v>309</v>
      </c>
      <c r="AK84" s="0" t="s">
        <v>163</v>
      </c>
      <c r="AL84" s="0" t="s">
        <v>158</v>
      </c>
      <c r="AM84" s="0" t="s">
        <v>158</v>
      </c>
      <c r="AN84" s="0" t="n">
        <v>101</v>
      </c>
      <c r="AO84" s="48" t="n">
        <f aca="false">8.66/(AF84*AC84)*100</f>
        <v>11.5466666666667</v>
      </c>
      <c r="AQ84" s="0" t="s">
        <v>314</v>
      </c>
      <c r="AR84" s="0" t="s">
        <v>311</v>
      </c>
      <c r="AT84" s="46" t="s">
        <v>215</v>
      </c>
      <c r="AU84" s="0" t="s">
        <v>312</v>
      </c>
      <c r="AW84" s="49"/>
      <c r="AY84" s="40"/>
      <c r="AZ84" s="40"/>
      <c r="BA84" s="40"/>
      <c r="BC84" s="40"/>
      <c r="BD84" s="40"/>
      <c r="BE84" s="40"/>
      <c r="BF84" s="40"/>
    </row>
    <row r="85" customFormat="false" ht="15" hidden="false" customHeight="false" outlineLevel="0" collapsed="false">
      <c r="A85" s="7" t="s">
        <v>27</v>
      </c>
      <c r="B85" s="8" t="s">
        <v>154</v>
      </c>
      <c r="G85" s="0" t="s">
        <v>308</v>
      </c>
      <c r="H85" s="12" t="s">
        <v>313</v>
      </c>
      <c r="I85" s="12" t="s">
        <v>285</v>
      </c>
      <c r="J85" s="9" t="s">
        <v>156</v>
      </c>
      <c r="K85" s="10" t="s">
        <v>168</v>
      </c>
      <c r="L85" s="11" t="s">
        <v>158</v>
      </c>
      <c r="M85" s="11" t="s">
        <v>158</v>
      </c>
      <c r="N85" s="0" t="s">
        <v>158</v>
      </c>
      <c r="S85" s="33"/>
      <c r="T85" s="33"/>
      <c r="X85" s="10"/>
      <c r="Y85" s="10" t="s">
        <v>168</v>
      </c>
      <c r="AA85" s="10" t="n">
        <v>6.5</v>
      </c>
      <c r="AB85" s="10" t="n">
        <v>7.6</v>
      </c>
      <c r="AC85" s="10" t="n">
        <v>3.6</v>
      </c>
      <c r="AD85" s="12" t="n">
        <v>1</v>
      </c>
      <c r="AE85" s="0" t="s">
        <v>189</v>
      </c>
      <c r="AF85" s="29" t="n">
        <f aca="false">75/AC85</f>
        <v>20.8333333333333</v>
      </c>
      <c r="AG85" s="0" t="s">
        <v>158</v>
      </c>
      <c r="AH85" s="0" t="s">
        <v>158</v>
      </c>
      <c r="AI85" s="0" t="s">
        <v>158</v>
      </c>
      <c r="AJ85" s="0" t="s">
        <v>309</v>
      </c>
      <c r="AK85" s="0" t="s">
        <v>163</v>
      </c>
      <c r="AL85" s="0" t="s">
        <v>158</v>
      </c>
      <c r="AM85" s="0" t="s">
        <v>158</v>
      </c>
      <c r="AN85" s="0" t="n">
        <v>101</v>
      </c>
      <c r="AO85" s="48" t="n">
        <f aca="false">7.42/(AF85*AC85)*100</f>
        <v>9.89333333333333</v>
      </c>
      <c r="AQ85" s="0" t="s">
        <v>314</v>
      </c>
      <c r="AR85" s="0" t="s">
        <v>311</v>
      </c>
      <c r="AT85" s="46" t="s">
        <v>316</v>
      </c>
      <c r="AU85" s="0" t="s">
        <v>312</v>
      </c>
      <c r="AW85" s="49"/>
      <c r="AY85" s="40"/>
      <c r="AZ85" s="40"/>
      <c r="BA85" s="40"/>
      <c r="BC85" s="40"/>
      <c r="BD85" s="40"/>
      <c r="BE85" s="40"/>
      <c r="BF85" s="40"/>
    </row>
    <row r="86" customFormat="false" ht="15" hidden="false" customHeight="false" outlineLevel="0" collapsed="false">
      <c r="A86" s="7" t="s">
        <v>27</v>
      </c>
      <c r="B86" s="8" t="s">
        <v>154</v>
      </c>
      <c r="G86" s="0" t="s">
        <v>308</v>
      </c>
      <c r="H86" s="12" t="s">
        <v>313</v>
      </c>
      <c r="I86" s="12" t="s">
        <v>285</v>
      </c>
      <c r="J86" s="9" t="s">
        <v>156</v>
      </c>
      <c r="K86" s="10" t="s">
        <v>168</v>
      </c>
      <c r="L86" s="11" t="s">
        <v>158</v>
      </c>
      <c r="M86" s="11" t="s">
        <v>158</v>
      </c>
      <c r="N86" s="0" t="s">
        <v>158</v>
      </c>
      <c r="S86" s="33"/>
      <c r="T86" s="33"/>
      <c r="X86" s="10"/>
      <c r="Y86" s="10" t="s">
        <v>168</v>
      </c>
      <c r="AA86" s="10" t="n">
        <v>5.8</v>
      </c>
      <c r="AB86" s="10" t="n">
        <v>7.6</v>
      </c>
      <c r="AC86" s="10" t="n">
        <v>3.6</v>
      </c>
      <c r="AD86" s="12" t="n">
        <v>1</v>
      </c>
      <c r="AE86" s="0" t="s">
        <v>189</v>
      </c>
      <c r="AF86" s="29" t="n">
        <f aca="false">75/AC86</f>
        <v>20.8333333333333</v>
      </c>
      <c r="AG86" s="0" t="s">
        <v>158</v>
      </c>
      <c r="AH86" s="0" t="s">
        <v>158</v>
      </c>
      <c r="AI86" s="0" t="s">
        <v>158</v>
      </c>
      <c r="AJ86" s="0" t="s">
        <v>309</v>
      </c>
      <c r="AK86" s="0" t="s">
        <v>163</v>
      </c>
      <c r="AL86" s="0" t="s">
        <v>158</v>
      </c>
      <c r="AM86" s="0" t="s">
        <v>158</v>
      </c>
      <c r="AN86" s="0" t="n">
        <v>101</v>
      </c>
      <c r="AO86" s="48" t="n">
        <f aca="false">5.03/(AF86*AC86)*100</f>
        <v>6.70666666666667</v>
      </c>
      <c r="AQ86" s="0" t="s">
        <v>314</v>
      </c>
      <c r="AR86" s="0" t="s">
        <v>311</v>
      </c>
      <c r="AT86" s="46" t="s">
        <v>317</v>
      </c>
      <c r="AU86" s="0" t="s">
        <v>312</v>
      </c>
      <c r="AW86" s="49"/>
      <c r="AY86" s="40"/>
      <c r="AZ86" s="40"/>
      <c r="BA86" s="40"/>
      <c r="BC86" s="40"/>
      <c r="BD86" s="40"/>
      <c r="BE86" s="40"/>
      <c r="BF86" s="40"/>
    </row>
    <row r="87" customFormat="false" ht="15" hidden="false" customHeight="false" outlineLevel="0" collapsed="false">
      <c r="A87" s="7" t="s">
        <v>27</v>
      </c>
      <c r="B87" s="8" t="s">
        <v>154</v>
      </c>
      <c r="G87" s="0" t="s">
        <v>308</v>
      </c>
      <c r="H87" s="12"/>
      <c r="I87" s="12"/>
      <c r="J87" s="9" t="s">
        <v>156</v>
      </c>
      <c r="K87" s="10" t="s">
        <v>157</v>
      </c>
      <c r="L87" s="11" t="s">
        <v>158</v>
      </c>
      <c r="M87" s="11" t="s">
        <v>158</v>
      </c>
      <c r="N87" s="0" t="s">
        <v>158</v>
      </c>
      <c r="S87" s="33"/>
      <c r="T87" s="33"/>
      <c r="X87" s="10"/>
      <c r="Y87" s="10" t="s">
        <v>157</v>
      </c>
      <c r="AA87" s="10" t="n">
        <v>9.3</v>
      </c>
      <c r="AB87" s="10" t="n">
        <v>7.4</v>
      </c>
      <c r="AC87" s="10" t="n">
        <v>3.6</v>
      </c>
      <c r="AD87" s="12" t="n">
        <v>2</v>
      </c>
      <c r="AE87" s="0" t="s">
        <v>189</v>
      </c>
      <c r="AF87" s="29" t="n">
        <f aca="false">75/AC87</f>
        <v>20.8333333333333</v>
      </c>
      <c r="AG87" s="0" t="s">
        <v>158</v>
      </c>
      <c r="AH87" s="0" t="s">
        <v>158</v>
      </c>
      <c r="AI87" s="0" t="s">
        <v>158</v>
      </c>
      <c r="AJ87" s="0" t="s">
        <v>309</v>
      </c>
      <c r="AK87" s="0" t="s">
        <v>163</v>
      </c>
      <c r="AL87" s="0" t="s">
        <v>158</v>
      </c>
      <c r="AM87" s="0" t="s">
        <v>158</v>
      </c>
      <c r="AN87" s="0" t="n">
        <v>101</v>
      </c>
      <c r="AO87" s="48" t="n">
        <f aca="false">17.33/(AF87*AC87)*100</f>
        <v>23.1066666666667</v>
      </c>
      <c r="AQ87" s="0" t="s">
        <v>314</v>
      </c>
      <c r="AR87" s="0" t="s">
        <v>311</v>
      </c>
      <c r="AT87" s="12"/>
      <c r="AU87" s="0" t="s">
        <v>312</v>
      </c>
      <c r="AW87" s="49"/>
      <c r="AY87" s="40"/>
      <c r="AZ87" s="40"/>
      <c r="BA87" s="40"/>
      <c r="BC87" s="40"/>
      <c r="BD87" s="40"/>
      <c r="BE87" s="40"/>
      <c r="BF87" s="40"/>
    </row>
    <row r="88" customFormat="false" ht="15" hidden="false" customHeight="false" outlineLevel="0" collapsed="false">
      <c r="A88" s="7" t="s">
        <v>27</v>
      </c>
      <c r="B88" s="8" t="s">
        <v>154</v>
      </c>
      <c r="G88" s="0" t="s">
        <v>308</v>
      </c>
      <c r="H88" s="12" t="s">
        <v>313</v>
      </c>
      <c r="I88" s="12" t="s">
        <v>285</v>
      </c>
      <c r="J88" s="9" t="s">
        <v>156</v>
      </c>
      <c r="K88" s="10" t="s">
        <v>168</v>
      </c>
      <c r="L88" s="11" t="s">
        <v>158</v>
      </c>
      <c r="M88" s="11" t="s">
        <v>158</v>
      </c>
      <c r="N88" s="0" t="s">
        <v>158</v>
      </c>
      <c r="S88" s="33"/>
      <c r="T88" s="33"/>
      <c r="X88" s="10"/>
      <c r="Y88" s="10" t="s">
        <v>168</v>
      </c>
      <c r="AA88" s="10" t="n">
        <v>8.3</v>
      </c>
      <c r="AB88" s="10" t="n">
        <v>7.7</v>
      </c>
      <c r="AC88" s="10" t="n">
        <v>3.5</v>
      </c>
      <c r="AD88" s="12" t="n">
        <v>2</v>
      </c>
      <c r="AE88" s="0" t="s">
        <v>189</v>
      </c>
      <c r="AF88" s="29" t="n">
        <f aca="false">75/AC88</f>
        <v>21.4285714285714</v>
      </c>
      <c r="AG88" s="0" t="s">
        <v>158</v>
      </c>
      <c r="AH88" s="0" t="s">
        <v>158</v>
      </c>
      <c r="AI88" s="0" t="s">
        <v>158</v>
      </c>
      <c r="AJ88" s="0" t="s">
        <v>309</v>
      </c>
      <c r="AK88" s="0" t="s">
        <v>163</v>
      </c>
      <c r="AL88" s="0" t="s">
        <v>158</v>
      </c>
      <c r="AM88" s="0" t="s">
        <v>158</v>
      </c>
      <c r="AN88" s="0" t="n">
        <v>101</v>
      </c>
      <c r="AO88" s="48" t="n">
        <f aca="false">17.81/(AF88*AC88)*100</f>
        <v>23.7466666666667</v>
      </c>
      <c r="AQ88" s="0" t="s">
        <v>314</v>
      </c>
      <c r="AR88" s="0" t="s">
        <v>311</v>
      </c>
      <c r="AT88" s="47" t="s">
        <v>318</v>
      </c>
      <c r="AU88" s="0" t="s">
        <v>312</v>
      </c>
      <c r="AW88" s="49"/>
      <c r="AY88" s="40"/>
      <c r="AZ88" s="40"/>
      <c r="BA88" s="40"/>
      <c r="BC88" s="40"/>
      <c r="BD88" s="40"/>
      <c r="BE88" s="40"/>
      <c r="BF88" s="40"/>
    </row>
    <row r="89" customFormat="false" ht="15" hidden="false" customHeight="false" outlineLevel="0" collapsed="false">
      <c r="A89" s="7" t="s">
        <v>27</v>
      </c>
      <c r="B89" s="8" t="s">
        <v>154</v>
      </c>
      <c r="G89" s="0" t="s">
        <v>308</v>
      </c>
      <c r="H89" s="12" t="s">
        <v>313</v>
      </c>
      <c r="I89" s="12" t="s">
        <v>285</v>
      </c>
      <c r="J89" s="9" t="s">
        <v>156</v>
      </c>
      <c r="K89" s="10" t="s">
        <v>168</v>
      </c>
      <c r="L89" s="11" t="s">
        <v>158</v>
      </c>
      <c r="M89" s="11" t="s">
        <v>158</v>
      </c>
      <c r="N89" s="0" t="s">
        <v>158</v>
      </c>
      <c r="S89" s="33"/>
      <c r="T89" s="33"/>
      <c r="X89" s="10"/>
      <c r="Y89" s="10" t="s">
        <v>168</v>
      </c>
      <c r="AA89" s="10" t="n">
        <v>7.7</v>
      </c>
      <c r="AB89" s="10" t="n">
        <v>7.5</v>
      </c>
      <c r="AC89" s="10" t="n">
        <v>3.6</v>
      </c>
      <c r="AD89" s="12" t="n">
        <v>2</v>
      </c>
      <c r="AE89" s="0" t="s">
        <v>189</v>
      </c>
      <c r="AF89" s="29" t="n">
        <f aca="false">75/AC89</f>
        <v>20.8333333333333</v>
      </c>
      <c r="AG89" s="0" t="s">
        <v>158</v>
      </c>
      <c r="AH89" s="0" t="s">
        <v>158</v>
      </c>
      <c r="AI89" s="0" t="s">
        <v>158</v>
      </c>
      <c r="AJ89" s="0" t="s">
        <v>309</v>
      </c>
      <c r="AK89" s="0" t="s">
        <v>163</v>
      </c>
      <c r="AL89" s="0" t="s">
        <v>158</v>
      </c>
      <c r="AM89" s="0" t="s">
        <v>158</v>
      </c>
      <c r="AN89" s="0" t="n">
        <v>101</v>
      </c>
      <c r="AO89" s="48" t="n">
        <f aca="false">16.38/(AF89*AC89)*100</f>
        <v>21.84</v>
      </c>
      <c r="AQ89" s="0" t="s">
        <v>314</v>
      </c>
      <c r="AR89" s="0" t="s">
        <v>311</v>
      </c>
      <c r="AT89" s="46" t="s">
        <v>319</v>
      </c>
      <c r="AU89" s="0" t="s">
        <v>312</v>
      </c>
      <c r="AW89" s="49"/>
      <c r="AY89" s="40"/>
      <c r="AZ89" s="40"/>
      <c r="BA89" s="40"/>
      <c r="BC89" s="40"/>
      <c r="BD89" s="40"/>
      <c r="BE89" s="40"/>
      <c r="BF89" s="40"/>
    </row>
    <row r="90" customFormat="false" ht="15" hidden="false" customHeight="false" outlineLevel="0" collapsed="false">
      <c r="A90" s="7" t="s">
        <v>27</v>
      </c>
      <c r="B90" s="8" t="s">
        <v>154</v>
      </c>
      <c r="G90" s="0" t="s">
        <v>308</v>
      </c>
      <c r="H90" s="12" t="s">
        <v>313</v>
      </c>
      <c r="I90" s="12" t="s">
        <v>285</v>
      </c>
      <c r="J90" s="9" t="s">
        <v>156</v>
      </c>
      <c r="K90" s="10" t="s">
        <v>168</v>
      </c>
      <c r="L90" s="11" t="s">
        <v>158</v>
      </c>
      <c r="M90" s="11" t="s">
        <v>158</v>
      </c>
      <c r="N90" s="0" t="s">
        <v>158</v>
      </c>
      <c r="S90" s="33"/>
      <c r="T90" s="33"/>
      <c r="X90" s="10"/>
      <c r="Y90" s="10" t="s">
        <v>168</v>
      </c>
      <c r="AA90" s="10" t="n">
        <v>6.9</v>
      </c>
      <c r="AB90" s="10" t="n">
        <v>7.7</v>
      </c>
      <c r="AC90" s="10" t="n">
        <v>3.7</v>
      </c>
      <c r="AD90" s="12" t="n">
        <v>2</v>
      </c>
      <c r="AE90" s="0" t="s">
        <v>189</v>
      </c>
      <c r="AF90" s="29" t="n">
        <f aca="false">75/AC90</f>
        <v>20.2702702702703</v>
      </c>
      <c r="AG90" s="0" t="s">
        <v>158</v>
      </c>
      <c r="AH90" s="0" t="s">
        <v>158</v>
      </c>
      <c r="AI90" s="0" t="s">
        <v>158</v>
      </c>
      <c r="AJ90" s="0" t="s">
        <v>309</v>
      </c>
      <c r="AK90" s="0" t="s">
        <v>163</v>
      </c>
      <c r="AL90" s="0" t="s">
        <v>158</v>
      </c>
      <c r="AM90" s="0" t="s">
        <v>158</v>
      </c>
      <c r="AN90" s="0" t="n">
        <v>101</v>
      </c>
      <c r="AO90" s="48" t="n">
        <f aca="false">11.41/(AF90*AC90)*100</f>
        <v>15.2133333333333</v>
      </c>
      <c r="AQ90" s="0" t="s">
        <v>314</v>
      </c>
      <c r="AR90" s="0" t="s">
        <v>311</v>
      </c>
      <c r="AT90" s="46" t="s">
        <v>320</v>
      </c>
      <c r="AU90" s="0" t="s">
        <v>312</v>
      </c>
      <c r="AW90" s="49"/>
      <c r="AY90" s="40"/>
      <c r="AZ90" s="40"/>
      <c r="BA90" s="40"/>
      <c r="BC90" s="40"/>
      <c r="BD90" s="40"/>
      <c r="BE90" s="40"/>
      <c r="BF90" s="40"/>
    </row>
    <row r="91" customFormat="false" ht="15" hidden="false" customHeight="false" outlineLevel="0" collapsed="false">
      <c r="A91" s="7" t="s">
        <v>27</v>
      </c>
      <c r="B91" s="8" t="s">
        <v>154</v>
      </c>
      <c r="G91" s="0" t="s">
        <v>308</v>
      </c>
      <c r="H91" s="12" t="s">
        <v>313</v>
      </c>
      <c r="I91" s="12" t="s">
        <v>285</v>
      </c>
      <c r="J91" s="9" t="s">
        <v>156</v>
      </c>
      <c r="K91" s="10" t="s">
        <v>168</v>
      </c>
      <c r="L91" s="11" t="s">
        <v>158</v>
      </c>
      <c r="M91" s="11" t="s">
        <v>158</v>
      </c>
      <c r="N91" s="0" t="s">
        <v>158</v>
      </c>
      <c r="S91" s="33"/>
      <c r="T91" s="33"/>
      <c r="X91" s="10"/>
      <c r="Y91" s="10" t="s">
        <v>168</v>
      </c>
      <c r="AA91" s="10" t="n">
        <v>5.8</v>
      </c>
      <c r="AB91" s="10" t="n">
        <v>7.8</v>
      </c>
      <c r="AC91" s="10" t="n">
        <v>3.7</v>
      </c>
      <c r="AD91" s="12" t="n">
        <v>2</v>
      </c>
      <c r="AE91" s="0" t="s">
        <v>189</v>
      </c>
      <c r="AF91" s="29" t="n">
        <f aca="false">75/AC91</f>
        <v>20.2702702702703</v>
      </c>
      <c r="AG91" s="0" t="s">
        <v>158</v>
      </c>
      <c r="AH91" s="0" t="s">
        <v>158</v>
      </c>
      <c r="AI91" s="0" t="s">
        <v>158</v>
      </c>
      <c r="AJ91" s="0" t="s">
        <v>309</v>
      </c>
      <c r="AK91" s="0" t="s">
        <v>163</v>
      </c>
      <c r="AL91" s="0" t="s">
        <v>158</v>
      </c>
      <c r="AM91" s="0" t="s">
        <v>158</v>
      </c>
      <c r="AN91" s="0" t="n">
        <v>101</v>
      </c>
      <c r="AO91" s="48" t="n">
        <f aca="false">10.31/(AF91*AC91)*100</f>
        <v>13.7466666666667</v>
      </c>
      <c r="AQ91" s="0" t="s">
        <v>314</v>
      </c>
      <c r="AR91" s="0" t="s">
        <v>311</v>
      </c>
      <c r="AT91" s="46" t="s">
        <v>321</v>
      </c>
      <c r="AU91" s="0" t="s">
        <v>312</v>
      </c>
      <c r="AW91" s="49"/>
      <c r="AY91" s="40"/>
      <c r="AZ91" s="40"/>
      <c r="BA91" s="40"/>
      <c r="BC91" s="40"/>
      <c r="BD91" s="40"/>
      <c r="BE91" s="40"/>
      <c r="BF91" s="40"/>
    </row>
    <row r="92" customFormat="false" ht="15" hidden="false" customHeight="false" outlineLevel="0" collapsed="false">
      <c r="A92" s="7" t="s">
        <v>27</v>
      </c>
      <c r="B92" s="8" t="s">
        <v>154</v>
      </c>
      <c r="G92" s="0" t="s">
        <v>308</v>
      </c>
      <c r="H92" s="12"/>
      <c r="I92" s="12"/>
      <c r="J92" s="9" t="s">
        <v>156</v>
      </c>
      <c r="K92" s="10" t="s">
        <v>157</v>
      </c>
      <c r="L92" s="11" t="s">
        <v>158</v>
      </c>
      <c r="M92" s="11" t="s">
        <v>158</v>
      </c>
      <c r="N92" s="0" t="s">
        <v>158</v>
      </c>
      <c r="S92" s="33"/>
      <c r="T92" s="33"/>
      <c r="X92" s="10"/>
      <c r="Y92" s="10" t="s">
        <v>157</v>
      </c>
      <c r="AA92" s="10" t="n">
        <v>9.4</v>
      </c>
      <c r="AB92" s="10" t="n">
        <v>7.2</v>
      </c>
      <c r="AC92" s="10" t="n">
        <v>3</v>
      </c>
      <c r="AD92" s="12" t="n">
        <v>3</v>
      </c>
      <c r="AE92" s="0" t="s">
        <v>189</v>
      </c>
      <c r="AF92" s="29" t="n">
        <f aca="false">75/AC92</f>
        <v>25</v>
      </c>
      <c r="AG92" s="0" t="s">
        <v>158</v>
      </c>
      <c r="AH92" s="0" t="s">
        <v>158</v>
      </c>
      <c r="AI92" s="0" t="s">
        <v>158</v>
      </c>
      <c r="AJ92" s="0" t="s">
        <v>309</v>
      </c>
      <c r="AK92" s="0" t="s">
        <v>163</v>
      </c>
      <c r="AL92" s="0" t="s">
        <v>158</v>
      </c>
      <c r="AM92" s="0" t="s">
        <v>158</v>
      </c>
      <c r="AN92" s="0" t="n">
        <v>101</v>
      </c>
      <c r="AO92" s="48" t="n">
        <f aca="false">9.67/(AF92*AC92)*100</f>
        <v>12.8933333333333</v>
      </c>
      <c r="AQ92" s="0" t="s">
        <v>314</v>
      </c>
      <c r="AR92" s="0" t="s">
        <v>311</v>
      </c>
      <c r="AT92" s="12"/>
      <c r="AU92" s="0" t="s">
        <v>312</v>
      </c>
      <c r="AW92" s="49"/>
      <c r="AY92" s="40"/>
      <c r="AZ92" s="40"/>
      <c r="BA92" s="40"/>
      <c r="BC92" s="40"/>
      <c r="BD92" s="40"/>
      <c r="BE92" s="40"/>
      <c r="BF92" s="40"/>
    </row>
    <row r="93" customFormat="false" ht="15" hidden="false" customHeight="false" outlineLevel="0" collapsed="false">
      <c r="A93" s="7" t="s">
        <v>27</v>
      </c>
      <c r="B93" s="8" t="s">
        <v>154</v>
      </c>
      <c r="G93" s="0" t="s">
        <v>308</v>
      </c>
      <c r="H93" s="12" t="s">
        <v>313</v>
      </c>
      <c r="I93" s="12" t="s">
        <v>285</v>
      </c>
      <c r="J93" s="9" t="s">
        <v>156</v>
      </c>
      <c r="K93" s="10" t="s">
        <v>168</v>
      </c>
      <c r="L93" s="11" t="s">
        <v>158</v>
      </c>
      <c r="M93" s="11" t="s">
        <v>158</v>
      </c>
      <c r="N93" s="0" t="s">
        <v>158</v>
      </c>
      <c r="S93" s="33"/>
      <c r="T93" s="33"/>
      <c r="X93" s="10"/>
      <c r="Y93" s="10" t="s">
        <v>168</v>
      </c>
      <c r="AA93" s="10" t="n">
        <v>8.4</v>
      </c>
      <c r="AB93" s="10" t="n">
        <v>7.2</v>
      </c>
      <c r="AC93" s="10" t="n">
        <v>3</v>
      </c>
      <c r="AD93" s="12" t="n">
        <v>3</v>
      </c>
      <c r="AE93" s="0" t="s">
        <v>189</v>
      </c>
      <c r="AF93" s="29" t="n">
        <f aca="false">75/AC93</f>
        <v>25</v>
      </c>
      <c r="AG93" s="0" t="s">
        <v>158</v>
      </c>
      <c r="AH93" s="0" t="s">
        <v>158</v>
      </c>
      <c r="AI93" s="0" t="s">
        <v>158</v>
      </c>
      <c r="AJ93" s="0" t="s">
        <v>309</v>
      </c>
      <c r="AK93" s="0" t="s">
        <v>163</v>
      </c>
      <c r="AL93" s="0" t="s">
        <v>158</v>
      </c>
      <c r="AM93" s="0" t="s">
        <v>158</v>
      </c>
      <c r="AN93" s="0" t="n">
        <v>101</v>
      </c>
      <c r="AO93" s="48" t="n">
        <f aca="false">5.14/(AF93*AC93)*100</f>
        <v>6.85333333333333</v>
      </c>
      <c r="AQ93" s="0" t="s">
        <v>314</v>
      </c>
      <c r="AR93" s="0" t="s">
        <v>311</v>
      </c>
      <c r="AT93" s="46" t="s">
        <v>322</v>
      </c>
      <c r="AU93" s="0" t="s">
        <v>312</v>
      </c>
      <c r="AW93" s="49"/>
      <c r="AY93" s="40"/>
      <c r="AZ93" s="40"/>
      <c r="BA93" s="40"/>
      <c r="BC93" s="40"/>
      <c r="BD93" s="40"/>
      <c r="BE93" s="40"/>
      <c r="BF93" s="40"/>
    </row>
    <row r="94" customFormat="false" ht="15" hidden="false" customHeight="false" outlineLevel="0" collapsed="false">
      <c r="A94" s="7" t="s">
        <v>27</v>
      </c>
      <c r="B94" s="8" t="s">
        <v>154</v>
      </c>
      <c r="G94" s="0" t="s">
        <v>308</v>
      </c>
      <c r="H94" s="12" t="s">
        <v>313</v>
      </c>
      <c r="I94" s="12" t="s">
        <v>285</v>
      </c>
      <c r="J94" s="9" t="s">
        <v>156</v>
      </c>
      <c r="K94" s="10" t="s">
        <v>168</v>
      </c>
      <c r="L94" s="11" t="s">
        <v>158</v>
      </c>
      <c r="M94" s="11" t="s">
        <v>158</v>
      </c>
      <c r="N94" s="0" t="s">
        <v>158</v>
      </c>
      <c r="S94" s="33"/>
      <c r="T94" s="33"/>
      <c r="X94" s="10"/>
      <c r="Y94" s="10" t="s">
        <v>168</v>
      </c>
      <c r="AA94" s="10" t="n">
        <v>8</v>
      </c>
      <c r="AB94" s="10" t="n">
        <v>7.2</v>
      </c>
      <c r="AC94" s="10" t="n">
        <v>3</v>
      </c>
      <c r="AD94" s="12" t="n">
        <v>3</v>
      </c>
      <c r="AE94" s="0" t="s">
        <v>189</v>
      </c>
      <c r="AF94" s="29" t="n">
        <f aca="false">75/AC94</f>
        <v>25</v>
      </c>
      <c r="AG94" s="0" t="s">
        <v>158</v>
      </c>
      <c r="AH94" s="0" t="s">
        <v>158</v>
      </c>
      <c r="AI94" s="0" t="s">
        <v>158</v>
      </c>
      <c r="AJ94" s="0" t="s">
        <v>309</v>
      </c>
      <c r="AK94" s="0" t="s">
        <v>163</v>
      </c>
      <c r="AL94" s="0" t="s">
        <v>158</v>
      </c>
      <c r="AM94" s="0" t="s">
        <v>158</v>
      </c>
      <c r="AN94" s="0" t="n">
        <v>101</v>
      </c>
      <c r="AO94" s="48" t="n">
        <f aca="false">5.53/(AF94*AC94)*100</f>
        <v>7.37333333333333</v>
      </c>
      <c r="AQ94" s="0" t="s">
        <v>314</v>
      </c>
      <c r="AR94" s="0" t="s">
        <v>311</v>
      </c>
      <c r="AT94" s="46" t="s">
        <v>323</v>
      </c>
      <c r="AU94" s="0" t="s">
        <v>312</v>
      </c>
      <c r="AW94" s="49"/>
      <c r="AY94" s="40"/>
      <c r="AZ94" s="40"/>
      <c r="BA94" s="40"/>
      <c r="BC94" s="40"/>
      <c r="BD94" s="40"/>
      <c r="BE94" s="40"/>
      <c r="BF94" s="40"/>
    </row>
    <row r="95" customFormat="false" ht="15" hidden="false" customHeight="false" outlineLevel="0" collapsed="false">
      <c r="A95" s="7" t="s">
        <v>27</v>
      </c>
      <c r="B95" s="8" t="s">
        <v>154</v>
      </c>
      <c r="G95" s="0" t="s">
        <v>308</v>
      </c>
      <c r="H95" s="12" t="s">
        <v>313</v>
      </c>
      <c r="I95" s="12" t="s">
        <v>285</v>
      </c>
      <c r="J95" s="9" t="s">
        <v>156</v>
      </c>
      <c r="K95" s="10" t="s">
        <v>168</v>
      </c>
      <c r="L95" s="11" t="s">
        <v>158</v>
      </c>
      <c r="M95" s="11" t="s">
        <v>158</v>
      </c>
      <c r="N95" s="0" t="s">
        <v>158</v>
      </c>
      <c r="S95" s="33"/>
      <c r="T95" s="33"/>
      <c r="X95" s="10"/>
      <c r="Y95" s="10" t="s">
        <v>168</v>
      </c>
      <c r="AA95" s="10" t="n">
        <v>6.8</v>
      </c>
      <c r="AB95" s="10" t="n">
        <v>7.3</v>
      </c>
      <c r="AC95" s="10" t="n">
        <v>3</v>
      </c>
      <c r="AD95" s="12" t="n">
        <v>3</v>
      </c>
      <c r="AE95" s="0" t="s">
        <v>189</v>
      </c>
      <c r="AF95" s="29" t="n">
        <f aca="false">75/AC95</f>
        <v>25</v>
      </c>
      <c r="AG95" s="0" t="s">
        <v>158</v>
      </c>
      <c r="AH95" s="0" t="s">
        <v>158</v>
      </c>
      <c r="AI95" s="0" t="s">
        <v>158</v>
      </c>
      <c r="AJ95" s="0" t="s">
        <v>309</v>
      </c>
      <c r="AK95" s="0" t="s">
        <v>163</v>
      </c>
      <c r="AL95" s="0" t="s">
        <v>158</v>
      </c>
      <c r="AM95" s="0" t="s">
        <v>158</v>
      </c>
      <c r="AN95" s="0" t="n">
        <v>101</v>
      </c>
      <c r="AO95" s="48" t="n">
        <f aca="false">3.17/(AF95*AC95)*100</f>
        <v>4.22666666666667</v>
      </c>
      <c r="AQ95" s="0" t="s">
        <v>314</v>
      </c>
      <c r="AR95" s="0" t="s">
        <v>311</v>
      </c>
      <c r="AT95" s="46" t="s">
        <v>324</v>
      </c>
      <c r="AU95" s="0" t="s">
        <v>312</v>
      </c>
      <c r="AW95" s="49"/>
      <c r="AY95" s="40"/>
      <c r="AZ95" s="40"/>
      <c r="BA95" s="40"/>
      <c r="BC95" s="40"/>
      <c r="BD95" s="40"/>
      <c r="BE95" s="40"/>
      <c r="BF95" s="40"/>
    </row>
    <row r="96" customFormat="false" ht="15" hidden="false" customHeight="false" outlineLevel="0" collapsed="false">
      <c r="A96" s="7" t="s">
        <v>27</v>
      </c>
      <c r="B96" s="8" t="s">
        <v>154</v>
      </c>
      <c r="G96" s="0" t="s">
        <v>308</v>
      </c>
      <c r="H96" s="12" t="s">
        <v>313</v>
      </c>
      <c r="I96" s="12" t="s">
        <v>285</v>
      </c>
      <c r="J96" s="9" t="s">
        <v>156</v>
      </c>
      <c r="K96" s="10" t="s">
        <v>168</v>
      </c>
      <c r="L96" s="11" t="s">
        <v>158</v>
      </c>
      <c r="M96" s="11" t="s">
        <v>158</v>
      </c>
      <c r="N96" s="0" t="s">
        <v>158</v>
      </c>
      <c r="S96" s="33"/>
      <c r="T96" s="33"/>
      <c r="X96" s="10"/>
      <c r="Y96" s="10" t="s">
        <v>168</v>
      </c>
      <c r="AA96" s="10" t="n">
        <v>5.9</v>
      </c>
      <c r="AB96" s="10" t="n">
        <v>7.4</v>
      </c>
      <c r="AC96" s="10" t="n">
        <v>2.9</v>
      </c>
      <c r="AD96" s="12" t="n">
        <v>3</v>
      </c>
      <c r="AE96" s="0" t="s">
        <v>189</v>
      </c>
      <c r="AF96" s="29" t="n">
        <f aca="false">75/AC96</f>
        <v>25.8620689655172</v>
      </c>
      <c r="AG96" s="0" t="s">
        <v>158</v>
      </c>
      <c r="AH96" s="0" t="s">
        <v>158</v>
      </c>
      <c r="AI96" s="0" t="s">
        <v>158</v>
      </c>
      <c r="AJ96" s="0" t="s">
        <v>309</v>
      </c>
      <c r="AK96" s="0" t="s">
        <v>163</v>
      </c>
      <c r="AL96" s="0" t="s">
        <v>158</v>
      </c>
      <c r="AM96" s="0" t="s">
        <v>158</v>
      </c>
      <c r="AN96" s="0" t="n">
        <v>101</v>
      </c>
      <c r="AO96" s="48" t="n">
        <f aca="false">0.83/(AF96*AC96)*100</f>
        <v>1.10666666666667</v>
      </c>
      <c r="AQ96" s="0" t="s">
        <v>314</v>
      </c>
      <c r="AR96" s="0" t="s">
        <v>311</v>
      </c>
      <c r="AT96" s="46" t="s">
        <v>325</v>
      </c>
      <c r="AU96" s="0" t="s">
        <v>312</v>
      </c>
      <c r="AW96" s="49"/>
      <c r="AY96" s="40"/>
      <c r="AZ96" s="40"/>
      <c r="BA96" s="40"/>
      <c r="BC96" s="40"/>
      <c r="BD96" s="40"/>
      <c r="BE96" s="40"/>
      <c r="BF96" s="40"/>
    </row>
    <row r="97" customFormat="false" ht="15" hidden="false" customHeight="false" outlineLevel="0" collapsed="false">
      <c r="A97" s="8" t="s">
        <v>326</v>
      </c>
      <c r="B97" s="8" t="s">
        <v>154</v>
      </c>
      <c r="G97" s="0" t="s">
        <v>327</v>
      </c>
      <c r="H97" s="12"/>
      <c r="I97" s="12"/>
      <c r="J97" s="9" t="s">
        <v>232</v>
      </c>
      <c r="K97" s="10" t="s">
        <v>157</v>
      </c>
      <c r="L97" s="11" t="s">
        <v>158</v>
      </c>
      <c r="M97" s="11" t="s">
        <v>158</v>
      </c>
      <c r="N97" s="0" t="s">
        <v>158</v>
      </c>
      <c r="P97" s="38"/>
      <c r="Q97" s="38"/>
      <c r="X97" s="10"/>
      <c r="Y97" s="10" t="s">
        <v>157</v>
      </c>
      <c r="AA97" s="38" t="n">
        <v>4.11</v>
      </c>
      <c r="AB97" s="38" t="n">
        <v>7.45</v>
      </c>
      <c r="AC97" s="10" t="n">
        <v>3.1</v>
      </c>
      <c r="AD97" s="12" t="n">
        <v>1</v>
      </c>
      <c r="AE97" s="0" t="s">
        <v>159</v>
      </c>
      <c r="AF97" s="39" t="n">
        <v>30</v>
      </c>
      <c r="AG97" s="0" t="n">
        <v>22</v>
      </c>
      <c r="AH97" s="0" t="n">
        <v>19.6</v>
      </c>
      <c r="AI97" s="0" t="s">
        <v>161</v>
      </c>
      <c r="AJ97" s="0" t="s">
        <v>328</v>
      </c>
      <c r="AK97" s="0" t="s">
        <v>191</v>
      </c>
      <c r="AL97" s="0" t="n">
        <v>1.35</v>
      </c>
      <c r="AM97" s="0" t="n">
        <v>0.12</v>
      </c>
      <c r="AN97" s="0" t="n">
        <v>77</v>
      </c>
      <c r="AO97" s="0" t="n">
        <v>26.08</v>
      </c>
      <c r="AQ97" s="0" t="s">
        <v>329</v>
      </c>
      <c r="AR97" s="0" t="s">
        <v>330</v>
      </c>
      <c r="AT97" s="12"/>
      <c r="AV97" s="6"/>
      <c r="AW97" s="49"/>
      <c r="AY97" s="40"/>
      <c r="AZ97" s="40"/>
      <c r="BA97" s="40"/>
      <c r="BC97" s="40"/>
      <c r="BD97" s="40"/>
      <c r="BE97" s="40"/>
      <c r="BF97" s="40"/>
    </row>
    <row r="98" customFormat="false" ht="15" hidden="false" customHeight="false" outlineLevel="0" collapsed="false">
      <c r="A98" s="8" t="s">
        <v>326</v>
      </c>
      <c r="B98" s="8" t="s">
        <v>154</v>
      </c>
      <c r="G98" s="0" t="s">
        <v>327</v>
      </c>
      <c r="H98" s="12" t="s">
        <v>331</v>
      </c>
      <c r="I98" s="12" t="s">
        <v>256</v>
      </c>
      <c r="J98" s="9" t="s">
        <v>232</v>
      </c>
      <c r="K98" s="10" t="s">
        <v>168</v>
      </c>
      <c r="L98" s="11" t="s">
        <v>158</v>
      </c>
      <c r="M98" s="11" t="s">
        <v>158</v>
      </c>
      <c r="N98" s="0" t="s">
        <v>158</v>
      </c>
      <c r="P98" s="38"/>
      <c r="Q98" s="38"/>
      <c r="X98" s="10"/>
      <c r="Y98" s="10" t="s">
        <v>168</v>
      </c>
      <c r="AA98" s="38" t="n">
        <v>0.91</v>
      </c>
      <c r="AB98" s="38" t="n">
        <v>7.88</v>
      </c>
      <c r="AC98" s="10" t="n">
        <v>2</v>
      </c>
      <c r="AD98" s="12" t="n">
        <v>1</v>
      </c>
      <c r="AE98" s="0" t="s">
        <v>159</v>
      </c>
      <c r="AF98" s="39" t="n">
        <v>30</v>
      </c>
      <c r="AG98" s="0" t="n">
        <v>22</v>
      </c>
      <c r="AH98" s="0" t="n">
        <v>19.6</v>
      </c>
      <c r="AI98" s="0" t="s">
        <v>161</v>
      </c>
      <c r="AJ98" s="0" t="s">
        <v>328</v>
      </c>
      <c r="AK98" s="0" t="s">
        <v>191</v>
      </c>
      <c r="AL98" s="0" t="n">
        <v>1.35</v>
      </c>
      <c r="AM98" s="0" t="n">
        <v>0.12</v>
      </c>
      <c r="AN98" s="0" t="n">
        <v>77</v>
      </c>
      <c r="AO98" s="0" t="n">
        <v>19.57</v>
      </c>
      <c r="AQ98" s="0" t="s">
        <v>329</v>
      </c>
      <c r="AR98" s="0" t="s">
        <v>330</v>
      </c>
      <c r="AT98" s="12" t="s">
        <v>332</v>
      </c>
      <c r="AV98" s="6"/>
      <c r="AY98" s="40"/>
      <c r="AZ98" s="40"/>
      <c r="BA98" s="40"/>
      <c r="BC98" s="40"/>
      <c r="BD98" s="40"/>
      <c r="BE98" s="40"/>
      <c r="BF98" s="40"/>
    </row>
    <row r="99" customFormat="false" ht="15" hidden="false" customHeight="false" outlineLevel="0" collapsed="false">
      <c r="A99" s="8" t="s">
        <v>326</v>
      </c>
      <c r="B99" s="8" t="s">
        <v>154</v>
      </c>
      <c r="G99" s="0" t="s">
        <v>327</v>
      </c>
      <c r="H99" s="12" t="s">
        <v>333</v>
      </c>
      <c r="I99" s="12" t="s">
        <v>256</v>
      </c>
      <c r="J99" s="9" t="s">
        <v>232</v>
      </c>
      <c r="K99" s="10" t="s">
        <v>168</v>
      </c>
      <c r="L99" s="11" t="s">
        <v>158</v>
      </c>
      <c r="M99" s="11" t="s">
        <v>158</v>
      </c>
      <c r="N99" s="0" t="s">
        <v>158</v>
      </c>
      <c r="P99" s="38"/>
      <c r="Q99" s="38"/>
      <c r="X99" s="10"/>
      <c r="Y99" s="10" t="s">
        <v>168</v>
      </c>
      <c r="AA99" s="38" t="n">
        <v>0.63</v>
      </c>
      <c r="AB99" s="38" t="n">
        <v>7.75</v>
      </c>
      <c r="AC99" s="10" t="n">
        <v>1.9</v>
      </c>
      <c r="AD99" s="12" t="n">
        <v>1</v>
      </c>
      <c r="AE99" s="0" t="s">
        <v>159</v>
      </c>
      <c r="AF99" s="39" t="n">
        <v>30</v>
      </c>
      <c r="AG99" s="0" t="n">
        <v>22</v>
      </c>
      <c r="AH99" s="0" t="n">
        <v>19.6</v>
      </c>
      <c r="AI99" s="0" t="s">
        <v>161</v>
      </c>
      <c r="AJ99" s="0" t="s">
        <v>328</v>
      </c>
      <c r="AK99" s="0" t="s">
        <v>191</v>
      </c>
      <c r="AL99" s="0" t="n">
        <v>1.35</v>
      </c>
      <c r="AM99" s="0" t="n">
        <v>0.12</v>
      </c>
      <c r="AN99" s="0" t="n">
        <v>77</v>
      </c>
      <c r="AO99" s="0" t="n">
        <v>17.55</v>
      </c>
      <c r="AQ99" s="0" t="s">
        <v>329</v>
      </c>
      <c r="AR99" s="0" t="s">
        <v>330</v>
      </c>
      <c r="AT99" s="12" t="s">
        <v>239</v>
      </c>
      <c r="AV99" s="6"/>
      <c r="AY99" s="40"/>
      <c r="AZ99" s="40"/>
      <c r="BA99" s="40"/>
      <c r="BC99" s="40"/>
      <c r="BD99" s="40"/>
      <c r="BE99" s="40"/>
      <c r="BF99" s="40"/>
    </row>
    <row r="100" customFormat="false" ht="15" hidden="false" customHeight="false" outlineLevel="0" collapsed="false">
      <c r="A100" s="8" t="s">
        <v>326</v>
      </c>
      <c r="B100" s="8" t="s">
        <v>154</v>
      </c>
      <c r="G100" s="0" t="s">
        <v>327</v>
      </c>
      <c r="H100" s="12" t="s">
        <v>333</v>
      </c>
      <c r="I100" s="12" t="s">
        <v>256</v>
      </c>
      <c r="J100" s="9" t="s">
        <v>232</v>
      </c>
      <c r="K100" s="10" t="s">
        <v>168</v>
      </c>
      <c r="L100" s="11" t="s">
        <v>158</v>
      </c>
      <c r="M100" s="11" t="s">
        <v>158</v>
      </c>
      <c r="N100" s="0" t="s">
        <v>158</v>
      </c>
      <c r="P100" s="38"/>
      <c r="Q100" s="38"/>
      <c r="X100" s="10"/>
      <c r="Y100" s="10" t="s">
        <v>168</v>
      </c>
      <c r="AA100" s="38" t="n">
        <v>0.65</v>
      </c>
      <c r="AB100" s="38" t="n">
        <v>7.63</v>
      </c>
      <c r="AC100" s="10" t="n">
        <v>2</v>
      </c>
      <c r="AD100" s="12" t="n">
        <v>1</v>
      </c>
      <c r="AE100" s="0" t="s">
        <v>159</v>
      </c>
      <c r="AF100" s="39" t="n">
        <v>30</v>
      </c>
      <c r="AG100" s="0" t="n">
        <v>22</v>
      </c>
      <c r="AH100" s="0" t="n">
        <v>19.6</v>
      </c>
      <c r="AI100" s="0" t="s">
        <v>161</v>
      </c>
      <c r="AJ100" s="0" t="s">
        <v>328</v>
      </c>
      <c r="AK100" s="0" t="s">
        <v>191</v>
      </c>
      <c r="AL100" s="0" t="n">
        <v>1.35</v>
      </c>
      <c r="AM100" s="0" t="n">
        <v>0.12</v>
      </c>
      <c r="AN100" s="0" t="n">
        <v>77</v>
      </c>
      <c r="AO100" s="0" t="n">
        <v>4.32</v>
      </c>
      <c r="AQ100" s="0" t="s">
        <v>329</v>
      </c>
      <c r="AR100" s="0" t="s">
        <v>330</v>
      </c>
      <c r="AT100" s="12" t="s">
        <v>334</v>
      </c>
      <c r="AV100" s="6"/>
      <c r="AY100" s="40"/>
      <c r="AZ100" s="40"/>
      <c r="BA100" s="40"/>
      <c r="BC100" s="40"/>
      <c r="BD100" s="40"/>
      <c r="BE100" s="40"/>
      <c r="BF100" s="40"/>
    </row>
    <row r="101" customFormat="false" ht="15" hidden="false" customHeight="false" outlineLevel="0" collapsed="false">
      <c r="A101" s="8" t="s">
        <v>326</v>
      </c>
      <c r="B101" s="8" t="s">
        <v>154</v>
      </c>
      <c r="G101" s="0" t="s">
        <v>327</v>
      </c>
      <c r="H101" s="12"/>
      <c r="I101" s="12"/>
      <c r="J101" s="9" t="s">
        <v>335</v>
      </c>
      <c r="K101" s="10" t="s">
        <v>157</v>
      </c>
      <c r="L101" s="11" t="s">
        <v>158</v>
      </c>
      <c r="M101" s="11" t="s">
        <v>158</v>
      </c>
      <c r="N101" s="0" t="s">
        <v>158</v>
      </c>
      <c r="P101" s="38"/>
      <c r="Q101" s="38"/>
      <c r="X101" s="10"/>
      <c r="Y101" s="10" t="s">
        <v>157</v>
      </c>
      <c r="AA101" s="38" t="n">
        <v>3.42</v>
      </c>
      <c r="AB101" s="38" t="n">
        <v>7.83</v>
      </c>
      <c r="AC101" s="10" t="n">
        <v>3.3</v>
      </c>
      <c r="AD101" s="12" t="n">
        <v>2</v>
      </c>
      <c r="AE101" s="0" t="s">
        <v>159</v>
      </c>
      <c r="AF101" s="39" t="n">
        <v>30</v>
      </c>
      <c r="AG101" s="0" t="n">
        <v>22</v>
      </c>
      <c r="AH101" s="0" t="n">
        <v>19.6</v>
      </c>
      <c r="AI101" s="0" t="s">
        <v>161</v>
      </c>
      <c r="AJ101" s="0" t="s">
        <v>328</v>
      </c>
      <c r="AK101" s="0" t="s">
        <v>191</v>
      </c>
      <c r="AL101" s="0" t="n">
        <v>1.35</v>
      </c>
      <c r="AM101" s="0" t="n">
        <v>0.12</v>
      </c>
      <c r="AN101" s="0" t="n">
        <v>77</v>
      </c>
      <c r="AO101" s="0" t="n">
        <v>28.13</v>
      </c>
      <c r="AQ101" s="0" t="s">
        <v>329</v>
      </c>
      <c r="AR101" s="0" t="s">
        <v>330</v>
      </c>
      <c r="AT101" s="12"/>
      <c r="AV101" s="6"/>
      <c r="AY101" s="40"/>
      <c r="AZ101" s="40"/>
      <c r="BA101" s="40"/>
      <c r="BC101" s="40"/>
      <c r="BD101" s="40"/>
      <c r="BE101" s="40"/>
      <c r="BF101" s="40"/>
    </row>
    <row r="102" customFormat="false" ht="15" hidden="false" customHeight="false" outlineLevel="0" collapsed="false">
      <c r="A102" s="8" t="s">
        <v>326</v>
      </c>
      <c r="B102" s="8" t="s">
        <v>154</v>
      </c>
      <c r="G102" s="0" t="s">
        <v>327</v>
      </c>
      <c r="H102" s="12" t="s">
        <v>331</v>
      </c>
      <c r="I102" s="12" t="s">
        <v>256</v>
      </c>
      <c r="J102" s="9" t="s">
        <v>335</v>
      </c>
      <c r="K102" s="10" t="s">
        <v>168</v>
      </c>
      <c r="L102" s="11" t="s">
        <v>158</v>
      </c>
      <c r="M102" s="11" t="s">
        <v>158</v>
      </c>
      <c r="N102" s="0" t="s">
        <v>158</v>
      </c>
      <c r="P102" s="38"/>
      <c r="Q102" s="38"/>
      <c r="X102" s="10"/>
      <c r="Y102" s="10" t="s">
        <v>168</v>
      </c>
      <c r="AA102" s="38" t="n">
        <v>0.62</v>
      </c>
      <c r="AB102" s="38" t="n">
        <v>8.27</v>
      </c>
      <c r="AC102" s="10" t="n">
        <v>2.5</v>
      </c>
      <c r="AD102" s="12" t="n">
        <v>2</v>
      </c>
      <c r="AE102" s="0" t="s">
        <v>159</v>
      </c>
      <c r="AF102" s="39" t="n">
        <v>30</v>
      </c>
      <c r="AG102" s="0" t="n">
        <v>22</v>
      </c>
      <c r="AH102" s="0" t="n">
        <v>19.6</v>
      </c>
      <c r="AI102" s="0" t="s">
        <v>161</v>
      </c>
      <c r="AJ102" s="0" t="s">
        <v>328</v>
      </c>
      <c r="AK102" s="0" t="s">
        <v>191</v>
      </c>
      <c r="AL102" s="0" t="n">
        <v>1.35</v>
      </c>
      <c r="AM102" s="0" t="n">
        <v>0.12</v>
      </c>
      <c r="AN102" s="0" t="n">
        <v>77</v>
      </c>
      <c r="AO102" s="0" t="n">
        <v>25.46</v>
      </c>
      <c r="AQ102" s="0" t="s">
        <v>329</v>
      </c>
      <c r="AR102" s="0" t="s">
        <v>330</v>
      </c>
      <c r="AT102" s="12" t="s">
        <v>336</v>
      </c>
      <c r="AV102" s="6"/>
      <c r="AY102" s="40"/>
      <c r="AZ102" s="40"/>
      <c r="BA102" s="40"/>
      <c r="BC102" s="40"/>
      <c r="BD102" s="40"/>
      <c r="BE102" s="40"/>
      <c r="BF102" s="40"/>
    </row>
    <row r="103" customFormat="false" ht="15" hidden="false" customHeight="false" outlineLevel="0" collapsed="false">
      <c r="A103" s="8" t="s">
        <v>326</v>
      </c>
      <c r="B103" s="8" t="s">
        <v>154</v>
      </c>
      <c r="G103" s="0" t="s">
        <v>327</v>
      </c>
      <c r="H103" s="12" t="s">
        <v>333</v>
      </c>
      <c r="I103" s="12" t="s">
        <v>256</v>
      </c>
      <c r="J103" s="9" t="s">
        <v>335</v>
      </c>
      <c r="K103" s="10" t="s">
        <v>168</v>
      </c>
      <c r="L103" s="11" t="s">
        <v>158</v>
      </c>
      <c r="M103" s="11" t="s">
        <v>158</v>
      </c>
      <c r="N103" s="0" t="s">
        <v>158</v>
      </c>
      <c r="P103" s="38"/>
      <c r="Q103" s="38"/>
      <c r="X103" s="10"/>
      <c r="Y103" s="10" t="s">
        <v>168</v>
      </c>
      <c r="AA103" s="38" t="n">
        <v>1.11</v>
      </c>
      <c r="AB103" s="38" t="n">
        <v>8.04</v>
      </c>
      <c r="AC103" s="10" t="n">
        <v>2.6</v>
      </c>
      <c r="AD103" s="12" t="n">
        <v>2</v>
      </c>
      <c r="AE103" s="0" t="s">
        <v>159</v>
      </c>
      <c r="AF103" s="39" t="n">
        <v>30</v>
      </c>
      <c r="AG103" s="0" t="n">
        <v>22</v>
      </c>
      <c r="AH103" s="0" t="n">
        <v>19.6</v>
      </c>
      <c r="AI103" s="0" t="s">
        <v>161</v>
      </c>
      <c r="AJ103" s="0" t="s">
        <v>328</v>
      </c>
      <c r="AK103" s="0" t="s">
        <v>191</v>
      </c>
      <c r="AL103" s="0" t="n">
        <v>1.35</v>
      </c>
      <c r="AM103" s="0" t="n">
        <v>0.12</v>
      </c>
      <c r="AN103" s="0" t="n">
        <v>77</v>
      </c>
      <c r="AO103" s="0" t="n">
        <v>21.15</v>
      </c>
      <c r="AQ103" s="0" t="s">
        <v>329</v>
      </c>
      <c r="AR103" s="0" t="s">
        <v>330</v>
      </c>
      <c r="AT103" s="12" t="s">
        <v>332</v>
      </c>
      <c r="AV103" s="6"/>
      <c r="AY103" s="40"/>
      <c r="AZ103" s="40"/>
      <c r="BA103" s="40"/>
      <c r="BC103" s="40"/>
      <c r="BD103" s="40"/>
      <c r="BE103" s="40"/>
      <c r="BF103" s="40"/>
    </row>
    <row r="104" customFormat="false" ht="15" hidden="false" customHeight="false" outlineLevel="0" collapsed="false">
      <c r="A104" s="8" t="s">
        <v>326</v>
      </c>
      <c r="B104" s="8" t="s">
        <v>154</v>
      </c>
      <c r="G104" s="0" t="s">
        <v>327</v>
      </c>
      <c r="H104" s="12" t="s">
        <v>333</v>
      </c>
      <c r="I104" s="12" t="s">
        <v>256</v>
      </c>
      <c r="J104" s="9" t="s">
        <v>335</v>
      </c>
      <c r="K104" s="10" t="s">
        <v>168</v>
      </c>
      <c r="L104" s="11" t="s">
        <v>158</v>
      </c>
      <c r="M104" s="11" t="s">
        <v>158</v>
      </c>
      <c r="N104" s="0" t="s">
        <v>158</v>
      </c>
      <c r="P104" s="38"/>
      <c r="Q104" s="38"/>
      <c r="X104" s="10"/>
      <c r="Y104" s="10" t="s">
        <v>168</v>
      </c>
      <c r="AA104" s="38" t="n">
        <v>1</v>
      </c>
      <c r="AB104" s="38" t="n">
        <v>7.93</v>
      </c>
      <c r="AC104" s="10" t="n">
        <v>2.9</v>
      </c>
      <c r="AD104" s="12" t="n">
        <v>2</v>
      </c>
      <c r="AE104" s="0" t="s">
        <v>159</v>
      </c>
      <c r="AF104" s="39" t="n">
        <v>30</v>
      </c>
      <c r="AG104" s="0" t="n">
        <v>22</v>
      </c>
      <c r="AH104" s="0" t="n">
        <v>19.6</v>
      </c>
      <c r="AI104" s="0" t="s">
        <v>161</v>
      </c>
      <c r="AJ104" s="0" t="s">
        <v>328</v>
      </c>
      <c r="AK104" s="0" t="s">
        <v>191</v>
      </c>
      <c r="AL104" s="0" t="n">
        <v>1.35</v>
      </c>
      <c r="AM104" s="0" t="n">
        <v>0.12</v>
      </c>
      <c r="AN104" s="0" t="n">
        <v>77</v>
      </c>
      <c r="AO104" s="0" t="n">
        <v>15.5</v>
      </c>
      <c r="AQ104" s="0" t="s">
        <v>329</v>
      </c>
      <c r="AR104" s="0" t="s">
        <v>330</v>
      </c>
      <c r="AT104" s="12" t="s">
        <v>337</v>
      </c>
      <c r="AV104" s="6"/>
      <c r="AY104" s="40"/>
      <c r="AZ104" s="40"/>
      <c r="BA104" s="40"/>
      <c r="BC104" s="40"/>
      <c r="BD104" s="40"/>
      <c r="BE104" s="40"/>
      <c r="BF104" s="40"/>
    </row>
    <row r="105" customFormat="false" ht="13.8" hidden="false" customHeight="false" outlineLevel="0" collapsed="false">
      <c r="A105" s="50" t="s">
        <v>31</v>
      </c>
      <c r="B105" s="51"/>
      <c r="C105" s="52"/>
      <c r="D105" s="51"/>
      <c r="E105" s="52"/>
      <c r="F105" s="52"/>
      <c r="G105" s="53"/>
      <c r="H105" s="54" t="s">
        <v>338</v>
      </c>
      <c r="I105" s="54"/>
      <c r="J105" s="54"/>
      <c r="K105" s="52" t="s">
        <v>168</v>
      </c>
      <c r="L105" s="55"/>
      <c r="M105" s="55"/>
      <c r="N105" s="55"/>
      <c r="O105" s="52"/>
      <c r="P105" s="52"/>
      <c r="Q105" s="52"/>
      <c r="R105" s="52"/>
      <c r="S105" s="52"/>
      <c r="T105" s="52"/>
      <c r="U105" s="52"/>
      <c r="V105" s="52"/>
      <c r="W105" s="52"/>
      <c r="X105" s="52"/>
      <c r="Y105" s="52" t="s">
        <v>168</v>
      </c>
      <c r="Z105" s="52"/>
      <c r="AA105" s="54"/>
      <c r="AB105" s="52"/>
      <c r="AC105" s="52"/>
      <c r="AD105" s="53"/>
      <c r="AE105" s="54"/>
      <c r="AF105" s="53"/>
      <c r="AG105" s="54"/>
      <c r="AH105" s="53"/>
      <c r="AI105" s="53"/>
      <c r="AJ105" s="53"/>
      <c r="AK105" s="54"/>
      <c r="AL105" s="53"/>
      <c r="AM105" s="53"/>
      <c r="AN105" s="53"/>
      <c r="AO105" s="54"/>
      <c r="AP105" s="54"/>
      <c r="AQ105" s="53"/>
      <c r="AR105" s="53"/>
      <c r="AS105" s="53"/>
      <c r="AT105" s="53"/>
      <c r="AU105" s="53"/>
      <c r="AV105" s="6"/>
      <c r="AY105" s="40"/>
      <c r="AZ105" s="40"/>
      <c r="BA105" s="40"/>
      <c r="BC105" s="40"/>
      <c r="BD105" s="40"/>
      <c r="BE105" s="40"/>
      <c r="BF105" s="40"/>
    </row>
    <row r="106" customFormat="false" ht="15" hidden="false" customHeight="true" outlineLevel="0" collapsed="false">
      <c r="A106" s="7" t="s">
        <v>33</v>
      </c>
      <c r="B106" s="8" t="s">
        <v>154</v>
      </c>
      <c r="G106" s="0" t="s">
        <v>339</v>
      </c>
      <c r="J106" s="9" t="s">
        <v>232</v>
      </c>
      <c r="K106" s="10" t="s">
        <v>157</v>
      </c>
      <c r="L106" s="11" t="s">
        <v>158</v>
      </c>
      <c r="M106" s="11" t="s">
        <v>158</v>
      </c>
      <c r="N106" s="0" t="s">
        <v>158</v>
      </c>
      <c r="V106" s="25"/>
      <c r="W106" s="25"/>
      <c r="Y106" s="10" t="s">
        <v>157</v>
      </c>
      <c r="AA106" s="10" t="n">
        <v>2.8</v>
      </c>
      <c r="AB106" s="10" t="n">
        <v>8.3</v>
      </c>
      <c r="AC106" s="10" t="n">
        <v>2.9</v>
      </c>
      <c r="AD106" s="12" t="n">
        <v>1</v>
      </c>
      <c r="AE106" s="0" t="s">
        <v>189</v>
      </c>
      <c r="AF106" s="39" t="s">
        <v>340</v>
      </c>
      <c r="AG106" s="0" t="n">
        <v>20</v>
      </c>
      <c r="AH106" s="0" t="n">
        <v>20</v>
      </c>
      <c r="AI106" s="0" t="s">
        <v>191</v>
      </c>
      <c r="AJ106" s="0" t="s">
        <v>341</v>
      </c>
      <c r="AK106" s="0" t="s">
        <v>191</v>
      </c>
      <c r="AL106" s="0" t="s">
        <v>342</v>
      </c>
      <c r="AM106" s="0" t="s">
        <v>158</v>
      </c>
      <c r="AN106" s="0" t="n">
        <v>50</v>
      </c>
      <c r="AO106" s="0" t="n">
        <v>26</v>
      </c>
      <c r="AQ106" s="0" t="s">
        <v>192</v>
      </c>
      <c r="AR106" s="25" t="s">
        <v>343</v>
      </c>
      <c r="AS106" s="25"/>
      <c r="AU106" s="0" t="s">
        <v>344</v>
      </c>
      <c r="AY106" s="40"/>
      <c r="AZ106" s="40"/>
      <c r="BA106" s="40"/>
      <c r="BC106" s="40"/>
      <c r="BD106" s="40"/>
      <c r="BE106" s="40"/>
      <c r="BF106" s="40"/>
    </row>
    <row r="107" customFormat="false" ht="15" hidden="false" customHeight="false" outlineLevel="0" collapsed="false">
      <c r="A107" s="7" t="s">
        <v>33</v>
      </c>
      <c r="B107" s="8" t="s">
        <v>154</v>
      </c>
      <c r="G107" s="0" t="s">
        <v>339</v>
      </c>
      <c r="H107" s="0" t="s">
        <v>345</v>
      </c>
      <c r="I107" s="12" t="s">
        <v>285</v>
      </c>
      <c r="J107" s="9" t="s">
        <v>232</v>
      </c>
      <c r="K107" s="10" t="s">
        <v>168</v>
      </c>
      <c r="L107" s="11" t="s">
        <v>158</v>
      </c>
      <c r="M107" s="11" t="s">
        <v>158</v>
      </c>
      <c r="N107" s="0" t="s">
        <v>158</v>
      </c>
      <c r="V107" s="25"/>
      <c r="W107" s="25"/>
      <c r="Y107" s="10" t="s">
        <v>168</v>
      </c>
      <c r="AA107" s="10" t="n">
        <v>1.3</v>
      </c>
      <c r="AB107" s="10" t="n">
        <v>8.5</v>
      </c>
      <c r="AC107" s="10" t="n">
        <v>2</v>
      </c>
      <c r="AD107" s="12" t="n">
        <v>1</v>
      </c>
      <c r="AE107" s="0" t="s">
        <v>189</v>
      </c>
      <c r="AF107" s="39" t="s">
        <v>340</v>
      </c>
      <c r="AG107" s="0" t="n">
        <v>20</v>
      </c>
      <c r="AH107" s="0" t="n">
        <v>20</v>
      </c>
      <c r="AI107" s="0" t="s">
        <v>191</v>
      </c>
      <c r="AJ107" s="0" t="s">
        <v>341</v>
      </c>
      <c r="AK107" s="0" t="s">
        <v>191</v>
      </c>
      <c r="AL107" s="0" t="s">
        <v>346</v>
      </c>
      <c r="AM107" s="0" t="s">
        <v>158</v>
      </c>
      <c r="AN107" s="0" t="n">
        <v>50</v>
      </c>
      <c r="AO107" s="0" t="n">
        <v>13</v>
      </c>
      <c r="AQ107" s="0" t="s">
        <v>192</v>
      </c>
      <c r="AR107" s="25" t="s">
        <v>343</v>
      </c>
      <c r="AS107" s="25"/>
      <c r="AT107" s="27" t="s">
        <v>347</v>
      </c>
      <c r="AU107" s="0" t="s">
        <v>344</v>
      </c>
      <c r="AY107" s="40"/>
      <c r="AZ107" s="40"/>
      <c r="BA107" s="40"/>
      <c r="BC107" s="40"/>
      <c r="BD107" s="40"/>
      <c r="BE107" s="40"/>
      <c r="BF107" s="40"/>
    </row>
    <row r="108" customFormat="false" ht="15" hidden="false" customHeight="true" outlineLevel="0" collapsed="false">
      <c r="A108" s="7" t="s">
        <v>35</v>
      </c>
      <c r="B108" s="8" t="s">
        <v>154</v>
      </c>
      <c r="G108" s="0" t="s">
        <v>188</v>
      </c>
      <c r="J108" s="9" t="s">
        <v>232</v>
      </c>
      <c r="K108" s="10" t="s">
        <v>157</v>
      </c>
      <c r="L108" s="11" t="s">
        <v>158</v>
      </c>
      <c r="M108" s="11" t="s">
        <v>158</v>
      </c>
      <c r="N108" s="0" t="s">
        <v>158</v>
      </c>
      <c r="Y108" s="10" t="s">
        <v>157</v>
      </c>
      <c r="AA108" s="10" t="n">
        <v>4.7</v>
      </c>
      <c r="AB108" s="10" t="n">
        <v>8</v>
      </c>
      <c r="AC108" s="10" t="n">
        <v>2.9</v>
      </c>
      <c r="AD108" s="12" t="n">
        <v>1</v>
      </c>
      <c r="AE108" s="0" t="s">
        <v>159</v>
      </c>
      <c r="AF108" s="39" t="n">
        <f aca="false">132/2.9</f>
        <v>45.5172413793104</v>
      </c>
      <c r="AG108" s="0" t="s">
        <v>158</v>
      </c>
      <c r="AH108" s="0" t="n">
        <v>6.2</v>
      </c>
      <c r="AI108" s="0" t="s">
        <v>348</v>
      </c>
      <c r="AJ108" s="0" t="s">
        <v>234</v>
      </c>
      <c r="AK108" s="0" t="s">
        <v>349</v>
      </c>
      <c r="AL108" s="0" t="n">
        <v>1.4</v>
      </c>
      <c r="AM108" s="0" t="s">
        <v>158</v>
      </c>
      <c r="AN108" s="0" t="n">
        <v>120</v>
      </c>
      <c r="AO108" s="0" t="n">
        <v>24.5</v>
      </c>
      <c r="AQ108" s="0" t="s">
        <v>198</v>
      </c>
      <c r="AR108" s="0" t="s">
        <v>350</v>
      </c>
      <c r="AU108" s="0" t="s">
        <v>351</v>
      </c>
    </row>
    <row r="109" customFormat="false" ht="15" hidden="false" customHeight="false" outlineLevel="0" collapsed="false">
      <c r="A109" s="7" t="s">
        <v>35</v>
      </c>
      <c r="B109" s="8" t="s">
        <v>154</v>
      </c>
      <c r="G109" s="0" t="s">
        <v>188</v>
      </c>
      <c r="H109" s="0" t="s">
        <v>352</v>
      </c>
      <c r="I109" s="0" t="s">
        <v>256</v>
      </c>
      <c r="J109" s="9" t="s">
        <v>232</v>
      </c>
      <c r="K109" s="10" t="s">
        <v>168</v>
      </c>
      <c r="L109" s="11" t="s">
        <v>158</v>
      </c>
      <c r="M109" s="11" t="s">
        <v>158</v>
      </c>
      <c r="N109" s="0" t="s">
        <v>158</v>
      </c>
      <c r="Y109" s="10" t="s">
        <v>168</v>
      </c>
      <c r="AA109" s="10" t="n">
        <v>1.9</v>
      </c>
      <c r="AB109" s="10" t="n">
        <v>7.9</v>
      </c>
      <c r="AC109" s="10" t="n">
        <v>2.7</v>
      </c>
      <c r="AD109" s="12" t="n">
        <v>1</v>
      </c>
      <c r="AE109" s="0" t="s">
        <v>159</v>
      </c>
      <c r="AF109" s="39" t="n">
        <f aca="false">132/2.9</f>
        <v>45.5172413793104</v>
      </c>
      <c r="AG109" s="0" t="s">
        <v>158</v>
      </c>
      <c r="AH109" s="0" t="n">
        <v>7.2</v>
      </c>
      <c r="AI109" s="0" t="s">
        <v>353</v>
      </c>
      <c r="AJ109" s="0" t="s">
        <v>234</v>
      </c>
      <c r="AK109" s="0" t="s">
        <v>349</v>
      </c>
      <c r="AL109" s="0" t="n">
        <v>2.4</v>
      </c>
      <c r="AM109" s="0" t="s">
        <v>158</v>
      </c>
      <c r="AN109" s="0" t="n">
        <v>120</v>
      </c>
      <c r="AO109" s="0" t="n">
        <v>6.4</v>
      </c>
      <c r="AQ109" s="0" t="s">
        <v>198</v>
      </c>
      <c r="AR109" s="0" t="s">
        <v>350</v>
      </c>
      <c r="AT109" s="27" t="s">
        <v>354</v>
      </c>
      <c r="AU109" s="0" t="s">
        <v>351</v>
      </c>
    </row>
    <row r="110" customFormat="false" ht="15" hidden="false" customHeight="true" outlineLevel="0" collapsed="false">
      <c r="A110" s="7" t="s">
        <v>355</v>
      </c>
      <c r="B110" s="8" t="s">
        <v>154</v>
      </c>
      <c r="G110" s="0" t="s">
        <v>356</v>
      </c>
      <c r="J110" s="9" t="s">
        <v>156</v>
      </c>
      <c r="K110" s="10" t="s">
        <v>157</v>
      </c>
      <c r="L110" s="11" t="s">
        <v>158</v>
      </c>
      <c r="M110" s="11" t="s">
        <v>158</v>
      </c>
      <c r="N110" s="0" t="s">
        <v>158</v>
      </c>
      <c r="Y110" s="10" t="s">
        <v>157</v>
      </c>
      <c r="AA110" s="10" t="n">
        <v>7.1</v>
      </c>
      <c r="AB110" s="10" t="n">
        <v>6.9</v>
      </c>
      <c r="AC110" s="10" t="n">
        <v>1.9</v>
      </c>
      <c r="AD110" s="12" t="n">
        <v>1</v>
      </c>
      <c r="AE110" s="0" t="s">
        <v>159</v>
      </c>
      <c r="AF110" s="0" t="n">
        <v>30</v>
      </c>
      <c r="AG110" s="0" t="s">
        <v>158</v>
      </c>
      <c r="AH110" s="0" t="n">
        <v>13.6</v>
      </c>
      <c r="AI110" s="0" t="s">
        <v>357</v>
      </c>
      <c r="AJ110" s="0" t="s">
        <v>358</v>
      </c>
      <c r="AK110" s="0" t="s">
        <v>163</v>
      </c>
      <c r="AL110" s="0" t="s">
        <v>158</v>
      </c>
      <c r="AM110" s="0" t="s">
        <v>158</v>
      </c>
      <c r="AN110" s="0" t="n">
        <v>48</v>
      </c>
      <c r="AO110" s="0" t="n">
        <v>12</v>
      </c>
      <c r="AQ110" s="0" t="s">
        <v>359</v>
      </c>
      <c r="AR110" s="0" t="s">
        <v>330</v>
      </c>
      <c r="AU110" s="0" t="s">
        <v>360</v>
      </c>
    </row>
    <row r="111" customFormat="false" ht="15" hidden="false" customHeight="false" outlineLevel="0" collapsed="false">
      <c r="A111" s="7" t="s">
        <v>355</v>
      </c>
      <c r="B111" s="8" t="s">
        <v>154</v>
      </c>
      <c r="G111" s="0" t="s">
        <v>356</v>
      </c>
      <c r="H111" s="0" t="s">
        <v>361</v>
      </c>
      <c r="I111" s="0" t="s">
        <v>167</v>
      </c>
      <c r="J111" s="9" t="s">
        <v>156</v>
      </c>
      <c r="K111" s="10" t="s">
        <v>168</v>
      </c>
      <c r="L111" s="11" t="s">
        <v>158</v>
      </c>
      <c r="M111" s="11" t="s">
        <v>158</v>
      </c>
      <c r="N111" s="0" t="s">
        <v>158</v>
      </c>
      <c r="Y111" s="10" t="s">
        <v>168</v>
      </c>
      <c r="AA111" s="10" t="n">
        <v>3.5</v>
      </c>
      <c r="AB111" s="10" t="n">
        <v>7.4</v>
      </c>
      <c r="AC111" s="10" t="n">
        <v>1.8</v>
      </c>
      <c r="AD111" s="12" t="n">
        <v>1</v>
      </c>
      <c r="AE111" s="0" t="s">
        <v>159</v>
      </c>
      <c r="AF111" s="0" t="n">
        <v>30</v>
      </c>
      <c r="AG111" s="0" t="s">
        <v>158</v>
      </c>
      <c r="AH111" s="0" t="n">
        <v>14.6</v>
      </c>
      <c r="AI111" s="0" t="s">
        <v>357</v>
      </c>
      <c r="AJ111" s="0" t="s">
        <v>358</v>
      </c>
      <c r="AK111" s="0" t="s">
        <v>163</v>
      </c>
      <c r="AL111" s="0" t="s">
        <v>158</v>
      </c>
      <c r="AM111" s="0" t="s">
        <v>158</v>
      </c>
      <c r="AN111" s="0" t="n">
        <v>48</v>
      </c>
      <c r="AO111" s="0" t="n">
        <v>7</v>
      </c>
      <c r="AQ111" s="0" t="s">
        <v>359</v>
      </c>
      <c r="AR111" s="0" t="s">
        <v>330</v>
      </c>
      <c r="AT111" s="27" t="s">
        <v>362</v>
      </c>
      <c r="AU111" s="0" t="s">
        <v>360</v>
      </c>
    </row>
    <row r="112" customFormat="false" ht="15.75" hidden="false" customHeight="true" outlineLevel="0" collapsed="false">
      <c r="A112" s="7" t="s">
        <v>355</v>
      </c>
      <c r="B112" s="8" t="s">
        <v>154</v>
      </c>
      <c r="G112" s="0" t="s">
        <v>356</v>
      </c>
      <c r="J112" s="9" t="s">
        <v>156</v>
      </c>
      <c r="K112" s="10" t="s">
        <v>157</v>
      </c>
      <c r="L112" s="11" t="s">
        <v>158</v>
      </c>
      <c r="M112" s="11" t="s">
        <v>158</v>
      </c>
      <c r="N112" s="0" t="s">
        <v>158</v>
      </c>
      <c r="Y112" s="10" t="s">
        <v>157</v>
      </c>
      <c r="AA112" s="10" t="n">
        <v>7.1</v>
      </c>
      <c r="AB112" s="10" t="n">
        <v>7</v>
      </c>
      <c r="AC112" s="10" t="n">
        <v>1.8</v>
      </c>
      <c r="AD112" s="12" t="n">
        <v>2</v>
      </c>
      <c r="AE112" s="0" t="s">
        <v>159</v>
      </c>
      <c r="AF112" s="0" t="n">
        <v>32</v>
      </c>
      <c r="AG112" s="0" t="s">
        <v>158</v>
      </c>
      <c r="AH112" s="0" t="n">
        <v>12.1</v>
      </c>
      <c r="AI112" s="0" t="s">
        <v>363</v>
      </c>
      <c r="AJ112" s="0" t="s">
        <v>358</v>
      </c>
      <c r="AK112" s="0" t="s">
        <v>163</v>
      </c>
      <c r="AL112" s="0" t="s">
        <v>158</v>
      </c>
      <c r="AM112" s="0" t="s">
        <v>158</v>
      </c>
      <c r="AN112" s="0" t="n">
        <v>48</v>
      </c>
      <c r="AO112" s="0" t="n">
        <v>20.5</v>
      </c>
      <c r="AQ112" s="0" t="s">
        <v>359</v>
      </c>
      <c r="AR112" s="0" t="s">
        <v>330</v>
      </c>
      <c r="AU112" s="0" t="s">
        <v>360</v>
      </c>
    </row>
    <row r="113" customFormat="false" ht="15" hidden="false" customHeight="false" outlineLevel="0" collapsed="false">
      <c r="A113" s="7" t="s">
        <v>355</v>
      </c>
      <c r="B113" s="8" t="s">
        <v>154</v>
      </c>
      <c r="G113" s="0" t="s">
        <v>356</v>
      </c>
      <c r="H113" s="0" t="s">
        <v>361</v>
      </c>
      <c r="I113" s="0" t="s">
        <v>167</v>
      </c>
      <c r="J113" s="9" t="s">
        <v>156</v>
      </c>
      <c r="K113" s="10" t="s">
        <v>168</v>
      </c>
      <c r="L113" s="11" t="s">
        <v>158</v>
      </c>
      <c r="M113" s="11" t="s">
        <v>158</v>
      </c>
      <c r="N113" s="0" t="s">
        <v>158</v>
      </c>
      <c r="Y113" s="10" t="s">
        <v>168</v>
      </c>
      <c r="AA113" s="10" t="n">
        <v>3</v>
      </c>
      <c r="AB113" s="10" t="n">
        <v>7.6</v>
      </c>
      <c r="AC113" s="10" t="n">
        <v>1.7</v>
      </c>
      <c r="AD113" s="12" t="n">
        <v>2</v>
      </c>
      <c r="AE113" s="0" t="s">
        <v>159</v>
      </c>
      <c r="AF113" s="0" t="n">
        <v>32</v>
      </c>
      <c r="AG113" s="0" t="s">
        <v>158</v>
      </c>
      <c r="AH113" s="0" t="n">
        <v>13.1</v>
      </c>
      <c r="AI113" s="0" t="s">
        <v>363</v>
      </c>
      <c r="AJ113" s="0" t="s">
        <v>358</v>
      </c>
      <c r="AK113" s="0" t="s">
        <v>163</v>
      </c>
      <c r="AL113" s="0" t="s">
        <v>158</v>
      </c>
      <c r="AM113" s="0" t="s">
        <v>158</v>
      </c>
      <c r="AN113" s="0" t="n">
        <v>48</v>
      </c>
      <c r="AO113" s="0" t="n">
        <v>15</v>
      </c>
      <c r="AQ113" s="0" t="s">
        <v>359</v>
      </c>
      <c r="AR113" s="0" t="s">
        <v>330</v>
      </c>
      <c r="AT113" s="27" t="s">
        <v>364</v>
      </c>
      <c r="AU113" s="0" t="s">
        <v>360</v>
      </c>
    </row>
    <row r="114" customFormat="false" ht="15" hidden="false" customHeight="false" outlineLevel="0" collapsed="false">
      <c r="A114" s="7" t="s">
        <v>40</v>
      </c>
      <c r="B114" s="8" t="s">
        <v>154</v>
      </c>
      <c r="G114" s="0" t="s">
        <v>365</v>
      </c>
      <c r="H114" s="12"/>
      <c r="I114" s="12"/>
      <c r="J114" s="9" t="s">
        <v>156</v>
      </c>
      <c r="K114" s="10" t="s">
        <v>157</v>
      </c>
      <c r="L114" s="11" t="s">
        <v>158</v>
      </c>
      <c r="M114" s="11" t="s">
        <v>158</v>
      </c>
      <c r="N114" s="0" t="s">
        <v>158</v>
      </c>
      <c r="V114" s="25"/>
      <c r="W114" s="25"/>
      <c r="Y114" s="10" t="s">
        <v>157</v>
      </c>
      <c r="AA114" s="10" t="n">
        <v>5.79</v>
      </c>
      <c r="AB114" s="10" t="n">
        <v>8.62</v>
      </c>
      <c r="AC114" s="10" t="n">
        <v>0.75</v>
      </c>
      <c r="AD114" s="12" t="n">
        <v>1</v>
      </c>
      <c r="AE114" s="0" t="s">
        <v>159</v>
      </c>
      <c r="AF114" s="32" t="n">
        <f aca="false">130/2.1</f>
        <v>61.9047619047619</v>
      </c>
      <c r="AG114" s="0" t="s">
        <v>158</v>
      </c>
      <c r="AH114" s="0" t="s">
        <v>158</v>
      </c>
      <c r="AI114" s="0" t="s">
        <v>158</v>
      </c>
      <c r="AJ114" s="0" t="s">
        <v>366</v>
      </c>
      <c r="AK114" s="0" t="s">
        <v>158</v>
      </c>
      <c r="AL114" s="0" t="s">
        <v>158</v>
      </c>
      <c r="AM114" s="0" t="s">
        <v>158</v>
      </c>
      <c r="AN114" s="0" t="n">
        <v>72</v>
      </c>
      <c r="AO114" s="0" t="n">
        <v>39</v>
      </c>
      <c r="AQ114" s="0" t="s">
        <v>367</v>
      </c>
      <c r="AR114" s="25" t="s">
        <v>368</v>
      </c>
      <c r="AS114" s="25"/>
      <c r="AU114" s="0" t="s">
        <v>369</v>
      </c>
      <c r="AV114" s="56"/>
    </row>
    <row r="115" customFormat="false" ht="15" hidden="false" customHeight="false" outlineLevel="0" collapsed="false">
      <c r="A115" s="7" t="s">
        <v>40</v>
      </c>
      <c r="B115" s="8" t="s">
        <v>154</v>
      </c>
      <c r="G115" s="0" t="s">
        <v>365</v>
      </c>
      <c r="H115" s="12" t="s">
        <v>361</v>
      </c>
      <c r="I115" s="12"/>
      <c r="J115" s="9" t="s">
        <v>156</v>
      </c>
      <c r="K115" s="10" t="s">
        <v>168</v>
      </c>
      <c r="L115" s="11" t="s">
        <v>158</v>
      </c>
      <c r="M115" s="11" t="s">
        <v>158</v>
      </c>
      <c r="N115" s="0" t="s">
        <v>158</v>
      </c>
      <c r="V115" s="25"/>
      <c r="W115" s="25"/>
      <c r="Y115" s="10" t="s">
        <v>168</v>
      </c>
      <c r="AA115" s="10" t="n">
        <v>2.68</v>
      </c>
      <c r="AB115" s="10" t="n">
        <v>8.6</v>
      </c>
      <c r="AC115" s="10" t="n">
        <v>0.87</v>
      </c>
      <c r="AD115" s="12" t="n">
        <v>1</v>
      </c>
      <c r="AE115" s="0" t="s">
        <v>159</v>
      </c>
      <c r="AF115" s="32" t="n">
        <f aca="false">130/2.08</f>
        <v>62.5</v>
      </c>
      <c r="AG115" s="0" t="s">
        <v>158</v>
      </c>
      <c r="AH115" s="0" t="s">
        <v>158</v>
      </c>
      <c r="AI115" s="0" t="s">
        <v>158</v>
      </c>
      <c r="AJ115" s="0" t="s">
        <v>366</v>
      </c>
      <c r="AK115" s="0" t="s">
        <v>158</v>
      </c>
      <c r="AL115" s="0" t="s">
        <v>158</v>
      </c>
      <c r="AM115" s="0" t="s">
        <v>158</v>
      </c>
      <c r="AN115" s="0" t="n">
        <v>72</v>
      </c>
      <c r="AO115" s="0" t="n">
        <v>16</v>
      </c>
      <c r="AQ115" s="0" t="s">
        <v>367</v>
      </c>
      <c r="AR115" s="25" t="s">
        <v>368</v>
      </c>
      <c r="AS115" s="25"/>
      <c r="AT115" s="27" t="s">
        <v>370</v>
      </c>
      <c r="AU115" s="0" t="s">
        <v>369</v>
      </c>
      <c r="AV115" s="56"/>
    </row>
    <row r="116" customFormat="false" ht="15" hidden="false" customHeight="false" outlineLevel="0" collapsed="false">
      <c r="A116" s="7" t="s">
        <v>40</v>
      </c>
      <c r="B116" s="8" t="s">
        <v>154</v>
      </c>
      <c r="G116" s="0" t="s">
        <v>365</v>
      </c>
      <c r="H116" s="0" t="s">
        <v>371</v>
      </c>
      <c r="I116" s="0" t="s">
        <v>269</v>
      </c>
      <c r="J116" s="9" t="s">
        <v>156</v>
      </c>
      <c r="K116" s="10" t="s">
        <v>168</v>
      </c>
      <c r="L116" s="11" t="s">
        <v>158</v>
      </c>
      <c r="M116" s="11" t="s">
        <v>158</v>
      </c>
      <c r="N116" s="0" t="s">
        <v>158</v>
      </c>
      <c r="V116" s="25"/>
      <c r="W116" s="25"/>
      <c r="Y116" s="10" t="s">
        <v>168</v>
      </c>
      <c r="AA116" s="10" t="n">
        <v>2.69</v>
      </c>
      <c r="AB116" s="10" t="n">
        <v>8.57</v>
      </c>
      <c r="AC116" s="10" t="n">
        <v>0.9</v>
      </c>
      <c r="AD116" s="12" t="n">
        <v>1</v>
      </c>
      <c r="AE116" s="0" t="s">
        <v>159</v>
      </c>
      <c r="AF116" s="32" t="n">
        <f aca="false">130/1.94</f>
        <v>67.0103092783505</v>
      </c>
      <c r="AG116" s="0" t="s">
        <v>158</v>
      </c>
      <c r="AH116" s="0" t="s">
        <v>158</v>
      </c>
      <c r="AI116" s="0" t="s">
        <v>158</v>
      </c>
      <c r="AJ116" s="0" t="s">
        <v>366</v>
      </c>
      <c r="AK116" s="0" t="s">
        <v>158</v>
      </c>
      <c r="AL116" s="0" t="s">
        <v>158</v>
      </c>
      <c r="AM116" s="0" t="s">
        <v>158</v>
      </c>
      <c r="AN116" s="0" t="n">
        <v>72</v>
      </c>
      <c r="AO116" s="0" t="n">
        <v>17</v>
      </c>
      <c r="AQ116" s="0" t="s">
        <v>367</v>
      </c>
      <c r="AR116" s="25" t="s">
        <v>368</v>
      </c>
      <c r="AS116" s="25"/>
      <c r="AT116" s="27" t="s">
        <v>372</v>
      </c>
      <c r="AU116" s="0" t="s">
        <v>369</v>
      </c>
      <c r="AV116" s="56"/>
    </row>
    <row r="117" customFormat="false" ht="15" hidden="false" customHeight="false" outlineLevel="0" collapsed="false">
      <c r="A117" s="7" t="s">
        <v>40</v>
      </c>
      <c r="B117" s="8" t="s">
        <v>154</v>
      </c>
      <c r="G117" s="0" t="s">
        <v>365</v>
      </c>
      <c r="H117" s="0" t="s">
        <v>371</v>
      </c>
      <c r="I117" s="0" t="s">
        <v>269</v>
      </c>
      <c r="J117" s="9" t="s">
        <v>156</v>
      </c>
      <c r="K117" s="10" t="s">
        <v>168</v>
      </c>
      <c r="L117" s="11" t="s">
        <v>158</v>
      </c>
      <c r="M117" s="11" t="s">
        <v>158</v>
      </c>
      <c r="N117" s="0" t="s">
        <v>158</v>
      </c>
      <c r="V117" s="25"/>
      <c r="W117" s="25"/>
      <c r="Y117" s="10" t="s">
        <v>168</v>
      </c>
      <c r="AA117" s="10" t="n">
        <v>2.59</v>
      </c>
      <c r="AB117" s="10" t="n">
        <v>8.62</v>
      </c>
      <c r="AC117" s="10" t="n">
        <v>0.9</v>
      </c>
      <c r="AD117" s="12" t="n">
        <v>1</v>
      </c>
      <c r="AE117" s="0" t="s">
        <v>159</v>
      </c>
      <c r="AF117" s="32" t="n">
        <f aca="false">130/2.1</f>
        <v>61.9047619047619</v>
      </c>
      <c r="AG117" s="0" t="s">
        <v>158</v>
      </c>
      <c r="AH117" s="0" t="s">
        <v>158</v>
      </c>
      <c r="AI117" s="0" t="s">
        <v>158</v>
      </c>
      <c r="AJ117" s="0" t="s">
        <v>366</v>
      </c>
      <c r="AK117" s="0" t="s">
        <v>158</v>
      </c>
      <c r="AL117" s="0" t="s">
        <v>158</v>
      </c>
      <c r="AM117" s="0" t="s">
        <v>158</v>
      </c>
      <c r="AN117" s="0" t="n">
        <v>72</v>
      </c>
      <c r="AO117" s="0" t="n">
        <v>14</v>
      </c>
      <c r="AQ117" s="0" t="s">
        <v>367</v>
      </c>
      <c r="AR117" s="25" t="s">
        <v>368</v>
      </c>
      <c r="AS117" s="25"/>
      <c r="AT117" s="27" t="s">
        <v>373</v>
      </c>
      <c r="AU117" s="0" t="s">
        <v>369</v>
      </c>
      <c r="AV117" s="56"/>
    </row>
    <row r="118" customFormat="false" ht="15" hidden="false" customHeight="false" outlineLevel="0" collapsed="false">
      <c r="A118" s="7" t="s">
        <v>42</v>
      </c>
      <c r="B118" s="8" t="s">
        <v>154</v>
      </c>
      <c r="C118" s="9" t="s">
        <v>71</v>
      </c>
      <c r="G118" s="0" t="s">
        <v>155</v>
      </c>
      <c r="J118" s="9" t="s">
        <v>156</v>
      </c>
      <c r="K118" s="10" t="s">
        <v>157</v>
      </c>
      <c r="L118" s="24" t="s">
        <v>158</v>
      </c>
      <c r="M118" s="24" t="s">
        <v>158</v>
      </c>
      <c r="N118" s="0" t="s">
        <v>158</v>
      </c>
      <c r="Y118" s="10" t="s">
        <v>157</v>
      </c>
      <c r="AA118" s="10" t="n">
        <v>8.7</v>
      </c>
      <c r="AB118" s="10" t="s">
        <v>158</v>
      </c>
      <c r="AC118" s="10" t="n">
        <v>1.95</v>
      </c>
      <c r="AD118" s="12" t="n">
        <v>1</v>
      </c>
      <c r="AE118" s="0" t="s">
        <v>159</v>
      </c>
      <c r="AF118" s="0" t="n">
        <v>35</v>
      </c>
      <c r="AG118" s="0" t="n">
        <v>18.4</v>
      </c>
      <c r="AH118" s="0" t="n">
        <v>17.1</v>
      </c>
      <c r="AI118" s="0" t="s">
        <v>161</v>
      </c>
      <c r="AJ118" s="0" t="s">
        <v>162</v>
      </c>
      <c r="AK118" s="0" t="s">
        <v>374</v>
      </c>
      <c r="AL118" s="0" t="n">
        <v>1.11</v>
      </c>
      <c r="AM118" s="0" t="n">
        <v>0.21</v>
      </c>
      <c r="AN118" s="0" t="n">
        <v>90</v>
      </c>
      <c r="AO118" s="0" t="n">
        <v>39.35</v>
      </c>
      <c r="AQ118" s="0" t="s">
        <v>375</v>
      </c>
      <c r="AR118" s="0" t="s">
        <v>376</v>
      </c>
      <c r="AU118" s="0" t="s">
        <v>377</v>
      </c>
      <c r="AV118" s="57"/>
    </row>
    <row r="119" customFormat="false" ht="15" hidden="false" customHeight="false" outlineLevel="0" collapsed="false">
      <c r="A119" s="7" t="s">
        <v>42</v>
      </c>
      <c r="B119" s="8" t="s">
        <v>154</v>
      </c>
      <c r="C119" s="9" t="s">
        <v>71</v>
      </c>
      <c r="G119" s="0" t="s">
        <v>155</v>
      </c>
      <c r="H119" s="0" t="s">
        <v>166</v>
      </c>
      <c r="I119" s="0" t="s">
        <v>167</v>
      </c>
      <c r="J119" s="9" t="s">
        <v>156</v>
      </c>
      <c r="K119" s="10" t="s">
        <v>168</v>
      </c>
      <c r="L119" s="24" t="s">
        <v>158</v>
      </c>
      <c r="M119" s="24" t="s">
        <v>158</v>
      </c>
      <c r="N119" s="26" t="n">
        <f aca="false">(AA4-35)/(AA5-35)*100</f>
        <v>85.5263157894737</v>
      </c>
      <c r="O119" s="58"/>
      <c r="Y119" s="10" t="s">
        <v>168</v>
      </c>
      <c r="AA119" s="10" t="n">
        <v>4.4</v>
      </c>
      <c r="AB119" s="10" t="s">
        <v>158</v>
      </c>
      <c r="AC119" s="10" t="n">
        <v>1.89</v>
      </c>
      <c r="AD119" s="12" t="n">
        <v>1</v>
      </c>
      <c r="AE119" s="0" t="s">
        <v>159</v>
      </c>
      <c r="AF119" s="0" t="n">
        <v>35</v>
      </c>
      <c r="AG119" s="0" t="n">
        <v>18.4</v>
      </c>
      <c r="AH119" s="0" t="n">
        <v>17.1</v>
      </c>
      <c r="AI119" s="0" t="s">
        <v>161</v>
      </c>
      <c r="AJ119" s="0" t="s">
        <v>162</v>
      </c>
      <c r="AK119" s="0" t="s">
        <v>374</v>
      </c>
      <c r="AL119" s="0" t="n">
        <v>1.11</v>
      </c>
      <c r="AM119" s="0" t="n">
        <v>0.21</v>
      </c>
      <c r="AN119" s="0" t="n">
        <v>90</v>
      </c>
      <c r="AO119" s="0" t="n">
        <v>29.32</v>
      </c>
      <c r="AQ119" s="0" t="s">
        <v>375</v>
      </c>
      <c r="AR119" s="0" t="s">
        <v>376</v>
      </c>
      <c r="AT119" s="27" t="s">
        <v>378</v>
      </c>
      <c r="AU119" s="0" t="s">
        <v>377</v>
      </c>
      <c r="AV119" s="56"/>
    </row>
    <row r="120" customFormat="false" ht="15" hidden="false" customHeight="false" outlineLevel="0" collapsed="false">
      <c r="A120" s="7" t="s">
        <v>42</v>
      </c>
      <c r="B120" s="8" t="s">
        <v>154</v>
      </c>
      <c r="C120" s="9" t="s">
        <v>71</v>
      </c>
      <c r="G120" s="0" t="s">
        <v>155</v>
      </c>
      <c r="J120" s="9" t="s">
        <v>156</v>
      </c>
      <c r="K120" s="10" t="s">
        <v>157</v>
      </c>
      <c r="L120" s="24" t="s">
        <v>158</v>
      </c>
      <c r="M120" s="24" t="s">
        <v>158</v>
      </c>
      <c r="Y120" s="10" t="s">
        <v>157</v>
      </c>
      <c r="AA120" s="10" t="n">
        <v>8.5</v>
      </c>
      <c r="AB120" s="10" t="s">
        <v>158</v>
      </c>
      <c r="AC120" s="10" t="n">
        <v>1.9</v>
      </c>
      <c r="AD120" s="12" t="n">
        <v>2</v>
      </c>
      <c r="AE120" s="0" t="s">
        <v>159</v>
      </c>
      <c r="AF120" s="0" t="n">
        <v>35</v>
      </c>
      <c r="AG120" s="0" t="n">
        <v>21</v>
      </c>
      <c r="AH120" s="0" t="n">
        <v>16.4</v>
      </c>
      <c r="AI120" s="0" t="s">
        <v>161</v>
      </c>
      <c r="AJ120" s="0" t="s">
        <v>379</v>
      </c>
      <c r="AL120" s="0" t="n">
        <v>1.39</v>
      </c>
      <c r="AM120" s="0" t="n">
        <v>0.16</v>
      </c>
      <c r="AN120" s="0" t="n">
        <v>90</v>
      </c>
      <c r="AO120" s="0" t="n">
        <v>40.8</v>
      </c>
      <c r="AQ120" s="0" t="s">
        <v>375</v>
      </c>
      <c r="AR120" s="0" t="s">
        <v>376</v>
      </c>
      <c r="AU120" s="0" t="s">
        <v>377</v>
      </c>
      <c r="AV120" s="56"/>
    </row>
    <row r="121" customFormat="false" ht="15" hidden="false" customHeight="false" outlineLevel="0" collapsed="false">
      <c r="A121" s="7" t="s">
        <v>42</v>
      </c>
      <c r="B121" s="8" t="s">
        <v>154</v>
      </c>
      <c r="C121" s="9" t="s">
        <v>71</v>
      </c>
      <c r="G121" s="0" t="s">
        <v>155</v>
      </c>
      <c r="H121" s="0" t="s">
        <v>166</v>
      </c>
      <c r="I121" s="0" t="s">
        <v>167</v>
      </c>
      <c r="J121" s="9" t="s">
        <v>156</v>
      </c>
      <c r="K121" s="10" t="s">
        <v>168</v>
      </c>
      <c r="L121" s="24" t="s">
        <v>158</v>
      </c>
      <c r="M121" s="24" t="s">
        <v>158</v>
      </c>
      <c r="N121" s="26" t="n">
        <f aca="false">(AA4-35)/(AA5-35)*100</f>
        <v>85.5263157894737</v>
      </c>
      <c r="O121" s="58"/>
      <c r="Y121" s="10" t="s">
        <v>168</v>
      </c>
      <c r="AA121" s="10" t="n">
        <v>4.3</v>
      </c>
      <c r="AB121" s="10" t="s">
        <v>158</v>
      </c>
      <c r="AC121" s="10" t="n">
        <v>1.92</v>
      </c>
      <c r="AD121" s="12" t="n">
        <v>2</v>
      </c>
      <c r="AE121" s="0" t="s">
        <v>159</v>
      </c>
      <c r="AF121" s="0" t="n">
        <v>35</v>
      </c>
      <c r="AG121" s="0" t="n">
        <v>21</v>
      </c>
      <c r="AH121" s="0" t="n">
        <v>16.4</v>
      </c>
      <c r="AI121" s="0" t="s">
        <v>161</v>
      </c>
      <c r="AJ121" s="0" t="s">
        <v>379</v>
      </c>
      <c r="AL121" s="0" t="n">
        <v>1.39</v>
      </c>
      <c r="AM121" s="0" t="n">
        <v>0.16</v>
      </c>
      <c r="AN121" s="0" t="n">
        <v>90</v>
      </c>
      <c r="AO121" s="0" t="n">
        <v>48.74</v>
      </c>
      <c r="AQ121" s="0" t="s">
        <v>375</v>
      </c>
      <c r="AR121" s="0" t="s">
        <v>376</v>
      </c>
      <c r="AT121" s="31" t="s">
        <v>380</v>
      </c>
      <c r="AU121" s="0" t="s">
        <v>377</v>
      </c>
      <c r="AV121" s="56"/>
    </row>
    <row r="122" customFormat="false" ht="15" hidden="false" customHeight="true" outlineLevel="0" collapsed="false">
      <c r="A122" s="7" t="s">
        <v>44</v>
      </c>
      <c r="B122" s="8" t="s">
        <v>154</v>
      </c>
      <c r="C122" s="9" t="s">
        <v>71</v>
      </c>
      <c r="G122" s="0" t="s">
        <v>188</v>
      </c>
      <c r="J122" s="9" t="s">
        <v>156</v>
      </c>
      <c r="K122" s="10" t="s">
        <v>157</v>
      </c>
      <c r="L122" s="11" t="s">
        <v>158</v>
      </c>
      <c r="M122" s="11" t="s">
        <v>158</v>
      </c>
      <c r="N122" s="0" t="s">
        <v>158</v>
      </c>
      <c r="V122" s="25"/>
      <c r="W122" s="25"/>
      <c r="Y122" s="10" t="s">
        <v>157</v>
      </c>
      <c r="AA122" s="10" t="n">
        <v>7.5</v>
      </c>
      <c r="AB122" s="10" t="n">
        <v>6.8</v>
      </c>
      <c r="AC122" s="10" t="n">
        <v>1.75</v>
      </c>
      <c r="AD122" s="12" t="n">
        <v>1</v>
      </c>
      <c r="AE122" s="0" t="s">
        <v>189</v>
      </c>
      <c r="AF122" s="0" t="n">
        <v>60</v>
      </c>
      <c r="AG122" s="0" t="n">
        <v>22.4</v>
      </c>
      <c r="AH122" s="0" t="n">
        <v>17.8</v>
      </c>
      <c r="AI122" s="0" t="s">
        <v>161</v>
      </c>
      <c r="AJ122" s="0" t="s">
        <v>381</v>
      </c>
      <c r="AK122" s="0" t="s">
        <v>163</v>
      </c>
      <c r="AL122" s="0" t="n">
        <v>1.08</v>
      </c>
      <c r="AM122" s="0" t="n">
        <v>0.35</v>
      </c>
      <c r="AN122" s="0" t="n">
        <v>95</v>
      </c>
      <c r="AO122" s="0" t="n">
        <v>38.74</v>
      </c>
      <c r="AQ122" s="0" t="s">
        <v>382</v>
      </c>
      <c r="AR122" s="25" t="s">
        <v>383</v>
      </c>
      <c r="AS122" s="25"/>
      <c r="AU122" s="0" t="s">
        <v>384</v>
      </c>
      <c r="AV122" s="56"/>
    </row>
    <row r="123" customFormat="false" ht="15" hidden="false" customHeight="false" outlineLevel="0" collapsed="false">
      <c r="A123" s="7" t="s">
        <v>44</v>
      </c>
      <c r="B123" s="8" t="s">
        <v>154</v>
      </c>
      <c r="C123" s="9" t="s">
        <v>71</v>
      </c>
      <c r="G123" s="0" t="s">
        <v>188</v>
      </c>
      <c r="H123" s="0" t="s">
        <v>385</v>
      </c>
      <c r="I123" s="0" t="s">
        <v>167</v>
      </c>
      <c r="J123" s="9" t="s">
        <v>156</v>
      </c>
      <c r="K123" s="10" t="s">
        <v>168</v>
      </c>
      <c r="L123" s="11" t="s">
        <v>158</v>
      </c>
      <c r="M123" s="11" t="s">
        <v>158</v>
      </c>
      <c r="N123" s="0" t="s">
        <v>158</v>
      </c>
      <c r="V123" s="25"/>
      <c r="W123" s="25"/>
      <c r="X123" s="44"/>
      <c r="Y123" s="10" t="s">
        <v>168</v>
      </c>
      <c r="AA123" s="10" t="n">
        <v>4.4</v>
      </c>
      <c r="AB123" s="10" t="n">
        <v>6.9</v>
      </c>
      <c r="AC123" s="10" t="n">
        <v>1.25</v>
      </c>
      <c r="AD123" s="12" t="n">
        <v>1</v>
      </c>
      <c r="AE123" s="0" t="s">
        <v>189</v>
      </c>
      <c r="AF123" s="0" t="n">
        <v>60</v>
      </c>
      <c r="AG123" s="0" t="n">
        <v>22.4</v>
      </c>
      <c r="AH123" s="0" t="n">
        <v>17.8</v>
      </c>
      <c r="AI123" s="0" t="s">
        <v>161</v>
      </c>
      <c r="AJ123" s="0" t="s">
        <v>381</v>
      </c>
      <c r="AK123" s="0" t="s">
        <v>163</v>
      </c>
      <c r="AL123" s="0" t="n">
        <v>1.08</v>
      </c>
      <c r="AM123" s="0" t="n">
        <v>0.35</v>
      </c>
      <c r="AN123" s="0" t="n">
        <v>95</v>
      </c>
      <c r="AO123" s="0" t="n">
        <v>33.28</v>
      </c>
      <c r="AQ123" s="0" t="s">
        <v>382</v>
      </c>
      <c r="AR123" s="25" t="s">
        <v>383</v>
      </c>
      <c r="AS123" s="25"/>
      <c r="AT123" s="59" t="s">
        <v>259</v>
      </c>
      <c r="AU123" s="0" t="s">
        <v>384</v>
      </c>
      <c r="AV123" s="56"/>
      <c r="AY123" s="7"/>
      <c r="AZ123" s="7"/>
      <c r="BA123" s="7"/>
      <c r="BB123" s="7"/>
      <c r="BD123" s="40"/>
      <c r="BE123" s="40"/>
    </row>
    <row r="124" customFormat="false" ht="15" hidden="false" customHeight="false" outlineLevel="0" collapsed="false">
      <c r="A124" s="7" t="s">
        <v>44</v>
      </c>
      <c r="B124" s="8" t="s">
        <v>154</v>
      </c>
      <c r="C124" s="9" t="s">
        <v>71</v>
      </c>
      <c r="G124" s="0" t="s">
        <v>188</v>
      </c>
      <c r="J124" s="9" t="s">
        <v>156</v>
      </c>
      <c r="K124" s="10" t="s">
        <v>157</v>
      </c>
      <c r="L124" s="11" t="s">
        <v>158</v>
      </c>
      <c r="M124" s="11" t="s">
        <v>158</v>
      </c>
      <c r="N124" s="0" t="s">
        <v>158</v>
      </c>
      <c r="V124" s="25"/>
      <c r="W124" s="25"/>
      <c r="X124" s="38"/>
      <c r="Y124" s="10" t="s">
        <v>157</v>
      </c>
      <c r="AA124" s="10" t="n">
        <v>7.9</v>
      </c>
      <c r="AB124" s="10" t="n">
        <v>6.8</v>
      </c>
      <c r="AC124" s="10" t="n">
        <v>1.79</v>
      </c>
      <c r="AD124" s="12" t="n">
        <v>2</v>
      </c>
      <c r="AE124" s="0" t="s">
        <v>159</v>
      </c>
      <c r="AF124" s="0" t="n">
        <v>60</v>
      </c>
      <c r="AG124" s="0" t="n">
        <v>16.5</v>
      </c>
      <c r="AH124" s="0" t="n">
        <v>13.7</v>
      </c>
      <c r="AI124" s="0" t="s">
        <v>161</v>
      </c>
      <c r="AJ124" s="0" t="s">
        <v>381</v>
      </c>
      <c r="AK124" s="0" t="s">
        <v>163</v>
      </c>
      <c r="AL124" s="0" t="n">
        <v>1.08</v>
      </c>
      <c r="AM124" s="0" t="n">
        <v>0.19</v>
      </c>
      <c r="AN124" s="0" t="n">
        <v>95</v>
      </c>
      <c r="AO124" s="0" t="n">
        <v>31.06</v>
      </c>
      <c r="AQ124" s="0" t="s">
        <v>382</v>
      </c>
      <c r="AR124" s="25" t="s">
        <v>383</v>
      </c>
      <c r="AS124" s="25"/>
      <c r="AT124" s="60"/>
      <c r="AU124" s="0" t="s">
        <v>384</v>
      </c>
      <c r="AV124" s="61"/>
      <c r="AY124" s="7"/>
      <c r="AZ124" s="7"/>
      <c r="BA124" s="7"/>
      <c r="BB124" s="7"/>
      <c r="BD124" s="40"/>
      <c r="BE124" s="40"/>
    </row>
    <row r="125" customFormat="false" ht="15" hidden="false" customHeight="false" outlineLevel="0" collapsed="false">
      <c r="A125" s="7" t="s">
        <v>44</v>
      </c>
      <c r="B125" s="8" t="s">
        <v>154</v>
      </c>
      <c r="C125" s="9" t="s">
        <v>71</v>
      </c>
      <c r="G125" s="0" t="s">
        <v>188</v>
      </c>
      <c r="H125" s="0" t="s">
        <v>385</v>
      </c>
      <c r="I125" s="0" t="s">
        <v>167</v>
      </c>
      <c r="J125" s="9" t="s">
        <v>156</v>
      </c>
      <c r="K125" s="10" t="s">
        <v>168</v>
      </c>
      <c r="L125" s="11" t="s">
        <v>158</v>
      </c>
      <c r="M125" s="11" t="s">
        <v>158</v>
      </c>
      <c r="N125" s="0" t="s">
        <v>158</v>
      </c>
      <c r="V125" s="25"/>
      <c r="W125" s="25"/>
      <c r="X125" s="38"/>
      <c r="Y125" s="10" t="s">
        <v>168</v>
      </c>
      <c r="AA125" s="10" t="n">
        <v>1.8</v>
      </c>
      <c r="AB125" s="10" t="n">
        <v>7.2</v>
      </c>
      <c r="AC125" s="10" t="n">
        <v>0.77</v>
      </c>
      <c r="AD125" s="12" t="n">
        <v>2</v>
      </c>
      <c r="AE125" s="0" t="s">
        <v>159</v>
      </c>
      <c r="AF125" s="0" t="n">
        <v>60</v>
      </c>
      <c r="AG125" s="0" t="n">
        <v>16.5</v>
      </c>
      <c r="AH125" s="0" t="n">
        <v>13.7</v>
      </c>
      <c r="AI125" s="0" t="s">
        <v>161</v>
      </c>
      <c r="AJ125" s="0" t="s">
        <v>381</v>
      </c>
      <c r="AK125" s="0" t="s">
        <v>163</v>
      </c>
      <c r="AL125" s="0" t="n">
        <v>1.08</v>
      </c>
      <c r="AM125" s="0" t="n">
        <v>0.19</v>
      </c>
      <c r="AN125" s="0" t="n">
        <v>95</v>
      </c>
      <c r="AO125" s="0" t="n">
        <v>10.86</v>
      </c>
      <c r="AQ125" s="0" t="s">
        <v>382</v>
      </c>
      <c r="AR125" s="25" t="s">
        <v>383</v>
      </c>
      <c r="AS125" s="25"/>
      <c r="AT125" s="62" t="s">
        <v>386</v>
      </c>
      <c r="AU125" s="0" t="s">
        <v>384</v>
      </c>
      <c r="AV125" s="61"/>
      <c r="AY125" s="7"/>
      <c r="AZ125" s="7"/>
      <c r="BA125" s="7"/>
      <c r="BB125" s="7"/>
      <c r="BD125" s="40"/>
      <c r="BE125" s="40"/>
    </row>
    <row r="126" customFormat="false" ht="15" hidden="false" customHeight="false" outlineLevel="0" collapsed="false">
      <c r="A126" s="7" t="s">
        <v>44</v>
      </c>
      <c r="B126" s="8" t="s">
        <v>154</v>
      </c>
      <c r="C126" s="9" t="s">
        <v>71</v>
      </c>
      <c r="G126" s="0" t="s">
        <v>188</v>
      </c>
      <c r="J126" s="9" t="s">
        <v>156</v>
      </c>
      <c r="K126" s="10" t="s">
        <v>157</v>
      </c>
      <c r="L126" s="11" t="s">
        <v>158</v>
      </c>
      <c r="M126" s="11" t="s">
        <v>158</v>
      </c>
      <c r="N126" s="0" t="s">
        <v>158</v>
      </c>
      <c r="V126" s="25"/>
      <c r="W126" s="25"/>
      <c r="X126" s="38"/>
      <c r="Y126" s="10" t="s">
        <v>157</v>
      </c>
      <c r="AA126" s="10" t="n">
        <v>7.2</v>
      </c>
      <c r="AB126" s="10" t="n">
        <v>7</v>
      </c>
      <c r="AC126" s="10" t="n">
        <v>1.81</v>
      </c>
      <c r="AD126" s="12" t="n">
        <v>3</v>
      </c>
      <c r="AE126" s="0" t="s">
        <v>189</v>
      </c>
      <c r="AF126" s="0" t="n">
        <v>60</v>
      </c>
      <c r="AG126" s="0" t="n">
        <v>20.2</v>
      </c>
      <c r="AH126" s="0" t="n">
        <v>16.3</v>
      </c>
      <c r="AI126" s="0" t="s">
        <v>161</v>
      </c>
      <c r="AJ126" s="0" t="s">
        <v>381</v>
      </c>
      <c r="AK126" s="0" t="s">
        <v>163</v>
      </c>
      <c r="AL126" s="0" t="n">
        <v>1.08</v>
      </c>
      <c r="AM126" s="0" t="n">
        <v>0.14</v>
      </c>
      <c r="AN126" s="0" t="n">
        <v>95</v>
      </c>
      <c r="AO126" s="0" t="n">
        <v>22.99</v>
      </c>
      <c r="AQ126" s="0" t="s">
        <v>382</v>
      </c>
      <c r="AR126" s="25" t="s">
        <v>383</v>
      </c>
      <c r="AS126" s="25"/>
      <c r="AT126" s="60"/>
      <c r="AU126" s="0" t="s">
        <v>384</v>
      </c>
      <c r="AV126" s="61"/>
      <c r="AY126" s="7"/>
      <c r="AZ126" s="7"/>
      <c r="BA126" s="7"/>
      <c r="BB126" s="7"/>
      <c r="BD126" s="40"/>
      <c r="BE126" s="40"/>
    </row>
    <row r="127" customFormat="false" ht="15" hidden="false" customHeight="false" outlineLevel="0" collapsed="false">
      <c r="A127" s="7" t="s">
        <v>44</v>
      </c>
      <c r="B127" s="8" t="s">
        <v>154</v>
      </c>
      <c r="C127" s="9" t="s">
        <v>71</v>
      </c>
      <c r="G127" s="0" t="s">
        <v>188</v>
      </c>
      <c r="H127" s="0" t="s">
        <v>385</v>
      </c>
      <c r="I127" s="0" t="s">
        <v>167</v>
      </c>
      <c r="J127" s="9" t="s">
        <v>156</v>
      </c>
      <c r="K127" s="10" t="s">
        <v>168</v>
      </c>
      <c r="L127" s="11" t="s">
        <v>158</v>
      </c>
      <c r="M127" s="11" t="s">
        <v>158</v>
      </c>
      <c r="N127" s="0" t="s">
        <v>158</v>
      </c>
      <c r="V127" s="25"/>
      <c r="W127" s="25"/>
      <c r="X127" s="38"/>
      <c r="Y127" s="10" t="s">
        <v>168</v>
      </c>
      <c r="AA127" s="10" t="n">
        <v>1.5</v>
      </c>
      <c r="AB127" s="10" t="n">
        <v>7.2</v>
      </c>
      <c r="AC127" s="10" t="n">
        <v>0.79</v>
      </c>
      <c r="AD127" s="12" t="n">
        <v>3</v>
      </c>
      <c r="AE127" s="0" t="s">
        <v>189</v>
      </c>
      <c r="AF127" s="0" t="n">
        <v>60</v>
      </c>
      <c r="AG127" s="0" t="n">
        <v>20.2</v>
      </c>
      <c r="AH127" s="0" t="n">
        <v>16.3</v>
      </c>
      <c r="AI127" s="0" t="s">
        <v>161</v>
      </c>
      <c r="AJ127" s="0" t="s">
        <v>381</v>
      </c>
      <c r="AK127" s="0" t="s">
        <v>163</v>
      </c>
      <c r="AL127" s="0" t="n">
        <v>1.08</v>
      </c>
      <c r="AM127" s="0" t="n">
        <v>0.14</v>
      </c>
      <c r="AN127" s="0" t="n">
        <v>95</v>
      </c>
      <c r="AO127" s="0" t="n">
        <v>8.78</v>
      </c>
      <c r="AQ127" s="0" t="s">
        <v>382</v>
      </c>
      <c r="AR127" s="25" t="s">
        <v>383</v>
      </c>
      <c r="AS127" s="25"/>
      <c r="AT127" s="62" t="s">
        <v>387</v>
      </c>
      <c r="AU127" s="0" t="s">
        <v>384</v>
      </c>
      <c r="AV127" s="61"/>
    </row>
    <row r="128" customFormat="false" ht="15" hidden="false" customHeight="false" outlineLevel="0" collapsed="false">
      <c r="A128" s="7" t="s">
        <v>44</v>
      </c>
      <c r="B128" s="8" t="s">
        <v>154</v>
      </c>
      <c r="C128" s="9" t="s">
        <v>71</v>
      </c>
      <c r="G128" s="0" t="s">
        <v>188</v>
      </c>
      <c r="J128" s="9" t="s">
        <v>156</v>
      </c>
      <c r="K128" s="10" t="s">
        <v>157</v>
      </c>
      <c r="L128" s="11" t="s">
        <v>158</v>
      </c>
      <c r="M128" s="11" t="s">
        <v>158</v>
      </c>
      <c r="N128" s="0" t="s">
        <v>158</v>
      </c>
      <c r="V128" s="25"/>
      <c r="W128" s="25"/>
      <c r="X128" s="38"/>
      <c r="Y128" s="10" t="s">
        <v>157</v>
      </c>
      <c r="AA128" s="10" t="n">
        <v>6.7</v>
      </c>
      <c r="AB128" s="10" t="n">
        <v>7.5</v>
      </c>
      <c r="AC128" s="10" t="n">
        <v>1.77</v>
      </c>
      <c r="AD128" s="12" t="n">
        <v>4</v>
      </c>
      <c r="AE128" s="0" t="s">
        <v>159</v>
      </c>
      <c r="AF128" s="0" t="n">
        <v>60</v>
      </c>
      <c r="AG128" s="0" t="n">
        <v>18.5</v>
      </c>
      <c r="AH128" s="0" t="n">
        <v>15.8</v>
      </c>
      <c r="AI128" s="0" t="s">
        <v>161</v>
      </c>
      <c r="AJ128" s="0" t="s">
        <v>381</v>
      </c>
      <c r="AK128" s="0" t="s">
        <v>163</v>
      </c>
      <c r="AL128" s="0" t="n">
        <v>1.08</v>
      </c>
      <c r="AM128" s="0" t="n">
        <v>0.19</v>
      </c>
      <c r="AN128" s="0" t="n">
        <v>95</v>
      </c>
      <c r="AO128" s="0" t="n">
        <v>30.47</v>
      </c>
      <c r="AQ128" s="0" t="s">
        <v>382</v>
      </c>
      <c r="AR128" s="25" t="s">
        <v>383</v>
      </c>
      <c r="AS128" s="25"/>
      <c r="AT128" s="60"/>
      <c r="AU128" s="0" t="s">
        <v>384</v>
      </c>
      <c r="AV128" s="61"/>
    </row>
    <row r="129" customFormat="false" ht="15" hidden="false" customHeight="false" outlineLevel="0" collapsed="false">
      <c r="A129" s="7" t="s">
        <v>44</v>
      </c>
      <c r="B129" s="8" t="s">
        <v>154</v>
      </c>
      <c r="C129" s="9" t="s">
        <v>71</v>
      </c>
      <c r="G129" s="0" t="s">
        <v>188</v>
      </c>
      <c r="H129" s="0" t="s">
        <v>385</v>
      </c>
      <c r="I129" s="0" t="s">
        <v>167</v>
      </c>
      <c r="J129" s="9" t="s">
        <v>156</v>
      </c>
      <c r="K129" s="10" t="s">
        <v>168</v>
      </c>
      <c r="L129" s="11" t="s">
        <v>158</v>
      </c>
      <c r="M129" s="11" t="s">
        <v>158</v>
      </c>
      <c r="N129" s="0" t="s">
        <v>158</v>
      </c>
      <c r="V129" s="25"/>
      <c r="W129" s="25"/>
      <c r="X129" s="38"/>
      <c r="Y129" s="10" t="s">
        <v>168</v>
      </c>
      <c r="AA129" s="10" t="n">
        <v>1.5</v>
      </c>
      <c r="AB129" s="10" t="n">
        <v>7.6</v>
      </c>
      <c r="AC129" s="10" t="n">
        <v>0.75</v>
      </c>
      <c r="AD129" s="12" t="n">
        <v>4</v>
      </c>
      <c r="AE129" s="0" t="s">
        <v>159</v>
      </c>
      <c r="AF129" s="0" t="n">
        <v>60</v>
      </c>
      <c r="AG129" s="0" t="n">
        <v>18.5</v>
      </c>
      <c r="AH129" s="0" t="n">
        <v>15.8</v>
      </c>
      <c r="AI129" s="0" t="s">
        <v>161</v>
      </c>
      <c r="AJ129" s="0" t="s">
        <v>381</v>
      </c>
      <c r="AK129" s="0" t="s">
        <v>163</v>
      </c>
      <c r="AL129" s="0" t="n">
        <v>1.08</v>
      </c>
      <c r="AM129" s="0" t="n">
        <v>0.19</v>
      </c>
      <c r="AN129" s="0" t="n">
        <v>95</v>
      </c>
      <c r="AO129" s="0" t="n">
        <v>5.34</v>
      </c>
      <c r="AQ129" s="0" t="s">
        <v>382</v>
      </c>
      <c r="AR129" s="25" t="s">
        <v>383</v>
      </c>
      <c r="AS129" s="25"/>
      <c r="AT129" s="62" t="s">
        <v>334</v>
      </c>
      <c r="AU129" s="0" t="s">
        <v>384</v>
      </c>
      <c r="AV129" s="61"/>
    </row>
    <row r="130" customFormat="false" ht="15" hidden="false" customHeight="false" outlineLevel="0" collapsed="false">
      <c r="A130" s="7" t="s">
        <v>44</v>
      </c>
      <c r="B130" s="8" t="s">
        <v>154</v>
      </c>
      <c r="C130" s="9" t="s">
        <v>71</v>
      </c>
      <c r="G130" s="0" t="s">
        <v>188</v>
      </c>
      <c r="J130" s="9" t="s">
        <v>156</v>
      </c>
      <c r="K130" s="10" t="s">
        <v>157</v>
      </c>
      <c r="L130" s="11" t="s">
        <v>158</v>
      </c>
      <c r="M130" s="11" t="s">
        <v>158</v>
      </c>
      <c r="N130" s="0" t="s">
        <v>158</v>
      </c>
      <c r="V130" s="25"/>
      <c r="W130" s="25"/>
      <c r="X130" s="38"/>
      <c r="Y130" s="10" t="s">
        <v>157</v>
      </c>
      <c r="AA130" s="10" t="n">
        <v>7.9</v>
      </c>
      <c r="AB130" s="10" t="n">
        <v>6.8</v>
      </c>
      <c r="AC130" s="10" t="n">
        <v>1.79</v>
      </c>
      <c r="AD130" s="12" t="n">
        <v>5</v>
      </c>
      <c r="AE130" s="0" t="s">
        <v>212</v>
      </c>
      <c r="AF130" s="0" t="n">
        <v>60</v>
      </c>
      <c r="AG130" s="0" t="n">
        <v>16.5</v>
      </c>
      <c r="AH130" s="0" t="n">
        <v>13.7</v>
      </c>
      <c r="AI130" s="0" t="s">
        <v>161</v>
      </c>
      <c r="AJ130" s="0" t="s">
        <v>381</v>
      </c>
      <c r="AK130" s="0" t="s">
        <v>163</v>
      </c>
      <c r="AL130" s="0" t="n">
        <v>1.08</v>
      </c>
      <c r="AM130" s="0" t="n">
        <v>0.19</v>
      </c>
      <c r="AN130" s="0" t="n">
        <v>95</v>
      </c>
      <c r="AO130" s="0" t="n">
        <v>22.1</v>
      </c>
      <c r="AQ130" s="0" t="s">
        <v>382</v>
      </c>
      <c r="AR130" s="25" t="s">
        <v>383</v>
      </c>
      <c r="AS130" s="25"/>
      <c r="AT130" s="60"/>
      <c r="AU130" s="0" t="s">
        <v>384</v>
      </c>
      <c r="AV130" s="61"/>
    </row>
    <row r="131" customFormat="false" ht="15" hidden="false" customHeight="false" outlineLevel="0" collapsed="false">
      <c r="A131" s="7" t="s">
        <v>44</v>
      </c>
      <c r="B131" s="8" t="s">
        <v>154</v>
      </c>
      <c r="C131" s="9" t="s">
        <v>71</v>
      </c>
      <c r="G131" s="0" t="s">
        <v>188</v>
      </c>
      <c r="H131" s="0" t="s">
        <v>385</v>
      </c>
      <c r="I131" s="0" t="s">
        <v>167</v>
      </c>
      <c r="J131" s="9" t="s">
        <v>156</v>
      </c>
      <c r="K131" s="10" t="s">
        <v>168</v>
      </c>
      <c r="L131" s="11" t="s">
        <v>158</v>
      </c>
      <c r="M131" s="11" t="s">
        <v>158</v>
      </c>
      <c r="N131" s="0" t="s">
        <v>158</v>
      </c>
      <c r="V131" s="25"/>
      <c r="W131" s="25"/>
      <c r="X131" s="38"/>
      <c r="Y131" s="10" t="s">
        <v>168</v>
      </c>
      <c r="AA131" s="10" t="n">
        <v>1.8</v>
      </c>
      <c r="AB131" s="10" t="n">
        <v>7.2</v>
      </c>
      <c r="AC131" s="10" t="n">
        <v>0.77</v>
      </c>
      <c r="AD131" s="12" t="n">
        <v>5</v>
      </c>
      <c r="AE131" s="0" t="s">
        <v>212</v>
      </c>
      <c r="AF131" s="0" t="n">
        <v>60</v>
      </c>
      <c r="AG131" s="0" t="n">
        <v>16.5</v>
      </c>
      <c r="AH131" s="0" t="n">
        <v>13.7</v>
      </c>
      <c r="AI131" s="0" t="s">
        <v>161</v>
      </c>
      <c r="AJ131" s="0" t="s">
        <v>381</v>
      </c>
      <c r="AK131" s="0" t="s">
        <v>163</v>
      </c>
      <c r="AL131" s="0" t="n">
        <v>1.08</v>
      </c>
      <c r="AM131" s="0" t="n">
        <v>0.19</v>
      </c>
      <c r="AN131" s="0" t="n">
        <v>95</v>
      </c>
      <c r="AO131" s="0" t="n">
        <v>13.06</v>
      </c>
      <c r="AQ131" s="0" t="s">
        <v>382</v>
      </c>
      <c r="AR131" s="25" t="s">
        <v>383</v>
      </c>
      <c r="AS131" s="25"/>
      <c r="AT131" s="62" t="s">
        <v>388</v>
      </c>
      <c r="AU131" s="0" t="s">
        <v>384</v>
      </c>
      <c r="AV131" s="61"/>
    </row>
    <row r="132" customFormat="false" ht="15" hidden="false" customHeight="false" outlineLevel="0" collapsed="false">
      <c r="A132" s="7" t="s">
        <v>44</v>
      </c>
      <c r="B132" s="8" t="s">
        <v>154</v>
      </c>
      <c r="C132" s="9" t="s">
        <v>71</v>
      </c>
      <c r="G132" s="0" t="s">
        <v>188</v>
      </c>
      <c r="J132" s="9" t="s">
        <v>156</v>
      </c>
      <c r="K132" s="10" t="s">
        <v>157</v>
      </c>
      <c r="L132" s="11" t="s">
        <v>158</v>
      </c>
      <c r="M132" s="11" t="s">
        <v>158</v>
      </c>
      <c r="N132" s="0" t="s">
        <v>158</v>
      </c>
      <c r="V132" s="25"/>
      <c r="W132" s="25"/>
      <c r="X132" s="38"/>
      <c r="Y132" s="10" t="s">
        <v>157</v>
      </c>
      <c r="AA132" s="10" t="n">
        <v>6.7</v>
      </c>
      <c r="AB132" s="10" t="n">
        <v>7.5</v>
      </c>
      <c r="AC132" s="10" t="n">
        <v>1.77</v>
      </c>
      <c r="AD132" s="12" t="n">
        <v>6</v>
      </c>
      <c r="AE132" s="0" t="s">
        <v>212</v>
      </c>
      <c r="AF132" s="0" t="n">
        <v>60</v>
      </c>
      <c r="AG132" s="0" t="n">
        <v>18.5</v>
      </c>
      <c r="AH132" s="0" t="n">
        <v>15.8</v>
      </c>
      <c r="AI132" s="0" t="s">
        <v>161</v>
      </c>
      <c r="AJ132" s="0" t="s">
        <v>381</v>
      </c>
      <c r="AK132" s="0" t="s">
        <v>163</v>
      </c>
      <c r="AL132" s="0" t="n">
        <v>1.08</v>
      </c>
      <c r="AM132" s="0" t="n">
        <v>0.19</v>
      </c>
      <c r="AN132" s="0" t="n">
        <v>95</v>
      </c>
      <c r="AO132" s="0" t="n">
        <v>11.71</v>
      </c>
      <c r="AQ132" s="0" t="s">
        <v>382</v>
      </c>
      <c r="AR132" s="25" t="s">
        <v>383</v>
      </c>
      <c r="AS132" s="25"/>
      <c r="AT132" s="60"/>
      <c r="AU132" s="0" t="s">
        <v>384</v>
      </c>
      <c r="AV132" s="61"/>
    </row>
    <row r="133" customFormat="false" ht="15" hidden="false" customHeight="false" outlineLevel="0" collapsed="false">
      <c r="A133" s="7" t="s">
        <v>44</v>
      </c>
      <c r="B133" s="8" t="s">
        <v>154</v>
      </c>
      <c r="C133" s="9" t="s">
        <v>71</v>
      </c>
      <c r="G133" s="0" t="s">
        <v>188</v>
      </c>
      <c r="H133" s="0" t="s">
        <v>385</v>
      </c>
      <c r="I133" s="0" t="s">
        <v>167</v>
      </c>
      <c r="J133" s="9" t="s">
        <v>156</v>
      </c>
      <c r="K133" s="10" t="s">
        <v>168</v>
      </c>
      <c r="L133" s="11" t="s">
        <v>158</v>
      </c>
      <c r="M133" s="11" t="s">
        <v>158</v>
      </c>
      <c r="N133" s="0" t="s">
        <v>158</v>
      </c>
      <c r="V133" s="25"/>
      <c r="W133" s="25"/>
      <c r="X133" s="38"/>
      <c r="Y133" s="10" t="s">
        <v>168</v>
      </c>
      <c r="AA133" s="10" t="n">
        <v>1.5</v>
      </c>
      <c r="AB133" s="10" t="n">
        <v>7.6</v>
      </c>
      <c r="AC133" s="10" t="n">
        <v>0.75</v>
      </c>
      <c r="AD133" s="12" t="n">
        <v>6</v>
      </c>
      <c r="AE133" s="0" t="s">
        <v>212</v>
      </c>
      <c r="AF133" s="0" t="n">
        <v>60</v>
      </c>
      <c r="AG133" s="0" t="n">
        <v>18.5</v>
      </c>
      <c r="AH133" s="0" t="n">
        <v>15.8</v>
      </c>
      <c r="AI133" s="0" t="s">
        <v>161</v>
      </c>
      <c r="AJ133" s="0" t="s">
        <v>381</v>
      </c>
      <c r="AK133" s="0" t="s">
        <v>163</v>
      </c>
      <c r="AL133" s="0" t="n">
        <v>1.08</v>
      </c>
      <c r="AM133" s="0" t="n">
        <v>0.19</v>
      </c>
      <c r="AN133" s="0" t="n">
        <v>95</v>
      </c>
      <c r="AO133" s="0" t="n">
        <v>6.05</v>
      </c>
      <c r="AQ133" s="0" t="s">
        <v>382</v>
      </c>
      <c r="AR133" s="25" t="s">
        <v>383</v>
      </c>
      <c r="AS133" s="25"/>
      <c r="AT133" s="62" t="s">
        <v>241</v>
      </c>
      <c r="AU133" s="0" t="s">
        <v>384</v>
      </c>
      <c r="AV133" s="61"/>
    </row>
    <row r="134" customFormat="false" ht="15" hidden="false" customHeight="true" outlineLevel="0" collapsed="false">
      <c r="A134" s="7" t="s">
        <v>46</v>
      </c>
      <c r="B134" s="8" t="s">
        <v>389</v>
      </c>
      <c r="C134" s="9" t="s">
        <v>71</v>
      </c>
      <c r="G134" s="0" t="s">
        <v>188</v>
      </c>
      <c r="H134" s="0" t="s">
        <v>390</v>
      </c>
      <c r="I134" s="0" t="s">
        <v>285</v>
      </c>
      <c r="J134" s="9" t="s">
        <v>156</v>
      </c>
      <c r="K134" s="8" t="s">
        <v>391</v>
      </c>
      <c r="L134" s="24" t="s">
        <v>158</v>
      </c>
      <c r="M134" s="24" t="s">
        <v>158</v>
      </c>
      <c r="N134" s="7" t="s">
        <v>158</v>
      </c>
      <c r="O134" s="8"/>
      <c r="X134" s="10"/>
      <c r="Y134" s="8" t="s">
        <v>157</v>
      </c>
      <c r="AA134" s="10" t="n">
        <v>6.9</v>
      </c>
      <c r="AB134" s="10" t="n">
        <v>7.4</v>
      </c>
      <c r="AC134" s="10" t="n">
        <v>1.7</v>
      </c>
      <c r="AD134" s="12" t="n">
        <v>1</v>
      </c>
      <c r="AE134" s="0" t="s">
        <v>189</v>
      </c>
      <c r="AF134" s="12" t="n">
        <v>30</v>
      </c>
      <c r="AG134" s="0" t="s">
        <v>392</v>
      </c>
      <c r="AH134" s="0" t="n">
        <v>15.9</v>
      </c>
      <c r="AI134" s="0" t="s">
        <v>161</v>
      </c>
      <c r="AJ134" s="0" t="s">
        <v>393</v>
      </c>
      <c r="AK134" s="0" t="s">
        <v>163</v>
      </c>
      <c r="AL134" s="0" t="s">
        <v>158</v>
      </c>
      <c r="AM134" s="0" t="s">
        <v>158</v>
      </c>
      <c r="AN134" s="0" t="n">
        <v>144</v>
      </c>
      <c r="AO134" s="0" t="n">
        <v>56.5</v>
      </c>
      <c r="AQ134" s="0" t="s">
        <v>281</v>
      </c>
      <c r="AR134" s="0" t="s">
        <v>394</v>
      </c>
      <c r="AT134" s="12"/>
      <c r="AU134" s="0" t="s">
        <v>395</v>
      </c>
    </row>
    <row r="135" customFormat="false" ht="15" hidden="false" customHeight="false" outlineLevel="0" collapsed="false">
      <c r="A135" s="7" t="s">
        <v>46</v>
      </c>
      <c r="B135" s="8" t="s">
        <v>389</v>
      </c>
      <c r="C135" s="9" t="s">
        <v>71</v>
      </c>
      <c r="G135" s="0" t="s">
        <v>188</v>
      </c>
      <c r="H135" s="0" t="s">
        <v>390</v>
      </c>
      <c r="I135" s="0" t="s">
        <v>285</v>
      </c>
      <c r="J135" s="9" t="s">
        <v>156</v>
      </c>
      <c r="K135" s="8" t="s">
        <v>391</v>
      </c>
      <c r="L135" s="24" t="s">
        <v>158</v>
      </c>
      <c r="M135" s="24" t="s">
        <v>158</v>
      </c>
      <c r="N135" s="7" t="s">
        <v>158</v>
      </c>
      <c r="O135" s="8"/>
      <c r="X135" s="10"/>
      <c r="Y135" s="8" t="s">
        <v>168</v>
      </c>
      <c r="AA135" s="10" t="n">
        <v>4.1</v>
      </c>
      <c r="AB135" s="10" t="n">
        <v>7.5</v>
      </c>
      <c r="AC135" s="10" t="n">
        <v>2.2</v>
      </c>
      <c r="AD135" s="12" t="n">
        <v>1</v>
      </c>
      <c r="AE135" s="0" t="s">
        <v>189</v>
      </c>
      <c r="AF135" s="12" t="n">
        <v>30</v>
      </c>
      <c r="AG135" s="0" t="s">
        <v>392</v>
      </c>
      <c r="AH135" s="0" t="n">
        <v>15.9</v>
      </c>
      <c r="AI135" s="0" t="s">
        <v>161</v>
      </c>
      <c r="AJ135" s="0" t="s">
        <v>393</v>
      </c>
      <c r="AK135" s="0" t="s">
        <v>163</v>
      </c>
      <c r="AL135" s="0" t="s">
        <v>158</v>
      </c>
      <c r="AM135" s="0" t="s">
        <v>158</v>
      </c>
      <c r="AN135" s="0" t="n">
        <v>144</v>
      </c>
      <c r="AO135" s="0" t="n">
        <v>42</v>
      </c>
      <c r="AQ135" s="0" t="s">
        <v>281</v>
      </c>
      <c r="AR135" s="0" t="s">
        <v>394</v>
      </c>
      <c r="AT135" s="46" t="s">
        <v>218</v>
      </c>
      <c r="AU135" s="0" t="s">
        <v>395</v>
      </c>
    </row>
    <row r="136" customFormat="false" ht="15" hidden="false" customHeight="false" outlineLevel="0" collapsed="false">
      <c r="A136" s="7" t="s">
        <v>46</v>
      </c>
      <c r="B136" s="8" t="s">
        <v>389</v>
      </c>
      <c r="C136" s="9" t="s">
        <v>71</v>
      </c>
      <c r="G136" s="0" t="s">
        <v>188</v>
      </c>
      <c r="H136" s="0" t="s">
        <v>390</v>
      </c>
      <c r="I136" s="0" t="s">
        <v>285</v>
      </c>
      <c r="J136" s="9" t="s">
        <v>156</v>
      </c>
      <c r="K136" s="8" t="s">
        <v>391</v>
      </c>
      <c r="L136" s="24" t="s">
        <v>158</v>
      </c>
      <c r="M136" s="24" t="s">
        <v>158</v>
      </c>
      <c r="N136" s="7" t="s">
        <v>158</v>
      </c>
      <c r="O136" s="8"/>
      <c r="X136" s="10"/>
      <c r="Y136" s="8" t="s">
        <v>168</v>
      </c>
      <c r="AA136" s="10" t="n">
        <v>3.6</v>
      </c>
      <c r="AB136" s="10" t="n">
        <v>7.8</v>
      </c>
      <c r="AC136" s="10" t="n">
        <v>2.6</v>
      </c>
      <c r="AD136" s="12" t="n">
        <v>1</v>
      </c>
      <c r="AE136" s="0" t="s">
        <v>189</v>
      </c>
      <c r="AF136" s="12" t="n">
        <v>30</v>
      </c>
      <c r="AG136" s="0" t="s">
        <v>392</v>
      </c>
      <c r="AH136" s="0" t="n">
        <v>15.9</v>
      </c>
      <c r="AI136" s="0" t="s">
        <v>161</v>
      </c>
      <c r="AJ136" s="0" t="s">
        <v>393</v>
      </c>
      <c r="AK136" s="0" t="s">
        <v>163</v>
      </c>
      <c r="AL136" s="0" t="s">
        <v>158</v>
      </c>
      <c r="AM136" s="0" t="s">
        <v>158</v>
      </c>
      <c r="AN136" s="0" t="n">
        <v>144</v>
      </c>
      <c r="AO136" s="0" t="n">
        <v>29.6</v>
      </c>
      <c r="AQ136" s="0" t="s">
        <v>281</v>
      </c>
      <c r="AR136" s="0" t="s">
        <v>394</v>
      </c>
      <c r="AT136" s="46" t="s">
        <v>241</v>
      </c>
      <c r="AU136" s="0" t="s">
        <v>395</v>
      </c>
    </row>
    <row r="137" customFormat="false" ht="15" hidden="false" customHeight="false" outlineLevel="0" collapsed="false">
      <c r="A137" s="7" t="s">
        <v>46</v>
      </c>
      <c r="B137" s="8" t="s">
        <v>389</v>
      </c>
      <c r="C137" s="9" t="s">
        <v>71</v>
      </c>
      <c r="G137" s="0" t="s">
        <v>188</v>
      </c>
      <c r="H137" s="0" t="s">
        <v>390</v>
      </c>
      <c r="I137" s="0" t="s">
        <v>285</v>
      </c>
      <c r="J137" s="9" t="s">
        <v>156</v>
      </c>
      <c r="K137" s="8" t="s">
        <v>391</v>
      </c>
      <c r="L137" s="24" t="s">
        <v>158</v>
      </c>
      <c r="M137" s="24" t="s">
        <v>158</v>
      </c>
      <c r="N137" s="7" t="s">
        <v>158</v>
      </c>
      <c r="O137" s="8"/>
      <c r="X137" s="10"/>
      <c r="Y137" s="8" t="s">
        <v>157</v>
      </c>
      <c r="AA137" s="10" t="n">
        <v>8.2</v>
      </c>
      <c r="AB137" s="10" t="n">
        <v>7.6</v>
      </c>
      <c r="AC137" s="10" t="n">
        <v>2.8</v>
      </c>
      <c r="AD137" s="12" t="n">
        <v>2</v>
      </c>
      <c r="AE137" s="0" t="s">
        <v>189</v>
      </c>
      <c r="AF137" s="12" t="n">
        <v>30</v>
      </c>
      <c r="AG137" s="0" t="s">
        <v>396</v>
      </c>
      <c r="AH137" s="0" t="n">
        <v>10.5</v>
      </c>
      <c r="AI137" s="0" t="s">
        <v>161</v>
      </c>
      <c r="AJ137" s="0" t="s">
        <v>393</v>
      </c>
      <c r="AK137" s="0" t="s">
        <v>163</v>
      </c>
      <c r="AL137" s="0" t="s">
        <v>158</v>
      </c>
      <c r="AM137" s="0" t="s">
        <v>158</v>
      </c>
      <c r="AN137" s="0" t="n">
        <v>144</v>
      </c>
      <c r="AO137" s="0" t="n">
        <v>38</v>
      </c>
      <c r="AQ137" s="0" t="s">
        <v>281</v>
      </c>
      <c r="AR137" s="0" t="s">
        <v>394</v>
      </c>
      <c r="AT137" s="12"/>
      <c r="AU137" s="0" t="s">
        <v>395</v>
      </c>
    </row>
    <row r="138" customFormat="false" ht="15" hidden="false" customHeight="false" outlineLevel="0" collapsed="false">
      <c r="A138" s="7" t="s">
        <v>46</v>
      </c>
      <c r="B138" s="8" t="s">
        <v>389</v>
      </c>
      <c r="C138" s="9" t="s">
        <v>71</v>
      </c>
      <c r="G138" s="0" t="s">
        <v>188</v>
      </c>
      <c r="H138" s="0" t="s">
        <v>390</v>
      </c>
      <c r="I138" s="0" t="s">
        <v>285</v>
      </c>
      <c r="J138" s="9" t="s">
        <v>156</v>
      </c>
      <c r="K138" s="8" t="s">
        <v>391</v>
      </c>
      <c r="L138" s="24" t="s">
        <v>158</v>
      </c>
      <c r="M138" s="24" t="s">
        <v>158</v>
      </c>
      <c r="N138" s="7" t="s">
        <v>158</v>
      </c>
      <c r="O138" s="8"/>
      <c r="X138" s="10"/>
      <c r="Y138" s="8" t="s">
        <v>168</v>
      </c>
      <c r="AA138" s="10" t="n">
        <v>2.8</v>
      </c>
      <c r="AB138" s="10" t="n">
        <v>7.7</v>
      </c>
      <c r="AC138" s="10" t="n">
        <v>2.7</v>
      </c>
      <c r="AD138" s="12" t="n">
        <v>2</v>
      </c>
      <c r="AE138" s="0" t="s">
        <v>189</v>
      </c>
      <c r="AF138" s="12" t="n">
        <v>30</v>
      </c>
      <c r="AG138" s="0" t="s">
        <v>396</v>
      </c>
      <c r="AH138" s="0" t="n">
        <v>10.5</v>
      </c>
      <c r="AI138" s="0" t="s">
        <v>161</v>
      </c>
      <c r="AJ138" s="0" t="s">
        <v>393</v>
      </c>
      <c r="AK138" s="0" t="s">
        <v>163</v>
      </c>
      <c r="AL138" s="0" t="s">
        <v>158</v>
      </c>
      <c r="AM138" s="0" t="s">
        <v>158</v>
      </c>
      <c r="AN138" s="0" t="n">
        <v>144</v>
      </c>
      <c r="AO138" s="0" t="n">
        <v>25.1</v>
      </c>
      <c r="AQ138" s="0" t="s">
        <v>281</v>
      </c>
      <c r="AR138" s="0" t="s">
        <v>394</v>
      </c>
      <c r="AT138" s="46" t="s">
        <v>262</v>
      </c>
      <c r="AU138" s="0" t="s">
        <v>395</v>
      </c>
    </row>
    <row r="139" customFormat="false" ht="15" hidden="false" customHeight="false" outlineLevel="0" collapsed="false">
      <c r="A139" s="7" t="s">
        <v>46</v>
      </c>
      <c r="B139" s="8" t="s">
        <v>389</v>
      </c>
      <c r="C139" s="9" t="s">
        <v>71</v>
      </c>
      <c r="G139" s="0" t="s">
        <v>188</v>
      </c>
      <c r="H139" s="0" t="s">
        <v>390</v>
      </c>
      <c r="I139" s="0" t="s">
        <v>285</v>
      </c>
      <c r="J139" s="9" t="s">
        <v>156</v>
      </c>
      <c r="K139" s="8" t="s">
        <v>391</v>
      </c>
      <c r="L139" s="24" t="s">
        <v>158</v>
      </c>
      <c r="M139" s="24" t="s">
        <v>158</v>
      </c>
      <c r="N139" s="7" t="s">
        <v>158</v>
      </c>
      <c r="O139" s="8"/>
      <c r="X139" s="10"/>
      <c r="Y139" s="8" t="s">
        <v>157</v>
      </c>
      <c r="AA139" s="10" t="n">
        <v>8.2</v>
      </c>
      <c r="AB139" s="10" t="n">
        <v>7.6</v>
      </c>
      <c r="AC139" s="10" t="n">
        <v>2.8</v>
      </c>
      <c r="AD139" s="12" t="n">
        <v>3</v>
      </c>
      <c r="AE139" s="0" t="s">
        <v>189</v>
      </c>
      <c r="AF139" s="12" t="n">
        <v>30</v>
      </c>
      <c r="AG139" s="0" t="s">
        <v>397</v>
      </c>
      <c r="AH139" s="0" t="n">
        <v>7.9</v>
      </c>
      <c r="AI139" s="0" t="s">
        <v>161</v>
      </c>
      <c r="AJ139" s="0" t="s">
        <v>393</v>
      </c>
      <c r="AK139" s="0" t="s">
        <v>163</v>
      </c>
      <c r="AL139" s="0" t="s">
        <v>158</v>
      </c>
      <c r="AM139" s="0" t="s">
        <v>158</v>
      </c>
      <c r="AN139" s="0" t="n">
        <v>144</v>
      </c>
      <c r="AO139" s="0" t="n">
        <v>64.2</v>
      </c>
      <c r="AQ139" s="0" t="s">
        <v>281</v>
      </c>
      <c r="AR139" s="0" t="s">
        <v>394</v>
      </c>
      <c r="AT139" s="12"/>
      <c r="AU139" s="0" t="s">
        <v>395</v>
      </c>
    </row>
    <row r="140" customFormat="false" ht="15" hidden="false" customHeight="false" outlineLevel="0" collapsed="false">
      <c r="A140" s="7" t="s">
        <v>46</v>
      </c>
      <c r="B140" s="8" t="s">
        <v>389</v>
      </c>
      <c r="C140" s="9" t="s">
        <v>71</v>
      </c>
      <c r="G140" s="0" t="s">
        <v>188</v>
      </c>
      <c r="H140" s="0" t="s">
        <v>390</v>
      </c>
      <c r="I140" s="0" t="s">
        <v>285</v>
      </c>
      <c r="J140" s="9" t="s">
        <v>156</v>
      </c>
      <c r="K140" s="8" t="s">
        <v>391</v>
      </c>
      <c r="L140" s="24" t="s">
        <v>158</v>
      </c>
      <c r="M140" s="24" t="s">
        <v>158</v>
      </c>
      <c r="N140" s="7" t="s">
        <v>158</v>
      </c>
      <c r="O140" s="8"/>
      <c r="X140" s="10"/>
      <c r="Y140" s="8" t="s">
        <v>168</v>
      </c>
      <c r="AA140" s="10" t="n">
        <v>2.8</v>
      </c>
      <c r="AB140" s="10" t="n">
        <v>7.7</v>
      </c>
      <c r="AC140" s="10" t="n">
        <v>2.7</v>
      </c>
      <c r="AD140" s="12" t="n">
        <v>3</v>
      </c>
      <c r="AE140" s="0" t="s">
        <v>189</v>
      </c>
      <c r="AF140" s="12" t="n">
        <v>30</v>
      </c>
      <c r="AG140" s="0" t="s">
        <v>397</v>
      </c>
      <c r="AH140" s="0" t="n">
        <v>7.9</v>
      </c>
      <c r="AI140" s="0" t="s">
        <v>161</v>
      </c>
      <c r="AJ140" s="0" t="s">
        <v>393</v>
      </c>
      <c r="AK140" s="0" t="s">
        <v>163</v>
      </c>
      <c r="AL140" s="0" t="s">
        <v>158</v>
      </c>
      <c r="AM140" s="0" t="s">
        <v>158</v>
      </c>
      <c r="AN140" s="0" t="n">
        <v>144</v>
      </c>
      <c r="AO140" s="0" t="n">
        <v>39.9</v>
      </c>
      <c r="AQ140" s="0" t="s">
        <v>281</v>
      </c>
      <c r="AR140" s="0" t="s">
        <v>394</v>
      </c>
      <c r="AT140" s="46" t="s">
        <v>261</v>
      </c>
      <c r="AU140" s="0" t="s">
        <v>395</v>
      </c>
    </row>
    <row r="141" customFormat="false" ht="15" hidden="false" customHeight="false" outlineLevel="0" collapsed="false">
      <c r="A141" s="7" t="s">
        <v>46</v>
      </c>
      <c r="B141" s="8" t="s">
        <v>389</v>
      </c>
      <c r="C141" s="9" t="s">
        <v>71</v>
      </c>
      <c r="G141" s="0" t="s">
        <v>188</v>
      </c>
      <c r="H141" s="0" t="s">
        <v>390</v>
      </c>
      <c r="I141" s="0" t="s">
        <v>285</v>
      </c>
      <c r="J141" s="9" t="s">
        <v>156</v>
      </c>
      <c r="K141" s="8" t="s">
        <v>391</v>
      </c>
      <c r="L141" s="24" t="s">
        <v>158</v>
      </c>
      <c r="M141" s="24" t="s">
        <v>158</v>
      </c>
      <c r="N141" s="7" t="s">
        <v>158</v>
      </c>
      <c r="O141" s="8"/>
      <c r="X141" s="10"/>
      <c r="Y141" s="8" t="s">
        <v>157</v>
      </c>
      <c r="AA141" s="10" t="n">
        <v>10</v>
      </c>
      <c r="AB141" s="10" t="n">
        <v>7.6</v>
      </c>
      <c r="AC141" s="10" t="n">
        <v>2.9</v>
      </c>
      <c r="AD141" s="12" t="n">
        <v>4</v>
      </c>
      <c r="AE141" s="0" t="s">
        <v>189</v>
      </c>
      <c r="AF141" s="12" t="n">
        <v>30</v>
      </c>
      <c r="AG141" s="0" t="s">
        <v>398</v>
      </c>
      <c r="AH141" s="0" t="n">
        <v>1.5</v>
      </c>
      <c r="AI141" s="0" t="s">
        <v>161</v>
      </c>
      <c r="AJ141" s="0" t="s">
        <v>393</v>
      </c>
      <c r="AK141" s="0" t="s">
        <v>163</v>
      </c>
      <c r="AL141" s="0" t="s">
        <v>158</v>
      </c>
      <c r="AM141" s="0" t="s">
        <v>158</v>
      </c>
      <c r="AN141" s="0" t="n">
        <v>144</v>
      </c>
      <c r="AO141" s="0" t="n">
        <v>86.8</v>
      </c>
      <c r="AQ141" s="0" t="s">
        <v>281</v>
      </c>
      <c r="AR141" s="0" t="s">
        <v>394</v>
      </c>
      <c r="AT141" s="12"/>
      <c r="AU141" s="0" t="s">
        <v>395</v>
      </c>
    </row>
    <row r="142" customFormat="false" ht="15" hidden="false" customHeight="false" outlineLevel="0" collapsed="false">
      <c r="A142" s="7" t="s">
        <v>46</v>
      </c>
      <c r="B142" s="8" t="s">
        <v>389</v>
      </c>
      <c r="C142" s="9" t="s">
        <v>71</v>
      </c>
      <c r="G142" s="0" t="s">
        <v>188</v>
      </c>
      <c r="H142" s="0" t="s">
        <v>390</v>
      </c>
      <c r="I142" s="0" t="s">
        <v>285</v>
      </c>
      <c r="J142" s="9" t="s">
        <v>156</v>
      </c>
      <c r="K142" s="8" t="s">
        <v>391</v>
      </c>
      <c r="L142" s="24" t="s">
        <v>158</v>
      </c>
      <c r="M142" s="24" t="s">
        <v>158</v>
      </c>
      <c r="N142" s="7" t="s">
        <v>158</v>
      </c>
      <c r="O142" s="8"/>
      <c r="X142" s="10"/>
      <c r="Y142" s="8" t="s">
        <v>168</v>
      </c>
      <c r="AA142" s="10" t="n">
        <v>6</v>
      </c>
      <c r="AB142" s="10" t="n">
        <v>7.7</v>
      </c>
      <c r="AC142" s="10" t="n">
        <v>2.9</v>
      </c>
      <c r="AD142" s="12" t="n">
        <v>4</v>
      </c>
      <c r="AE142" s="0" t="s">
        <v>189</v>
      </c>
      <c r="AF142" s="12" t="n">
        <v>30</v>
      </c>
      <c r="AG142" s="0" t="s">
        <v>398</v>
      </c>
      <c r="AH142" s="0" t="n">
        <v>1.5</v>
      </c>
      <c r="AI142" s="0" t="s">
        <v>161</v>
      </c>
      <c r="AJ142" s="0" t="s">
        <v>393</v>
      </c>
      <c r="AK142" s="0" t="s">
        <v>163</v>
      </c>
      <c r="AL142" s="0" t="s">
        <v>158</v>
      </c>
      <c r="AM142" s="0" t="s">
        <v>158</v>
      </c>
      <c r="AN142" s="0" t="n">
        <v>144</v>
      </c>
      <c r="AO142" s="0" t="n">
        <v>44</v>
      </c>
      <c r="AQ142" s="0" t="s">
        <v>281</v>
      </c>
      <c r="AR142" s="0" t="s">
        <v>394</v>
      </c>
      <c r="AT142" s="46" t="s">
        <v>399</v>
      </c>
      <c r="AU142" s="0" t="s">
        <v>395</v>
      </c>
    </row>
    <row r="143" customFormat="false" ht="15" hidden="false" customHeight="false" outlineLevel="0" collapsed="false">
      <c r="A143" s="7" t="s">
        <v>46</v>
      </c>
      <c r="B143" s="8" t="s">
        <v>389</v>
      </c>
      <c r="C143" s="9" t="s">
        <v>71</v>
      </c>
      <c r="G143" s="0" t="s">
        <v>188</v>
      </c>
      <c r="H143" s="0" t="s">
        <v>390</v>
      </c>
      <c r="I143" s="0" t="s">
        <v>285</v>
      </c>
      <c r="J143" s="9" t="s">
        <v>156</v>
      </c>
      <c r="K143" s="8" t="s">
        <v>391</v>
      </c>
      <c r="L143" s="24" t="s">
        <v>158</v>
      </c>
      <c r="M143" s="24" t="s">
        <v>158</v>
      </c>
      <c r="N143" s="7" t="s">
        <v>158</v>
      </c>
      <c r="O143" s="8"/>
      <c r="X143" s="10"/>
      <c r="Y143" s="8" t="s">
        <v>168</v>
      </c>
      <c r="AA143" s="10" t="n">
        <v>5.2</v>
      </c>
      <c r="AB143" s="10" t="n">
        <v>7.7</v>
      </c>
      <c r="AC143" s="10" t="n">
        <v>3</v>
      </c>
      <c r="AD143" s="12" t="n">
        <v>4</v>
      </c>
      <c r="AE143" s="0" t="s">
        <v>189</v>
      </c>
      <c r="AF143" s="12" t="n">
        <v>30</v>
      </c>
      <c r="AG143" s="0" t="s">
        <v>398</v>
      </c>
      <c r="AH143" s="0" t="n">
        <v>1.5</v>
      </c>
      <c r="AI143" s="0" t="s">
        <v>161</v>
      </c>
      <c r="AJ143" s="0" t="s">
        <v>393</v>
      </c>
      <c r="AK143" s="0" t="s">
        <v>163</v>
      </c>
      <c r="AL143" s="0" t="s">
        <v>158</v>
      </c>
      <c r="AM143" s="0" t="s">
        <v>158</v>
      </c>
      <c r="AN143" s="0" t="n">
        <v>144</v>
      </c>
      <c r="AO143" s="0" t="n">
        <v>38.4</v>
      </c>
      <c r="AQ143" s="0" t="s">
        <v>281</v>
      </c>
      <c r="AR143" s="0" t="s">
        <v>394</v>
      </c>
      <c r="AT143" s="46" t="s">
        <v>372</v>
      </c>
      <c r="AU143" s="0" t="s">
        <v>395</v>
      </c>
    </row>
    <row r="144" customFormat="false" ht="15" hidden="false" customHeight="false" outlineLevel="0" collapsed="false">
      <c r="A144" s="7" t="s">
        <v>46</v>
      </c>
      <c r="B144" s="8" t="s">
        <v>389</v>
      </c>
      <c r="C144" s="9" t="s">
        <v>71</v>
      </c>
      <c r="G144" s="0" t="s">
        <v>188</v>
      </c>
      <c r="H144" s="0" t="s">
        <v>390</v>
      </c>
      <c r="I144" s="0" t="s">
        <v>285</v>
      </c>
      <c r="J144" s="9" t="s">
        <v>156</v>
      </c>
      <c r="K144" s="8" t="s">
        <v>391</v>
      </c>
      <c r="L144" s="24" t="s">
        <v>158</v>
      </c>
      <c r="M144" s="24" t="s">
        <v>158</v>
      </c>
      <c r="N144" s="7" t="s">
        <v>158</v>
      </c>
      <c r="O144" s="8"/>
      <c r="X144" s="10"/>
      <c r="Y144" s="8" t="s">
        <v>157</v>
      </c>
      <c r="AA144" s="10" t="n">
        <v>10</v>
      </c>
      <c r="AB144" s="10" t="n">
        <v>7.6</v>
      </c>
      <c r="AC144" s="10" t="n">
        <v>2.9</v>
      </c>
      <c r="AD144" s="12" t="n">
        <v>5</v>
      </c>
      <c r="AE144" s="0" t="s">
        <v>189</v>
      </c>
      <c r="AF144" s="12" t="n">
        <v>30</v>
      </c>
      <c r="AG144" s="0" t="s">
        <v>400</v>
      </c>
      <c r="AH144" s="0" t="n">
        <v>0.5</v>
      </c>
      <c r="AI144" s="0" t="s">
        <v>161</v>
      </c>
      <c r="AJ144" s="0" t="s">
        <v>393</v>
      </c>
      <c r="AK144" s="0" t="s">
        <v>163</v>
      </c>
      <c r="AL144" s="0" t="s">
        <v>158</v>
      </c>
      <c r="AM144" s="0" t="s">
        <v>158</v>
      </c>
      <c r="AN144" s="0" t="n">
        <v>144</v>
      </c>
      <c r="AO144" s="0" t="n">
        <v>71.1</v>
      </c>
      <c r="AQ144" s="0" t="s">
        <v>281</v>
      </c>
      <c r="AR144" s="0" t="s">
        <v>394</v>
      </c>
      <c r="AT144" s="12"/>
      <c r="AU144" s="0" t="s">
        <v>395</v>
      </c>
    </row>
    <row r="145" customFormat="false" ht="15" hidden="false" customHeight="false" outlineLevel="0" collapsed="false">
      <c r="A145" s="7" t="s">
        <v>46</v>
      </c>
      <c r="B145" s="8" t="s">
        <v>389</v>
      </c>
      <c r="C145" s="9" t="s">
        <v>71</v>
      </c>
      <c r="G145" s="0" t="s">
        <v>188</v>
      </c>
      <c r="H145" s="0" t="s">
        <v>390</v>
      </c>
      <c r="I145" s="0" t="s">
        <v>285</v>
      </c>
      <c r="J145" s="9" t="s">
        <v>156</v>
      </c>
      <c r="K145" s="8" t="s">
        <v>391</v>
      </c>
      <c r="L145" s="24" t="s">
        <v>158</v>
      </c>
      <c r="M145" s="24" t="s">
        <v>158</v>
      </c>
      <c r="N145" s="7" t="s">
        <v>158</v>
      </c>
      <c r="O145" s="8"/>
      <c r="X145" s="10"/>
      <c r="Y145" s="8" t="s">
        <v>168</v>
      </c>
      <c r="AA145" s="10" t="n">
        <v>6</v>
      </c>
      <c r="AB145" s="10" t="n">
        <v>7.7</v>
      </c>
      <c r="AC145" s="10" t="n">
        <v>2.9</v>
      </c>
      <c r="AD145" s="12" t="n">
        <v>5</v>
      </c>
      <c r="AE145" s="0" t="s">
        <v>189</v>
      </c>
      <c r="AF145" s="12" t="n">
        <v>30</v>
      </c>
      <c r="AG145" s="0" t="s">
        <v>400</v>
      </c>
      <c r="AH145" s="0" t="n">
        <v>0.5</v>
      </c>
      <c r="AI145" s="0" t="s">
        <v>161</v>
      </c>
      <c r="AJ145" s="0" t="s">
        <v>393</v>
      </c>
      <c r="AK145" s="0" t="s">
        <v>163</v>
      </c>
      <c r="AL145" s="0" t="s">
        <v>158</v>
      </c>
      <c r="AM145" s="0" t="s">
        <v>158</v>
      </c>
      <c r="AN145" s="0" t="n">
        <v>144</v>
      </c>
      <c r="AO145" s="0" t="n">
        <v>45.5</v>
      </c>
      <c r="AQ145" s="0" t="s">
        <v>281</v>
      </c>
      <c r="AR145" s="0" t="s">
        <v>394</v>
      </c>
      <c r="AT145" s="46" t="s">
        <v>276</v>
      </c>
      <c r="AU145" s="0" t="s">
        <v>395</v>
      </c>
    </row>
    <row r="146" customFormat="false" ht="15" hidden="false" customHeight="false" outlineLevel="0" collapsed="false">
      <c r="A146" s="7" t="s">
        <v>46</v>
      </c>
      <c r="B146" s="8" t="s">
        <v>389</v>
      </c>
      <c r="C146" s="9" t="s">
        <v>71</v>
      </c>
      <c r="G146" s="0" t="s">
        <v>188</v>
      </c>
      <c r="H146" s="0" t="s">
        <v>390</v>
      </c>
      <c r="I146" s="0" t="s">
        <v>285</v>
      </c>
      <c r="J146" s="9" t="s">
        <v>156</v>
      </c>
      <c r="K146" s="8" t="s">
        <v>391</v>
      </c>
      <c r="L146" s="24" t="s">
        <v>158</v>
      </c>
      <c r="M146" s="24" t="s">
        <v>158</v>
      </c>
      <c r="N146" s="7" t="s">
        <v>158</v>
      </c>
      <c r="O146" s="8"/>
      <c r="X146" s="10"/>
      <c r="Y146" s="8" t="s">
        <v>168</v>
      </c>
      <c r="AA146" s="10" t="n">
        <v>5.2</v>
      </c>
      <c r="AB146" s="10" t="n">
        <v>7.7</v>
      </c>
      <c r="AC146" s="10" t="n">
        <v>3</v>
      </c>
      <c r="AD146" s="12" t="n">
        <v>5</v>
      </c>
      <c r="AE146" s="0" t="s">
        <v>189</v>
      </c>
      <c r="AF146" s="12" t="n">
        <v>30</v>
      </c>
      <c r="AG146" s="0" t="s">
        <v>400</v>
      </c>
      <c r="AH146" s="0" t="n">
        <v>0.5</v>
      </c>
      <c r="AI146" s="0" t="s">
        <v>161</v>
      </c>
      <c r="AJ146" s="0" t="s">
        <v>393</v>
      </c>
      <c r="AK146" s="0" t="s">
        <v>163</v>
      </c>
      <c r="AL146" s="0" t="s">
        <v>158</v>
      </c>
      <c r="AM146" s="0" t="s">
        <v>158</v>
      </c>
      <c r="AN146" s="0" t="n">
        <v>144</v>
      </c>
      <c r="AO146" s="0" t="n">
        <v>40.7</v>
      </c>
      <c r="AQ146" s="0" t="s">
        <v>281</v>
      </c>
      <c r="AR146" s="0" t="s">
        <v>394</v>
      </c>
      <c r="AT146" s="46" t="s">
        <v>401</v>
      </c>
      <c r="AU146" s="0" t="s">
        <v>395</v>
      </c>
    </row>
    <row r="147" customFormat="false" ht="15" hidden="false" customHeight="true" outlineLevel="0" collapsed="false">
      <c r="A147" s="7" t="s">
        <v>48</v>
      </c>
      <c r="B147" s="8" t="s">
        <v>154</v>
      </c>
      <c r="G147" s="0" t="s">
        <v>279</v>
      </c>
      <c r="J147" s="9" t="s">
        <v>335</v>
      </c>
      <c r="K147" s="6" t="s">
        <v>157</v>
      </c>
      <c r="L147" s="24" t="s">
        <v>158</v>
      </c>
      <c r="M147" s="24" t="s">
        <v>158</v>
      </c>
      <c r="N147" s="7" t="s">
        <v>158</v>
      </c>
      <c r="O147" s="8"/>
      <c r="X147" s="10"/>
      <c r="Y147" s="6" t="s">
        <v>157</v>
      </c>
      <c r="AA147" s="10" t="n">
        <v>3.4</v>
      </c>
      <c r="AB147" s="10" t="n">
        <v>8.1</v>
      </c>
      <c r="AC147" s="10" t="n">
        <v>4.1</v>
      </c>
      <c r="AD147" s="12" t="n">
        <v>1</v>
      </c>
      <c r="AE147" s="0" t="s">
        <v>189</v>
      </c>
      <c r="AF147" s="0" t="n">
        <v>30</v>
      </c>
      <c r="AG147" s="0" t="s">
        <v>158</v>
      </c>
      <c r="AH147" s="0" t="n">
        <v>14.5</v>
      </c>
      <c r="AI147" s="0" t="s">
        <v>161</v>
      </c>
      <c r="AJ147" s="0" t="s">
        <v>402</v>
      </c>
      <c r="AK147" s="0" t="s">
        <v>191</v>
      </c>
      <c r="AL147" s="0" t="n">
        <v>1.45</v>
      </c>
      <c r="AM147" s="0" t="s">
        <v>403</v>
      </c>
      <c r="AN147" s="0" t="n">
        <v>96</v>
      </c>
      <c r="AO147" s="0" t="n">
        <v>15</v>
      </c>
      <c r="AQ147" s="0" t="s">
        <v>404</v>
      </c>
      <c r="AR147" s="25" t="s">
        <v>405</v>
      </c>
      <c r="AT147" s="12"/>
      <c r="AU147" s="63"/>
    </row>
    <row r="148" customFormat="false" ht="15" hidden="false" customHeight="false" outlineLevel="0" collapsed="false">
      <c r="A148" s="7" t="s">
        <v>48</v>
      </c>
      <c r="B148" s="8" t="s">
        <v>154</v>
      </c>
      <c r="G148" s="0" t="s">
        <v>279</v>
      </c>
      <c r="H148" s="0" t="s">
        <v>406</v>
      </c>
      <c r="I148" s="0" t="s">
        <v>285</v>
      </c>
      <c r="J148" s="9" t="s">
        <v>335</v>
      </c>
      <c r="K148" s="6" t="s">
        <v>168</v>
      </c>
      <c r="L148" s="24" t="s">
        <v>158</v>
      </c>
      <c r="M148" s="24" t="s">
        <v>158</v>
      </c>
      <c r="N148" s="7" t="s">
        <v>158</v>
      </c>
      <c r="O148" s="8"/>
      <c r="X148" s="10"/>
      <c r="Y148" s="6" t="s">
        <v>168</v>
      </c>
      <c r="AA148" s="10" t="n">
        <v>2.3</v>
      </c>
      <c r="AB148" s="10" t="n">
        <v>8.2</v>
      </c>
      <c r="AC148" s="10" t="n">
        <v>4</v>
      </c>
      <c r="AD148" s="12" t="n">
        <v>1</v>
      </c>
      <c r="AE148" s="0" t="s">
        <v>189</v>
      </c>
      <c r="AF148" s="0" t="n">
        <v>30</v>
      </c>
      <c r="AG148" s="0" t="s">
        <v>158</v>
      </c>
      <c r="AH148" s="0" t="n">
        <v>14.5</v>
      </c>
      <c r="AI148" s="0" t="s">
        <v>161</v>
      </c>
      <c r="AJ148" s="0" t="s">
        <v>402</v>
      </c>
      <c r="AK148" s="0" t="s">
        <v>191</v>
      </c>
      <c r="AL148" s="0" t="n">
        <v>1.45</v>
      </c>
      <c r="AM148" s="0" t="s">
        <v>403</v>
      </c>
      <c r="AN148" s="0" t="n">
        <v>96</v>
      </c>
      <c r="AO148" s="0" t="n">
        <v>12</v>
      </c>
      <c r="AQ148" s="0" t="s">
        <v>407</v>
      </c>
      <c r="AR148" s="25" t="s">
        <v>405</v>
      </c>
      <c r="AT148" s="46" t="s">
        <v>408</v>
      </c>
      <c r="AU148" s="63"/>
    </row>
    <row r="149" customFormat="false" ht="15" hidden="false" customHeight="false" outlineLevel="0" collapsed="false">
      <c r="A149" s="7" t="s">
        <v>48</v>
      </c>
      <c r="B149" s="8" t="s">
        <v>154</v>
      </c>
      <c r="G149" s="0" t="s">
        <v>279</v>
      </c>
      <c r="J149" s="9" t="s">
        <v>335</v>
      </c>
      <c r="K149" s="6" t="s">
        <v>157</v>
      </c>
      <c r="L149" s="24" t="s">
        <v>158</v>
      </c>
      <c r="M149" s="24" t="s">
        <v>158</v>
      </c>
      <c r="N149" s="7" t="s">
        <v>158</v>
      </c>
      <c r="O149" s="8"/>
      <c r="X149" s="10"/>
      <c r="Y149" s="6" t="s">
        <v>157</v>
      </c>
      <c r="AA149" s="10" t="n">
        <v>3.4</v>
      </c>
      <c r="AB149" s="10" t="n">
        <v>8.1</v>
      </c>
      <c r="AC149" s="10" t="n">
        <v>4.1</v>
      </c>
      <c r="AD149" s="12" t="n">
        <v>2</v>
      </c>
      <c r="AE149" s="0" t="s">
        <v>189</v>
      </c>
      <c r="AF149" s="0" t="n">
        <v>30</v>
      </c>
      <c r="AG149" s="0" t="s">
        <v>158</v>
      </c>
      <c r="AH149" s="0" t="n">
        <v>14.5</v>
      </c>
      <c r="AI149" s="0" t="s">
        <v>161</v>
      </c>
      <c r="AJ149" s="0" t="s">
        <v>409</v>
      </c>
      <c r="AK149" s="0" t="s">
        <v>191</v>
      </c>
      <c r="AL149" s="0" t="n">
        <v>1.45</v>
      </c>
      <c r="AM149" s="0" t="s">
        <v>403</v>
      </c>
      <c r="AN149" s="0" t="n">
        <v>96</v>
      </c>
      <c r="AO149" s="0" t="n">
        <v>9</v>
      </c>
      <c r="AQ149" s="0" t="s">
        <v>410</v>
      </c>
      <c r="AR149" s="25" t="s">
        <v>405</v>
      </c>
      <c r="AT149" s="12"/>
      <c r="AU149" s="63"/>
    </row>
    <row r="150" customFormat="false" ht="15" hidden="false" customHeight="false" outlineLevel="0" collapsed="false">
      <c r="A150" s="7" t="s">
        <v>48</v>
      </c>
      <c r="B150" s="8" t="s">
        <v>154</v>
      </c>
      <c r="G150" s="0" t="s">
        <v>279</v>
      </c>
      <c r="H150" s="0" t="s">
        <v>406</v>
      </c>
      <c r="I150" s="0" t="s">
        <v>285</v>
      </c>
      <c r="J150" s="9" t="s">
        <v>335</v>
      </c>
      <c r="K150" s="6" t="s">
        <v>168</v>
      </c>
      <c r="L150" s="24" t="s">
        <v>158</v>
      </c>
      <c r="M150" s="24" t="s">
        <v>158</v>
      </c>
      <c r="N150" s="7" t="s">
        <v>158</v>
      </c>
      <c r="O150" s="8"/>
      <c r="X150" s="10"/>
      <c r="Y150" s="6" t="s">
        <v>168</v>
      </c>
      <c r="AA150" s="10" t="n">
        <v>2.3</v>
      </c>
      <c r="AB150" s="10" t="n">
        <v>8.2</v>
      </c>
      <c r="AC150" s="10" t="n">
        <v>4</v>
      </c>
      <c r="AD150" s="12" t="n">
        <v>2</v>
      </c>
      <c r="AE150" s="0" t="s">
        <v>189</v>
      </c>
      <c r="AF150" s="0" t="n">
        <v>30</v>
      </c>
      <c r="AG150" s="0" t="s">
        <v>158</v>
      </c>
      <c r="AH150" s="0" t="n">
        <v>14.5</v>
      </c>
      <c r="AI150" s="0" t="s">
        <v>161</v>
      </c>
      <c r="AJ150" s="0" t="s">
        <v>409</v>
      </c>
      <c r="AK150" s="0" t="s">
        <v>191</v>
      </c>
      <c r="AL150" s="0" t="n">
        <v>1.45</v>
      </c>
      <c r="AM150" s="0" t="s">
        <v>403</v>
      </c>
      <c r="AN150" s="0" t="n">
        <v>96</v>
      </c>
      <c r="AO150" s="0" t="n">
        <v>5</v>
      </c>
      <c r="AQ150" s="0" t="s">
        <v>411</v>
      </c>
      <c r="AR150" s="25" t="s">
        <v>405</v>
      </c>
      <c r="AT150" s="46" t="s">
        <v>316</v>
      </c>
      <c r="AU150" s="63"/>
    </row>
    <row r="151" customFormat="false" ht="15" hidden="false" customHeight="true" outlineLevel="0" collapsed="false">
      <c r="A151" s="7" t="s">
        <v>50</v>
      </c>
      <c r="B151" s="8" t="s">
        <v>154</v>
      </c>
      <c r="G151" s="0" t="s">
        <v>308</v>
      </c>
      <c r="J151" s="9" t="s">
        <v>156</v>
      </c>
      <c r="K151" s="10" t="s">
        <v>157</v>
      </c>
      <c r="L151" s="11" t="s">
        <v>158</v>
      </c>
      <c r="M151" s="11" t="s">
        <v>158</v>
      </c>
      <c r="N151" s="0" t="s">
        <v>158</v>
      </c>
      <c r="P151" s="6"/>
      <c r="Q151" s="6"/>
      <c r="R151" s="6"/>
      <c r="S151" s="34"/>
      <c r="T151" s="34"/>
      <c r="X151" s="8"/>
      <c r="Y151" s="10" t="s">
        <v>157</v>
      </c>
      <c r="AA151" s="6" t="n">
        <v>11.3</v>
      </c>
      <c r="AB151" s="6" t="n">
        <v>7.1</v>
      </c>
      <c r="AC151" s="6" t="n">
        <v>3.5</v>
      </c>
      <c r="AD151" s="6" t="n">
        <v>1</v>
      </c>
      <c r="AE151" s="0" t="s">
        <v>189</v>
      </c>
      <c r="AF151" s="41" t="n">
        <f aca="false">75/AC151</f>
        <v>21.4285714285714</v>
      </c>
      <c r="AG151" s="0" t="s">
        <v>158</v>
      </c>
      <c r="AH151" s="0" t="s">
        <v>158</v>
      </c>
      <c r="AI151" s="0" t="s">
        <v>158</v>
      </c>
      <c r="AJ151" s="0" t="s">
        <v>412</v>
      </c>
      <c r="AK151" s="0" t="s">
        <v>163</v>
      </c>
      <c r="AL151" s="0" t="s">
        <v>158</v>
      </c>
      <c r="AM151" s="0" t="s">
        <v>158</v>
      </c>
      <c r="AN151" s="0" t="n">
        <v>96</v>
      </c>
      <c r="AO151" s="39" t="n">
        <v>29</v>
      </c>
      <c r="AP151" s="39"/>
      <c r="AQ151" s="0" t="s">
        <v>413</v>
      </c>
      <c r="AR151" s="0" t="s">
        <v>414</v>
      </c>
      <c r="AT151" s="7"/>
      <c r="AU151" s="0" t="s">
        <v>415</v>
      </c>
    </row>
    <row r="152" customFormat="false" ht="15" hidden="false" customHeight="false" outlineLevel="0" collapsed="false">
      <c r="A152" s="7" t="s">
        <v>50</v>
      </c>
      <c r="B152" s="8" t="s">
        <v>154</v>
      </c>
      <c r="G152" s="0" t="s">
        <v>308</v>
      </c>
      <c r="H152" s="0" t="s">
        <v>416</v>
      </c>
      <c r="I152" s="0" t="s">
        <v>167</v>
      </c>
      <c r="J152" s="9" t="s">
        <v>156</v>
      </c>
      <c r="K152" s="10" t="s">
        <v>168</v>
      </c>
      <c r="L152" s="11" t="s">
        <v>158</v>
      </c>
      <c r="M152" s="11" t="s">
        <v>158</v>
      </c>
      <c r="N152" s="0" t="s">
        <v>158</v>
      </c>
      <c r="P152" s="6"/>
      <c r="Q152" s="6"/>
      <c r="R152" s="6"/>
      <c r="S152" s="34"/>
      <c r="T152" s="34"/>
      <c r="X152" s="8"/>
      <c r="Y152" s="10" t="s">
        <v>168</v>
      </c>
      <c r="AA152" s="6" t="n">
        <v>10.5</v>
      </c>
      <c r="AB152" s="6" t="n">
        <v>7.1</v>
      </c>
      <c r="AC152" s="6" t="n">
        <v>3.5</v>
      </c>
      <c r="AD152" s="6" t="n">
        <v>1</v>
      </c>
      <c r="AE152" s="0" t="s">
        <v>189</v>
      </c>
      <c r="AF152" s="41" t="n">
        <f aca="false">75/AC152</f>
        <v>21.4285714285714</v>
      </c>
      <c r="AG152" s="0" t="s">
        <v>158</v>
      </c>
      <c r="AH152" s="0" t="s">
        <v>158</v>
      </c>
      <c r="AI152" s="0" t="s">
        <v>158</v>
      </c>
      <c r="AJ152" s="0" t="s">
        <v>412</v>
      </c>
      <c r="AK152" s="0" t="s">
        <v>163</v>
      </c>
      <c r="AL152" s="0" t="s">
        <v>158</v>
      </c>
      <c r="AM152" s="0" t="s">
        <v>158</v>
      </c>
      <c r="AN152" s="0" t="n">
        <v>96</v>
      </c>
      <c r="AO152" s="39" t="n">
        <v>26</v>
      </c>
      <c r="AP152" s="39"/>
      <c r="AQ152" s="0" t="s">
        <v>413</v>
      </c>
      <c r="AR152" s="0" t="s">
        <v>414</v>
      </c>
      <c r="AT152" s="64" t="s">
        <v>268</v>
      </c>
      <c r="AU152" s="0" t="s">
        <v>415</v>
      </c>
    </row>
    <row r="153" customFormat="false" ht="15" hidden="false" customHeight="false" outlineLevel="0" collapsed="false">
      <c r="A153" s="7" t="s">
        <v>50</v>
      </c>
      <c r="B153" s="8" t="s">
        <v>154</v>
      </c>
      <c r="G153" s="0" t="s">
        <v>308</v>
      </c>
      <c r="H153" s="0" t="s">
        <v>416</v>
      </c>
      <c r="I153" s="0" t="s">
        <v>167</v>
      </c>
      <c r="J153" s="9" t="s">
        <v>156</v>
      </c>
      <c r="K153" s="10" t="s">
        <v>168</v>
      </c>
      <c r="L153" s="11" t="s">
        <v>158</v>
      </c>
      <c r="M153" s="11" t="s">
        <v>158</v>
      </c>
      <c r="N153" s="0" t="s">
        <v>158</v>
      </c>
      <c r="P153" s="6"/>
      <c r="Q153" s="6"/>
      <c r="R153" s="6"/>
      <c r="S153" s="34"/>
      <c r="T153" s="34"/>
      <c r="X153" s="8"/>
      <c r="Y153" s="10" t="s">
        <v>168</v>
      </c>
      <c r="AA153" s="6" t="n">
        <v>10</v>
      </c>
      <c r="AB153" s="6" t="n">
        <v>7.2</v>
      </c>
      <c r="AC153" s="6" t="n">
        <v>3.6</v>
      </c>
      <c r="AD153" s="6" t="n">
        <v>1</v>
      </c>
      <c r="AE153" s="0" t="s">
        <v>189</v>
      </c>
      <c r="AF153" s="41" t="n">
        <f aca="false">75/AC153</f>
        <v>20.8333333333333</v>
      </c>
      <c r="AG153" s="0" t="s">
        <v>158</v>
      </c>
      <c r="AH153" s="0" t="s">
        <v>158</v>
      </c>
      <c r="AI153" s="0" t="s">
        <v>158</v>
      </c>
      <c r="AJ153" s="0" t="s">
        <v>412</v>
      </c>
      <c r="AK153" s="0" t="s">
        <v>163</v>
      </c>
      <c r="AL153" s="0" t="s">
        <v>158</v>
      </c>
      <c r="AM153" s="0" t="s">
        <v>158</v>
      </c>
      <c r="AN153" s="0" t="n">
        <v>96</v>
      </c>
      <c r="AO153" s="39" t="n">
        <v>25</v>
      </c>
      <c r="AP153" s="39"/>
      <c r="AQ153" s="0" t="s">
        <v>413</v>
      </c>
      <c r="AR153" s="0" t="s">
        <v>414</v>
      </c>
      <c r="AT153" s="64" t="s">
        <v>417</v>
      </c>
      <c r="AU153" s="0" t="s">
        <v>415</v>
      </c>
    </row>
    <row r="154" customFormat="false" ht="15" hidden="false" customHeight="false" outlineLevel="0" collapsed="false">
      <c r="A154" s="7" t="s">
        <v>50</v>
      </c>
      <c r="B154" s="8" t="s">
        <v>154</v>
      </c>
      <c r="G154" s="0" t="s">
        <v>308</v>
      </c>
      <c r="H154" s="0" t="s">
        <v>416</v>
      </c>
      <c r="I154" s="0" t="s">
        <v>167</v>
      </c>
      <c r="J154" s="9" t="s">
        <v>156</v>
      </c>
      <c r="K154" s="10" t="s">
        <v>168</v>
      </c>
      <c r="L154" s="11" t="s">
        <v>158</v>
      </c>
      <c r="M154" s="11" t="s">
        <v>158</v>
      </c>
      <c r="N154" s="0" t="s">
        <v>158</v>
      </c>
      <c r="P154" s="6"/>
      <c r="Q154" s="6"/>
      <c r="R154" s="6"/>
      <c r="S154" s="34"/>
      <c r="T154" s="34"/>
      <c r="X154" s="8"/>
      <c r="Y154" s="10" t="s">
        <v>168</v>
      </c>
      <c r="AA154" s="6" t="n">
        <v>8.6</v>
      </c>
      <c r="AB154" s="6" t="n">
        <v>7.2</v>
      </c>
      <c r="AC154" s="6" t="n">
        <v>3.6</v>
      </c>
      <c r="AD154" s="6" t="n">
        <v>1</v>
      </c>
      <c r="AE154" s="0" t="s">
        <v>189</v>
      </c>
      <c r="AF154" s="41" t="n">
        <f aca="false">75/AC154</f>
        <v>20.8333333333333</v>
      </c>
      <c r="AG154" s="0" t="s">
        <v>158</v>
      </c>
      <c r="AH154" s="0" t="s">
        <v>158</v>
      </c>
      <c r="AI154" s="0" t="s">
        <v>158</v>
      </c>
      <c r="AJ154" s="0" t="s">
        <v>412</v>
      </c>
      <c r="AK154" s="0" t="s">
        <v>163</v>
      </c>
      <c r="AL154" s="0" t="s">
        <v>158</v>
      </c>
      <c r="AM154" s="0" t="s">
        <v>158</v>
      </c>
      <c r="AN154" s="0" t="n">
        <v>96</v>
      </c>
      <c r="AO154" s="39" t="n">
        <v>21</v>
      </c>
      <c r="AP154" s="39"/>
      <c r="AQ154" s="0" t="s">
        <v>413</v>
      </c>
      <c r="AR154" s="0" t="s">
        <v>414</v>
      </c>
      <c r="AT154" s="64" t="s">
        <v>418</v>
      </c>
      <c r="AU154" s="0" t="s">
        <v>415</v>
      </c>
    </row>
    <row r="155" customFormat="false" ht="15" hidden="false" customHeight="false" outlineLevel="0" collapsed="false">
      <c r="A155" s="7" t="s">
        <v>50</v>
      </c>
      <c r="B155" s="8" t="s">
        <v>154</v>
      </c>
      <c r="G155" s="0" t="s">
        <v>308</v>
      </c>
      <c r="H155" s="0" t="s">
        <v>416</v>
      </c>
      <c r="I155" s="0" t="s">
        <v>167</v>
      </c>
      <c r="J155" s="9" t="s">
        <v>156</v>
      </c>
      <c r="K155" s="10" t="s">
        <v>168</v>
      </c>
      <c r="L155" s="11" t="s">
        <v>158</v>
      </c>
      <c r="M155" s="11" t="s">
        <v>158</v>
      </c>
      <c r="N155" s="0" t="s">
        <v>158</v>
      </c>
      <c r="P155" s="6"/>
      <c r="Q155" s="6"/>
      <c r="R155" s="6"/>
      <c r="S155" s="34"/>
      <c r="T155" s="34"/>
      <c r="X155" s="8"/>
      <c r="Y155" s="10" t="s">
        <v>168</v>
      </c>
      <c r="AA155" s="6" t="n">
        <v>8.4</v>
      </c>
      <c r="AB155" s="6" t="n">
        <v>7.2</v>
      </c>
      <c r="AC155" s="6" t="n">
        <v>3.6</v>
      </c>
      <c r="AD155" s="6" t="n">
        <v>1</v>
      </c>
      <c r="AE155" s="0" t="s">
        <v>189</v>
      </c>
      <c r="AF155" s="41" t="n">
        <f aca="false">75/AC155</f>
        <v>20.8333333333333</v>
      </c>
      <c r="AG155" s="0" t="s">
        <v>158</v>
      </c>
      <c r="AH155" s="0" t="s">
        <v>158</v>
      </c>
      <c r="AI155" s="0" t="s">
        <v>158</v>
      </c>
      <c r="AJ155" s="0" t="s">
        <v>412</v>
      </c>
      <c r="AK155" s="0" t="s">
        <v>163</v>
      </c>
      <c r="AL155" s="0" t="s">
        <v>158</v>
      </c>
      <c r="AM155" s="0" t="s">
        <v>158</v>
      </c>
      <c r="AN155" s="0" t="n">
        <v>96</v>
      </c>
      <c r="AO155" s="39" t="n">
        <v>18</v>
      </c>
      <c r="AP155" s="39"/>
      <c r="AQ155" s="0" t="s">
        <v>413</v>
      </c>
      <c r="AR155" s="0" t="s">
        <v>414</v>
      </c>
      <c r="AT155" s="64" t="s">
        <v>261</v>
      </c>
      <c r="AU155" s="0" t="s">
        <v>415</v>
      </c>
    </row>
    <row r="156" customFormat="false" ht="15" hidden="false" customHeight="false" outlineLevel="0" collapsed="false">
      <c r="A156" s="7" t="s">
        <v>50</v>
      </c>
      <c r="B156" s="8" t="s">
        <v>154</v>
      </c>
      <c r="G156" s="0" t="s">
        <v>308</v>
      </c>
      <c r="H156" s="0" t="s">
        <v>416</v>
      </c>
      <c r="I156" s="0" t="s">
        <v>167</v>
      </c>
      <c r="J156" s="9" t="s">
        <v>156</v>
      </c>
      <c r="K156" s="10" t="s">
        <v>168</v>
      </c>
      <c r="L156" s="11" t="s">
        <v>158</v>
      </c>
      <c r="M156" s="11" t="s">
        <v>158</v>
      </c>
      <c r="N156" s="0" t="s">
        <v>158</v>
      </c>
      <c r="P156" s="6"/>
      <c r="Q156" s="6"/>
      <c r="R156" s="6"/>
      <c r="S156" s="34"/>
      <c r="T156" s="34"/>
      <c r="X156" s="8"/>
      <c r="Y156" s="10" t="s">
        <v>168</v>
      </c>
      <c r="AA156" s="6" t="n">
        <v>8.2</v>
      </c>
      <c r="AB156" s="6" t="n">
        <v>7.2</v>
      </c>
      <c r="AC156" s="6" t="n">
        <v>3.6</v>
      </c>
      <c r="AD156" s="6" t="n">
        <v>1</v>
      </c>
      <c r="AE156" s="0" t="s">
        <v>189</v>
      </c>
      <c r="AF156" s="41" t="n">
        <f aca="false">75/AC156</f>
        <v>20.8333333333333</v>
      </c>
      <c r="AG156" s="0" t="s">
        <v>158</v>
      </c>
      <c r="AH156" s="0" t="s">
        <v>158</v>
      </c>
      <c r="AI156" s="0" t="s">
        <v>158</v>
      </c>
      <c r="AJ156" s="0" t="s">
        <v>412</v>
      </c>
      <c r="AK156" s="0" t="s">
        <v>163</v>
      </c>
      <c r="AL156" s="0" t="s">
        <v>158</v>
      </c>
      <c r="AM156" s="0" t="s">
        <v>158</v>
      </c>
      <c r="AN156" s="0" t="n">
        <v>96</v>
      </c>
      <c r="AO156" s="39" t="n">
        <v>17</v>
      </c>
      <c r="AP156" s="39"/>
      <c r="AQ156" s="0" t="s">
        <v>413</v>
      </c>
      <c r="AR156" s="0" t="s">
        <v>414</v>
      </c>
      <c r="AT156" s="64" t="s">
        <v>419</v>
      </c>
      <c r="AU156" s="0" t="s">
        <v>415</v>
      </c>
    </row>
    <row r="157" customFormat="false" ht="15" hidden="false" customHeight="false" outlineLevel="0" collapsed="false">
      <c r="A157" s="7" t="s">
        <v>50</v>
      </c>
      <c r="B157" s="8" t="s">
        <v>154</v>
      </c>
      <c r="G157" s="0" t="s">
        <v>308</v>
      </c>
      <c r="H157" s="0" t="s">
        <v>416</v>
      </c>
      <c r="I157" s="0" t="s">
        <v>167</v>
      </c>
      <c r="J157" s="9" t="s">
        <v>156</v>
      </c>
      <c r="K157" s="10" t="s">
        <v>168</v>
      </c>
      <c r="L157" s="11" t="s">
        <v>158</v>
      </c>
      <c r="M157" s="11" t="s">
        <v>158</v>
      </c>
      <c r="N157" s="0" t="s">
        <v>158</v>
      </c>
      <c r="P157" s="6"/>
      <c r="Q157" s="6"/>
      <c r="R157" s="6"/>
      <c r="S157" s="34"/>
      <c r="T157" s="34"/>
      <c r="X157" s="8"/>
      <c r="Y157" s="10" t="s">
        <v>168</v>
      </c>
      <c r="AA157" s="6" t="n">
        <v>7.9</v>
      </c>
      <c r="AB157" s="6" t="n">
        <v>7.2</v>
      </c>
      <c r="AC157" s="6" t="n">
        <v>3.6</v>
      </c>
      <c r="AD157" s="6" t="n">
        <v>1</v>
      </c>
      <c r="AE157" s="0" t="s">
        <v>189</v>
      </c>
      <c r="AF157" s="41" t="n">
        <f aca="false">75/AC157</f>
        <v>20.8333333333333</v>
      </c>
      <c r="AG157" s="0" t="s">
        <v>158</v>
      </c>
      <c r="AH157" s="0" t="s">
        <v>158</v>
      </c>
      <c r="AI157" s="0" t="s">
        <v>158</v>
      </c>
      <c r="AJ157" s="0" t="s">
        <v>412</v>
      </c>
      <c r="AK157" s="0" t="s">
        <v>163</v>
      </c>
      <c r="AL157" s="0" t="s">
        <v>158</v>
      </c>
      <c r="AM157" s="0" t="s">
        <v>158</v>
      </c>
      <c r="AN157" s="0" t="n">
        <v>96</v>
      </c>
      <c r="AO157" s="39" t="n">
        <v>20</v>
      </c>
      <c r="AP157" s="39"/>
      <c r="AQ157" s="0" t="s">
        <v>413</v>
      </c>
      <c r="AR157" s="0" t="s">
        <v>414</v>
      </c>
      <c r="AT157" s="64" t="s">
        <v>258</v>
      </c>
      <c r="AU157" s="0" t="s">
        <v>415</v>
      </c>
    </row>
    <row r="158" customFormat="false" ht="15" hidden="false" customHeight="false" outlineLevel="0" collapsed="false">
      <c r="A158" s="7" t="s">
        <v>50</v>
      </c>
      <c r="B158" s="8" t="s">
        <v>154</v>
      </c>
      <c r="G158" s="0" t="s">
        <v>308</v>
      </c>
      <c r="H158" s="0" t="s">
        <v>416</v>
      </c>
      <c r="I158" s="0" t="s">
        <v>167</v>
      </c>
      <c r="J158" s="9" t="s">
        <v>156</v>
      </c>
      <c r="K158" s="10" t="s">
        <v>168</v>
      </c>
      <c r="L158" s="11" t="s">
        <v>158</v>
      </c>
      <c r="M158" s="11" t="s">
        <v>158</v>
      </c>
      <c r="N158" s="0" t="s">
        <v>158</v>
      </c>
      <c r="P158" s="6"/>
      <c r="Q158" s="6"/>
      <c r="R158" s="6"/>
      <c r="S158" s="34"/>
      <c r="T158" s="34"/>
      <c r="X158" s="8"/>
      <c r="Y158" s="10" t="s">
        <v>168</v>
      </c>
      <c r="AA158" s="6" t="n">
        <v>7.7</v>
      </c>
      <c r="AB158" s="6" t="n">
        <v>7.2</v>
      </c>
      <c r="AC158" s="6" t="n">
        <v>3.6</v>
      </c>
      <c r="AD158" s="6" t="n">
        <v>1</v>
      </c>
      <c r="AE158" s="0" t="s">
        <v>189</v>
      </c>
      <c r="AF158" s="41" t="n">
        <f aca="false">75/AC158</f>
        <v>20.8333333333333</v>
      </c>
      <c r="AG158" s="0" t="s">
        <v>158</v>
      </c>
      <c r="AH158" s="0" t="s">
        <v>158</v>
      </c>
      <c r="AI158" s="0" t="s">
        <v>158</v>
      </c>
      <c r="AJ158" s="0" t="s">
        <v>412</v>
      </c>
      <c r="AK158" s="0" t="s">
        <v>163</v>
      </c>
      <c r="AL158" s="0" t="s">
        <v>158</v>
      </c>
      <c r="AM158" s="0" t="s">
        <v>158</v>
      </c>
      <c r="AN158" s="0" t="n">
        <v>96</v>
      </c>
      <c r="AO158" s="39" t="n">
        <v>15</v>
      </c>
      <c r="AP158" s="39"/>
      <c r="AQ158" s="0" t="s">
        <v>413</v>
      </c>
      <c r="AR158" s="0" t="s">
        <v>414</v>
      </c>
      <c r="AT158" s="64" t="s">
        <v>241</v>
      </c>
      <c r="AU158" s="0" t="s">
        <v>415</v>
      </c>
    </row>
    <row r="159" customFormat="false" ht="15" hidden="false" customHeight="true" outlineLevel="0" collapsed="false">
      <c r="A159" s="7" t="s">
        <v>52</v>
      </c>
      <c r="B159" s="8" t="s">
        <v>154</v>
      </c>
      <c r="G159" s="0" t="s">
        <v>188</v>
      </c>
      <c r="J159" s="9" t="s">
        <v>156</v>
      </c>
      <c r="K159" s="6" t="s">
        <v>157</v>
      </c>
      <c r="L159" s="7" t="s">
        <v>158</v>
      </c>
      <c r="M159" s="7" t="s">
        <v>158</v>
      </c>
      <c r="N159" s="7" t="s">
        <v>158</v>
      </c>
      <c r="O159" s="8"/>
      <c r="P159" s="6"/>
      <c r="Q159" s="6"/>
      <c r="R159" s="6"/>
      <c r="S159" s="38"/>
      <c r="T159" s="38"/>
      <c r="X159" s="8"/>
      <c r="Y159" s="6" t="s">
        <v>157</v>
      </c>
      <c r="AA159" s="6" t="n">
        <v>6.5</v>
      </c>
      <c r="AB159" s="6" t="n">
        <v>7.5</v>
      </c>
      <c r="AC159" s="6" t="n">
        <v>1.1</v>
      </c>
      <c r="AD159" s="6" t="n">
        <v>1</v>
      </c>
      <c r="AE159" s="0" t="s">
        <v>189</v>
      </c>
      <c r="AF159" s="39" t="n">
        <v>80</v>
      </c>
      <c r="AG159" s="0" t="n">
        <v>16</v>
      </c>
      <c r="AH159" s="0" t="s">
        <v>158</v>
      </c>
      <c r="AI159" s="0" t="s">
        <v>158</v>
      </c>
      <c r="AJ159" s="0" t="s">
        <v>420</v>
      </c>
      <c r="AK159" s="0" t="s">
        <v>163</v>
      </c>
      <c r="AL159" s="0" t="n">
        <v>1.42</v>
      </c>
      <c r="AM159" s="0" t="s">
        <v>158</v>
      </c>
      <c r="AN159" s="0" t="n">
        <v>144</v>
      </c>
      <c r="AO159" s="40" t="n">
        <v>31.9</v>
      </c>
      <c r="AP159" s="40"/>
      <c r="AQ159" s="0" t="s">
        <v>281</v>
      </c>
      <c r="AR159" s="0" t="s">
        <v>414</v>
      </c>
      <c r="AT159" s="7"/>
      <c r="AU159" s="0" t="s">
        <v>421</v>
      </c>
      <c r="AV159" s="6"/>
    </row>
    <row r="160" customFormat="false" ht="15" hidden="false" customHeight="false" outlineLevel="0" collapsed="false">
      <c r="A160" s="7" t="s">
        <v>52</v>
      </c>
      <c r="B160" s="8" t="s">
        <v>154</v>
      </c>
      <c r="G160" s="0" t="s">
        <v>188</v>
      </c>
      <c r="H160" s="0" t="s">
        <v>338</v>
      </c>
      <c r="I160" s="0" t="s">
        <v>167</v>
      </c>
      <c r="J160" s="9" t="s">
        <v>156</v>
      </c>
      <c r="K160" s="10" t="s">
        <v>168</v>
      </c>
      <c r="L160" s="7" t="s">
        <v>158</v>
      </c>
      <c r="M160" s="7" t="s">
        <v>158</v>
      </c>
      <c r="N160" s="7" t="s">
        <v>158</v>
      </c>
      <c r="O160" s="8"/>
      <c r="P160" s="6"/>
      <c r="Q160" s="6"/>
      <c r="R160" s="6"/>
      <c r="S160" s="38"/>
      <c r="T160" s="38"/>
      <c r="X160" s="8"/>
      <c r="Y160" s="10" t="s">
        <v>168</v>
      </c>
      <c r="AA160" s="6" t="n">
        <v>4</v>
      </c>
      <c r="AB160" s="6" t="n">
        <v>7.4</v>
      </c>
      <c r="AC160" s="6" t="n">
        <v>1.2</v>
      </c>
      <c r="AD160" s="6" t="n">
        <v>1</v>
      </c>
      <c r="AE160" s="0" t="s">
        <v>189</v>
      </c>
      <c r="AF160" s="39" t="n">
        <v>80</v>
      </c>
      <c r="AG160" s="0" t="n">
        <v>16</v>
      </c>
      <c r="AH160" s="0" t="s">
        <v>158</v>
      </c>
      <c r="AI160" s="0" t="s">
        <v>158</v>
      </c>
      <c r="AJ160" s="0" t="s">
        <v>420</v>
      </c>
      <c r="AK160" s="0" t="s">
        <v>163</v>
      </c>
      <c r="AL160" s="0" t="n">
        <v>1.42</v>
      </c>
      <c r="AM160" s="0" t="s">
        <v>158</v>
      </c>
      <c r="AN160" s="0" t="n">
        <v>144</v>
      </c>
      <c r="AO160" s="40" t="n">
        <v>32.6</v>
      </c>
      <c r="AP160" s="40"/>
      <c r="AQ160" s="0" t="s">
        <v>281</v>
      </c>
      <c r="AR160" s="0" t="s">
        <v>414</v>
      </c>
      <c r="AT160" s="64" t="s">
        <v>422</v>
      </c>
      <c r="AU160" s="0" t="s">
        <v>421</v>
      </c>
      <c r="AV160" s="6"/>
    </row>
    <row r="161" customFormat="false" ht="15" hidden="false" customHeight="true" outlineLevel="0" collapsed="false">
      <c r="A161" s="7" t="s">
        <v>54</v>
      </c>
      <c r="B161" s="8" t="s">
        <v>154</v>
      </c>
      <c r="G161" s="0" t="s">
        <v>423</v>
      </c>
      <c r="J161" s="9" t="s">
        <v>156</v>
      </c>
      <c r="K161" s="10" t="s">
        <v>157</v>
      </c>
      <c r="L161" s="11" t="s">
        <v>158</v>
      </c>
      <c r="M161" s="11" t="s">
        <v>158</v>
      </c>
      <c r="N161" s="0" t="s">
        <v>158</v>
      </c>
      <c r="P161" s="6"/>
      <c r="Q161" s="6"/>
      <c r="R161" s="6"/>
      <c r="V161" s="25"/>
      <c r="W161" s="25"/>
      <c r="X161" s="8"/>
      <c r="Y161" s="10" t="s">
        <v>157</v>
      </c>
      <c r="AA161" s="6" t="n">
        <v>7.1</v>
      </c>
      <c r="AB161" s="6" t="s">
        <v>158</v>
      </c>
      <c r="AC161" s="6" t="n">
        <v>2.8</v>
      </c>
      <c r="AD161" s="6" t="n">
        <v>1</v>
      </c>
      <c r="AE161" s="0" t="s">
        <v>189</v>
      </c>
      <c r="AF161" s="0" t="n">
        <v>20</v>
      </c>
      <c r="AG161" s="0" t="s">
        <v>424</v>
      </c>
      <c r="AH161" s="0" t="s">
        <v>158</v>
      </c>
      <c r="AI161" s="0" t="s">
        <v>425</v>
      </c>
      <c r="AJ161" s="0" t="s">
        <v>381</v>
      </c>
      <c r="AK161" s="0" t="s">
        <v>349</v>
      </c>
      <c r="AL161" s="0" t="s">
        <v>158</v>
      </c>
      <c r="AM161" s="0" t="s">
        <v>158</v>
      </c>
      <c r="AN161" s="0" t="n">
        <v>144</v>
      </c>
      <c r="AO161" s="0" t="n">
        <v>19</v>
      </c>
      <c r="AQ161" s="0" t="s">
        <v>407</v>
      </c>
      <c r="AR161" s="25" t="s">
        <v>426</v>
      </c>
      <c r="AS161" s="25"/>
      <c r="AT161" s="7"/>
      <c r="AU161" s="0" t="s">
        <v>427</v>
      </c>
    </row>
    <row r="162" customFormat="false" ht="15" hidden="false" customHeight="false" outlineLevel="0" collapsed="false">
      <c r="A162" s="7" t="s">
        <v>54</v>
      </c>
      <c r="B162" s="8" t="s">
        <v>154</v>
      </c>
      <c r="G162" s="0" t="s">
        <v>423</v>
      </c>
      <c r="H162" s="0" t="s">
        <v>428</v>
      </c>
      <c r="I162" s="0" t="s">
        <v>285</v>
      </c>
      <c r="J162" s="9" t="s">
        <v>156</v>
      </c>
      <c r="K162" s="10" t="s">
        <v>168</v>
      </c>
      <c r="L162" s="11" t="s">
        <v>158</v>
      </c>
      <c r="M162" s="11" t="s">
        <v>158</v>
      </c>
      <c r="N162" s="0" t="s">
        <v>158</v>
      </c>
      <c r="P162" s="6"/>
      <c r="Q162" s="6"/>
      <c r="R162" s="6"/>
      <c r="V162" s="25"/>
      <c r="W162" s="25"/>
      <c r="X162" s="8"/>
      <c r="Y162" s="10" t="s">
        <v>168</v>
      </c>
      <c r="AA162" s="6" t="n">
        <v>4.4</v>
      </c>
      <c r="AB162" s="6" t="s">
        <v>158</v>
      </c>
      <c r="AC162" s="6" t="n">
        <v>2.5</v>
      </c>
      <c r="AD162" s="6" t="n">
        <v>1</v>
      </c>
      <c r="AE162" s="0" t="s">
        <v>189</v>
      </c>
      <c r="AF162" s="0" t="n">
        <v>20</v>
      </c>
      <c r="AG162" s="0" t="s">
        <v>424</v>
      </c>
      <c r="AH162" s="0" t="s">
        <v>158</v>
      </c>
      <c r="AI162" s="0" t="s">
        <v>425</v>
      </c>
      <c r="AJ162" s="0" t="s">
        <v>381</v>
      </c>
      <c r="AK162" s="0" t="s">
        <v>349</v>
      </c>
      <c r="AL162" s="0" t="s">
        <v>158</v>
      </c>
      <c r="AM162" s="0" t="s">
        <v>158</v>
      </c>
      <c r="AN162" s="0" t="n">
        <v>144</v>
      </c>
      <c r="AO162" s="0" t="n">
        <v>7</v>
      </c>
      <c r="AQ162" s="0" t="s">
        <v>410</v>
      </c>
      <c r="AR162" s="25" t="s">
        <v>426</v>
      </c>
      <c r="AS162" s="25"/>
      <c r="AT162" s="64" t="s">
        <v>317</v>
      </c>
      <c r="AU162" s="0" t="s">
        <v>427</v>
      </c>
    </row>
    <row r="163" customFormat="false" ht="15" hidden="false" customHeight="false" outlineLevel="0" collapsed="false">
      <c r="A163" s="7" t="s">
        <v>54</v>
      </c>
      <c r="B163" s="8" t="s">
        <v>154</v>
      </c>
      <c r="G163" s="0" t="s">
        <v>423</v>
      </c>
      <c r="J163" s="9" t="s">
        <v>156</v>
      </c>
      <c r="K163" s="10" t="s">
        <v>157</v>
      </c>
      <c r="L163" s="11" t="s">
        <v>158</v>
      </c>
      <c r="M163" s="11" t="s">
        <v>158</v>
      </c>
      <c r="N163" s="0" t="s">
        <v>158</v>
      </c>
      <c r="P163" s="6"/>
      <c r="Q163" s="6"/>
      <c r="R163" s="6"/>
      <c r="V163" s="25"/>
      <c r="W163" s="25"/>
      <c r="X163" s="8"/>
      <c r="Y163" s="10" t="s">
        <v>157</v>
      </c>
      <c r="AA163" s="6" t="n">
        <v>7.1</v>
      </c>
      <c r="AB163" s="6" t="s">
        <v>158</v>
      </c>
      <c r="AC163" s="6" t="n">
        <v>2.8</v>
      </c>
      <c r="AD163" s="6" t="n">
        <v>2</v>
      </c>
      <c r="AE163" s="0" t="s">
        <v>189</v>
      </c>
      <c r="AF163" s="0" t="n">
        <v>20</v>
      </c>
      <c r="AG163" s="0" t="s">
        <v>429</v>
      </c>
      <c r="AH163" s="0" t="s">
        <v>158</v>
      </c>
      <c r="AI163" s="0" t="s">
        <v>430</v>
      </c>
      <c r="AJ163" s="0" t="s">
        <v>381</v>
      </c>
      <c r="AK163" s="0" t="s">
        <v>349</v>
      </c>
      <c r="AL163" s="0" t="s">
        <v>158</v>
      </c>
      <c r="AM163" s="0" t="s">
        <v>158</v>
      </c>
      <c r="AN163" s="0" t="n">
        <v>144</v>
      </c>
      <c r="AO163" s="0" t="n">
        <v>90</v>
      </c>
      <c r="AQ163" s="0" t="s">
        <v>411</v>
      </c>
      <c r="AR163" s="25" t="s">
        <v>426</v>
      </c>
      <c r="AS163" s="25"/>
      <c r="AT163" s="7"/>
      <c r="AU163" s="0" t="s">
        <v>427</v>
      </c>
    </row>
    <row r="164" customFormat="false" ht="15" hidden="false" customHeight="false" outlineLevel="0" collapsed="false">
      <c r="A164" s="7" t="s">
        <v>54</v>
      </c>
      <c r="B164" s="8" t="s">
        <v>154</v>
      </c>
      <c r="G164" s="0" t="s">
        <v>423</v>
      </c>
      <c r="H164" s="0" t="s">
        <v>428</v>
      </c>
      <c r="I164" s="0" t="s">
        <v>285</v>
      </c>
      <c r="J164" s="9" t="s">
        <v>156</v>
      </c>
      <c r="K164" s="10" t="s">
        <v>168</v>
      </c>
      <c r="L164" s="11" t="s">
        <v>158</v>
      </c>
      <c r="M164" s="11" t="s">
        <v>158</v>
      </c>
      <c r="N164" s="0" t="s">
        <v>158</v>
      </c>
      <c r="P164" s="6"/>
      <c r="Q164" s="6"/>
      <c r="R164" s="6"/>
      <c r="V164" s="25"/>
      <c r="W164" s="25"/>
      <c r="X164" s="8"/>
      <c r="Y164" s="10" t="s">
        <v>168</v>
      </c>
      <c r="AA164" s="6" t="n">
        <v>4.4</v>
      </c>
      <c r="AB164" s="6" t="s">
        <v>158</v>
      </c>
      <c r="AC164" s="6" t="n">
        <v>2.5</v>
      </c>
      <c r="AD164" s="6" t="n">
        <v>2</v>
      </c>
      <c r="AE164" s="0" t="s">
        <v>189</v>
      </c>
      <c r="AF164" s="0" t="n">
        <v>20</v>
      </c>
      <c r="AG164" s="0" t="s">
        <v>429</v>
      </c>
      <c r="AH164" s="0" t="s">
        <v>158</v>
      </c>
      <c r="AI164" s="0" t="s">
        <v>430</v>
      </c>
      <c r="AJ164" s="0" t="s">
        <v>381</v>
      </c>
      <c r="AK164" s="0" t="s">
        <v>349</v>
      </c>
      <c r="AL164" s="0" t="s">
        <v>158</v>
      </c>
      <c r="AM164" s="0" t="s">
        <v>158</v>
      </c>
      <c r="AN164" s="0" t="n">
        <v>144</v>
      </c>
      <c r="AO164" s="0" t="n">
        <v>30</v>
      </c>
      <c r="AQ164" s="0" t="s">
        <v>431</v>
      </c>
      <c r="AR164" s="25" t="s">
        <v>426</v>
      </c>
      <c r="AS164" s="25"/>
      <c r="AT164" s="64" t="s">
        <v>432</v>
      </c>
      <c r="AU164" s="0" t="s">
        <v>427</v>
      </c>
    </row>
    <row r="165" customFormat="false" ht="15" hidden="false" customHeight="true" outlineLevel="0" collapsed="false">
      <c r="A165" s="7" t="s">
        <v>54</v>
      </c>
      <c r="B165" s="8" t="s">
        <v>154</v>
      </c>
      <c r="G165" s="0" t="s">
        <v>423</v>
      </c>
      <c r="J165" s="9" t="s">
        <v>156</v>
      </c>
      <c r="K165" s="10" t="s">
        <v>157</v>
      </c>
      <c r="L165" s="11" t="s">
        <v>158</v>
      </c>
      <c r="M165" s="11" t="s">
        <v>158</v>
      </c>
      <c r="N165" s="0" t="s">
        <v>158</v>
      </c>
      <c r="P165" s="6"/>
      <c r="Q165" s="6"/>
      <c r="R165" s="6"/>
      <c r="V165" s="25"/>
      <c r="W165" s="25"/>
      <c r="Y165" s="10" t="s">
        <v>157</v>
      </c>
      <c r="AA165" s="6" t="n">
        <v>7.1</v>
      </c>
      <c r="AB165" s="6" t="s">
        <v>158</v>
      </c>
      <c r="AC165" s="6" t="n">
        <v>2.8</v>
      </c>
      <c r="AD165" s="6" t="n">
        <v>3</v>
      </c>
      <c r="AE165" s="0" t="s">
        <v>189</v>
      </c>
      <c r="AF165" s="0" t="n">
        <v>20</v>
      </c>
      <c r="AG165" s="0" t="s">
        <v>433</v>
      </c>
      <c r="AH165" s="0" t="s">
        <v>158</v>
      </c>
      <c r="AI165" s="0" t="s">
        <v>425</v>
      </c>
      <c r="AJ165" s="0" t="s">
        <v>381</v>
      </c>
      <c r="AK165" s="0" t="s">
        <v>349</v>
      </c>
      <c r="AL165" s="0" t="s">
        <v>158</v>
      </c>
      <c r="AM165" s="0" t="s">
        <v>158</v>
      </c>
      <c r="AN165" s="0" t="n">
        <v>144</v>
      </c>
      <c r="AO165" s="0" t="n">
        <v>62</v>
      </c>
      <c r="AQ165" s="0" t="s">
        <v>434</v>
      </c>
      <c r="AR165" s="25" t="s">
        <v>426</v>
      </c>
      <c r="AS165" s="25"/>
      <c r="AU165" s="0" t="s">
        <v>427</v>
      </c>
    </row>
    <row r="166" customFormat="false" ht="15" hidden="false" customHeight="false" outlineLevel="0" collapsed="false">
      <c r="A166" s="7" t="s">
        <v>54</v>
      </c>
      <c r="B166" s="8" t="s">
        <v>154</v>
      </c>
      <c r="G166" s="0" t="s">
        <v>423</v>
      </c>
      <c r="H166" s="0" t="s">
        <v>428</v>
      </c>
      <c r="I166" s="0" t="s">
        <v>285</v>
      </c>
      <c r="J166" s="9" t="s">
        <v>156</v>
      </c>
      <c r="K166" s="10" t="s">
        <v>168</v>
      </c>
      <c r="L166" s="11" t="s">
        <v>158</v>
      </c>
      <c r="M166" s="11" t="s">
        <v>158</v>
      </c>
      <c r="N166" s="0" t="s">
        <v>158</v>
      </c>
      <c r="P166" s="6"/>
      <c r="Q166" s="6"/>
      <c r="R166" s="6"/>
      <c r="V166" s="25"/>
      <c r="W166" s="25"/>
      <c r="X166" s="8"/>
      <c r="Y166" s="10" t="s">
        <v>168</v>
      </c>
      <c r="AA166" s="6" t="n">
        <v>4.4</v>
      </c>
      <c r="AB166" s="6" t="s">
        <v>158</v>
      </c>
      <c r="AC166" s="6" t="n">
        <v>2.5</v>
      </c>
      <c r="AD166" s="6" t="n">
        <v>3</v>
      </c>
      <c r="AE166" s="0" t="s">
        <v>189</v>
      </c>
      <c r="AF166" s="0" t="n">
        <v>20</v>
      </c>
      <c r="AG166" s="0" t="s">
        <v>433</v>
      </c>
      <c r="AH166" s="0" t="s">
        <v>158</v>
      </c>
      <c r="AI166" s="0" t="s">
        <v>425</v>
      </c>
      <c r="AJ166" s="0" t="s">
        <v>381</v>
      </c>
      <c r="AK166" s="0" t="s">
        <v>349</v>
      </c>
      <c r="AL166" s="0" t="s">
        <v>158</v>
      </c>
      <c r="AM166" s="0" t="s">
        <v>158</v>
      </c>
      <c r="AN166" s="0" t="n">
        <v>144</v>
      </c>
      <c r="AO166" s="0" t="n">
        <v>75</v>
      </c>
      <c r="AQ166" s="0" t="s">
        <v>435</v>
      </c>
      <c r="AR166" s="25" t="s">
        <v>426</v>
      </c>
      <c r="AS166" s="25"/>
      <c r="AT166" s="65" t="s">
        <v>436</v>
      </c>
      <c r="AU166" s="0" t="s">
        <v>427</v>
      </c>
    </row>
    <row r="167" customFormat="false" ht="15" hidden="false" customHeight="false" outlineLevel="0" collapsed="false">
      <c r="A167" s="7" t="s">
        <v>54</v>
      </c>
      <c r="B167" s="8" t="s">
        <v>154</v>
      </c>
      <c r="G167" s="0" t="s">
        <v>423</v>
      </c>
      <c r="J167" s="9" t="s">
        <v>156</v>
      </c>
      <c r="K167" s="10" t="s">
        <v>157</v>
      </c>
      <c r="L167" s="11" t="s">
        <v>158</v>
      </c>
      <c r="M167" s="11" t="s">
        <v>158</v>
      </c>
      <c r="N167" s="0" t="s">
        <v>158</v>
      </c>
      <c r="P167" s="6"/>
      <c r="Q167" s="6"/>
      <c r="R167" s="6"/>
      <c r="V167" s="25"/>
      <c r="W167" s="25"/>
      <c r="X167" s="8"/>
      <c r="Y167" s="10" t="s">
        <v>157</v>
      </c>
      <c r="AA167" s="6" t="n">
        <v>7.1</v>
      </c>
      <c r="AB167" s="6" t="s">
        <v>158</v>
      </c>
      <c r="AC167" s="6" t="n">
        <v>2.8</v>
      </c>
      <c r="AD167" s="6" t="n">
        <v>4</v>
      </c>
      <c r="AE167" s="0" t="s">
        <v>189</v>
      </c>
      <c r="AF167" s="0" t="n">
        <v>20</v>
      </c>
      <c r="AG167" s="0" t="s">
        <v>437</v>
      </c>
      <c r="AH167" s="0" t="s">
        <v>158</v>
      </c>
      <c r="AI167" s="0" t="s">
        <v>430</v>
      </c>
      <c r="AJ167" s="0" t="s">
        <v>381</v>
      </c>
      <c r="AK167" s="0" t="s">
        <v>349</v>
      </c>
      <c r="AL167" s="0" t="s">
        <v>158</v>
      </c>
      <c r="AM167" s="0" t="s">
        <v>158</v>
      </c>
      <c r="AN167" s="0" t="n">
        <v>144</v>
      </c>
      <c r="AO167" s="0" t="n">
        <v>25</v>
      </c>
      <c r="AQ167" s="0" t="s">
        <v>438</v>
      </c>
      <c r="AR167" s="25" t="s">
        <v>426</v>
      </c>
      <c r="AS167" s="25"/>
      <c r="AT167" s="7"/>
      <c r="AU167" s="0" t="s">
        <v>427</v>
      </c>
    </row>
    <row r="168" customFormat="false" ht="15" hidden="false" customHeight="false" outlineLevel="0" collapsed="false">
      <c r="A168" s="7" t="s">
        <v>54</v>
      </c>
      <c r="B168" s="8" t="s">
        <v>154</v>
      </c>
      <c r="G168" s="0" t="s">
        <v>423</v>
      </c>
      <c r="H168" s="0" t="s">
        <v>428</v>
      </c>
      <c r="I168" s="0" t="s">
        <v>285</v>
      </c>
      <c r="J168" s="9" t="s">
        <v>156</v>
      </c>
      <c r="K168" s="10" t="s">
        <v>168</v>
      </c>
      <c r="L168" s="11" t="s">
        <v>158</v>
      </c>
      <c r="M168" s="11" t="s">
        <v>158</v>
      </c>
      <c r="N168" s="0" t="s">
        <v>158</v>
      </c>
      <c r="P168" s="6"/>
      <c r="Q168" s="6"/>
      <c r="R168" s="6"/>
      <c r="V168" s="25"/>
      <c r="W168" s="25"/>
      <c r="X168" s="8"/>
      <c r="Y168" s="10" t="s">
        <v>168</v>
      </c>
      <c r="AA168" s="6" t="n">
        <v>4.4</v>
      </c>
      <c r="AB168" s="6" t="s">
        <v>158</v>
      </c>
      <c r="AC168" s="6" t="n">
        <v>2.5</v>
      </c>
      <c r="AD168" s="6" t="n">
        <v>4</v>
      </c>
      <c r="AE168" s="0" t="s">
        <v>189</v>
      </c>
      <c r="AF168" s="0" t="n">
        <v>20</v>
      </c>
      <c r="AG168" s="0" t="s">
        <v>437</v>
      </c>
      <c r="AH168" s="0" t="s">
        <v>158</v>
      </c>
      <c r="AI168" s="0" t="s">
        <v>430</v>
      </c>
      <c r="AJ168" s="0" t="s">
        <v>381</v>
      </c>
      <c r="AK168" s="0" t="s">
        <v>349</v>
      </c>
      <c r="AL168" s="0" t="s">
        <v>158</v>
      </c>
      <c r="AM168" s="0" t="s">
        <v>158</v>
      </c>
      <c r="AN168" s="0" t="n">
        <v>144</v>
      </c>
      <c r="AO168" s="0" t="n">
        <v>40</v>
      </c>
      <c r="AQ168" s="0" t="s">
        <v>439</v>
      </c>
      <c r="AR168" s="25" t="s">
        <v>426</v>
      </c>
      <c r="AS168" s="25"/>
      <c r="AT168" s="65" t="s">
        <v>440</v>
      </c>
      <c r="AU168" s="0" t="s">
        <v>427</v>
      </c>
    </row>
    <row r="169" customFormat="false" ht="15" hidden="false" customHeight="true" outlineLevel="0" collapsed="false">
      <c r="A169" s="7" t="s">
        <v>54</v>
      </c>
      <c r="B169" s="8" t="s">
        <v>154</v>
      </c>
      <c r="G169" s="0" t="s">
        <v>423</v>
      </c>
      <c r="J169" s="9" t="s">
        <v>156</v>
      </c>
      <c r="K169" s="10" t="s">
        <v>157</v>
      </c>
      <c r="L169" s="11" t="s">
        <v>158</v>
      </c>
      <c r="M169" s="11" t="s">
        <v>158</v>
      </c>
      <c r="N169" s="0" t="s">
        <v>158</v>
      </c>
      <c r="P169" s="6"/>
      <c r="Q169" s="6"/>
      <c r="R169" s="6"/>
      <c r="V169" s="25"/>
      <c r="W169" s="25"/>
      <c r="X169" s="8"/>
      <c r="Y169" s="10" t="s">
        <v>157</v>
      </c>
      <c r="AA169" s="6" t="n">
        <v>7.1</v>
      </c>
      <c r="AB169" s="6" t="s">
        <v>158</v>
      </c>
      <c r="AC169" s="6" t="n">
        <v>2.8</v>
      </c>
      <c r="AD169" s="6" t="n">
        <v>5</v>
      </c>
      <c r="AE169" s="0" t="s">
        <v>441</v>
      </c>
      <c r="AF169" s="0" t="n">
        <v>20</v>
      </c>
      <c r="AG169" s="0" t="s">
        <v>424</v>
      </c>
      <c r="AH169" s="0" t="s">
        <v>158</v>
      </c>
      <c r="AI169" s="0" t="s">
        <v>425</v>
      </c>
      <c r="AJ169" s="0" t="s">
        <v>381</v>
      </c>
      <c r="AK169" s="0" t="s">
        <v>349</v>
      </c>
      <c r="AL169" s="0" t="s">
        <v>158</v>
      </c>
      <c r="AM169" s="0" t="s">
        <v>158</v>
      </c>
      <c r="AN169" s="0" t="n">
        <v>144</v>
      </c>
      <c r="AO169" s="0" t="n">
        <v>17</v>
      </c>
      <c r="AQ169" s="0" t="s">
        <v>442</v>
      </c>
      <c r="AR169" s="25" t="s">
        <v>426</v>
      </c>
      <c r="AS169" s="25"/>
      <c r="AT169" s="7"/>
      <c r="AU169" s="0" t="s">
        <v>427</v>
      </c>
    </row>
    <row r="170" customFormat="false" ht="15" hidden="false" customHeight="false" outlineLevel="0" collapsed="false">
      <c r="A170" s="7" t="s">
        <v>54</v>
      </c>
      <c r="B170" s="8" t="s">
        <v>154</v>
      </c>
      <c r="G170" s="0" t="s">
        <v>423</v>
      </c>
      <c r="H170" s="0" t="s">
        <v>428</v>
      </c>
      <c r="I170" s="0" t="s">
        <v>285</v>
      </c>
      <c r="J170" s="9" t="s">
        <v>156</v>
      </c>
      <c r="K170" s="10" t="s">
        <v>168</v>
      </c>
      <c r="L170" s="11" t="s">
        <v>158</v>
      </c>
      <c r="M170" s="11" t="s">
        <v>158</v>
      </c>
      <c r="N170" s="0" t="s">
        <v>158</v>
      </c>
      <c r="P170" s="6"/>
      <c r="Q170" s="6"/>
      <c r="R170" s="6"/>
      <c r="V170" s="25"/>
      <c r="W170" s="25"/>
      <c r="X170" s="8"/>
      <c r="Y170" s="10" t="s">
        <v>168</v>
      </c>
      <c r="AA170" s="6" t="n">
        <v>4.4</v>
      </c>
      <c r="AB170" s="6" t="s">
        <v>158</v>
      </c>
      <c r="AC170" s="6" t="n">
        <v>2.5</v>
      </c>
      <c r="AD170" s="6" t="n">
        <v>5</v>
      </c>
      <c r="AE170" s="0" t="s">
        <v>441</v>
      </c>
      <c r="AF170" s="0" t="n">
        <v>20</v>
      </c>
      <c r="AG170" s="0" t="s">
        <v>424</v>
      </c>
      <c r="AH170" s="0" t="s">
        <v>158</v>
      </c>
      <c r="AI170" s="0" t="s">
        <v>425</v>
      </c>
      <c r="AJ170" s="0" t="s">
        <v>381</v>
      </c>
      <c r="AK170" s="0" t="s">
        <v>349</v>
      </c>
      <c r="AL170" s="0" t="s">
        <v>158</v>
      </c>
      <c r="AM170" s="0" t="s">
        <v>158</v>
      </c>
      <c r="AN170" s="0" t="n">
        <v>144</v>
      </c>
      <c r="AO170" s="0" t="n">
        <v>5</v>
      </c>
      <c r="AQ170" s="0" t="s">
        <v>443</v>
      </c>
      <c r="AR170" s="25" t="s">
        <v>426</v>
      </c>
      <c r="AS170" s="25"/>
      <c r="AT170" s="64" t="s">
        <v>230</v>
      </c>
      <c r="AU170" s="0" t="s">
        <v>427</v>
      </c>
    </row>
    <row r="171" customFormat="false" ht="15" hidden="false" customHeight="false" outlineLevel="0" collapsed="false">
      <c r="A171" s="7" t="s">
        <v>54</v>
      </c>
      <c r="B171" s="8" t="s">
        <v>154</v>
      </c>
      <c r="G171" s="0" t="s">
        <v>423</v>
      </c>
      <c r="J171" s="9" t="s">
        <v>156</v>
      </c>
      <c r="K171" s="10" t="s">
        <v>157</v>
      </c>
      <c r="L171" s="11" t="s">
        <v>158</v>
      </c>
      <c r="M171" s="11" t="s">
        <v>158</v>
      </c>
      <c r="N171" s="0" t="s">
        <v>158</v>
      </c>
      <c r="P171" s="6"/>
      <c r="Q171" s="6"/>
      <c r="R171" s="6"/>
      <c r="V171" s="25"/>
      <c r="W171" s="25"/>
      <c r="X171" s="8"/>
      <c r="Y171" s="10" t="s">
        <v>157</v>
      </c>
      <c r="AA171" s="6" t="n">
        <v>7.1</v>
      </c>
      <c r="AB171" s="6" t="s">
        <v>158</v>
      </c>
      <c r="AC171" s="6" t="n">
        <v>2.8</v>
      </c>
      <c r="AD171" s="6" t="n">
        <v>6</v>
      </c>
      <c r="AE171" s="0" t="s">
        <v>441</v>
      </c>
      <c r="AF171" s="0" t="n">
        <v>20</v>
      </c>
      <c r="AG171" s="0" t="s">
        <v>429</v>
      </c>
      <c r="AH171" s="0" t="s">
        <v>158</v>
      </c>
      <c r="AI171" s="0" t="s">
        <v>430</v>
      </c>
      <c r="AJ171" s="0" t="s">
        <v>381</v>
      </c>
      <c r="AK171" s="0" t="s">
        <v>349</v>
      </c>
      <c r="AL171" s="0" t="s">
        <v>158</v>
      </c>
      <c r="AM171" s="0" t="s">
        <v>158</v>
      </c>
      <c r="AN171" s="0" t="n">
        <v>144</v>
      </c>
      <c r="AO171" s="0" t="n">
        <v>30</v>
      </c>
      <c r="AQ171" s="0" t="s">
        <v>444</v>
      </c>
      <c r="AR171" s="25" t="s">
        <v>426</v>
      </c>
      <c r="AS171" s="25"/>
      <c r="AT171" s="7"/>
      <c r="AU171" s="0" t="s">
        <v>427</v>
      </c>
    </row>
    <row r="172" customFormat="false" ht="15" hidden="false" customHeight="false" outlineLevel="0" collapsed="false">
      <c r="A172" s="7" t="s">
        <v>54</v>
      </c>
      <c r="B172" s="8" t="s">
        <v>154</v>
      </c>
      <c r="G172" s="0" t="s">
        <v>423</v>
      </c>
      <c r="H172" s="0" t="s">
        <v>428</v>
      </c>
      <c r="I172" s="0" t="s">
        <v>285</v>
      </c>
      <c r="J172" s="9" t="s">
        <v>156</v>
      </c>
      <c r="K172" s="10" t="s">
        <v>168</v>
      </c>
      <c r="L172" s="11" t="s">
        <v>158</v>
      </c>
      <c r="M172" s="11" t="s">
        <v>158</v>
      </c>
      <c r="N172" s="0" t="s">
        <v>158</v>
      </c>
      <c r="P172" s="6"/>
      <c r="Q172" s="6"/>
      <c r="R172" s="6"/>
      <c r="V172" s="25"/>
      <c r="W172" s="25"/>
      <c r="X172" s="8"/>
      <c r="Y172" s="10" t="s">
        <v>168</v>
      </c>
      <c r="AA172" s="6" t="n">
        <v>4.4</v>
      </c>
      <c r="AB172" s="6" t="s">
        <v>158</v>
      </c>
      <c r="AC172" s="6" t="n">
        <v>2.5</v>
      </c>
      <c r="AD172" s="6" t="n">
        <v>6</v>
      </c>
      <c r="AE172" s="0" t="s">
        <v>441</v>
      </c>
      <c r="AF172" s="0" t="n">
        <v>20</v>
      </c>
      <c r="AG172" s="0" t="s">
        <v>429</v>
      </c>
      <c r="AH172" s="0" t="s">
        <v>158</v>
      </c>
      <c r="AI172" s="0" t="s">
        <v>430</v>
      </c>
      <c r="AJ172" s="0" t="s">
        <v>381</v>
      </c>
      <c r="AK172" s="0" t="s">
        <v>349</v>
      </c>
      <c r="AL172" s="0" t="s">
        <v>158</v>
      </c>
      <c r="AM172" s="0" t="s">
        <v>158</v>
      </c>
      <c r="AN172" s="0" t="n">
        <v>144</v>
      </c>
      <c r="AO172" s="0" t="n">
        <v>28</v>
      </c>
      <c r="AQ172" s="0" t="s">
        <v>445</v>
      </c>
      <c r="AR172" s="25" t="s">
        <v>426</v>
      </c>
      <c r="AS172" s="25"/>
      <c r="AT172" s="64" t="s">
        <v>446</v>
      </c>
      <c r="AU172" s="0" t="s">
        <v>427</v>
      </c>
    </row>
    <row r="173" customFormat="false" ht="15" hidden="false" customHeight="true" outlineLevel="0" collapsed="false">
      <c r="A173" s="7" t="s">
        <v>54</v>
      </c>
      <c r="B173" s="8" t="s">
        <v>154</v>
      </c>
      <c r="G173" s="0" t="s">
        <v>423</v>
      </c>
      <c r="J173" s="9" t="s">
        <v>156</v>
      </c>
      <c r="K173" s="10" t="s">
        <v>157</v>
      </c>
      <c r="L173" s="11" t="s">
        <v>158</v>
      </c>
      <c r="M173" s="11" t="s">
        <v>158</v>
      </c>
      <c r="N173" s="0" t="s">
        <v>158</v>
      </c>
      <c r="P173" s="6"/>
      <c r="Q173" s="6"/>
      <c r="R173" s="6"/>
      <c r="V173" s="25"/>
      <c r="W173" s="25"/>
      <c r="X173" s="8"/>
      <c r="Y173" s="10" t="s">
        <v>157</v>
      </c>
      <c r="AA173" s="6" t="n">
        <v>7.1</v>
      </c>
      <c r="AB173" s="6" t="s">
        <v>158</v>
      </c>
      <c r="AC173" s="6" t="n">
        <v>2.8</v>
      </c>
      <c r="AD173" s="6" t="n">
        <v>7</v>
      </c>
      <c r="AE173" s="0" t="s">
        <v>441</v>
      </c>
      <c r="AF173" s="0" t="n">
        <v>20</v>
      </c>
      <c r="AG173" s="0" t="s">
        <v>433</v>
      </c>
      <c r="AH173" s="0" t="s">
        <v>158</v>
      </c>
      <c r="AI173" s="0" t="s">
        <v>425</v>
      </c>
      <c r="AJ173" s="0" t="s">
        <v>381</v>
      </c>
      <c r="AK173" s="0" t="s">
        <v>349</v>
      </c>
      <c r="AL173" s="0" t="s">
        <v>158</v>
      </c>
      <c r="AM173" s="0" t="s">
        <v>158</v>
      </c>
      <c r="AN173" s="0" t="n">
        <v>144</v>
      </c>
      <c r="AO173" s="0" t="n">
        <v>48</v>
      </c>
      <c r="AQ173" s="0" t="s">
        <v>447</v>
      </c>
      <c r="AR173" s="25" t="s">
        <v>426</v>
      </c>
      <c r="AS173" s="25"/>
      <c r="AT173" s="7"/>
      <c r="AU173" s="0" t="s">
        <v>427</v>
      </c>
    </row>
    <row r="174" customFormat="false" ht="15" hidden="false" customHeight="false" outlineLevel="0" collapsed="false">
      <c r="A174" s="7" t="s">
        <v>54</v>
      </c>
      <c r="B174" s="8" t="s">
        <v>154</v>
      </c>
      <c r="G174" s="0" t="s">
        <v>423</v>
      </c>
      <c r="H174" s="0" t="s">
        <v>428</v>
      </c>
      <c r="I174" s="0" t="s">
        <v>285</v>
      </c>
      <c r="J174" s="9" t="s">
        <v>156</v>
      </c>
      <c r="K174" s="10" t="s">
        <v>168</v>
      </c>
      <c r="L174" s="11" t="s">
        <v>158</v>
      </c>
      <c r="M174" s="11" t="s">
        <v>158</v>
      </c>
      <c r="N174" s="0" t="s">
        <v>158</v>
      </c>
      <c r="P174" s="6"/>
      <c r="Q174" s="6"/>
      <c r="R174" s="6"/>
      <c r="V174" s="25"/>
      <c r="W174" s="25"/>
      <c r="X174" s="8"/>
      <c r="Y174" s="10" t="s">
        <v>168</v>
      </c>
      <c r="AA174" s="6" t="n">
        <v>4.4</v>
      </c>
      <c r="AB174" s="6" t="s">
        <v>158</v>
      </c>
      <c r="AC174" s="6" t="n">
        <v>2.5</v>
      </c>
      <c r="AD174" s="6" t="n">
        <v>7</v>
      </c>
      <c r="AE174" s="0" t="s">
        <v>441</v>
      </c>
      <c r="AF174" s="0" t="n">
        <v>20</v>
      </c>
      <c r="AG174" s="0" t="s">
        <v>433</v>
      </c>
      <c r="AH174" s="0" t="s">
        <v>158</v>
      </c>
      <c r="AI174" s="0" t="s">
        <v>425</v>
      </c>
      <c r="AJ174" s="0" t="s">
        <v>381</v>
      </c>
      <c r="AK174" s="0" t="s">
        <v>349</v>
      </c>
      <c r="AL174" s="0" t="s">
        <v>158</v>
      </c>
      <c r="AM174" s="0" t="s">
        <v>158</v>
      </c>
      <c r="AN174" s="0" t="n">
        <v>144</v>
      </c>
      <c r="AO174" s="0" t="n">
        <v>22</v>
      </c>
      <c r="AQ174" s="0" t="s">
        <v>448</v>
      </c>
      <c r="AR174" s="25" t="s">
        <v>426</v>
      </c>
      <c r="AS174" s="25"/>
      <c r="AT174" s="64" t="s">
        <v>449</v>
      </c>
      <c r="AU174" s="0" t="s">
        <v>427</v>
      </c>
    </row>
    <row r="175" customFormat="false" ht="15" hidden="false" customHeight="false" outlineLevel="0" collapsed="false">
      <c r="A175" s="7" t="s">
        <v>54</v>
      </c>
      <c r="B175" s="8" t="s">
        <v>154</v>
      </c>
      <c r="G175" s="0" t="s">
        <v>423</v>
      </c>
      <c r="J175" s="9" t="s">
        <v>156</v>
      </c>
      <c r="K175" s="10" t="s">
        <v>157</v>
      </c>
      <c r="L175" s="11" t="s">
        <v>158</v>
      </c>
      <c r="M175" s="11" t="s">
        <v>158</v>
      </c>
      <c r="N175" s="0" t="s">
        <v>158</v>
      </c>
      <c r="P175" s="6"/>
      <c r="Q175" s="6"/>
      <c r="R175" s="6"/>
      <c r="V175" s="25"/>
      <c r="W175" s="25"/>
      <c r="X175" s="8"/>
      <c r="Y175" s="10" t="s">
        <v>157</v>
      </c>
      <c r="AA175" s="6" t="n">
        <v>7.1</v>
      </c>
      <c r="AB175" s="6" t="s">
        <v>158</v>
      </c>
      <c r="AC175" s="6" t="n">
        <v>2.8</v>
      </c>
      <c r="AD175" s="6" t="n">
        <v>8</v>
      </c>
      <c r="AE175" s="0" t="s">
        <v>441</v>
      </c>
      <c r="AF175" s="0" t="n">
        <v>20</v>
      </c>
      <c r="AG175" s="0" t="s">
        <v>437</v>
      </c>
      <c r="AH175" s="0" t="s">
        <v>158</v>
      </c>
      <c r="AI175" s="0" t="s">
        <v>430</v>
      </c>
      <c r="AJ175" s="0" t="s">
        <v>381</v>
      </c>
      <c r="AK175" s="0" t="s">
        <v>349</v>
      </c>
      <c r="AL175" s="0" t="s">
        <v>158</v>
      </c>
      <c r="AM175" s="0" t="s">
        <v>158</v>
      </c>
      <c r="AN175" s="0" t="n">
        <v>144</v>
      </c>
      <c r="AO175" s="0" t="n">
        <v>20</v>
      </c>
      <c r="AQ175" s="0" t="s">
        <v>450</v>
      </c>
      <c r="AR175" s="25" t="s">
        <v>426</v>
      </c>
      <c r="AS175" s="25"/>
      <c r="AT175" s="7"/>
      <c r="AU175" s="0" t="s">
        <v>427</v>
      </c>
    </row>
    <row r="176" customFormat="false" ht="15" hidden="false" customHeight="false" outlineLevel="0" collapsed="false">
      <c r="A176" s="7" t="s">
        <v>54</v>
      </c>
      <c r="B176" s="8" t="s">
        <v>154</v>
      </c>
      <c r="G176" s="0" t="s">
        <v>423</v>
      </c>
      <c r="H176" s="0" t="s">
        <v>428</v>
      </c>
      <c r="I176" s="0" t="s">
        <v>285</v>
      </c>
      <c r="J176" s="9" t="s">
        <v>156</v>
      </c>
      <c r="K176" s="10" t="s">
        <v>168</v>
      </c>
      <c r="L176" s="11" t="s">
        <v>158</v>
      </c>
      <c r="M176" s="11" t="s">
        <v>158</v>
      </c>
      <c r="N176" s="0" t="s">
        <v>158</v>
      </c>
      <c r="P176" s="6"/>
      <c r="Q176" s="6"/>
      <c r="R176" s="6"/>
      <c r="V176" s="25"/>
      <c r="W176" s="25"/>
      <c r="X176" s="8"/>
      <c r="Y176" s="10" t="s">
        <v>168</v>
      </c>
      <c r="AA176" s="6" t="n">
        <v>4.4</v>
      </c>
      <c r="AB176" s="6" t="s">
        <v>158</v>
      </c>
      <c r="AC176" s="6" t="n">
        <v>2.5</v>
      </c>
      <c r="AD176" s="6" t="n">
        <v>8</v>
      </c>
      <c r="AE176" s="0" t="s">
        <v>441</v>
      </c>
      <c r="AF176" s="0" t="n">
        <v>20</v>
      </c>
      <c r="AG176" s="0" t="s">
        <v>437</v>
      </c>
      <c r="AH176" s="0" t="s">
        <v>158</v>
      </c>
      <c r="AI176" s="0" t="s">
        <v>430</v>
      </c>
      <c r="AJ176" s="0" t="s">
        <v>381</v>
      </c>
      <c r="AK176" s="0" t="s">
        <v>349</v>
      </c>
      <c r="AL176" s="0" t="s">
        <v>158</v>
      </c>
      <c r="AM176" s="0" t="s">
        <v>158</v>
      </c>
      <c r="AN176" s="0" t="n">
        <v>144</v>
      </c>
      <c r="AO176" s="0" t="n">
        <v>12</v>
      </c>
      <c r="AQ176" s="0" t="s">
        <v>451</v>
      </c>
      <c r="AR176" s="25" t="s">
        <v>426</v>
      </c>
      <c r="AS176" s="25"/>
      <c r="AT176" s="64" t="s">
        <v>452</v>
      </c>
      <c r="AU176" s="0" t="s">
        <v>427</v>
      </c>
    </row>
    <row r="177" customFormat="false" ht="15" hidden="false" customHeight="true" outlineLevel="0" collapsed="false">
      <c r="A177" s="7" t="s">
        <v>54</v>
      </c>
      <c r="B177" s="8" t="s">
        <v>154</v>
      </c>
      <c r="G177" s="0" t="s">
        <v>423</v>
      </c>
      <c r="J177" s="9" t="s">
        <v>156</v>
      </c>
      <c r="K177" s="10" t="s">
        <v>157</v>
      </c>
      <c r="L177" s="11" t="s">
        <v>158</v>
      </c>
      <c r="M177" s="11" t="s">
        <v>158</v>
      </c>
      <c r="N177" s="0" t="s">
        <v>158</v>
      </c>
      <c r="P177" s="6"/>
      <c r="Q177" s="6"/>
      <c r="R177" s="6"/>
      <c r="V177" s="25"/>
      <c r="W177" s="25"/>
      <c r="X177" s="8"/>
      <c r="Y177" s="10" t="s">
        <v>157</v>
      </c>
      <c r="AA177" s="6" t="n">
        <v>7.1</v>
      </c>
      <c r="AB177" s="6" t="s">
        <v>158</v>
      </c>
      <c r="AC177" s="6" t="n">
        <v>2.8</v>
      </c>
      <c r="AD177" s="6" t="n">
        <v>9</v>
      </c>
      <c r="AE177" s="0" t="s">
        <v>453</v>
      </c>
      <c r="AF177" s="0" t="n">
        <v>20</v>
      </c>
      <c r="AG177" s="0" t="s">
        <v>424</v>
      </c>
      <c r="AH177" s="0" t="s">
        <v>158</v>
      </c>
      <c r="AI177" s="0" t="s">
        <v>425</v>
      </c>
      <c r="AJ177" s="0" t="s">
        <v>381</v>
      </c>
      <c r="AK177" s="0" t="s">
        <v>349</v>
      </c>
      <c r="AL177" s="0" t="s">
        <v>158</v>
      </c>
      <c r="AM177" s="0" t="s">
        <v>158</v>
      </c>
      <c r="AN177" s="0" t="n">
        <v>144</v>
      </c>
      <c r="AO177" s="0" t="n">
        <v>16</v>
      </c>
      <c r="AQ177" s="0" t="s">
        <v>454</v>
      </c>
      <c r="AR177" s="25" t="s">
        <v>426</v>
      </c>
      <c r="AS177" s="25"/>
      <c r="AT177" s="7"/>
      <c r="AU177" s="0" t="s">
        <v>427</v>
      </c>
    </row>
    <row r="178" customFormat="false" ht="15" hidden="false" customHeight="false" outlineLevel="0" collapsed="false">
      <c r="A178" s="7" t="s">
        <v>54</v>
      </c>
      <c r="B178" s="8" t="s">
        <v>154</v>
      </c>
      <c r="G178" s="0" t="s">
        <v>423</v>
      </c>
      <c r="H178" s="0" t="s">
        <v>428</v>
      </c>
      <c r="I178" s="0" t="s">
        <v>285</v>
      </c>
      <c r="J178" s="9" t="s">
        <v>156</v>
      </c>
      <c r="K178" s="10" t="s">
        <v>168</v>
      </c>
      <c r="L178" s="11" t="s">
        <v>158</v>
      </c>
      <c r="M178" s="11" t="s">
        <v>158</v>
      </c>
      <c r="N178" s="0" t="s">
        <v>158</v>
      </c>
      <c r="P178" s="6"/>
      <c r="Q178" s="6"/>
      <c r="R178" s="6"/>
      <c r="V178" s="25"/>
      <c r="W178" s="25"/>
      <c r="X178" s="8"/>
      <c r="Y178" s="10" t="s">
        <v>168</v>
      </c>
      <c r="AA178" s="6" t="n">
        <v>4.4</v>
      </c>
      <c r="AB178" s="6" t="s">
        <v>158</v>
      </c>
      <c r="AC178" s="6" t="n">
        <v>2.5</v>
      </c>
      <c r="AD178" s="6" t="n">
        <v>9</v>
      </c>
      <c r="AE178" s="0" t="s">
        <v>453</v>
      </c>
      <c r="AF178" s="0" t="n">
        <v>20</v>
      </c>
      <c r="AG178" s="0" t="s">
        <v>424</v>
      </c>
      <c r="AH178" s="0" t="s">
        <v>158</v>
      </c>
      <c r="AI178" s="0" t="s">
        <v>425</v>
      </c>
      <c r="AJ178" s="0" t="s">
        <v>381</v>
      </c>
      <c r="AK178" s="0" t="s">
        <v>349</v>
      </c>
      <c r="AL178" s="0" t="s">
        <v>158</v>
      </c>
      <c r="AM178" s="0" t="s">
        <v>158</v>
      </c>
      <c r="AN178" s="0" t="n">
        <v>144</v>
      </c>
      <c r="AO178" s="0" t="n">
        <v>14</v>
      </c>
      <c r="AQ178" s="0" t="s">
        <v>455</v>
      </c>
      <c r="AR178" s="25" t="s">
        <v>426</v>
      </c>
      <c r="AS178" s="25"/>
      <c r="AT178" s="64" t="s">
        <v>456</v>
      </c>
      <c r="AU178" s="0" t="s">
        <v>427</v>
      </c>
    </row>
    <row r="179" customFormat="false" ht="15" hidden="false" customHeight="false" outlineLevel="0" collapsed="false">
      <c r="A179" s="7" t="s">
        <v>54</v>
      </c>
      <c r="B179" s="8" t="s">
        <v>154</v>
      </c>
      <c r="G179" s="0" t="s">
        <v>423</v>
      </c>
      <c r="J179" s="9" t="s">
        <v>156</v>
      </c>
      <c r="K179" s="10" t="s">
        <v>157</v>
      </c>
      <c r="L179" s="11" t="s">
        <v>158</v>
      </c>
      <c r="M179" s="11" t="s">
        <v>158</v>
      </c>
      <c r="N179" s="0" t="s">
        <v>158</v>
      </c>
      <c r="P179" s="6"/>
      <c r="Q179" s="6"/>
      <c r="R179" s="6"/>
      <c r="V179" s="25"/>
      <c r="W179" s="25"/>
      <c r="X179" s="8"/>
      <c r="Y179" s="10" t="s">
        <v>157</v>
      </c>
      <c r="AA179" s="6" t="n">
        <v>7.1</v>
      </c>
      <c r="AB179" s="6" t="s">
        <v>158</v>
      </c>
      <c r="AC179" s="6" t="n">
        <v>2.8</v>
      </c>
      <c r="AD179" s="6" t="n">
        <v>10</v>
      </c>
      <c r="AE179" s="0" t="s">
        <v>453</v>
      </c>
      <c r="AF179" s="0" t="n">
        <v>20</v>
      </c>
      <c r="AG179" s="0" t="s">
        <v>429</v>
      </c>
      <c r="AH179" s="0" t="s">
        <v>158</v>
      </c>
      <c r="AI179" s="0" t="s">
        <v>430</v>
      </c>
      <c r="AJ179" s="0" t="s">
        <v>381</v>
      </c>
      <c r="AK179" s="0" t="s">
        <v>349</v>
      </c>
      <c r="AL179" s="0" t="s">
        <v>158</v>
      </c>
      <c r="AM179" s="0" t="s">
        <v>158</v>
      </c>
      <c r="AN179" s="0" t="n">
        <v>144</v>
      </c>
      <c r="AO179" s="0" t="n">
        <v>78</v>
      </c>
      <c r="AQ179" s="0" t="s">
        <v>457</v>
      </c>
      <c r="AR179" s="25" t="s">
        <v>426</v>
      </c>
      <c r="AS179" s="25"/>
      <c r="AT179" s="7"/>
      <c r="AU179" s="0" t="s">
        <v>427</v>
      </c>
    </row>
    <row r="180" customFormat="false" ht="15" hidden="false" customHeight="false" outlineLevel="0" collapsed="false">
      <c r="A180" s="7" t="s">
        <v>54</v>
      </c>
      <c r="B180" s="8" t="s">
        <v>154</v>
      </c>
      <c r="G180" s="0" t="s">
        <v>423</v>
      </c>
      <c r="H180" s="0" t="s">
        <v>428</v>
      </c>
      <c r="I180" s="0" t="s">
        <v>285</v>
      </c>
      <c r="J180" s="9" t="s">
        <v>156</v>
      </c>
      <c r="K180" s="10" t="s">
        <v>168</v>
      </c>
      <c r="L180" s="11" t="s">
        <v>158</v>
      </c>
      <c r="M180" s="11" t="s">
        <v>158</v>
      </c>
      <c r="N180" s="0" t="s">
        <v>158</v>
      </c>
      <c r="P180" s="6"/>
      <c r="Q180" s="6"/>
      <c r="R180" s="6"/>
      <c r="V180" s="25"/>
      <c r="W180" s="25"/>
      <c r="X180" s="8"/>
      <c r="Y180" s="10" t="s">
        <v>168</v>
      </c>
      <c r="AA180" s="6" t="n">
        <v>4.4</v>
      </c>
      <c r="AB180" s="6" t="s">
        <v>158</v>
      </c>
      <c r="AC180" s="6" t="n">
        <v>2.5</v>
      </c>
      <c r="AD180" s="6" t="n">
        <v>10</v>
      </c>
      <c r="AE180" s="0" t="s">
        <v>453</v>
      </c>
      <c r="AF180" s="0" t="n">
        <v>20</v>
      </c>
      <c r="AG180" s="0" t="s">
        <v>429</v>
      </c>
      <c r="AH180" s="0" t="s">
        <v>158</v>
      </c>
      <c r="AI180" s="0" t="s">
        <v>430</v>
      </c>
      <c r="AJ180" s="0" t="s">
        <v>381</v>
      </c>
      <c r="AK180" s="0" t="s">
        <v>349</v>
      </c>
      <c r="AL180" s="0" t="s">
        <v>158</v>
      </c>
      <c r="AM180" s="0" t="s">
        <v>158</v>
      </c>
      <c r="AN180" s="0" t="n">
        <v>144</v>
      </c>
      <c r="AO180" s="0" t="n">
        <v>28</v>
      </c>
      <c r="AQ180" s="0" t="s">
        <v>458</v>
      </c>
      <c r="AR180" s="25" t="s">
        <v>426</v>
      </c>
      <c r="AS180" s="25"/>
      <c r="AT180" s="64" t="s">
        <v>373</v>
      </c>
      <c r="AU180" s="0" t="s">
        <v>427</v>
      </c>
    </row>
    <row r="181" customFormat="false" ht="15" hidden="false" customHeight="true" outlineLevel="0" collapsed="false">
      <c r="A181" s="7" t="s">
        <v>54</v>
      </c>
      <c r="B181" s="8" t="s">
        <v>154</v>
      </c>
      <c r="G181" s="0" t="s">
        <v>423</v>
      </c>
      <c r="J181" s="9" t="s">
        <v>156</v>
      </c>
      <c r="K181" s="10" t="s">
        <v>157</v>
      </c>
      <c r="L181" s="11" t="s">
        <v>158</v>
      </c>
      <c r="M181" s="11" t="s">
        <v>158</v>
      </c>
      <c r="N181" s="0" t="s">
        <v>158</v>
      </c>
      <c r="P181" s="6"/>
      <c r="Q181" s="6"/>
      <c r="R181" s="6"/>
      <c r="V181" s="25"/>
      <c r="W181" s="25"/>
      <c r="X181" s="8"/>
      <c r="Y181" s="10" t="s">
        <v>157</v>
      </c>
      <c r="AA181" s="6" t="n">
        <v>7.1</v>
      </c>
      <c r="AB181" s="6" t="s">
        <v>158</v>
      </c>
      <c r="AC181" s="6" t="n">
        <v>2.8</v>
      </c>
      <c r="AD181" s="6" t="n">
        <v>11</v>
      </c>
      <c r="AE181" s="0" t="s">
        <v>453</v>
      </c>
      <c r="AF181" s="0" t="n">
        <v>20</v>
      </c>
      <c r="AG181" s="0" t="s">
        <v>433</v>
      </c>
      <c r="AH181" s="0" t="s">
        <v>158</v>
      </c>
      <c r="AI181" s="0" t="s">
        <v>425</v>
      </c>
      <c r="AJ181" s="0" t="s">
        <v>381</v>
      </c>
      <c r="AK181" s="0" t="s">
        <v>349</v>
      </c>
      <c r="AL181" s="0" t="s">
        <v>158</v>
      </c>
      <c r="AM181" s="0" t="s">
        <v>158</v>
      </c>
      <c r="AN181" s="0" t="n">
        <v>144</v>
      </c>
      <c r="AO181" s="0" t="n">
        <v>62</v>
      </c>
      <c r="AQ181" s="0" t="s">
        <v>459</v>
      </c>
      <c r="AR181" s="25" t="s">
        <v>426</v>
      </c>
      <c r="AS181" s="25"/>
      <c r="AT181" s="7"/>
      <c r="AU181" s="0" t="s">
        <v>427</v>
      </c>
    </row>
    <row r="182" customFormat="false" ht="15" hidden="false" customHeight="false" outlineLevel="0" collapsed="false">
      <c r="A182" s="7" t="s">
        <v>54</v>
      </c>
      <c r="B182" s="8" t="s">
        <v>154</v>
      </c>
      <c r="G182" s="0" t="s">
        <v>423</v>
      </c>
      <c r="H182" s="0" t="s">
        <v>428</v>
      </c>
      <c r="I182" s="0" t="s">
        <v>285</v>
      </c>
      <c r="J182" s="9" t="s">
        <v>156</v>
      </c>
      <c r="K182" s="10" t="s">
        <v>168</v>
      </c>
      <c r="L182" s="11" t="s">
        <v>158</v>
      </c>
      <c r="M182" s="11" t="s">
        <v>158</v>
      </c>
      <c r="N182" s="0" t="s">
        <v>158</v>
      </c>
      <c r="P182" s="6"/>
      <c r="Q182" s="6"/>
      <c r="R182" s="6"/>
      <c r="V182" s="25"/>
      <c r="W182" s="25"/>
      <c r="X182" s="8"/>
      <c r="Y182" s="10" t="s">
        <v>168</v>
      </c>
      <c r="AA182" s="6" t="n">
        <v>4.4</v>
      </c>
      <c r="AB182" s="6" t="s">
        <v>158</v>
      </c>
      <c r="AC182" s="6" t="n">
        <v>2.5</v>
      </c>
      <c r="AD182" s="6" t="n">
        <v>11</v>
      </c>
      <c r="AE182" s="0" t="s">
        <v>453</v>
      </c>
      <c r="AF182" s="0" t="n">
        <v>20</v>
      </c>
      <c r="AG182" s="0" t="s">
        <v>433</v>
      </c>
      <c r="AH182" s="0" t="s">
        <v>158</v>
      </c>
      <c r="AI182" s="0" t="s">
        <v>425</v>
      </c>
      <c r="AJ182" s="0" t="s">
        <v>381</v>
      </c>
      <c r="AK182" s="0" t="s">
        <v>349</v>
      </c>
      <c r="AL182" s="0" t="s">
        <v>158</v>
      </c>
      <c r="AM182" s="0" t="s">
        <v>158</v>
      </c>
      <c r="AN182" s="0" t="n">
        <v>144</v>
      </c>
      <c r="AO182" s="0" t="n">
        <v>32</v>
      </c>
      <c r="AQ182" s="0" t="s">
        <v>460</v>
      </c>
      <c r="AR182" s="25" t="s">
        <v>426</v>
      </c>
      <c r="AS182" s="25"/>
      <c r="AT182" s="64" t="s">
        <v>241</v>
      </c>
      <c r="AU182" s="0" t="s">
        <v>427</v>
      </c>
    </row>
    <row r="183" customFormat="false" ht="15" hidden="false" customHeight="false" outlineLevel="0" collapsed="false">
      <c r="A183" s="7" t="s">
        <v>54</v>
      </c>
      <c r="B183" s="8" t="s">
        <v>154</v>
      </c>
      <c r="G183" s="0" t="s">
        <v>423</v>
      </c>
      <c r="J183" s="9" t="s">
        <v>156</v>
      </c>
      <c r="K183" s="10" t="s">
        <v>157</v>
      </c>
      <c r="L183" s="11" t="s">
        <v>158</v>
      </c>
      <c r="M183" s="11" t="s">
        <v>158</v>
      </c>
      <c r="N183" s="0" t="s">
        <v>158</v>
      </c>
      <c r="P183" s="6"/>
      <c r="Q183" s="6"/>
      <c r="R183" s="6"/>
      <c r="V183" s="25"/>
      <c r="W183" s="25"/>
      <c r="X183" s="8"/>
      <c r="Y183" s="10" t="s">
        <v>157</v>
      </c>
      <c r="AA183" s="6" t="n">
        <v>7.1</v>
      </c>
      <c r="AB183" s="6" t="s">
        <v>158</v>
      </c>
      <c r="AC183" s="6" t="n">
        <v>2.8</v>
      </c>
      <c r="AD183" s="6" t="n">
        <v>12</v>
      </c>
      <c r="AE183" s="0" t="s">
        <v>453</v>
      </c>
      <c r="AF183" s="0" t="n">
        <v>20</v>
      </c>
      <c r="AG183" s="0" t="s">
        <v>437</v>
      </c>
      <c r="AH183" s="0" t="s">
        <v>158</v>
      </c>
      <c r="AI183" s="0" t="s">
        <v>430</v>
      </c>
      <c r="AJ183" s="0" t="s">
        <v>381</v>
      </c>
      <c r="AK183" s="0" t="s">
        <v>349</v>
      </c>
      <c r="AL183" s="0" t="s">
        <v>158</v>
      </c>
      <c r="AM183" s="0" t="s">
        <v>158</v>
      </c>
      <c r="AN183" s="0" t="n">
        <v>144</v>
      </c>
      <c r="AO183" s="0" t="n">
        <v>38</v>
      </c>
      <c r="AQ183" s="0" t="s">
        <v>461</v>
      </c>
      <c r="AR183" s="25" t="s">
        <v>426</v>
      </c>
      <c r="AS183" s="25"/>
      <c r="AT183" s="7"/>
      <c r="AU183" s="0" t="s">
        <v>427</v>
      </c>
    </row>
    <row r="184" customFormat="false" ht="15" hidden="false" customHeight="false" outlineLevel="0" collapsed="false">
      <c r="A184" s="7" t="s">
        <v>54</v>
      </c>
      <c r="B184" s="8" t="s">
        <v>154</v>
      </c>
      <c r="G184" s="0" t="s">
        <v>423</v>
      </c>
      <c r="H184" s="0" t="s">
        <v>428</v>
      </c>
      <c r="I184" s="0" t="s">
        <v>285</v>
      </c>
      <c r="J184" s="9" t="s">
        <v>156</v>
      </c>
      <c r="K184" s="10" t="s">
        <v>168</v>
      </c>
      <c r="L184" s="11" t="s">
        <v>158</v>
      </c>
      <c r="M184" s="11" t="s">
        <v>158</v>
      </c>
      <c r="N184" s="0" t="s">
        <v>158</v>
      </c>
      <c r="P184" s="6"/>
      <c r="Q184" s="6"/>
      <c r="R184" s="6"/>
      <c r="V184" s="25"/>
      <c r="W184" s="25"/>
      <c r="X184" s="8"/>
      <c r="Y184" s="10" t="s">
        <v>168</v>
      </c>
      <c r="AA184" s="6" t="n">
        <v>4.4</v>
      </c>
      <c r="AB184" s="6" t="s">
        <v>158</v>
      </c>
      <c r="AC184" s="6" t="n">
        <v>2.5</v>
      </c>
      <c r="AD184" s="6" t="n">
        <v>12</v>
      </c>
      <c r="AE184" s="0" t="s">
        <v>453</v>
      </c>
      <c r="AF184" s="0" t="n">
        <v>20</v>
      </c>
      <c r="AG184" s="0" t="s">
        <v>437</v>
      </c>
      <c r="AH184" s="0" t="s">
        <v>158</v>
      </c>
      <c r="AI184" s="0" t="s">
        <v>430</v>
      </c>
      <c r="AJ184" s="0" t="s">
        <v>381</v>
      </c>
      <c r="AK184" s="0" t="s">
        <v>349</v>
      </c>
      <c r="AL184" s="0" t="s">
        <v>158</v>
      </c>
      <c r="AM184" s="0" t="s">
        <v>158</v>
      </c>
      <c r="AN184" s="0" t="n">
        <v>144</v>
      </c>
      <c r="AO184" s="0" t="n">
        <v>18</v>
      </c>
      <c r="AQ184" s="0" t="s">
        <v>462</v>
      </c>
      <c r="AR184" s="25" t="s">
        <v>426</v>
      </c>
      <c r="AS184" s="25"/>
      <c r="AT184" s="64" t="s">
        <v>463</v>
      </c>
      <c r="AU184" s="0" t="s">
        <v>427</v>
      </c>
    </row>
    <row r="185" customFormat="false" ht="15" hidden="false" customHeight="true" outlineLevel="0" collapsed="false">
      <c r="A185" s="7" t="s">
        <v>464</v>
      </c>
      <c r="B185" s="8" t="s">
        <v>154</v>
      </c>
      <c r="G185" s="0" t="s">
        <v>465</v>
      </c>
      <c r="J185" s="9" t="s">
        <v>466</v>
      </c>
      <c r="K185" s="10" t="s">
        <v>157</v>
      </c>
      <c r="L185" s="11" t="s">
        <v>158</v>
      </c>
      <c r="M185" s="11" t="s">
        <v>158</v>
      </c>
      <c r="N185" s="0" t="s">
        <v>158</v>
      </c>
      <c r="Y185" s="10" t="s">
        <v>157</v>
      </c>
      <c r="AA185" s="10" t="n">
        <v>3.5</v>
      </c>
      <c r="AB185" s="10" t="n">
        <v>7.6</v>
      </c>
      <c r="AC185" s="10" t="n">
        <f aca="false">79.5/53</f>
        <v>1.5</v>
      </c>
      <c r="AD185" s="12" t="n">
        <v>1</v>
      </c>
      <c r="AE185" s="0" t="s">
        <v>159</v>
      </c>
      <c r="AF185" s="0" t="n">
        <v>53</v>
      </c>
      <c r="AG185" s="0" t="s">
        <v>467</v>
      </c>
      <c r="AH185" s="0" t="n">
        <v>6.7</v>
      </c>
      <c r="AI185" s="0" t="s">
        <v>468</v>
      </c>
      <c r="AJ185" s="0" t="s">
        <v>469</v>
      </c>
      <c r="AK185" s="0" t="s">
        <v>349</v>
      </c>
      <c r="AL185" s="0" t="n">
        <v>1.3</v>
      </c>
      <c r="AM185" s="0" t="s">
        <v>158</v>
      </c>
      <c r="AN185" s="0" t="n">
        <v>72</v>
      </c>
      <c r="AO185" s="0" t="n">
        <v>37.14</v>
      </c>
      <c r="AQ185" s="0" t="s">
        <v>470</v>
      </c>
      <c r="AR185" s="25" t="s">
        <v>471</v>
      </c>
      <c r="AU185" s="0" t="s">
        <v>472</v>
      </c>
    </row>
    <row r="186" customFormat="false" ht="15" hidden="false" customHeight="false" outlineLevel="0" collapsed="false">
      <c r="A186" s="7" t="s">
        <v>464</v>
      </c>
      <c r="B186" s="8" t="s">
        <v>154</v>
      </c>
      <c r="G186" s="0" t="s">
        <v>465</v>
      </c>
      <c r="H186" s="0" t="s">
        <v>473</v>
      </c>
      <c r="I186" s="0" t="s">
        <v>167</v>
      </c>
      <c r="J186" s="9" t="s">
        <v>466</v>
      </c>
      <c r="K186" s="10" t="s">
        <v>168</v>
      </c>
      <c r="L186" s="11" t="s">
        <v>158</v>
      </c>
      <c r="M186" s="11" t="s">
        <v>158</v>
      </c>
      <c r="N186" s="0" t="s">
        <v>158</v>
      </c>
      <c r="Y186" s="10" t="s">
        <v>168</v>
      </c>
      <c r="AA186" s="10" t="n">
        <v>2.4</v>
      </c>
      <c r="AB186" s="10" t="n">
        <v>8</v>
      </c>
      <c r="AC186" s="10" t="n">
        <f aca="false">79.5/53</f>
        <v>1.5</v>
      </c>
      <c r="AD186" s="12" t="n">
        <v>1</v>
      </c>
      <c r="AE186" s="0" t="s">
        <v>159</v>
      </c>
      <c r="AF186" s="0" t="n">
        <v>53</v>
      </c>
      <c r="AG186" s="0" t="s">
        <v>467</v>
      </c>
      <c r="AH186" s="0" t="n">
        <v>6.7</v>
      </c>
      <c r="AI186" s="0" t="s">
        <v>468</v>
      </c>
      <c r="AJ186" s="0" t="s">
        <v>469</v>
      </c>
      <c r="AK186" s="0" t="s">
        <v>349</v>
      </c>
      <c r="AL186" s="0" t="n">
        <v>1.3</v>
      </c>
      <c r="AM186" s="0" t="s">
        <v>158</v>
      </c>
      <c r="AN186" s="0" t="n">
        <v>72</v>
      </c>
      <c r="AO186" s="0" t="n">
        <v>18.71</v>
      </c>
      <c r="AQ186" s="0" t="s">
        <v>470</v>
      </c>
      <c r="AR186" s="25" t="s">
        <v>471</v>
      </c>
      <c r="AT186" s="27" t="s">
        <v>474</v>
      </c>
      <c r="AU186" s="0" t="s">
        <v>472</v>
      </c>
    </row>
    <row r="187" customFormat="false" ht="15" hidden="false" customHeight="true" outlineLevel="0" collapsed="false">
      <c r="A187" s="7" t="s">
        <v>464</v>
      </c>
      <c r="B187" s="8" t="s">
        <v>154</v>
      </c>
      <c r="G187" s="0" t="s">
        <v>465</v>
      </c>
      <c r="J187" s="9" t="s">
        <v>466</v>
      </c>
      <c r="K187" s="10" t="s">
        <v>157</v>
      </c>
      <c r="L187" s="11" t="s">
        <v>158</v>
      </c>
      <c r="M187" s="11" t="s">
        <v>158</v>
      </c>
      <c r="N187" s="0" t="s">
        <v>158</v>
      </c>
      <c r="Y187" s="10" t="s">
        <v>157</v>
      </c>
      <c r="AA187" s="10" t="n">
        <v>3.5</v>
      </c>
      <c r="AB187" s="10" t="n">
        <v>6.7</v>
      </c>
      <c r="AC187" s="10" t="n">
        <f aca="false">79.5/53</f>
        <v>1.5</v>
      </c>
      <c r="AD187" s="12" t="n">
        <v>2</v>
      </c>
      <c r="AE187" s="0" t="s">
        <v>159</v>
      </c>
      <c r="AF187" s="0" t="n">
        <v>53</v>
      </c>
      <c r="AG187" s="0" t="s">
        <v>475</v>
      </c>
      <c r="AH187" s="0" t="n">
        <v>6.7</v>
      </c>
      <c r="AI187" s="0" t="s">
        <v>468</v>
      </c>
      <c r="AJ187" s="0" t="s">
        <v>469</v>
      </c>
      <c r="AK187" s="0" t="s">
        <v>349</v>
      </c>
      <c r="AL187" s="0" t="n">
        <v>1.3</v>
      </c>
      <c r="AM187" s="0" t="s">
        <v>158</v>
      </c>
      <c r="AN187" s="0" t="n">
        <v>72</v>
      </c>
      <c r="AO187" s="0" t="n">
        <v>9.21</v>
      </c>
      <c r="AQ187" s="0" t="s">
        <v>470</v>
      </c>
      <c r="AU187" s="0" t="s">
        <v>472</v>
      </c>
    </row>
    <row r="188" customFormat="false" ht="15" hidden="false" customHeight="false" outlineLevel="0" collapsed="false">
      <c r="A188" s="7" t="s">
        <v>464</v>
      </c>
      <c r="B188" s="8" t="s">
        <v>154</v>
      </c>
      <c r="G188" s="0" t="s">
        <v>465</v>
      </c>
      <c r="H188" s="0" t="s">
        <v>473</v>
      </c>
      <c r="I188" s="0" t="s">
        <v>167</v>
      </c>
      <c r="J188" s="9" t="s">
        <v>466</v>
      </c>
      <c r="K188" s="10" t="s">
        <v>168</v>
      </c>
      <c r="L188" s="11" t="s">
        <v>158</v>
      </c>
      <c r="M188" s="11" t="s">
        <v>158</v>
      </c>
      <c r="N188" s="0" t="s">
        <v>158</v>
      </c>
      <c r="Y188" s="10" t="s">
        <v>168</v>
      </c>
      <c r="AA188" s="10" t="n">
        <v>2.4</v>
      </c>
      <c r="AB188" s="10" t="n">
        <v>7.9</v>
      </c>
      <c r="AC188" s="10" t="n">
        <f aca="false">79.5/53</f>
        <v>1.5</v>
      </c>
      <c r="AD188" s="12" t="n">
        <v>2</v>
      </c>
      <c r="AE188" s="0" t="s">
        <v>159</v>
      </c>
      <c r="AF188" s="0" t="n">
        <v>53</v>
      </c>
      <c r="AG188" s="0" t="s">
        <v>475</v>
      </c>
      <c r="AH188" s="0" t="n">
        <v>6.7</v>
      </c>
      <c r="AI188" s="0" t="s">
        <v>468</v>
      </c>
      <c r="AJ188" s="0" t="s">
        <v>469</v>
      </c>
      <c r="AK188" s="0" t="s">
        <v>349</v>
      </c>
      <c r="AL188" s="0" t="n">
        <v>1.3</v>
      </c>
      <c r="AM188" s="0" t="s">
        <v>158</v>
      </c>
      <c r="AN188" s="0" t="n">
        <v>72</v>
      </c>
      <c r="AO188" s="0" t="n">
        <v>4.25</v>
      </c>
      <c r="AQ188" s="0" t="s">
        <v>470</v>
      </c>
      <c r="AT188" s="27" t="s">
        <v>476</v>
      </c>
      <c r="AU188" s="0" t="s">
        <v>472</v>
      </c>
    </row>
    <row r="189" customFormat="false" ht="15" hidden="false" customHeight="false" outlineLevel="0" collapsed="false">
      <c r="A189" s="3" t="s">
        <v>477</v>
      </c>
      <c r="B189" s="8" t="s">
        <v>172</v>
      </c>
      <c r="C189" s="9" t="s">
        <v>478</v>
      </c>
      <c r="D189" s="8" t="s">
        <v>479</v>
      </c>
      <c r="E189" s="9" t="s">
        <v>480</v>
      </c>
      <c r="F189" s="9" t="s">
        <v>191</v>
      </c>
      <c r="J189" s="9" t="s">
        <v>466</v>
      </c>
      <c r="K189" s="10" t="s">
        <v>157</v>
      </c>
      <c r="L189" s="29"/>
      <c r="P189" s="3" t="n">
        <v>6.26</v>
      </c>
      <c r="Q189" s="3" t="n">
        <v>8.24</v>
      </c>
      <c r="R189" s="3" t="n">
        <v>1.66</v>
      </c>
      <c r="S189" s="10" t="n">
        <v>6.2</v>
      </c>
      <c r="U189" s="9" t="s">
        <v>281</v>
      </c>
      <c r="V189" s="9" t="s">
        <v>481</v>
      </c>
      <c r="W189" s="9" t="n">
        <v>2</v>
      </c>
      <c r="X189" s="9" t="s">
        <v>482</v>
      </c>
      <c r="Y189" s="10" t="s">
        <v>157</v>
      </c>
    </row>
    <row r="190" customFormat="false" ht="15" hidden="false" customHeight="false" outlineLevel="0" collapsed="false">
      <c r="A190" s="3" t="s">
        <v>477</v>
      </c>
      <c r="B190" s="8" t="s">
        <v>172</v>
      </c>
      <c r="C190" s="9" t="s">
        <v>478</v>
      </c>
      <c r="D190" s="8" t="s">
        <v>479</v>
      </c>
      <c r="E190" s="9" t="s">
        <v>480</v>
      </c>
      <c r="F190" s="9" t="s">
        <v>191</v>
      </c>
      <c r="H190" s="0" t="s">
        <v>483</v>
      </c>
      <c r="J190" s="9" t="s">
        <v>466</v>
      </c>
      <c r="K190" s="10" t="s">
        <v>168</v>
      </c>
      <c r="L190" s="29" t="n">
        <f aca="false">P190*N190/P189</f>
        <v>59.4948881789137</v>
      </c>
      <c r="M190" s="29" t="n">
        <f aca="false">R190*N190/R189</f>
        <v>98.7614457831325</v>
      </c>
      <c r="N190" s="0" t="n">
        <v>89.1</v>
      </c>
      <c r="P190" s="3" t="n">
        <v>4.18</v>
      </c>
      <c r="Q190" s="3" t="n">
        <v>8.14</v>
      </c>
      <c r="R190" s="3" t="n">
        <v>1.84</v>
      </c>
      <c r="S190" s="10" t="n">
        <v>6.4</v>
      </c>
      <c r="U190" s="9" t="s">
        <v>281</v>
      </c>
      <c r="V190" s="9" t="s">
        <v>481</v>
      </c>
      <c r="W190" s="9" t="n">
        <v>2</v>
      </c>
      <c r="X190" s="9" t="s">
        <v>482</v>
      </c>
      <c r="Y190" s="10" t="s">
        <v>168</v>
      </c>
    </row>
    <row r="191" customFormat="false" ht="15" hidden="false" customHeight="false" outlineLevel="0" collapsed="false">
      <c r="A191" s="3" t="s">
        <v>477</v>
      </c>
      <c r="B191" s="8" t="s">
        <v>172</v>
      </c>
      <c r="C191" s="9" t="s">
        <v>478</v>
      </c>
      <c r="D191" s="8" t="s">
        <v>479</v>
      </c>
      <c r="E191" s="9" t="s">
        <v>484</v>
      </c>
      <c r="F191" s="9" t="s">
        <v>191</v>
      </c>
      <c r="H191" s="0" t="s">
        <v>483</v>
      </c>
      <c r="J191" s="9" t="s">
        <v>466</v>
      </c>
      <c r="K191" s="10" t="s">
        <v>186</v>
      </c>
      <c r="L191" s="29" t="n">
        <f aca="false">P191*N191/P189</f>
        <v>25.944089456869</v>
      </c>
      <c r="M191" s="29" t="n">
        <f aca="false">R191*N191/R189</f>
        <v>12.0819277108434</v>
      </c>
      <c r="N191" s="0" t="n">
        <v>10.9</v>
      </c>
      <c r="P191" s="3" t="n">
        <v>14.9</v>
      </c>
      <c r="Q191" s="3" t="n">
        <v>8.91</v>
      </c>
      <c r="R191" s="3" t="n">
        <v>1.84</v>
      </c>
      <c r="S191" s="10" t="n">
        <v>19.46</v>
      </c>
      <c r="U191" s="9" t="s">
        <v>281</v>
      </c>
      <c r="V191" s="9" t="s">
        <v>481</v>
      </c>
      <c r="W191" s="9" t="n">
        <v>2</v>
      </c>
      <c r="X191" s="9" t="s">
        <v>482</v>
      </c>
      <c r="Y191" s="10" t="s">
        <v>186</v>
      </c>
    </row>
    <row r="192" customFormat="false" ht="15" hidden="false" customHeight="false" outlineLevel="0" collapsed="false">
      <c r="A192" s="3" t="s">
        <v>477</v>
      </c>
      <c r="B192" s="8" t="s">
        <v>172</v>
      </c>
      <c r="C192" s="9" t="s">
        <v>478</v>
      </c>
      <c r="D192" s="8" t="s">
        <v>479</v>
      </c>
      <c r="E192" s="9" t="s">
        <v>480</v>
      </c>
      <c r="F192" s="9" t="s">
        <v>191</v>
      </c>
      <c r="J192" s="9" t="s">
        <v>466</v>
      </c>
      <c r="K192" s="10" t="s">
        <v>157</v>
      </c>
      <c r="L192" s="29"/>
      <c r="M192" s="29"/>
      <c r="P192" s="3" t="n">
        <v>6.29</v>
      </c>
      <c r="Q192" s="3" t="n">
        <v>8.47</v>
      </c>
      <c r="R192" s="3"/>
      <c r="U192" s="9" t="s">
        <v>281</v>
      </c>
      <c r="V192" s="9" t="s">
        <v>485</v>
      </c>
    </row>
    <row r="193" customFormat="false" ht="15" hidden="false" customHeight="false" outlineLevel="0" collapsed="false">
      <c r="A193" s="3" t="s">
        <v>477</v>
      </c>
      <c r="B193" s="8" t="s">
        <v>172</v>
      </c>
      <c r="C193" s="9" t="s">
        <v>478</v>
      </c>
      <c r="D193" s="8" t="s">
        <v>479</v>
      </c>
      <c r="E193" s="9" t="s">
        <v>480</v>
      </c>
      <c r="F193" s="9" t="s">
        <v>191</v>
      </c>
      <c r="H193" s="0" t="s">
        <v>483</v>
      </c>
      <c r="J193" s="9" t="s">
        <v>466</v>
      </c>
      <c r="K193" s="10" t="s">
        <v>168</v>
      </c>
      <c r="L193" s="29" t="n">
        <f aca="false">P193*N193/P192</f>
        <v>70.9683624801272</v>
      </c>
      <c r="M193" s="29"/>
      <c r="N193" s="0" t="n">
        <v>89.1</v>
      </c>
      <c r="P193" s="3" t="n">
        <v>5.01</v>
      </c>
      <c r="Q193" s="3" t="n">
        <v>8.51</v>
      </c>
      <c r="R193" s="3"/>
      <c r="U193" s="9" t="s">
        <v>281</v>
      </c>
      <c r="V193" s="9" t="s">
        <v>485</v>
      </c>
    </row>
    <row r="194" customFormat="false" ht="15" hidden="false" customHeight="false" outlineLevel="0" collapsed="false">
      <c r="A194" s="3" t="s">
        <v>477</v>
      </c>
      <c r="B194" s="8" t="s">
        <v>172</v>
      </c>
      <c r="C194" s="9" t="s">
        <v>478</v>
      </c>
      <c r="D194" s="8" t="s">
        <v>479</v>
      </c>
      <c r="E194" s="9" t="s">
        <v>484</v>
      </c>
      <c r="F194" s="9" t="s">
        <v>191</v>
      </c>
      <c r="H194" s="0" t="s">
        <v>483</v>
      </c>
      <c r="J194" s="9" t="s">
        <v>466</v>
      </c>
      <c r="K194" s="10" t="s">
        <v>186</v>
      </c>
      <c r="L194" s="29" t="n">
        <f aca="false">P194*N194/P193</f>
        <v>35.2455089820359</v>
      </c>
      <c r="M194" s="29"/>
      <c r="N194" s="0" t="n">
        <v>10.9</v>
      </c>
      <c r="P194" s="3" t="n">
        <v>16.2</v>
      </c>
      <c r="Q194" s="3" t="n">
        <v>9.01</v>
      </c>
      <c r="R194" s="3"/>
      <c r="U194" s="9" t="s">
        <v>281</v>
      </c>
      <c r="V194" s="9" t="s">
        <v>485</v>
      </c>
    </row>
    <row r="195" customFormat="false" ht="30" hidden="false" customHeight="false" outlineLevel="0" collapsed="false">
      <c r="A195" s="7" t="s">
        <v>486</v>
      </c>
      <c r="B195" s="8" t="s">
        <v>172</v>
      </c>
      <c r="C195" s="9" t="s">
        <v>478</v>
      </c>
      <c r="D195" s="8" t="s">
        <v>487</v>
      </c>
      <c r="E195" s="9" t="s">
        <v>488</v>
      </c>
      <c r="F195" s="9" t="s">
        <v>191</v>
      </c>
      <c r="K195" s="10" t="s">
        <v>157</v>
      </c>
      <c r="L195" s="9"/>
      <c r="M195" s="9"/>
      <c r="N195" s="9"/>
      <c r="P195" s="10" t="n">
        <v>4.62</v>
      </c>
      <c r="Q195" s="10" t="n">
        <v>7.18</v>
      </c>
      <c r="R195" s="66" t="n">
        <f aca="false">0.1733*1.12</f>
        <v>0.194096</v>
      </c>
      <c r="T195" s="29" t="n">
        <f aca="false">100*0.1/R$195</f>
        <v>51.5208968757728</v>
      </c>
      <c r="U195" s="9" t="s">
        <v>489</v>
      </c>
      <c r="V195" s="9" t="s">
        <v>490</v>
      </c>
      <c r="W195" s="9" t="n">
        <v>8</v>
      </c>
      <c r="X195" s="67" t="s">
        <v>491</v>
      </c>
    </row>
    <row r="196" customFormat="false" ht="30" hidden="false" customHeight="false" outlineLevel="0" collapsed="false">
      <c r="A196" s="7" t="s">
        <v>486</v>
      </c>
      <c r="B196" s="8" t="s">
        <v>172</v>
      </c>
      <c r="C196" s="9" t="s">
        <v>478</v>
      </c>
      <c r="D196" s="8" t="s">
        <v>487</v>
      </c>
      <c r="E196" s="9" t="s">
        <v>488</v>
      </c>
      <c r="F196" s="9" t="s">
        <v>191</v>
      </c>
      <c r="H196" s="0" t="s">
        <v>361</v>
      </c>
      <c r="I196" s="0" t="s">
        <v>285</v>
      </c>
      <c r="J196" s="9" t="s">
        <v>232</v>
      </c>
      <c r="K196" s="10" t="s">
        <v>168</v>
      </c>
      <c r="L196" s="9"/>
      <c r="M196" s="9" t="n">
        <v>41</v>
      </c>
      <c r="N196" s="29" t="n">
        <f aca="false">100-N197</f>
        <v>83.0006882312457</v>
      </c>
      <c r="O196" s="9" t="s">
        <v>492</v>
      </c>
      <c r="P196" s="10" t="n">
        <v>2.15</v>
      </c>
      <c r="Q196" s="10" t="n">
        <v>7.29</v>
      </c>
      <c r="R196" s="66" t="n">
        <f aca="false">0.0933*0.7</f>
        <v>0.06531</v>
      </c>
      <c r="T196" s="29" t="n">
        <f aca="false">100*0.13/R$195</f>
        <v>66.9771659385047</v>
      </c>
      <c r="U196" s="9" t="s">
        <v>489</v>
      </c>
      <c r="V196" s="9" t="s">
        <v>490</v>
      </c>
      <c r="W196" s="9" t="n">
        <v>8</v>
      </c>
      <c r="X196" s="67" t="s">
        <v>491</v>
      </c>
    </row>
    <row r="197" customFormat="false" ht="30" hidden="false" customHeight="false" outlineLevel="0" collapsed="false">
      <c r="A197" s="7" t="s">
        <v>486</v>
      </c>
      <c r="B197" s="8" t="s">
        <v>172</v>
      </c>
      <c r="C197" s="9" t="s">
        <v>478</v>
      </c>
      <c r="D197" s="8" t="s">
        <v>487</v>
      </c>
      <c r="E197" s="9" t="s">
        <v>493</v>
      </c>
      <c r="F197" s="9" t="s">
        <v>191</v>
      </c>
      <c r="H197" s="0" t="s">
        <v>361</v>
      </c>
      <c r="I197" s="0" t="s">
        <v>285</v>
      </c>
      <c r="J197" s="9" t="s">
        <v>232</v>
      </c>
      <c r="K197" s="10" t="s">
        <v>186</v>
      </c>
      <c r="L197" s="9"/>
      <c r="M197" s="9" t="n">
        <v>22</v>
      </c>
      <c r="N197" s="29" t="n">
        <f aca="false">(P195-P196)/(P197-P196)*100</f>
        <v>16.9993117687543</v>
      </c>
      <c r="O197" s="9" t="s">
        <v>492</v>
      </c>
      <c r="P197" s="10" t="n">
        <v>16.68</v>
      </c>
      <c r="Q197" s="10" t="n">
        <v>8.28</v>
      </c>
      <c r="R197" s="66" t="n">
        <f aca="false">0.2166*3.26</f>
        <v>0.706116</v>
      </c>
      <c r="T197" s="29" t="n">
        <f aca="false">100*0.01/R$195</f>
        <v>5.15208968757728</v>
      </c>
      <c r="U197" s="9" t="s">
        <v>489</v>
      </c>
      <c r="V197" s="9" t="s">
        <v>490</v>
      </c>
      <c r="W197" s="9" t="n">
        <v>8</v>
      </c>
      <c r="X197" s="67" t="s">
        <v>491</v>
      </c>
    </row>
    <row r="198" customFormat="false" ht="30" hidden="false" customHeight="false" outlineLevel="0" collapsed="false">
      <c r="A198" s="7" t="s">
        <v>494</v>
      </c>
      <c r="B198" s="8" t="s">
        <v>495</v>
      </c>
      <c r="C198" s="9" t="s">
        <v>278</v>
      </c>
      <c r="D198" s="8" t="s">
        <v>496</v>
      </c>
      <c r="E198" s="9" t="s">
        <v>497</v>
      </c>
      <c r="F198" s="9" t="s">
        <v>191</v>
      </c>
      <c r="G198" s="8" t="s">
        <v>498</v>
      </c>
      <c r="H198" s="0" t="s">
        <v>361</v>
      </c>
      <c r="I198" s="0" t="s">
        <v>167</v>
      </c>
      <c r="J198" s="9" t="s">
        <v>156</v>
      </c>
      <c r="K198" s="10" t="s">
        <v>157</v>
      </c>
      <c r="P198" s="10" t="n">
        <v>6.1</v>
      </c>
      <c r="Q198" s="23" t="n">
        <v>7.9</v>
      </c>
      <c r="R198" s="10" t="n">
        <v>1.219</v>
      </c>
      <c r="T198" s="28" t="n">
        <f aca="false">100*0.13/R198</f>
        <v>10.6644790812141</v>
      </c>
      <c r="U198" s="9" t="s">
        <v>499</v>
      </c>
      <c r="AU198" s="0" t="s">
        <v>500</v>
      </c>
    </row>
    <row r="199" customFormat="false" ht="30" hidden="false" customHeight="false" outlineLevel="0" collapsed="false">
      <c r="A199" s="7" t="s">
        <v>494</v>
      </c>
      <c r="B199" s="8" t="s">
        <v>495</v>
      </c>
      <c r="C199" s="9" t="s">
        <v>278</v>
      </c>
      <c r="D199" s="8" t="s">
        <v>496</v>
      </c>
      <c r="E199" s="9" t="s">
        <v>497</v>
      </c>
      <c r="F199" s="9" t="s">
        <v>191</v>
      </c>
      <c r="G199" s="8" t="s">
        <v>496</v>
      </c>
      <c r="H199" s="0" t="s">
        <v>361</v>
      </c>
      <c r="I199" s="0" t="s">
        <v>167</v>
      </c>
      <c r="J199" s="9" t="s">
        <v>501</v>
      </c>
      <c r="K199" s="10" t="s">
        <v>157</v>
      </c>
      <c r="P199" s="10" t="n">
        <v>5.1</v>
      </c>
      <c r="Q199" s="10" t="n">
        <v>7.7</v>
      </c>
      <c r="R199" s="10" t="n">
        <v>1.488</v>
      </c>
      <c r="T199" s="28" t="n">
        <f aca="false">100*0.255/R198</f>
        <v>20.9187858900738</v>
      </c>
      <c r="U199" s="9" t="s">
        <v>499</v>
      </c>
      <c r="AU199" s="0" t="s">
        <v>500</v>
      </c>
    </row>
    <row r="200" customFormat="false" ht="30" hidden="false" customHeight="false" outlineLevel="0" collapsed="false">
      <c r="A200" s="7" t="s">
        <v>494</v>
      </c>
      <c r="B200" s="8" t="s">
        <v>495</v>
      </c>
      <c r="C200" s="9" t="s">
        <v>278</v>
      </c>
      <c r="D200" s="8" t="s">
        <v>496</v>
      </c>
      <c r="E200" s="9" t="s">
        <v>497</v>
      </c>
      <c r="F200" s="9" t="s">
        <v>191</v>
      </c>
      <c r="G200" s="8" t="s">
        <v>496</v>
      </c>
      <c r="H200" s="0" t="s">
        <v>361</v>
      </c>
      <c r="I200" s="0" t="s">
        <v>167</v>
      </c>
      <c r="J200" s="9" t="s">
        <v>501</v>
      </c>
      <c r="K200" s="10" t="s">
        <v>168</v>
      </c>
      <c r="L200" s="29" t="n">
        <f aca="false">P200*N200/P199</f>
        <v>53.3088235294118</v>
      </c>
      <c r="M200" s="29" t="n">
        <f aca="false">R200*N200/R199</f>
        <v>96.0181451612903</v>
      </c>
      <c r="N200" s="29" t="n">
        <f aca="false">100-N201</f>
        <v>93.75</v>
      </c>
      <c r="O200" s="9" t="s">
        <v>502</v>
      </c>
      <c r="P200" s="10" t="n">
        <v>2.9</v>
      </c>
      <c r="Q200" s="10" t="n">
        <v>7.8</v>
      </c>
      <c r="R200" s="10" t="n">
        <v>1.524</v>
      </c>
      <c r="T200" s="28" t="n">
        <f aca="false">100*0.18/R198</f>
        <v>14.766201804758</v>
      </c>
      <c r="U200" s="9" t="s">
        <v>499</v>
      </c>
      <c r="AU200" s="0" t="s">
        <v>500</v>
      </c>
    </row>
    <row r="201" customFormat="false" ht="30" hidden="false" customHeight="false" outlineLevel="0" collapsed="false">
      <c r="A201" s="7" t="s">
        <v>494</v>
      </c>
      <c r="B201" s="8" t="s">
        <v>495</v>
      </c>
      <c r="C201" s="9" t="s">
        <v>278</v>
      </c>
      <c r="D201" s="8" t="s">
        <v>496</v>
      </c>
      <c r="E201" s="9" t="s">
        <v>497</v>
      </c>
      <c r="F201" s="9" t="s">
        <v>191</v>
      </c>
      <c r="G201" s="8" t="s">
        <v>496</v>
      </c>
      <c r="H201" s="0" t="s">
        <v>361</v>
      </c>
      <c r="I201" s="0" t="s">
        <v>167</v>
      </c>
      <c r="J201" s="9" t="s">
        <v>501</v>
      </c>
      <c r="K201" s="10" t="s">
        <v>186</v>
      </c>
      <c r="L201" s="29" t="n">
        <f aca="false">P201*N201/P199</f>
        <v>46.6911764705882</v>
      </c>
      <c r="M201" s="29" t="n">
        <f aca="false">R201*N201/R200</f>
        <v>1.34104330708661</v>
      </c>
      <c r="N201" s="29" t="n">
        <f aca="false">(P199-P200)/(P201-P200)*100</f>
        <v>6.25</v>
      </c>
      <c r="O201" s="9" t="s">
        <v>502</v>
      </c>
      <c r="P201" s="10" t="n">
        <v>38.1</v>
      </c>
      <c r="Q201" s="10" t="n">
        <v>9.2</v>
      </c>
      <c r="R201" s="10" t="n">
        <v>0.327</v>
      </c>
      <c r="T201" s="28" t="n">
        <f aca="false">100*0/R198</f>
        <v>0</v>
      </c>
      <c r="U201" s="9" t="s">
        <v>499</v>
      </c>
      <c r="AU201" s="0" t="s">
        <v>500</v>
      </c>
    </row>
    <row r="202" customFormat="false" ht="30" hidden="false" customHeight="false" outlineLevel="0" collapsed="false">
      <c r="A202" s="7" t="s">
        <v>494</v>
      </c>
      <c r="B202" s="8" t="s">
        <v>495</v>
      </c>
      <c r="C202" s="9" t="s">
        <v>278</v>
      </c>
      <c r="D202" s="8" t="s">
        <v>496</v>
      </c>
      <c r="E202" s="9" t="s">
        <v>497</v>
      </c>
      <c r="F202" s="9" t="s">
        <v>191</v>
      </c>
      <c r="G202" s="8" t="s">
        <v>496</v>
      </c>
      <c r="H202" s="0" t="s">
        <v>361</v>
      </c>
      <c r="I202" s="0" t="s">
        <v>167</v>
      </c>
      <c r="J202" s="9" t="s">
        <v>156</v>
      </c>
      <c r="K202" s="10" t="s">
        <v>157</v>
      </c>
      <c r="P202" s="10" t="n">
        <v>2.7</v>
      </c>
      <c r="Q202" s="10" t="n">
        <v>6.8</v>
      </c>
      <c r="R202" s="10" t="n">
        <v>0.771</v>
      </c>
      <c r="T202" s="28" t="n">
        <f aca="false">100*0.1/R202</f>
        <v>12.970168612192</v>
      </c>
      <c r="U202" s="9" t="s">
        <v>499</v>
      </c>
    </row>
    <row r="203" customFormat="false" ht="30" hidden="false" customHeight="false" outlineLevel="0" collapsed="false">
      <c r="A203" s="7" t="s">
        <v>494</v>
      </c>
      <c r="B203" s="8" t="s">
        <v>495</v>
      </c>
      <c r="C203" s="9" t="s">
        <v>278</v>
      </c>
      <c r="D203" s="8" t="s">
        <v>496</v>
      </c>
      <c r="E203" s="9" t="s">
        <v>497</v>
      </c>
      <c r="F203" s="9" t="s">
        <v>191</v>
      </c>
      <c r="G203" s="8" t="s">
        <v>496</v>
      </c>
      <c r="H203" s="0" t="s">
        <v>361</v>
      </c>
      <c r="I203" s="0" t="s">
        <v>167</v>
      </c>
      <c r="J203" s="9" t="s">
        <v>156</v>
      </c>
      <c r="K203" s="10" t="s">
        <v>168</v>
      </c>
      <c r="L203" s="29" t="n">
        <f aca="false">P203*N203/P202</f>
        <v>76.4669163545568</v>
      </c>
      <c r="M203" s="29" t="n">
        <f aca="false">R203*N203/R202</f>
        <v>102.522624928956</v>
      </c>
      <c r="N203" s="29" t="n">
        <f aca="false">100-N204</f>
        <v>98.314606741573</v>
      </c>
      <c r="O203" s="9" t="s">
        <v>502</v>
      </c>
      <c r="P203" s="10" t="n">
        <v>2.1</v>
      </c>
      <c r="Q203" s="10" t="n">
        <v>6.6</v>
      </c>
      <c r="R203" s="10" t="n">
        <v>0.804</v>
      </c>
      <c r="T203" s="28" t="n">
        <f aca="false">100*0.085/R202</f>
        <v>11.0246433203632</v>
      </c>
      <c r="U203" s="9" t="s">
        <v>499</v>
      </c>
    </row>
    <row r="204" customFormat="false" ht="30" hidden="false" customHeight="false" outlineLevel="0" collapsed="false">
      <c r="A204" s="7" t="s">
        <v>494</v>
      </c>
      <c r="B204" s="8" t="s">
        <v>495</v>
      </c>
      <c r="C204" s="9" t="s">
        <v>278</v>
      </c>
      <c r="D204" s="8" t="s">
        <v>496</v>
      </c>
      <c r="E204" s="9" t="s">
        <v>497</v>
      </c>
      <c r="F204" s="9" t="s">
        <v>191</v>
      </c>
      <c r="G204" s="8" t="s">
        <v>496</v>
      </c>
      <c r="H204" s="0" t="s">
        <v>361</v>
      </c>
      <c r="I204" s="0" t="s">
        <v>167</v>
      </c>
      <c r="J204" s="9" t="s">
        <v>156</v>
      </c>
      <c r="K204" s="10" t="s">
        <v>186</v>
      </c>
      <c r="L204" s="29" t="n">
        <f aca="false">P204*N204/P202</f>
        <v>23.5330836454432</v>
      </c>
      <c r="M204" s="29" t="n">
        <f aca="false">R204*N204/R203</f>
        <v>0.155123260103975</v>
      </c>
      <c r="N204" s="29" t="n">
        <f aca="false">(P202-P203)/(P204-P203)*100</f>
        <v>1.68539325842697</v>
      </c>
      <c r="O204" s="9" t="s">
        <v>502</v>
      </c>
      <c r="P204" s="10" t="n">
        <v>37.7</v>
      </c>
      <c r="Q204" s="10" t="n">
        <v>8.9</v>
      </c>
      <c r="R204" s="10" t="n">
        <v>0.074</v>
      </c>
      <c r="T204" s="28" t="n">
        <f aca="false">100*0.1/R202</f>
        <v>12.970168612192</v>
      </c>
      <c r="U204" s="9" t="s">
        <v>499</v>
      </c>
    </row>
  </sheetData>
  <mergeCells count="8">
    <mergeCell ref="A1:H1"/>
    <mergeCell ref="L1:O1"/>
    <mergeCell ref="P1:R1"/>
    <mergeCell ref="S1:Z1"/>
    <mergeCell ref="AA1:AC1"/>
    <mergeCell ref="AJ1:AM1"/>
    <mergeCell ref="AO1:AU1"/>
    <mergeCell ref="AU147:AU150"/>
  </mergeCell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4" activeCellId="0" sqref="E24"/>
    </sheetView>
  </sheetViews>
  <sheetFormatPr defaultColWidth="8.6875" defaultRowHeight="15" zeroHeight="false" outlineLevelRow="0" outlineLevelCol="0"/>
  <cols>
    <col collapsed="false" customWidth="true" hidden="false" outlineLevel="0" max="1" min="1" style="0" width="13.01"/>
    <col collapsed="false" customWidth="true" hidden="false" outlineLevel="0" max="2" min="2" style="0" width="14.01"/>
  </cols>
  <sheetData>
    <row r="1" customFormat="false" ht="15" hidden="false" customHeight="false" outlineLevel="0" collapsed="false">
      <c r="B1" s="1" t="s">
        <v>503</v>
      </c>
    </row>
    <row r="2" customFormat="false" ht="30" hidden="false" customHeight="false" outlineLevel="0" collapsed="false">
      <c r="B2" s="7" t="s">
        <v>504</v>
      </c>
      <c r="C2" s="0" t="s">
        <v>6</v>
      </c>
      <c r="D2" s="0" t="s">
        <v>505</v>
      </c>
      <c r="E2" s="0" t="s">
        <v>19</v>
      </c>
      <c r="F2" s="68" t="s">
        <v>21</v>
      </c>
      <c r="G2" s="68"/>
    </row>
    <row r="3" customFormat="false" ht="15" hidden="false" customHeight="false" outlineLevel="0" collapsed="false">
      <c r="B3" s="7"/>
      <c r="F3" s="0" t="s">
        <v>506</v>
      </c>
      <c r="G3" s="0" t="s">
        <v>507</v>
      </c>
    </row>
    <row r="4" customFormat="false" ht="15" hidden="false" customHeight="false" outlineLevel="0" collapsed="false">
      <c r="A4" s="1" t="s">
        <v>157</v>
      </c>
      <c r="B4" s="0" t="n">
        <v>9</v>
      </c>
      <c r="C4" s="0" t="n">
        <v>9.24</v>
      </c>
      <c r="D4" s="0" t="n">
        <v>3.5</v>
      </c>
      <c r="E4" s="0" t="n">
        <v>7.46</v>
      </c>
      <c r="F4" s="0" t="n">
        <v>3.6</v>
      </c>
      <c r="G4" s="0" t="n">
        <v>5.18</v>
      </c>
    </row>
    <row r="5" customFormat="false" ht="15" hidden="false" customHeight="false" outlineLevel="0" collapsed="false">
      <c r="A5" s="1" t="s">
        <v>168</v>
      </c>
      <c r="B5" s="0" t="n">
        <v>4.6</v>
      </c>
      <c r="C5" s="0" t="n">
        <v>5.97</v>
      </c>
      <c r="D5" s="0" t="n">
        <v>2.4</v>
      </c>
      <c r="E5" s="0" t="n">
        <v>5.12</v>
      </c>
      <c r="F5" s="0" t="n">
        <v>1.55</v>
      </c>
      <c r="G5" s="0" t="n">
        <v>1.65</v>
      </c>
    </row>
    <row r="6" customFormat="false" ht="15" hidden="false" customHeight="false" outlineLevel="0" collapsed="false">
      <c r="A6" s="1" t="s">
        <v>186</v>
      </c>
      <c r="B6" s="0" t="n">
        <v>35</v>
      </c>
      <c r="C6" s="0" t="n">
        <v>20.94</v>
      </c>
      <c r="D6" s="0" t="n">
        <v>23.2</v>
      </c>
      <c r="E6" s="0" t="n">
        <v>19.2</v>
      </c>
      <c r="F6" s="0" t="n">
        <v>18.1</v>
      </c>
      <c r="G6" s="0" t="n">
        <v>19.1</v>
      </c>
    </row>
    <row r="7" customFormat="false" ht="15" hidden="false" customHeight="false" outlineLevel="0" collapsed="false">
      <c r="A7" s="1"/>
    </row>
    <row r="8" customFormat="false" ht="30" hidden="false" customHeight="false" outlineLevel="0" collapsed="false">
      <c r="A8" s="20" t="s">
        <v>508</v>
      </c>
      <c r="B8" s="49" t="n">
        <f aca="false">(B4-B6)/(B5-B6)</f>
        <v>0.855263157894737</v>
      </c>
      <c r="C8" s="49" t="n">
        <f aca="false">(C4-C6)/(C5-C6)</f>
        <v>0.781563126252505</v>
      </c>
      <c r="D8" s="49" t="n">
        <f aca="false">(D4-D6)/(D5-D6)</f>
        <v>0.947115384615384</v>
      </c>
      <c r="E8" s="49" t="n">
        <f aca="false">(E4-E6)/(E5-E6)</f>
        <v>0.833806818181818</v>
      </c>
      <c r="F8" s="49" t="n">
        <f aca="false">(F4-F6)/(F5-F6)</f>
        <v>0.876132930513595</v>
      </c>
      <c r="G8" s="49" t="n">
        <f aca="false">(G4-G6)/(G5-G6)</f>
        <v>0.797707736389685</v>
      </c>
    </row>
    <row r="10" customFormat="false" ht="15" hidden="false" customHeight="false" outlineLevel="0" collapsed="false">
      <c r="A10" s="1" t="s">
        <v>509</v>
      </c>
      <c r="C10" s="0" t="s">
        <v>510</v>
      </c>
      <c r="E10" s="0" t="s">
        <v>511</v>
      </c>
    </row>
  </sheetData>
  <mergeCells count="1">
    <mergeCell ref="F2:G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9" activeCellId="0" sqref="G19"/>
    </sheetView>
  </sheetViews>
  <sheetFormatPr defaultColWidth="8.6875" defaultRowHeight="15" zeroHeight="false" outlineLevelRow="0" outlineLevelCol="0"/>
  <sheetData>
    <row r="1" customFormat="false" ht="15" hidden="false" customHeight="false" outlineLevel="0" collapsed="false">
      <c r="A1" s="0" t="s">
        <v>512</v>
      </c>
    </row>
    <row r="2" customFormat="false" ht="15" hidden="false" customHeight="false" outlineLevel="0" collapsed="false">
      <c r="A2" s="0" t="s">
        <v>513</v>
      </c>
    </row>
    <row r="3" customFormat="false" ht="15" hidden="false" customHeight="false" outlineLevel="0" collapsed="false">
      <c r="A3" s="0" t="s">
        <v>514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62E54A-967B-44BB-90F9-1599E728B1A7}"/>
</file>

<file path=customXml/itemProps2.xml><?xml version="1.0" encoding="utf-8"?>
<ds:datastoreItem xmlns:ds="http://schemas.openxmlformats.org/officeDocument/2006/customXml" ds:itemID="{42DF2204-8892-4A94-90A5-6DCDBF4AC498}"/>
</file>

<file path=customXml/itemProps3.xml><?xml version="1.0" encoding="utf-8"?>
<ds:datastoreItem xmlns:ds="http://schemas.openxmlformats.org/officeDocument/2006/customXml" ds:itemID="{B5A402CE-7A4B-44ED-A208-3884D1FBDB29}"/>
</file>

<file path=docProps/app.xml><?xml version="1.0" encoding="utf-8"?>
<Properties xmlns="http://schemas.openxmlformats.org/officeDocument/2006/extended-properties" xmlns:vt="http://schemas.openxmlformats.org/officeDocument/2006/docPropsVTypes">
  <Template/>
  <TotalTime>8</TotalTime>
  <Application>LibreOffice/6.4.7.2$Linux_X86_64 LibreOffice_project/40$Build-2</Application>
  <Company>Aarhus University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2021-11-03T07:17:48Z</dcterms:created>
  <dc:creator>Johanna Pedersen</dc:creator>
  <dc:description/>
  <dc:language>en-US</dc:language>
  <cp:lastModifiedBy>Sasha Hafner</cp:lastModifiedBy>
  <dcterms:modified xsi:type="dcterms:W3CDTF">2022-01-06T20:06:25Z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Aarhus University</vt:lpwstr>
  </property>
  <property fmtid="{D5CDD505-2E9C-101B-9397-08002B2CF9AE}" pid="4" name="ContentTypeId">
    <vt:lpwstr>0x0101000AF577DD6E8D684CAFF1362865632EC1</vt:lpwstr>
  </property>
</Properties>
</file>