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aarhusuniversitet.sharepoint.com/sites/TECHPSCAmmoniaemissionsolidmanure/Delte dokumenter/General/PSC Ammonia emission solid manure/"/>
    </mc:Choice>
  </mc:AlternateContent>
  <xr:revisionPtr revIDLastSave="7146" documentId="13_ncr:1_{0B884A39-CF75-409E-BF3B-8837CB992668}" xr6:coauthVersionLast="47" xr6:coauthVersionMax="47" xr10:uidLastSave="{727B8932-5B5E-4657-B636-4F6AB108D997}"/>
  <bookViews>
    <workbookView xWindow="-120" yWindow="-120" windowWidth="29040" windowHeight="15840" activeTab="1" xr2:uid="{00000000-000D-0000-FFFF-FFFF00000000}"/>
  </bookViews>
  <sheets>
    <sheet name="overview" sheetId="6" r:id="rId1"/>
    <sheet name="emission data" sheetId="3" r:id="rId2"/>
  </sheets>
  <definedNames>
    <definedName name="_xlnm._FilterDatabase" localSheetId="0" hidden="1">overview!$A$1:$B$36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94" i="3" l="1"/>
  <c r="AN195" i="3"/>
  <c r="AN196" i="3"/>
  <c r="AN197" i="3"/>
  <c r="AN193" i="3"/>
  <c r="AN170" i="3"/>
  <c r="AO170" i="3" s="1"/>
  <c r="AN169" i="3"/>
  <c r="AO169" i="3" s="1"/>
  <c r="AN168" i="3"/>
  <c r="AO168" i="3" s="1"/>
  <c r="AN167" i="3"/>
  <c r="AO167" i="3" s="1"/>
  <c r="AN166" i="3"/>
  <c r="AO166" i="3" s="1"/>
  <c r="AN165" i="3"/>
  <c r="AO165" i="3" s="1"/>
  <c r="AN164" i="3"/>
  <c r="AO164" i="3" s="1"/>
  <c r="AN163" i="3"/>
  <c r="AO163" i="3" s="1"/>
  <c r="V192" i="3"/>
  <c r="AD192" i="3" s="1"/>
  <c r="V191" i="3"/>
  <c r="V190" i="3"/>
  <c r="AD190" i="3" s="1"/>
  <c r="V189" i="3"/>
  <c r="AD189" i="3" s="1"/>
  <c r="V188" i="3"/>
  <c r="AD188" i="3" s="1"/>
  <c r="V187" i="3"/>
  <c r="AD187" i="3" s="1"/>
  <c r="V186" i="3"/>
  <c r="AD186" i="3" s="1"/>
  <c r="V185" i="3"/>
  <c r="AD185" i="3" s="1"/>
  <c r="V184" i="3"/>
  <c r="AD184" i="3" s="1"/>
  <c r="V183" i="3"/>
  <c r="AD183" i="3" s="1"/>
  <c r="U191" i="3"/>
  <c r="U190" i="3"/>
  <c r="U189" i="3"/>
  <c r="U188" i="3"/>
  <c r="U186" i="3"/>
  <c r="U185" i="3"/>
  <c r="U184" i="3"/>
  <c r="U183" i="3"/>
  <c r="AD191" i="3"/>
  <c r="U178" i="3"/>
  <c r="V178" i="3"/>
  <c r="AD178" i="3" s="1"/>
  <c r="U179" i="3"/>
  <c r="V179" i="3"/>
  <c r="AD179" i="3" s="1"/>
  <c r="U180" i="3"/>
  <c r="V180" i="3"/>
  <c r="U181" i="3"/>
  <c r="V181" i="3"/>
  <c r="V182" i="3"/>
  <c r="AD182" i="3" s="1"/>
  <c r="U182" i="3"/>
  <c r="U172" i="3"/>
  <c r="V172" i="3"/>
  <c r="U173" i="3"/>
  <c r="V173" i="3"/>
  <c r="U174" i="3"/>
  <c r="V174" i="3"/>
  <c r="AD174" i="3" s="1"/>
  <c r="U175" i="3"/>
  <c r="V175" i="3"/>
  <c r="AD175" i="3" s="1"/>
  <c r="U171" i="3"/>
  <c r="V171" i="3"/>
  <c r="V177" i="3"/>
  <c r="AD177" i="3" s="1"/>
  <c r="U177" i="3"/>
  <c r="U176" i="3"/>
  <c r="V176" i="3"/>
  <c r="AD176" i="3" s="1"/>
  <c r="AO69" i="3"/>
  <c r="AO70" i="3"/>
  <c r="AO71" i="3"/>
  <c r="AO72" i="3"/>
  <c r="AO73" i="3"/>
  <c r="AO96" i="3"/>
  <c r="AO91" i="3"/>
  <c r="AO89" i="3"/>
  <c r="AO90" i="3"/>
  <c r="AO92" i="3"/>
  <c r="AO93" i="3"/>
  <c r="AO94" i="3"/>
  <c r="AO95" i="3"/>
  <c r="AO160" i="3"/>
  <c r="AG160" i="3"/>
  <c r="AD160" i="3"/>
  <c r="AO159" i="3"/>
  <c r="AG159" i="3"/>
  <c r="AD159" i="3"/>
  <c r="AO161" i="3"/>
  <c r="AG161" i="3"/>
  <c r="AD161" i="3"/>
  <c r="AO156" i="3"/>
  <c r="AG156" i="3"/>
  <c r="AD156" i="3"/>
  <c r="AO155" i="3"/>
  <c r="AG155" i="3"/>
  <c r="AD155" i="3"/>
  <c r="AO157" i="3"/>
  <c r="AG157" i="3"/>
  <c r="AD157" i="3"/>
  <c r="AO152" i="3"/>
  <c r="AG152" i="3"/>
  <c r="AD152" i="3"/>
  <c r="AO151" i="3"/>
  <c r="AG151" i="3"/>
  <c r="AD151" i="3"/>
  <c r="AO153" i="3"/>
  <c r="AG153" i="3"/>
  <c r="AD153" i="3"/>
  <c r="AO148" i="3"/>
  <c r="AO149" i="3"/>
  <c r="AO150" i="3"/>
  <c r="AO147" i="3"/>
  <c r="AG148" i="3"/>
  <c r="AD148" i="3"/>
  <c r="AG147" i="3"/>
  <c r="AD147" i="3"/>
  <c r="AG149" i="3"/>
  <c r="AD149" i="3"/>
  <c r="AO144" i="3"/>
  <c r="AG144" i="3"/>
  <c r="AD144" i="3"/>
  <c r="AO143" i="3"/>
  <c r="AG143" i="3"/>
  <c r="AD143" i="3"/>
  <c r="AO145" i="3"/>
  <c r="AG145" i="3"/>
  <c r="AD145" i="3"/>
  <c r="AO140" i="3"/>
  <c r="AG140" i="3"/>
  <c r="AD140" i="3"/>
  <c r="AO139" i="3"/>
  <c r="AG139" i="3"/>
  <c r="AD139" i="3"/>
  <c r="AO141" i="3"/>
  <c r="AG141" i="3"/>
  <c r="AD141" i="3"/>
  <c r="AO136" i="3"/>
  <c r="AG136" i="3"/>
  <c r="AD136" i="3"/>
  <c r="AO135" i="3"/>
  <c r="AG135" i="3"/>
  <c r="AD135" i="3"/>
  <c r="AO137" i="3"/>
  <c r="AG137" i="3"/>
  <c r="AD137" i="3"/>
  <c r="AO132" i="3"/>
  <c r="AG132" i="3"/>
  <c r="AD132" i="3"/>
  <c r="AO131" i="3"/>
  <c r="AG131" i="3"/>
  <c r="AD131" i="3"/>
  <c r="AO134" i="3"/>
  <c r="AG134" i="3"/>
  <c r="AD134" i="3"/>
  <c r="AO130" i="3"/>
  <c r="AG130" i="3"/>
  <c r="AD130" i="3"/>
  <c r="AO129" i="3"/>
  <c r="AG129" i="3"/>
  <c r="AD129" i="3"/>
  <c r="AO127" i="3"/>
  <c r="AG127" i="3"/>
  <c r="AD127" i="3"/>
  <c r="AO124" i="3"/>
  <c r="AG124" i="3"/>
  <c r="AD124" i="3"/>
  <c r="AO123" i="3"/>
  <c r="AG123" i="3"/>
  <c r="AD123" i="3"/>
  <c r="AO125" i="3"/>
  <c r="AG125" i="3"/>
  <c r="AD125" i="3"/>
  <c r="AO122" i="3"/>
  <c r="AG122" i="3"/>
  <c r="AD122" i="3"/>
  <c r="AO121" i="3"/>
  <c r="AG121" i="3"/>
  <c r="AD121" i="3"/>
  <c r="AO120" i="3"/>
  <c r="AG120" i="3"/>
  <c r="AD120" i="3"/>
  <c r="AO118" i="3"/>
  <c r="AG118" i="3"/>
  <c r="AD118" i="3"/>
  <c r="AO117" i="3"/>
  <c r="AG117" i="3"/>
  <c r="AD117" i="3"/>
  <c r="AO115" i="3"/>
  <c r="AG115" i="3"/>
  <c r="AD115" i="3"/>
  <c r="AO116" i="3"/>
  <c r="AG116" i="3"/>
  <c r="AD116" i="3"/>
  <c r="AN171" i="3" l="1"/>
  <c r="AN191" i="3"/>
  <c r="AN173" i="3"/>
  <c r="AN190" i="3"/>
  <c r="AN178" i="3"/>
  <c r="AN172" i="3"/>
  <c r="AN186" i="3"/>
  <c r="AD171" i="3"/>
  <c r="AD173" i="3"/>
  <c r="AD172" i="3"/>
  <c r="AN180" i="3"/>
  <c r="AN188" i="3"/>
  <c r="U187" i="3"/>
  <c r="AN187" i="3" s="1"/>
  <c r="U192" i="3"/>
  <c r="AN192" i="3" s="1"/>
  <c r="AN182" i="3"/>
  <c r="AN174" i="3"/>
  <c r="AN177" i="3"/>
  <c r="AD180" i="3"/>
  <c r="AN189" i="3"/>
  <c r="AN175" i="3"/>
  <c r="AN184" i="3"/>
  <c r="AN181" i="3"/>
  <c r="AN176" i="3"/>
  <c r="AN185" i="3"/>
  <c r="AN183" i="3"/>
  <c r="AN179" i="3"/>
  <c r="AD181" i="3"/>
  <c r="AO40" i="3"/>
  <c r="AO41" i="3"/>
  <c r="AO75" i="3"/>
  <c r="AO74" i="3"/>
  <c r="AD68" i="3"/>
  <c r="W68" i="3"/>
  <c r="V68" i="3"/>
  <c r="U68" i="3"/>
  <c r="T68" i="3"/>
  <c r="S68" i="3"/>
  <c r="AD67" i="3"/>
  <c r="W67" i="3"/>
  <c r="V67" i="3"/>
  <c r="U67" i="3"/>
  <c r="T67" i="3"/>
  <c r="S67" i="3"/>
  <c r="AD66" i="3"/>
  <c r="W66" i="3"/>
  <c r="V66" i="3"/>
  <c r="U66" i="3"/>
  <c r="T66" i="3"/>
  <c r="S66" i="3"/>
  <c r="W65" i="3"/>
  <c r="AD65" i="3"/>
  <c r="V65" i="3"/>
  <c r="U65" i="3"/>
  <c r="T65" i="3"/>
  <c r="S65" i="3"/>
  <c r="U64" i="3"/>
  <c r="T64" i="3"/>
  <c r="S64" i="3"/>
  <c r="V64" i="3"/>
  <c r="AD64" i="3"/>
  <c r="AO13" i="3"/>
  <c r="AO12" i="3"/>
  <c r="AO11" i="3"/>
  <c r="AO10" i="3"/>
  <c r="AG13" i="3"/>
  <c r="AG12" i="3"/>
  <c r="AG11" i="3"/>
  <c r="AG10" i="3"/>
  <c r="V9" i="3"/>
  <c r="AO9" i="3" s="1"/>
  <c r="V8" i="3"/>
  <c r="AO8" i="3" s="1"/>
  <c r="AO31" i="3"/>
  <c r="AO32" i="3"/>
  <c r="V30" i="3"/>
  <c r="V29" i="3"/>
  <c r="V28" i="3"/>
  <c r="V27" i="3"/>
  <c r="V26" i="3"/>
  <c r="V25" i="3"/>
  <c r="U30" i="3"/>
  <c r="U29" i="3"/>
  <c r="U28" i="3"/>
  <c r="U27" i="3"/>
  <c r="U26" i="3"/>
  <c r="U25" i="3"/>
  <c r="S24" i="3"/>
  <c r="S23" i="3"/>
  <c r="S22" i="3"/>
  <c r="S21" i="3"/>
  <c r="S20" i="3"/>
  <c r="S19" i="3"/>
  <c r="S18" i="3"/>
  <c r="S17" i="3"/>
  <c r="S16" i="3"/>
  <c r="S15" i="3"/>
  <c r="S14" i="3"/>
  <c r="S54" i="3"/>
  <c r="V54" i="3" s="1"/>
  <c r="S53" i="3"/>
  <c r="V53" i="3" s="1"/>
  <c r="S52" i="3"/>
  <c r="V52" i="3" s="1"/>
  <c r="S51" i="3"/>
  <c r="V51" i="3" s="1"/>
  <c r="S50" i="3"/>
  <c r="U50" i="3" s="1"/>
  <c r="S49" i="3"/>
  <c r="U49" i="3" s="1"/>
  <c r="S48" i="3"/>
  <c r="V48" i="3" s="1"/>
  <c r="S47" i="3"/>
  <c r="V47" i="3" s="1"/>
  <c r="S46" i="3"/>
  <c r="V46" i="3" s="1"/>
  <c r="S45" i="3"/>
  <c r="V45" i="3" s="1"/>
  <c r="S44" i="3"/>
  <c r="V44" i="3" s="1"/>
  <c r="S43" i="3"/>
  <c r="V43" i="3" s="1"/>
  <c r="AD56" i="3"/>
  <c r="AN56" i="3" s="1"/>
  <c r="AO56" i="3" s="1"/>
  <c r="AD57" i="3"/>
  <c r="AN57" i="3" s="1"/>
  <c r="AO57" i="3" s="1"/>
  <c r="AD55" i="3"/>
  <c r="AN55" i="3" s="1"/>
  <c r="AO55" i="3" s="1"/>
  <c r="AO79" i="3"/>
  <c r="AO80" i="3"/>
  <c r="AO81" i="3"/>
  <c r="AO82" i="3"/>
  <c r="AO142" i="3"/>
  <c r="AD162" i="3"/>
  <c r="AD146" i="3"/>
  <c r="AD128" i="3"/>
  <c r="AD158" i="3"/>
  <c r="AD142" i="3"/>
  <c r="AD126" i="3"/>
  <c r="AD154" i="3"/>
  <c r="AD138" i="3"/>
  <c r="AD119" i="3"/>
  <c r="AD150" i="3"/>
  <c r="AD133" i="3"/>
  <c r="AG128" i="3"/>
  <c r="AG126" i="3"/>
  <c r="AG119" i="3"/>
  <c r="AG146" i="3"/>
  <c r="AG142" i="3"/>
  <c r="AG138" i="3"/>
  <c r="AG162" i="3"/>
  <c r="AG158" i="3"/>
  <c r="AG154" i="3"/>
  <c r="AG150" i="3"/>
  <c r="AG133" i="3"/>
  <c r="AO119" i="3"/>
  <c r="AO126" i="3"/>
  <c r="AO128" i="3"/>
  <c r="AO133" i="3"/>
  <c r="AO138" i="3"/>
  <c r="AO146" i="3"/>
  <c r="AO154" i="3"/>
  <c r="AO158" i="3"/>
  <c r="AO162" i="3"/>
  <c r="V88" i="3"/>
  <c r="V87" i="3"/>
  <c r="V86" i="3"/>
  <c r="V85" i="3"/>
  <c r="V84" i="3"/>
  <c r="V83" i="3"/>
  <c r="U88" i="3"/>
  <c r="U87" i="3"/>
  <c r="U86" i="3"/>
  <c r="U85" i="3"/>
  <c r="U84" i="3"/>
  <c r="U83" i="3"/>
  <c r="AO39" i="3"/>
  <c r="AO38" i="3"/>
  <c r="AO35" i="3"/>
  <c r="AO34" i="3"/>
  <c r="AO33" i="3"/>
  <c r="AD34" i="3"/>
  <c r="AD35" i="3"/>
  <c r="AN7" i="3"/>
  <c r="AD33" i="3"/>
  <c r="AN6" i="3"/>
  <c r="AD7" i="3"/>
  <c r="AD6" i="3"/>
  <c r="AN5" i="3"/>
  <c r="AN4" i="3"/>
  <c r="AD5" i="3"/>
  <c r="AD4" i="3"/>
  <c r="U15" i="3" l="1"/>
  <c r="W15" i="3"/>
  <c r="V16" i="3"/>
  <c r="W16" i="3"/>
  <c r="U24" i="3"/>
  <c r="W24" i="3"/>
  <c r="U18" i="3"/>
  <c r="W18" i="3"/>
  <c r="U23" i="3"/>
  <c r="W23" i="3"/>
  <c r="V19" i="3"/>
  <c r="W19" i="3"/>
  <c r="U20" i="3"/>
  <c r="W20" i="3"/>
  <c r="V17" i="3"/>
  <c r="W17" i="3"/>
  <c r="V21" i="3"/>
  <c r="W21" i="3"/>
  <c r="V14" i="3"/>
  <c r="W14" i="3"/>
  <c r="U14" i="3"/>
  <c r="U22" i="3"/>
  <c r="W22" i="3"/>
  <c r="AN65" i="3"/>
  <c r="AN66" i="3"/>
  <c r="AN68" i="3"/>
  <c r="AO67" i="3"/>
  <c r="AN67" i="3"/>
  <c r="AO66" i="3"/>
  <c r="AO68" i="3"/>
  <c r="AO65" i="3"/>
  <c r="AO64" i="3"/>
  <c r="U17" i="3"/>
  <c r="V22" i="3"/>
  <c r="V15" i="3"/>
  <c r="V18" i="3"/>
  <c r="V23" i="3"/>
  <c r="U19" i="3"/>
  <c r="V24" i="3"/>
  <c r="U21" i="3"/>
  <c r="V20" i="3"/>
  <c r="U16" i="3"/>
  <c r="U45" i="3"/>
  <c r="U53" i="3"/>
  <c r="U47" i="3"/>
  <c r="U48" i="3"/>
  <c r="U43" i="3"/>
  <c r="U51" i="3"/>
  <c r="U44" i="3"/>
  <c r="U52" i="3"/>
  <c r="V49" i="3"/>
  <c r="U46" i="3"/>
  <c r="U54" i="3"/>
  <c r="V50" i="3"/>
  <c r="AN21" i="3" l="1"/>
  <c r="AN14" i="3"/>
  <c r="AN16" i="3"/>
  <c r="AN18" i="3"/>
  <c r="AN20" i="3"/>
  <c r="AN24" i="3"/>
  <c r="AN19" i="3"/>
  <c r="AN23" i="3"/>
  <c r="AN15" i="3"/>
  <c r="AN22" i="3"/>
  <c r="AN17" i="3"/>
</calcChain>
</file>

<file path=xl/sharedStrings.xml><?xml version="1.0" encoding="utf-8"?>
<sst xmlns="http://schemas.openxmlformats.org/spreadsheetml/2006/main" count="2960" uniqueCount="414">
  <si>
    <t>notes</t>
  </si>
  <si>
    <t>Balsari et al. (2008a)</t>
  </si>
  <si>
    <t>Balsari et al. (2008b)</t>
  </si>
  <si>
    <t>Balsdon et al. (2001)</t>
  </si>
  <si>
    <t>Balsdon, S. L., Williams, J. R., Southwood, N. J., Chadwick, D. R., Pain, B. F., Chambers, B. J. 2001. Ammonia fluxes from solid and liquid manure management systems for beef cattle and pigs. In: Technology Transfer: Proceedings of the 9th International RAMIRAN 2000 Workshop, Gargnano, Italy, 6-9 September 2000, (Sangiorgi F. ed). Cemagref, France, pp 26-31</t>
  </si>
  <si>
    <t>Bell et al. (2016)</t>
  </si>
  <si>
    <t>Brinson et al. (1994)</t>
  </si>
  <si>
    <t>Cassity-Duffey et al. (2014)</t>
  </si>
  <si>
    <t>Chambers et al. (1997)</t>
  </si>
  <si>
    <t>Chambers, B. J., Smith, K. A., van der Weerden T. J. 1997. Ammonia emissions following the land spreading of solid manures. In: Gaseous Nitrogen Emissions from Grasslands (Jarvis S. C., Pain, B. F., eds). CAB International, Wallingford, UK. Pp 275-280.</t>
  </si>
  <si>
    <t>de Bode (1990)</t>
  </si>
  <si>
    <t>de Bode, M. J. C. 1990. Research on the ammonia emission after application of manure: the effects of incorporation of dried chicken manure on bare soil. DLO Report 34506-2700.</t>
  </si>
  <si>
    <t>Dinuccio et al. (2011)</t>
  </si>
  <si>
    <t>Dinuccio et al. (2012)</t>
  </si>
  <si>
    <t>Doydora et al. (2011)</t>
  </si>
  <si>
    <t>Hansen (2004)</t>
  </si>
  <si>
    <t>Hol (1992)</t>
  </si>
  <si>
    <t>Hol, J. M. G. 1992. Research on the ammonia emission after application of manure: solid, liquid manure. DLO Report 34506-42000.</t>
  </si>
  <si>
    <t>Holly et al. (2017)</t>
  </si>
  <si>
    <t>Kosch (2003)</t>
  </si>
  <si>
    <t xml:space="preserve">Kosch, R. 2003. Einfluss der Festmistaufbereitung und - anwendung auf die Stickstofflüsse im ökologisch wirtschaftenden Futterbaubetrieb. PhD thesis, Göttinger Agrarwissenschaftliche Beiträge, Band 12, 108 pp (in German). </t>
  </si>
  <si>
    <t>Kulesza et al. (2014)</t>
  </si>
  <si>
    <t>Lau et al. (2008)</t>
  </si>
  <si>
    <t>Li et al. (2014)</t>
  </si>
  <si>
    <t>Lockyer et al. (1989)</t>
  </si>
  <si>
    <t>Marshall et al. (1998)</t>
  </si>
  <si>
    <t>Marshall, S. B., Wood, C. W., Braun, L. C., Cabrera, M. L., Mullen, M. D., Guertal, E. A. 1998. Ammonia volatilization from tall fescue pastures fertilized with broiler litter. Journal of Environmental Quality, 27(5), 1125-1129. 10.2134/jeq1998.00472425002700050018x.</t>
  </si>
  <si>
    <t>Miola et al. (2014)</t>
  </si>
  <si>
    <t>Misselbrook et al. (2005)</t>
  </si>
  <si>
    <t xml:space="preserve">Misselbrook, T. H., Nicholson, F. A., Chambers, B. J., Johnson, R. A. 2005. Measuring ammonia emissions from land applied manure: an intercomparison of commonly used samplers and techniques. Environmental Pollution 135:389-397. </t>
  </si>
  <si>
    <t>Moore et al. (2011)</t>
  </si>
  <si>
    <t xml:space="preserve">Moore, P. A., Miles, D., Burns, R., Pote, D., Berg, K., Choi, I. H. 2011. Ammonia emission factors from broiler litter in barns, in storage, and after land application, Journal of Environmental Quality, 40(5), 1395-1404. 10.2134/jeq2009.0383. </t>
  </si>
  <si>
    <t>Mulder (1992a)</t>
  </si>
  <si>
    <t>Mulder, E. M. 1992. Research on the ammonia emission after application of manure: ammonia emission after application of deep litter and FYM on bare soil. DLO Report 34506-4100b.</t>
  </si>
  <si>
    <t>Mulder (1992b)</t>
  </si>
  <si>
    <t>Mulder, E. M. 1992. Research on the ammonia emission after application of manure: ammonia emission after application of deep litter on grass. DLO Report 34506-4100a</t>
  </si>
  <si>
    <t>Mulder and Huijsmans (1994)</t>
  </si>
  <si>
    <t>Mulder, E. M., Huijsmans, J. F. M. 1994. Reduction of ammonia emission after application of manure: overview measurements DLO 1990-1993. ISSN: 0926-7085.</t>
  </si>
  <si>
    <t>Pote et al. (2014)</t>
  </si>
  <si>
    <t>Sagoo et al. (2006)</t>
  </si>
  <si>
    <t>Sagoo, E., Williams, J. R., Chambers, B. J., Chadwick, D. R. 2006. Defra project WA0716, management techniques to minimise ammonia emissions from solid manures. Final report to Defra, London. ADAS Gleadthorpe Research Centre. Mansfield, Notts. NG20 9PF pp 35.</t>
  </si>
  <si>
    <t>Sharpe et al. (2004)</t>
  </si>
  <si>
    <t xml:space="preserve">Sharpe, R. R., Schomberg, H. H., Harper, L. A., Endale, D. M., Jenkins, M. B., Franzluebbers, A. J. 2004. Ammonia volatilization from surface-applied poultry litter under conservation tillage management practices. Atmospheric Pollutants and Trace Gases, Technical Reports. 33(4), 1183. 10.2134/jeq2004.1183. </t>
  </si>
  <si>
    <t>van der Weerden et al. (2014)</t>
  </si>
  <si>
    <t>van der Weerden, T. J., Luo, J., Dexter, M., Rutherford, A. J. 2014. Nitrous oxide, ammonia and methane emissions from dairy cow manure during storage and after application to pasture. New Zealand Journal of Agricultural Research, 57:4, 354-369. 10.1080/00288233.2014.935447</t>
  </si>
  <si>
    <t>Webb et al. (2014)</t>
  </si>
  <si>
    <t>Williams et al. (2003)</t>
  </si>
  <si>
    <t xml:space="preserve">Williams, J. R., Chambers, B. J., Chadwick D. R., Balsdon, S. L. 2003. Defra project WA0632, Ammonia fluxes within solid and liquid manure management systems. Final report to Defra, London. ADAS Gleadthorpe Research Centre. Mansfield, Notts. NG20 9PF, pp 33. </t>
  </si>
  <si>
    <t>General information</t>
  </si>
  <si>
    <t>Housing</t>
  </si>
  <si>
    <t xml:space="preserve">Storage prior to application </t>
  </si>
  <si>
    <t>Manure information</t>
  </si>
  <si>
    <t>Application</t>
  </si>
  <si>
    <t>Soil information</t>
  </si>
  <si>
    <t>Emission</t>
  </si>
  <si>
    <t>Notes</t>
  </si>
  <si>
    <t>Source</t>
  </si>
  <si>
    <t>Absolute emissions</t>
  </si>
  <si>
    <t>Incorporation</t>
  </si>
  <si>
    <t>Timing</t>
  </si>
  <si>
    <t>Location</t>
  </si>
  <si>
    <t xml:space="preserve">Manure source </t>
  </si>
  <si>
    <t>Manure type</t>
  </si>
  <si>
    <t>Manure source - detailed</t>
  </si>
  <si>
    <t>Emission measuring method</t>
  </si>
  <si>
    <t>Emission measuring method details</t>
  </si>
  <si>
    <t>Emission measuring scale</t>
  </si>
  <si>
    <t>Duration (h)</t>
  </si>
  <si>
    <t>Housing information</t>
  </si>
  <si>
    <t>Storage method</t>
  </si>
  <si>
    <t>Cover (yes/no)</t>
  </si>
  <si>
    <t>Cover (type)</t>
  </si>
  <si>
    <t>Storage length (moths)</t>
  </si>
  <si>
    <t xml:space="preserve">Other treatment prior to application </t>
  </si>
  <si>
    <t>Dry matter (%)</t>
  </si>
  <si>
    <t>pH</t>
  </si>
  <si>
    <t>Total ammoniacal nitrogen (TAN) (g/kg)</t>
  </si>
  <si>
    <t>Total nitrogen  (g/kg)</t>
  </si>
  <si>
    <t>Uric acid N (g/kg)</t>
  </si>
  <si>
    <t>Application method</t>
  </si>
  <si>
    <t>Incorporation (yes/no)</t>
  </si>
  <si>
    <t>Incorporation set</t>
  </si>
  <si>
    <t>Incorporation method</t>
  </si>
  <si>
    <t>Incorporation depth</t>
  </si>
  <si>
    <t>Incorporation timing (h after application)</t>
  </si>
  <si>
    <t>Amount (ton/ha)</t>
  </si>
  <si>
    <t xml:space="preserve">Season </t>
  </si>
  <si>
    <t>Temperature at application (°C)</t>
  </si>
  <si>
    <t>Average temperature (°C)</t>
  </si>
  <si>
    <t>Precipitation during measurements (mm)</t>
  </si>
  <si>
    <t>Type</t>
  </si>
  <si>
    <t>Clay content (%)</t>
  </si>
  <si>
    <t>Crop</t>
  </si>
  <si>
    <t>Dry bulk density (g/cm3)</t>
  </si>
  <si>
    <t>Gravimetric water content (g/g)</t>
  </si>
  <si>
    <t>Emission (% applied total ammoniacal nitrogen)</t>
  </si>
  <si>
    <t>Emission (% applied total nitrogen)</t>
  </si>
  <si>
    <t>Source of emission data in original publication</t>
  </si>
  <si>
    <t>Experiment ID in original publication</t>
  </si>
  <si>
    <t>source</t>
  </si>
  <si>
    <t>abs.emis.info</t>
  </si>
  <si>
    <t>incorp.info</t>
  </si>
  <si>
    <t>timing.info</t>
  </si>
  <si>
    <t>location</t>
  </si>
  <si>
    <t>manure.source</t>
  </si>
  <si>
    <t>man.type</t>
  </si>
  <si>
    <t>manure.source.det</t>
  </si>
  <si>
    <t>meas.meth</t>
  </si>
  <si>
    <t>meas.meth.det</t>
  </si>
  <si>
    <t>meas.scale</t>
  </si>
  <si>
    <t>duration</t>
  </si>
  <si>
    <t>house.inf</t>
  </si>
  <si>
    <t>stor.meth</t>
  </si>
  <si>
    <t>stor.cov</t>
  </si>
  <si>
    <t>stor.cov.type</t>
  </si>
  <si>
    <t>stor.length</t>
  </si>
  <si>
    <t>man.treat</t>
  </si>
  <si>
    <t>DM</t>
  </si>
  <si>
    <t>TAN</t>
  </si>
  <si>
    <t>totN</t>
  </si>
  <si>
    <t>app.meth</t>
  </si>
  <si>
    <t>incorp</t>
  </si>
  <si>
    <t>incorp.set</t>
  </si>
  <si>
    <t>incorp.meth</t>
  </si>
  <si>
    <t>incorp.depth</t>
  </si>
  <si>
    <t>incorp.time</t>
  </si>
  <si>
    <t>amount</t>
  </si>
  <si>
    <t xml:space="preserve">season </t>
  </si>
  <si>
    <t>temp.app</t>
  </si>
  <si>
    <t>temp.avg</t>
  </si>
  <si>
    <t>pres</t>
  </si>
  <si>
    <t>soil.type</t>
  </si>
  <si>
    <t>soil.clay</t>
  </si>
  <si>
    <t>crop</t>
  </si>
  <si>
    <t>soil.dens</t>
  </si>
  <si>
    <t>soil.water</t>
  </si>
  <si>
    <t>emis.perc.TAN</t>
  </si>
  <si>
    <t>emis.perc.N</t>
  </si>
  <si>
    <t>emis.source</t>
  </si>
  <si>
    <t>emis.ID</t>
  </si>
  <si>
    <t>Italy</t>
  </si>
  <si>
    <t>cattle</t>
  </si>
  <si>
    <t>fiber</t>
  </si>
  <si>
    <t>dynamic chamber</t>
  </si>
  <si>
    <t>wind tunnel</t>
  </si>
  <si>
    <t>field plot</t>
  </si>
  <si>
    <t>no</t>
  </si>
  <si>
    <t>summer</t>
  </si>
  <si>
    <t>loamy sand</t>
  </si>
  <si>
    <t>grass</t>
  </si>
  <si>
    <t>Table 3</t>
  </si>
  <si>
    <t>Summer trial, Air velocity = 0.6 m/s</t>
  </si>
  <si>
    <t>did not include measurements with air velocity = 0 m/s as the method has been proven to yield inadequate results</t>
  </si>
  <si>
    <t>autumn</t>
  </si>
  <si>
    <t>Autumn trial, Air velocity = 0.6 m/s</t>
  </si>
  <si>
    <t>pig</t>
  </si>
  <si>
    <t>none</t>
  </si>
  <si>
    <t>Figure 2</t>
  </si>
  <si>
    <t>England</t>
  </si>
  <si>
    <t>solid</t>
  </si>
  <si>
    <t>beef</t>
  </si>
  <si>
    <t>field heap</t>
  </si>
  <si>
    <t>Table 2</t>
  </si>
  <si>
    <t>PIGS Solid Surface spread</t>
  </si>
  <si>
    <t>yes</t>
  </si>
  <si>
    <t>rotovated to 10 cm</t>
  </si>
  <si>
    <t>shallow</t>
  </si>
  <si>
    <t>PIGS Solid Rapid incorporation</t>
  </si>
  <si>
    <t>Incorporation was "poor"</t>
  </si>
  <si>
    <t>poultry</t>
  </si>
  <si>
    <t>litter</t>
  </si>
  <si>
    <t>broiler</t>
  </si>
  <si>
    <t>broadcast</t>
  </si>
  <si>
    <t>sandy loam</t>
  </si>
  <si>
    <t>spring</t>
  </si>
  <si>
    <t>layer</t>
  </si>
  <si>
    <t>farmyard manure</t>
  </si>
  <si>
    <t>Georgia</t>
  </si>
  <si>
    <t>laboratory</t>
  </si>
  <si>
    <t>silt loam</t>
  </si>
  <si>
    <t>Netherlands</t>
  </si>
  <si>
    <t>micrometeorological</t>
  </si>
  <si>
    <t>IHF</t>
  </si>
  <si>
    <t>clay</t>
  </si>
  <si>
    <t>Tabel 2</t>
  </si>
  <si>
    <t>niet ondergewerk</t>
  </si>
  <si>
    <t>stoppelploeg ("stubble plough")</t>
  </si>
  <si>
    <t>deep</t>
  </si>
  <si>
    <t>stoppelploeg</t>
  </si>
  <si>
    <t>Incorporation immediately after application</t>
  </si>
  <si>
    <t>triltandcultivator (tine cultivator)</t>
  </si>
  <si>
    <t>vaste tandcultivator</t>
  </si>
  <si>
    <t>schijveneg (disc harrow)</t>
  </si>
  <si>
    <t>frees</t>
  </si>
  <si>
    <t xml:space="preserve">micrometeorological </t>
  </si>
  <si>
    <t>Study no./year 1/11</t>
  </si>
  <si>
    <t>Study no./year 2/11</t>
  </si>
  <si>
    <t>Study no./year 3/11</t>
  </si>
  <si>
    <t>Study no./year 4/11</t>
  </si>
  <si>
    <t>Study no./year 5/11</t>
  </si>
  <si>
    <t>Study no./year 1/12</t>
  </si>
  <si>
    <t>Study no./year 2/12</t>
  </si>
  <si>
    <t>Study no./year 3/12</t>
  </si>
  <si>
    <t>Study no./year 4/12</t>
  </si>
  <si>
    <t>Study no./year 5/12</t>
  </si>
  <si>
    <t>Study no./year 6/12</t>
  </si>
  <si>
    <t>UK</t>
  </si>
  <si>
    <t>stubble</t>
  </si>
  <si>
    <t>Table 24.2</t>
  </si>
  <si>
    <t>Cattle</t>
  </si>
  <si>
    <t>Pig I</t>
  </si>
  <si>
    <t>Pig II</t>
  </si>
  <si>
    <t>Broiler litter I</t>
  </si>
  <si>
    <t>Broiler litter II</t>
  </si>
  <si>
    <t>manure</t>
  </si>
  <si>
    <t>Layer manure</t>
  </si>
  <si>
    <t>packed laboratory cylinders</t>
  </si>
  <si>
    <t>Surface-applied; PL</t>
  </si>
  <si>
    <t>mixed with soil</t>
  </si>
  <si>
    <t>Incorporated; PL</t>
  </si>
  <si>
    <t>1 L container, 5C, laboratory</t>
  </si>
  <si>
    <t>Solid fraction, SA, N-NH3 g/kg TAN</t>
  </si>
  <si>
    <t>heap, 4 t</t>
  </si>
  <si>
    <t>Solid fraction, SA, NH3-N/TAN (%)</t>
  </si>
  <si>
    <t>winter</t>
  </si>
  <si>
    <t>Solid fraction, W, NH3-N/TAN (%)</t>
  </si>
  <si>
    <t>Denmark</t>
  </si>
  <si>
    <t>deep litter</t>
  </si>
  <si>
    <t>mass balance technique</t>
  </si>
  <si>
    <t>outdoor</t>
  </si>
  <si>
    <t>heap, 2*5*9 m</t>
  </si>
  <si>
    <t>Stored</t>
  </si>
  <si>
    <t>Unstored</t>
  </si>
  <si>
    <t>heap in the field</t>
  </si>
  <si>
    <t>harrowing</t>
  </si>
  <si>
    <t>Figure 3 (Hansen and Birkmose (2005)) / Table 1 (Sommer and Hansen (2022))</t>
  </si>
  <si>
    <t>Tallerken harvning samtidig /Harrow5m</t>
  </si>
  <si>
    <t>plowing</t>
  </si>
  <si>
    <t>Plov samtidig / plow20 m</t>
  </si>
  <si>
    <t>Tallerken harvning 6 timer /harrow6h</t>
  </si>
  <si>
    <t>ingen nedmuldn / control</t>
  </si>
  <si>
    <t>sand on loam</t>
  </si>
  <si>
    <t>Tabel 4</t>
  </si>
  <si>
    <t>vast mest</t>
  </si>
  <si>
    <t>Canada, British Colombia</t>
  </si>
  <si>
    <t>breeder</t>
  </si>
  <si>
    <t>Spring 2005; Breeder</t>
  </si>
  <si>
    <t>Spring 2005; Broiler</t>
  </si>
  <si>
    <t>Spring 2005; Layer</t>
  </si>
  <si>
    <t>turkey</t>
  </si>
  <si>
    <t>Spring 2005; Turkey</t>
  </si>
  <si>
    <t>stockpile</t>
  </si>
  <si>
    <t>several months</t>
  </si>
  <si>
    <t>Fall 2005; Breeder</t>
  </si>
  <si>
    <t>Fall 2005; Broiler</t>
  </si>
  <si>
    <t>Fall 2005; Layer</t>
  </si>
  <si>
    <t>Fall 2005; Turkey</t>
  </si>
  <si>
    <t>Spring 2006; Breeder</t>
  </si>
  <si>
    <t>Spring 2006; Broiler</t>
  </si>
  <si>
    <t>Spring 2006; Layer</t>
  </si>
  <si>
    <t>Spring 2006; Turkey</t>
  </si>
  <si>
    <t>New Zealand</t>
  </si>
  <si>
    <t>Spring application; Stored manure</t>
  </si>
  <si>
    <t>Summer application; Stored manure</t>
  </si>
  <si>
    <t>Autumn application; Stored manure</t>
  </si>
  <si>
    <t>Table 4</t>
  </si>
  <si>
    <t>Southern US</t>
  </si>
  <si>
    <t>Coastal Plain; 1995</t>
  </si>
  <si>
    <t>Coastal Plain; 1996</t>
  </si>
  <si>
    <t>Piedmont; 1995</t>
  </si>
  <si>
    <t>Piedmont; 1996</t>
  </si>
  <si>
    <t>lily loam</t>
  </si>
  <si>
    <t>Cumberland Plateau; 1995</t>
  </si>
  <si>
    <t>Cumberland Plateau; 1996</t>
  </si>
  <si>
    <t>Total (row) Dairy FYM Mean (column)</t>
  </si>
  <si>
    <t>Emission expressed as fraction uric acid + TAN, we assume 0 uric acid in conversion here</t>
  </si>
  <si>
    <t>Total (row) Layer manure Mean (column)</t>
  </si>
  <si>
    <t>Emission given as fraction of uric acid + TAN in source</t>
  </si>
  <si>
    <t>wetted</t>
  </si>
  <si>
    <t>Total (row) Wetter layer manure Mean (column)</t>
  </si>
  <si>
    <t>Table 5</t>
  </si>
  <si>
    <t>Mulder and Huijsmans et al. (1994)</t>
  </si>
  <si>
    <t>caly soil</t>
  </si>
  <si>
    <t>Table 14, grupstal vste mest</t>
  </si>
  <si>
    <t>Table 14, Potstalmest</t>
  </si>
  <si>
    <t>Table 14, Verse, vaste potstaimest</t>
  </si>
  <si>
    <t>Table 25, Potstalmest</t>
  </si>
  <si>
    <t>vaste-tandcultivator (fixed tine cultivator)</t>
  </si>
  <si>
    <t>Potstalmest ondergewerkt (row) NH4-N (column)</t>
  </si>
  <si>
    <t>Additional results seem to be from Mulder 1992 b</t>
  </si>
  <si>
    <t>Potstalmest (row) NH4-N (column)</t>
  </si>
  <si>
    <t>Potstalmest I</t>
  </si>
  <si>
    <t>pH values from Mulder (1992a) table 2</t>
  </si>
  <si>
    <t>Potstalmest II</t>
  </si>
  <si>
    <t>fresh solid manure</t>
  </si>
  <si>
    <t>Vaste mest</t>
  </si>
  <si>
    <t>Maryland, US</t>
  </si>
  <si>
    <t>Surface</t>
  </si>
  <si>
    <t>disking</t>
  </si>
  <si>
    <t>Disked</t>
  </si>
  <si>
    <t>Georgia, US</t>
  </si>
  <si>
    <t>168 or 192</t>
  </si>
  <si>
    <t>Summer 2000, NT</t>
  </si>
  <si>
    <t>Summer 2000, PP</t>
  </si>
  <si>
    <t>Summer 2001, NT</t>
  </si>
  <si>
    <t>Summer 2001, PP</t>
  </si>
  <si>
    <t>Winter 2001, NT</t>
  </si>
  <si>
    <t>Winter 2001, PP</t>
  </si>
  <si>
    <t>Webb et al. (2001)</t>
  </si>
  <si>
    <t>heap</t>
  </si>
  <si>
    <t>plastic sheeting</t>
  </si>
  <si>
    <t>plough</t>
  </si>
  <si>
    <t>Table 3 (Webb et al. (2004)) / Table 2 (Webb et al. (2001))</t>
  </si>
  <si>
    <t>Anaerobic, Immediate /Pig FYM, 1999, Compacted, 0</t>
  </si>
  <si>
    <t>Anaerobic, 4 h/Pig FYM, 1999, Compacted, 4</t>
  </si>
  <si>
    <t>Anaerobic, 24 h/Pig FYM, 1999, Compacted 24</t>
  </si>
  <si>
    <t>Anaerobic, Not incorporated/Pig FYM, 1999, Compacted, Left on surface</t>
  </si>
  <si>
    <t>Aerobic, Immediate/Pig FYM, 1999, Uncompacted, 0</t>
  </si>
  <si>
    <t>Aerobic, 4 h/Pig FYM, 1999, Uncompacted, 4</t>
  </si>
  <si>
    <t>Aerobic, 24 h/Pig FYM, 1999, Uncompacted 24</t>
  </si>
  <si>
    <t>Aerobic, Not incorporated/Pig FYM, 1999, Uncompacted, Left on surface</t>
  </si>
  <si>
    <t>Pig FYM, 2000, Compacted, 0</t>
  </si>
  <si>
    <t>Pig FYM, 2000, Compacted, 4</t>
  </si>
  <si>
    <t>Pig FYM, 2000, Compacted, Left on surface</t>
  </si>
  <si>
    <t>Pig FYM, 2000, Uncompacted 0</t>
  </si>
  <si>
    <t>Pig FYM, 2000, Uncompacted, 4</t>
  </si>
  <si>
    <t>Pig FYM, 2000, Uncompacted, Left on surface</t>
  </si>
  <si>
    <t>Cattle FYM, 1999, Compacted, 4</t>
  </si>
  <si>
    <t>Cattle FYM, 1999, Compacted, 24</t>
  </si>
  <si>
    <t>Cattle FYM, 1999, Compacted, Left on surface</t>
  </si>
  <si>
    <t>Cattle FYM, 1999, Uncompacted, 4</t>
  </si>
  <si>
    <t>Cattle FYM, 1999, Uncompacted, 24</t>
  </si>
  <si>
    <t>Cattle FYM, 1999, Uncompacted, Left on surface</t>
  </si>
  <si>
    <t>Cattle FYM, 2000, Compacted, 4</t>
  </si>
  <si>
    <t>Cattle FYM, 2000, Compacted, 24</t>
  </si>
  <si>
    <t>Cattle FYM, 2000, Compacted, Left on surface</t>
  </si>
  <si>
    <t>Cattle FYM, 2000, Uncompacted, 4</t>
  </si>
  <si>
    <t>Cattle FYM, 2000, Uncompacted, 24</t>
  </si>
  <si>
    <t>Cattle FYM, 2000, Uncompacted, Left on surface</t>
  </si>
  <si>
    <t>Personal communication with J. Webb to jp@bce.au.dk Jan 2023</t>
  </si>
  <si>
    <t>tine</t>
  </si>
  <si>
    <t>disc</t>
  </si>
  <si>
    <t>clayey soil</t>
  </si>
  <si>
    <t>Pig</t>
  </si>
  <si>
    <t>Table 7</t>
  </si>
  <si>
    <t>Solid, September 1998, Surface spread</t>
  </si>
  <si>
    <t>rotavator</t>
  </si>
  <si>
    <t>Solid, September 1998, Incorporated within 30 minutes</t>
  </si>
  <si>
    <t>Solid, September 1999, Surface spread</t>
  </si>
  <si>
    <t>Solid, September 1999, Incorporated within 30 minutes</t>
  </si>
  <si>
    <t>Solid, February 1999, Surface spread</t>
  </si>
  <si>
    <t>Solid, February 1999, Incorporated within 30 minutes</t>
  </si>
  <si>
    <t>Solid, January 2000, Surface spread</t>
  </si>
  <si>
    <t>Solid, January 2000, Incorporated within 30 minutes</t>
  </si>
  <si>
    <t>Figure 5</t>
  </si>
  <si>
    <t>Study 1 Fresh Surface</t>
  </si>
  <si>
    <t>Composition data (%N, %TAN) not very clear</t>
  </si>
  <si>
    <t>Study 1 Fresh Disc 4hrs</t>
  </si>
  <si>
    <t>Study 1 Fresh Disc 24hrs</t>
  </si>
  <si>
    <t>Study 1 Fresh Plough 4hrs</t>
  </si>
  <si>
    <t>Study 1 Fresh Plough 24hrs</t>
  </si>
  <si>
    <t>Study 1 Stored Surface</t>
  </si>
  <si>
    <t>Study 2 Fresh Surface</t>
  </si>
  <si>
    <t>Study 2 Fresh Disc 4hrs</t>
  </si>
  <si>
    <t>Study 2 Fresh Disc 24hrs</t>
  </si>
  <si>
    <t>Study 2 Fresh Plough 4hrs</t>
  </si>
  <si>
    <t>Study 2 Fresh Plough 24hrs</t>
  </si>
  <si>
    <t>Study 2 Stored Surface</t>
  </si>
  <si>
    <t>Figure 6</t>
  </si>
  <si>
    <t>Study 1 Con</t>
  </si>
  <si>
    <t>Study 1 Extra straw</t>
  </si>
  <si>
    <t>Study 1 Sheeted</t>
  </si>
  <si>
    <t>Study 1 Turned</t>
  </si>
  <si>
    <t>Study 1 Fresh</t>
  </si>
  <si>
    <t>Study 2 Con</t>
  </si>
  <si>
    <t>Study 2 Extra straw</t>
  </si>
  <si>
    <t>Study 2 Sheet</t>
  </si>
  <si>
    <t>Study 2 Turn</t>
  </si>
  <si>
    <t>Study 2 Fresh</t>
  </si>
  <si>
    <t>broiler litter</t>
  </si>
  <si>
    <t>Figure 14</t>
  </si>
  <si>
    <t>Surface spread</t>
  </si>
  <si>
    <t>No composition data (%N %TAN) but Table 15 has N and TAN application rate</t>
  </si>
  <si>
    <t>Disc @ 4 hours</t>
  </si>
  <si>
    <t>Disc @ 24 hours</t>
  </si>
  <si>
    <t>Plough @ 4 hours</t>
  </si>
  <si>
    <t>Plough @ 24 hours</t>
  </si>
  <si>
    <t xml:space="preserve"> </t>
  </si>
  <si>
    <t>Sommer and Hansen (2022), same data as Hansen and Birkmose (2005)</t>
  </si>
  <si>
    <t>Hansen and Birkmose (2005), same data as Sommer and Hansen (2022)</t>
  </si>
  <si>
    <t>Lau, A. K., Bittman, S., Hunt, D. E. 2008. Development of ammonia emission factors for the land application of poultry manure in the lower Fraser Valley of British Columnbia. Can. Biosyst. Eng. 50:647-655</t>
  </si>
  <si>
    <t>Kulesza, S. B., Maguire, R. O., Thomason, W. E., Hodges, S. C., Pote, D. H. 2014. Effects of poultry litter injection on ammonia volatilization, nitrogen availability, and nutrient losses in runoff. Soil Science, 179(4):190-196. http://dx.doi.org/10.1097/SS.0000000000000058</t>
  </si>
  <si>
    <t>Holly, M. A., Larson, R. A., Powell, J. M., Ruark, M. D., Aguirre-Villegas, H. 2017. Greenhouse gas and ammonia emissions from digested and separated dairy manure during storage and after land application. Agriculture Ecosystems &amp; Environment, 239():410-419. http://dx.doi.org/10.1016/j.agee.2017.02.007</t>
  </si>
  <si>
    <r>
      <t xml:space="preserve">Balsari, P., Dinuccio, E., Gioelli, F., Santoro, E. 2008. Ammonia losses from the land application of raw pig slurry and solid and liquid fractions generated from its mechanical separation. </t>
    </r>
    <r>
      <rPr>
        <i/>
        <sz val="11"/>
        <color theme="1"/>
        <rFont val="Calibri"/>
        <family val="2"/>
        <scheme val="minor"/>
      </rPr>
      <t>Potential for Simple Technology Solutions in Organic Manure Management</t>
    </r>
    <r>
      <rPr>
        <sz val="11"/>
        <color theme="1"/>
        <rFont val="Calibri"/>
        <family val="2"/>
        <scheme val="minor"/>
      </rPr>
      <t>, 137–140.</t>
    </r>
  </si>
  <si>
    <r>
      <t xml:space="preserve">Balsari, P., Dinuccio, E., Santoro, E., Gioelli, F. 2008. Ammonia emissions from rough cattle slurry and from derived solid and liquid fractions applied to alfalfa pasture. </t>
    </r>
    <r>
      <rPr>
        <i/>
        <sz val="11"/>
        <color theme="1"/>
        <rFont val="Calibri"/>
        <family val="2"/>
        <scheme val="minor"/>
      </rPr>
      <t>Australian Journal of Experimental Agriculture</t>
    </r>
    <r>
      <rPr>
        <sz val="11"/>
        <color theme="1"/>
        <rFont val="Calibri"/>
        <family val="2"/>
        <scheme val="minor"/>
      </rPr>
      <t xml:space="preserve">, </t>
    </r>
    <r>
      <rPr>
        <i/>
        <sz val="11"/>
        <color theme="1"/>
        <rFont val="Calibri"/>
        <family val="2"/>
        <scheme val="minor"/>
      </rPr>
      <t>48</t>
    </r>
    <r>
      <rPr>
        <sz val="11"/>
        <color theme="1"/>
        <rFont val="Calibri"/>
        <family val="2"/>
        <scheme val="minor"/>
      </rPr>
      <t>(1–2), 198–201. https://doi.org/10.1071/EA07234</t>
    </r>
  </si>
  <si>
    <t>Bell, M. J., Hinton, N. J.. Cloy, J. M., Topp, C. F. E., Rees, R. M., Williams, J. R., Misselbrook, T. H., Chadwick, D. R. 2016 How do emission rates and emission factors for nitrous oxide and ammonia vary with manure type and time of application in a Scottish farmland? Geoderma, 264:81-93. http://dx.doi.org/10.1016/j.geoderma.2015.10.007</t>
  </si>
  <si>
    <t>Brinson, S. e., Cabrera, M. L., Tyson, S. C. 1994. Ammonia volatilization from surface-applied, fresh and composted poultry litter. Plant and soil, 167(2):213-218. http://dx.doi.org/10.1007/BF00007947</t>
  </si>
  <si>
    <t>Cassity-Duffey, K., Cabrera, M., Rema, J., Calvert, V. 2014. Factors affecting ammonia loss from pastures fertilized with broiler litter. Soil Science Society of America Journal, 78(5):1664-1673. http://dx.doi.org/10.2136/sssaj2014.04.0150</t>
  </si>
  <si>
    <r>
      <t xml:space="preserve">Dinuccio, E., Berg, W., &amp; Balsari, P. 2011. Effects of mechanical separation on GHG and ammonia emissions from cattle slurry under winter conditions. </t>
    </r>
    <r>
      <rPr>
        <i/>
        <sz val="11"/>
        <color theme="1"/>
        <rFont val="Calibri"/>
        <family val="2"/>
        <scheme val="minor"/>
      </rPr>
      <t>Animal Feed Science and Technology</t>
    </r>
    <r>
      <rPr>
        <sz val="11"/>
        <color theme="1"/>
        <rFont val="Calibri"/>
        <family val="2"/>
        <scheme val="minor"/>
      </rPr>
      <t xml:space="preserve">, </t>
    </r>
    <r>
      <rPr>
        <i/>
        <sz val="11"/>
        <color theme="1"/>
        <rFont val="Calibri"/>
        <family val="2"/>
        <scheme val="minor"/>
      </rPr>
      <t>166</t>
    </r>
    <r>
      <rPr>
        <sz val="11"/>
        <color theme="1"/>
        <rFont val="Calibri"/>
        <family val="2"/>
        <scheme val="minor"/>
      </rPr>
      <t>–</t>
    </r>
    <r>
      <rPr>
        <i/>
        <sz val="11"/>
        <color theme="1"/>
        <rFont val="Calibri"/>
        <family val="2"/>
        <scheme val="minor"/>
      </rPr>
      <t>167</t>
    </r>
    <r>
      <rPr>
        <sz val="11"/>
        <color theme="1"/>
        <rFont val="Calibri"/>
        <family val="2"/>
        <scheme val="minor"/>
      </rPr>
      <t>(2011), 532–538. https://doi.org/10.1016/j.anifeedsci.2011.04.037</t>
    </r>
  </si>
  <si>
    <r>
      <t xml:space="preserve">Dinuccio, E., Gioelli, F., Balsari, P., &amp; Dorno, N. 2012. Ammonia losses from the storage and application of raw and chemo-mechanically separated slurry.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153</t>
    </r>
    <r>
      <rPr>
        <sz val="11"/>
        <color theme="1"/>
        <rFont val="Calibri"/>
        <family val="2"/>
        <scheme val="minor"/>
      </rPr>
      <t>(2), 16–23. https://doi.org/10.1016/j.agee.2012.02.015</t>
    </r>
  </si>
  <si>
    <t>Doydora, S. A., Cabrera, M. L., Das, K. C., Gaskin, J. W., Sonon, L. S., Miller, W. P. 2011. Release of nitrogen and phosphorus from poultry litter amended with acidified biochar. International Journal of Environmental Research and Public Health, 8(5):1491-1502. http://dx.doi.org/10.3390/ijerph8051491</t>
  </si>
  <si>
    <r>
      <t xml:space="preserve">Hansen, M. N. 2004. Influence of storage of deep litter manure on ammonia loss and uniformity of mass andn nutrient distribution following land spreading. </t>
    </r>
    <r>
      <rPr>
        <i/>
        <sz val="11"/>
        <color theme="1"/>
        <rFont val="Calibri"/>
        <family val="2"/>
        <scheme val="minor"/>
      </rPr>
      <t>Biosystems Engineering</t>
    </r>
    <r>
      <rPr>
        <sz val="11"/>
        <color theme="1"/>
        <rFont val="Calibri"/>
        <family val="2"/>
        <scheme val="minor"/>
      </rPr>
      <t xml:space="preserve">, </t>
    </r>
    <r>
      <rPr>
        <i/>
        <sz val="11"/>
        <color theme="1"/>
        <rFont val="Calibri"/>
        <family val="2"/>
        <scheme val="minor"/>
      </rPr>
      <t>87</t>
    </r>
    <r>
      <rPr>
        <sz val="11"/>
        <color theme="1"/>
        <rFont val="Calibri"/>
        <family val="2"/>
        <scheme val="minor"/>
      </rPr>
      <t>(1), 99–107. https://doi.org/10.1016/j.biosystemseng.2003.10.002</t>
    </r>
  </si>
  <si>
    <r>
      <t xml:space="preserve">Hansen, M. N., &amp; Birkmose, T. S. 2005. </t>
    </r>
    <r>
      <rPr>
        <i/>
        <sz val="11"/>
        <color theme="1"/>
        <rFont val="Calibri"/>
        <family val="2"/>
        <scheme val="minor"/>
      </rPr>
      <t>Hurtig nedmuldning af fast husdyrgødning</t>
    </r>
    <r>
      <rPr>
        <sz val="11"/>
        <color theme="1"/>
        <rFont val="Calibri"/>
        <family val="2"/>
        <scheme val="minor"/>
      </rPr>
      <t>. Grøn viden.</t>
    </r>
  </si>
  <si>
    <t>Li, J., Shi, Y. L., Luo, J. F., Houlbrooke, D., Ledgard, S., Ghani, A., Lindsey, S. 2014. Effects of form of effluent, season and urease inhibitor on ammonia volatilization from dairy farm effluent applied to pasture. Journal of Soils and Sediments, 14(8):1341-1349. http://dx.doi.org/10.1007/s11368-014-0887-3</t>
  </si>
  <si>
    <t xml:space="preserve">Lockyer, D: R., Pain, B. F., Klarenbeek, J. V. 1989. Ammonia emissions from cattle, pig and poultry wastes applied to pasture. Environmental Pollution 56, 19-30. </t>
  </si>
  <si>
    <t>Miola, E. C. C., Rochette, P., Chantigny, M. H., Angers, D. A., Aita, C., Gasser, M. O., Pelster, D. E., Bertrand, N. 2014. Ammonia volatilization after surface application of laying-hen and broiler-chicken manures. Journal of Environmental Quality, 43(6):1864-1872. http://dx.doi.org/10.2134/jeq2014.05.0237</t>
  </si>
  <si>
    <t>Pote, D. H., Meisinger, J. J. 2014. Effect of poultry litter application method on ammonia volatilization from a conservation tillage system. Journal of Soil and Water Conservation, 69(1):17-25. http://dx.doi.org/10.2489/jswc.69.1.17</t>
  </si>
  <si>
    <r>
      <t xml:space="preserve">Sommer, S. G., &amp; Hansen, M. N. 2022. Incorporation of deep litter reduce ammonia volatilization: Effect of incorporation depth and timing (Short Communication). </t>
    </r>
    <r>
      <rPr>
        <i/>
        <sz val="11"/>
        <color theme="1"/>
        <rFont val="Calibri"/>
        <family val="2"/>
        <scheme val="minor"/>
      </rPr>
      <t>Atmospheric Environment: X</t>
    </r>
    <r>
      <rPr>
        <sz val="11"/>
        <color theme="1"/>
        <rFont val="Calibri"/>
        <family val="2"/>
        <scheme val="minor"/>
      </rPr>
      <t xml:space="preserve">, </t>
    </r>
    <r>
      <rPr>
        <i/>
        <sz val="11"/>
        <color theme="1"/>
        <rFont val="Calibri"/>
        <family val="2"/>
        <scheme val="minor"/>
      </rPr>
      <t>13</t>
    </r>
    <r>
      <rPr>
        <sz val="11"/>
        <color theme="1"/>
        <rFont val="Calibri"/>
        <family val="2"/>
        <scheme val="minor"/>
      </rPr>
      <t>(January), 100148. https://doi.org/10.1016/j.aeaoa.2022.100148</t>
    </r>
  </si>
  <si>
    <r>
      <t xml:space="preserve">Webb, J., Chadwick, D., &amp; Ellis, S. 2000. Ramiran. </t>
    </r>
    <r>
      <rPr>
        <i/>
        <sz val="11"/>
        <color theme="1"/>
        <rFont val="Calibri"/>
        <family val="2"/>
        <scheme val="minor"/>
      </rPr>
      <t>Will Storing Farmyard Manure in Compact Anaerobic Heps Be a Simple and Effective Means of Reducing Ammonia Emissions?</t>
    </r>
    <r>
      <rPr>
        <sz val="11"/>
        <color theme="1"/>
        <rFont val="Calibri"/>
        <family val="2"/>
        <scheme val="minor"/>
      </rPr>
      <t>, 65–70.</t>
    </r>
  </si>
  <si>
    <t>Webb, J., Thorman, R. E., Fernanda-Aller, M., Jackson, D. R. 2014. Emission factors for ammonia and nitrous oxide emissions following immediate manure incorporation on two contrasting soil types. Atmospheric Environment, 82():280-287. http://dx.doi.org/10.1016/j.atmosenv.2013.10.043</t>
  </si>
  <si>
    <t>Source key</t>
  </si>
  <si>
    <t>Full reference</t>
  </si>
  <si>
    <t xml:space="preserve">Same data as in Sommer and Hansen (2022). Hansen and Birkmose writes that the soil was without crops whereas Sommer and Hansen writes that there was wheat stubble. </t>
  </si>
  <si>
    <t>Hansen and Birkmose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</si>
</sst>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8"/>
      <name val="Calibri"/>
      <family val="2"/>
      <scheme val="minor"/>
    </font>
    <font>
      <i/>
      <sz val="11"/>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2F2F2"/>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2">
    <xf numFmtId="0" fontId="0" fillId="0" borderId="0"/>
    <xf numFmtId="0" fontId="8" fillId="6" borderId="2" applyNumberFormat="0" applyAlignment="0" applyProtection="0"/>
  </cellStyleXfs>
  <cellXfs count="34">
    <xf numFmtId="0" fontId="0" fillId="0" borderId="0" xfId="0"/>
    <xf numFmtId="0" fontId="0" fillId="0" borderId="0" xfId="0" applyAlignment="1">
      <alignment wrapText="1"/>
    </xf>
    <xf numFmtId="0" fontId="2" fillId="0" borderId="0" xfId="0" applyFont="1"/>
    <xf numFmtId="0" fontId="0" fillId="0" borderId="0" xfId="0" applyAlignment="1">
      <alignment horizontal="left" wrapText="1"/>
    </xf>
    <xf numFmtId="0" fontId="2" fillId="0" borderId="1" xfId="0" applyFont="1" applyBorder="1" applyAlignment="1">
      <alignment wrapText="1"/>
    </xf>
    <xf numFmtId="0" fontId="1" fillId="0" borderId="0" xfId="0" applyFont="1" applyAlignment="1">
      <alignment wrapText="1"/>
    </xf>
    <xf numFmtId="0" fontId="4"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1"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xf>
    <xf numFmtId="0" fontId="5" fillId="0" borderId="0" xfId="0" applyFont="1"/>
    <xf numFmtId="0" fontId="2" fillId="3" borderId="0" xfId="0" applyFont="1" applyFill="1"/>
    <xf numFmtId="0" fontId="2" fillId="2" borderId="0" xfId="0" applyFont="1" applyFill="1"/>
    <xf numFmtId="0" fontId="2" fillId="4" borderId="0" xfId="0" applyFont="1" applyFill="1"/>
    <xf numFmtId="0" fontId="5" fillId="5" borderId="0" xfId="0" applyFont="1" applyFill="1"/>
    <xf numFmtId="0" fontId="1" fillId="0" borderId="0" xfId="0" applyFont="1"/>
    <xf numFmtId="0" fontId="0" fillId="0" borderId="0" xfId="0" applyAlignment="1">
      <alignment vertical="center"/>
    </xf>
    <xf numFmtId="164" fontId="8" fillId="6" borderId="2" xfId="1" applyNumberFormat="1"/>
    <xf numFmtId="1" fontId="8" fillId="6" borderId="2" xfId="1" applyNumberFormat="1"/>
    <xf numFmtId="0" fontId="0" fillId="7" borderId="0" xfId="0" applyFill="1"/>
    <xf numFmtId="1" fontId="8" fillId="6" borderId="3" xfId="1" applyNumberFormat="1" applyBorder="1"/>
    <xf numFmtId="0" fontId="0" fillId="0" borderId="0" xfId="0" applyAlignment="1">
      <alignment horizontal="left"/>
    </xf>
    <xf numFmtId="2" fontId="4" fillId="0" borderId="0" xfId="0" applyNumberFormat="1" applyFont="1" applyAlignment="1">
      <alignment horizontal="right"/>
    </xf>
    <xf numFmtId="164" fontId="8" fillId="6" borderId="2" xfId="1" applyNumberFormat="1" applyAlignment="1">
      <alignment horizontal="center"/>
    </xf>
    <xf numFmtId="0" fontId="8" fillId="6" borderId="2" xfId="1" applyAlignment="1">
      <alignment horizontal="center"/>
    </xf>
    <xf numFmtId="165" fontId="8" fillId="6" borderId="2" xfId="1" applyNumberFormat="1"/>
    <xf numFmtId="0" fontId="0" fillId="8" borderId="0" xfId="0" applyFill="1"/>
    <xf numFmtId="1" fontId="8" fillId="6" borderId="2" xfId="1" applyNumberFormat="1" applyAlignment="1">
      <alignment horizontal="center"/>
    </xf>
    <xf numFmtId="164" fontId="8" fillId="6" borderId="3" xfId="1" applyNumberFormat="1" applyBorder="1"/>
    <xf numFmtId="2" fontId="8" fillId="6" borderId="2" xfId="1" applyNumberFormat="1"/>
    <xf numFmtId="2" fontId="8" fillId="6" borderId="2" xfId="1" applyNumberFormat="1" applyAlignment="1">
      <alignment horizontal="center"/>
    </xf>
    <xf numFmtId="1"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15F7-9CB7-4233-974A-8CA5DFCC5494}">
  <dimension ref="A1:DR36"/>
  <sheetViews>
    <sheetView zoomScaleNormal="100" workbookViewId="0">
      <pane xSplit="1" ySplit="1" topLeftCell="B2" activePane="bottomRight" state="frozen"/>
      <selection pane="topRight" activeCell="G1" sqref="G1"/>
      <selection pane="bottomLeft" activeCell="A4" sqref="A4"/>
      <selection pane="bottomRight" activeCell="D37" sqref="D37"/>
    </sheetView>
  </sheetViews>
  <sheetFormatPr defaultRowHeight="15" x14ac:dyDescent="0.25"/>
  <cols>
    <col min="1" max="1" width="67.140625" customWidth="1"/>
    <col min="3" max="3" width="27.7109375" customWidth="1"/>
  </cols>
  <sheetData>
    <row r="1" spans="1:3" x14ac:dyDescent="0.25">
      <c r="A1" s="5" t="s">
        <v>410</v>
      </c>
      <c r="B1" s="17" t="s">
        <v>411</v>
      </c>
      <c r="C1" s="17"/>
    </row>
    <row r="2" spans="1:3" x14ac:dyDescent="0.25">
      <c r="A2" t="s">
        <v>1</v>
      </c>
      <c r="B2" s="18" t="s">
        <v>393</v>
      </c>
    </row>
    <row r="3" spans="1:3" x14ac:dyDescent="0.25">
      <c r="A3" t="s">
        <v>2</v>
      </c>
      <c r="B3" s="18" t="s">
        <v>394</v>
      </c>
    </row>
    <row r="4" spans="1:3" x14ac:dyDescent="0.25">
      <c r="A4" t="s">
        <v>3</v>
      </c>
      <c r="B4" t="s">
        <v>4</v>
      </c>
    </row>
    <row r="5" spans="1:3" x14ac:dyDescent="0.25">
      <c r="A5" t="s">
        <v>5</v>
      </c>
      <c r="B5" t="s">
        <v>395</v>
      </c>
    </row>
    <row r="6" spans="1:3" ht="14.25" customHeight="1" x14ac:dyDescent="0.25">
      <c r="A6" t="s">
        <v>6</v>
      </c>
      <c r="B6" t="s">
        <v>396</v>
      </c>
    </row>
    <row r="7" spans="1:3" x14ac:dyDescent="0.25">
      <c r="A7" t="s">
        <v>7</v>
      </c>
      <c r="B7" t="s">
        <v>397</v>
      </c>
    </row>
    <row r="8" spans="1:3" x14ac:dyDescent="0.25">
      <c r="A8" t="s">
        <v>8</v>
      </c>
      <c r="B8" t="s">
        <v>9</v>
      </c>
    </row>
    <row r="9" spans="1:3" x14ac:dyDescent="0.25">
      <c r="A9" t="s">
        <v>10</v>
      </c>
      <c r="B9" t="s">
        <v>11</v>
      </c>
    </row>
    <row r="10" spans="1:3" x14ac:dyDescent="0.25">
      <c r="A10" t="s">
        <v>12</v>
      </c>
      <c r="B10" s="18" t="s">
        <v>398</v>
      </c>
    </row>
    <row r="11" spans="1:3" x14ac:dyDescent="0.25">
      <c r="A11" t="s">
        <v>13</v>
      </c>
      <c r="B11" s="18" t="s">
        <v>399</v>
      </c>
    </row>
    <row r="12" spans="1:3" x14ac:dyDescent="0.25">
      <c r="A12" t="s">
        <v>14</v>
      </c>
      <c r="B12" t="s">
        <v>400</v>
      </c>
    </row>
    <row r="13" spans="1:3" x14ac:dyDescent="0.25">
      <c r="A13" t="s">
        <v>15</v>
      </c>
      <c r="B13" s="18" t="s">
        <v>401</v>
      </c>
    </row>
    <row r="14" spans="1:3" x14ac:dyDescent="0.25">
      <c r="A14" t="s">
        <v>389</v>
      </c>
      <c r="B14" s="18" t="s">
        <v>402</v>
      </c>
    </row>
    <row r="15" spans="1:3" x14ac:dyDescent="0.25">
      <c r="A15" t="s">
        <v>16</v>
      </c>
      <c r="B15" t="s">
        <v>17</v>
      </c>
    </row>
    <row r="16" spans="1:3" x14ac:dyDescent="0.25">
      <c r="A16" t="s">
        <v>18</v>
      </c>
      <c r="B16" t="s">
        <v>392</v>
      </c>
    </row>
    <row r="17" spans="1:122" x14ac:dyDescent="0.25">
      <c r="A17" t="s">
        <v>19</v>
      </c>
      <c r="B17" t="s">
        <v>20</v>
      </c>
    </row>
    <row r="18" spans="1:122" x14ac:dyDescent="0.25">
      <c r="A18" t="s">
        <v>21</v>
      </c>
      <c r="B18" t="s">
        <v>391</v>
      </c>
    </row>
    <row r="19" spans="1:122" x14ac:dyDescent="0.25">
      <c r="A19" t="s">
        <v>22</v>
      </c>
      <c r="B19" t="s">
        <v>390</v>
      </c>
    </row>
    <row r="20" spans="1:122" x14ac:dyDescent="0.25">
      <c r="A20" t="s">
        <v>23</v>
      </c>
      <c r="B20" t="s">
        <v>403</v>
      </c>
    </row>
    <row r="21" spans="1:122" x14ac:dyDescent="0.25">
      <c r="A21" t="s">
        <v>24</v>
      </c>
      <c r="B21" t="s">
        <v>404</v>
      </c>
    </row>
    <row r="22" spans="1:122" x14ac:dyDescent="0.25">
      <c r="A22" t="s">
        <v>25</v>
      </c>
      <c r="B22" s="18" t="s">
        <v>26</v>
      </c>
    </row>
    <row r="23" spans="1:122" x14ac:dyDescent="0.25">
      <c r="A23" t="s">
        <v>27</v>
      </c>
      <c r="B23" t="s">
        <v>405</v>
      </c>
    </row>
    <row r="24" spans="1:122" x14ac:dyDescent="0.25">
      <c r="A24" t="s">
        <v>28</v>
      </c>
      <c r="B24" t="s">
        <v>29</v>
      </c>
    </row>
    <row r="25" spans="1:122" x14ac:dyDescent="0.25">
      <c r="A25" t="s">
        <v>30</v>
      </c>
      <c r="B25" t="s">
        <v>31</v>
      </c>
    </row>
    <row r="26" spans="1:122" x14ac:dyDescent="0.25">
      <c r="A26" t="s">
        <v>32</v>
      </c>
      <c r="B26" t="s">
        <v>33</v>
      </c>
    </row>
    <row r="27" spans="1:122" x14ac:dyDescent="0.25">
      <c r="A27" t="s">
        <v>34</v>
      </c>
      <c r="B27" t="s">
        <v>35</v>
      </c>
    </row>
    <row r="28" spans="1:122" x14ac:dyDescent="0.25">
      <c r="A28" t="s">
        <v>36</v>
      </c>
      <c r="B28" t="s">
        <v>37</v>
      </c>
    </row>
    <row r="29" spans="1:122" s="21" customFormat="1" x14ac:dyDescent="0.25">
      <c r="A29" t="s">
        <v>38</v>
      </c>
      <c r="B29" t="s">
        <v>406</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row>
    <row r="30" spans="1:122" x14ac:dyDescent="0.25">
      <c r="A30" t="s">
        <v>39</v>
      </c>
      <c r="B30" t="s">
        <v>40</v>
      </c>
    </row>
    <row r="31" spans="1:122" x14ac:dyDescent="0.25">
      <c r="A31" t="s">
        <v>41</v>
      </c>
      <c r="B31" t="s">
        <v>42</v>
      </c>
    </row>
    <row r="32" spans="1:122" x14ac:dyDescent="0.25">
      <c r="A32" t="s">
        <v>388</v>
      </c>
      <c r="B32" s="18" t="s">
        <v>407</v>
      </c>
    </row>
    <row r="33" spans="1:2" x14ac:dyDescent="0.25">
      <c r="A33" t="s">
        <v>43</v>
      </c>
      <c r="B33" s="18" t="s">
        <v>44</v>
      </c>
    </row>
    <row r="34" spans="1:2" x14ac:dyDescent="0.25">
      <c r="A34" t="s">
        <v>308</v>
      </c>
      <c r="B34" s="18" t="s">
        <v>408</v>
      </c>
    </row>
    <row r="35" spans="1:2" x14ac:dyDescent="0.25">
      <c r="A35" t="s">
        <v>45</v>
      </c>
      <c r="B35" t="s">
        <v>409</v>
      </c>
    </row>
    <row r="36" spans="1:2" x14ac:dyDescent="0.25">
      <c r="A36" t="s">
        <v>46</v>
      </c>
      <c r="B36" t="s">
        <v>47</v>
      </c>
    </row>
  </sheetData>
  <autoFilter ref="A1:B37" xr:uid="{37F015F7-9CB7-4233-974A-8CA5DFCC5494}">
    <sortState xmlns:xlrd2="http://schemas.microsoft.com/office/spreadsheetml/2017/richdata2" ref="A2:B37">
      <sortCondition ref="B1:B3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S198"/>
  <sheetViews>
    <sheetView tabSelected="1" zoomScaleNormal="100" workbookViewId="0">
      <pane xSplit="1" ySplit="3" topLeftCell="B166" activePane="bottomRight" state="frozen"/>
      <selection pane="topRight" activeCell="B1" sqref="B1"/>
      <selection pane="bottomLeft" activeCell="A4" sqref="A4"/>
      <selection pane="bottomRight" activeCell="E176" sqref="E176"/>
    </sheetView>
  </sheetViews>
  <sheetFormatPr defaultRowHeight="15" x14ac:dyDescent="0.25"/>
  <cols>
    <col min="1" max="1" width="26.140625" style="3" customWidth="1"/>
    <col min="2" max="2" width="12.5703125" style="3" customWidth="1"/>
    <col min="3" max="3" width="12.7109375" style="3" customWidth="1"/>
    <col min="4" max="4" width="11.140625" style="3" customWidth="1"/>
    <col min="5" max="5" width="14.85546875" style="3" customWidth="1"/>
    <col min="6" max="6" width="15.7109375" style="11" customWidth="1"/>
    <col min="7" max="7" width="19" style="11" bestFit="1" customWidth="1"/>
    <col min="8" max="8" width="17.140625" style="11" customWidth="1"/>
    <col min="9" max="11" width="24" customWidth="1"/>
    <col min="12" max="18" width="13" customWidth="1"/>
    <col min="19" max="19" width="10.7109375" style="6" customWidth="1"/>
    <col min="20" max="20" width="9.140625" style="6" customWidth="1"/>
    <col min="21" max="23" width="13.85546875" style="6" customWidth="1"/>
    <col min="24" max="24" width="19.85546875" customWidth="1"/>
    <col min="25" max="29" width="21.5703125" customWidth="1"/>
    <col min="30" max="30" width="8.5703125" customWidth="1"/>
    <col min="31" max="31" width="8.5703125" bestFit="1" customWidth="1"/>
    <col min="32" max="32" width="13.140625" bestFit="1" customWidth="1"/>
    <col min="33" max="33" width="16.140625" bestFit="1" customWidth="1"/>
    <col min="34" max="34" width="13.7109375" bestFit="1" customWidth="1"/>
    <col min="35" max="35" width="17.140625" bestFit="1" customWidth="1"/>
    <col min="36" max="36" width="15.5703125" bestFit="1" customWidth="1"/>
    <col min="37" max="37" width="8.140625" bestFit="1" customWidth="1"/>
    <col min="38" max="38" width="11.140625" customWidth="1"/>
    <col min="39" max="39" width="12.7109375" bestFit="1" customWidth="1"/>
    <col min="40" max="40" width="17.5703125" bestFit="1" customWidth="1"/>
    <col min="41" max="42" width="17.5703125" customWidth="1"/>
    <col min="43" max="43" width="67.42578125" bestFit="1" customWidth="1"/>
    <col min="44" max="44" width="31" customWidth="1"/>
    <col min="45" max="45" width="27.28515625" style="1" customWidth="1"/>
    <col min="46" max="46" width="9.5703125" bestFit="1" customWidth="1"/>
  </cols>
  <sheetData>
    <row r="1" spans="1:45" s="2" customFormat="1" ht="15.75" x14ac:dyDescent="0.25">
      <c r="A1" s="13" t="s">
        <v>48</v>
      </c>
      <c r="B1" s="13"/>
      <c r="C1" s="13"/>
      <c r="D1" s="13"/>
      <c r="E1" s="13"/>
      <c r="F1" s="13"/>
      <c r="G1" s="13"/>
      <c r="H1" s="13"/>
      <c r="I1" s="13"/>
      <c r="J1" s="13"/>
      <c r="K1" s="13"/>
      <c r="L1" s="13"/>
      <c r="M1" s="13" t="s">
        <v>49</v>
      </c>
      <c r="N1" s="13" t="s">
        <v>50</v>
      </c>
      <c r="O1" s="13"/>
      <c r="P1" s="13"/>
      <c r="Q1" s="13"/>
      <c r="R1" s="13"/>
      <c r="S1" s="13" t="s">
        <v>51</v>
      </c>
      <c r="T1" s="13"/>
      <c r="U1" s="13"/>
      <c r="V1" s="13"/>
      <c r="W1" s="13"/>
      <c r="X1" s="14" t="s">
        <v>52</v>
      </c>
      <c r="Y1" s="14"/>
      <c r="Z1" s="14"/>
      <c r="AA1" s="14"/>
      <c r="AB1" s="14"/>
      <c r="AC1" s="14"/>
      <c r="AD1" s="14"/>
      <c r="AE1" s="14"/>
      <c r="AF1" s="14"/>
      <c r="AG1" s="14"/>
      <c r="AH1" s="14"/>
      <c r="AI1" s="15" t="s">
        <v>53</v>
      </c>
      <c r="AJ1" s="15"/>
      <c r="AK1" s="15"/>
      <c r="AL1" s="15"/>
      <c r="AM1" s="15"/>
      <c r="AN1" s="16" t="s">
        <v>54</v>
      </c>
      <c r="AO1" s="16"/>
      <c r="AP1" s="16"/>
      <c r="AQ1" s="16"/>
      <c r="AR1" s="12" t="s">
        <v>55</v>
      </c>
      <c r="AS1" s="4"/>
    </row>
    <row r="2" spans="1:45" s="5" customFormat="1" ht="60" x14ac:dyDescent="0.25">
      <c r="A2" s="9" t="s">
        <v>56</v>
      </c>
      <c r="B2" s="9" t="s">
        <v>57</v>
      </c>
      <c r="C2" s="9" t="s">
        <v>58</v>
      </c>
      <c r="D2" s="9" t="s">
        <v>59</v>
      </c>
      <c r="E2" s="9" t="s">
        <v>60</v>
      </c>
      <c r="F2" s="10" t="s">
        <v>61</v>
      </c>
      <c r="G2" s="10" t="s">
        <v>62</v>
      </c>
      <c r="H2" s="10" t="s">
        <v>63</v>
      </c>
      <c r="I2" s="7" t="s">
        <v>64</v>
      </c>
      <c r="J2" s="7" t="s">
        <v>65</v>
      </c>
      <c r="K2" s="7" t="s">
        <v>66</v>
      </c>
      <c r="L2" s="5" t="s">
        <v>67</v>
      </c>
      <c r="M2" s="5" t="s">
        <v>68</v>
      </c>
      <c r="N2" s="5" t="s">
        <v>69</v>
      </c>
      <c r="O2" s="5" t="s">
        <v>70</v>
      </c>
      <c r="P2" s="5" t="s">
        <v>71</v>
      </c>
      <c r="Q2" s="5" t="s">
        <v>72</v>
      </c>
      <c r="R2" s="5" t="s">
        <v>73</v>
      </c>
      <c r="S2" s="8" t="s">
        <v>74</v>
      </c>
      <c r="T2" s="8" t="s">
        <v>75</v>
      </c>
      <c r="U2" s="8" t="s">
        <v>76</v>
      </c>
      <c r="V2" s="8" t="s">
        <v>77</v>
      </c>
      <c r="W2" s="8" t="s">
        <v>78</v>
      </c>
      <c r="X2" s="5" t="s">
        <v>79</v>
      </c>
      <c r="Y2" s="5" t="s">
        <v>80</v>
      </c>
      <c r="Z2" s="5" t="s">
        <v>81</v>
      </c>
      <c r="AA2" s="5" t="s">
        <v>82</v>
      </c>
      <c r="AB2" s="5" t="s">
        <v>83</v>
      </c>
      <c r="AC2" s="5" t="s">
        <v>84</v>
      </c>
      <c r="AD2" s="5" t="s">
        <v>85</v>
      </c>
      <c r="AE2" s="5" t="s">
        <v>86</v>
      </c>
      <c r="AF2" s="5" t="s">
        <v>87</v>
      </c>
      <c r="AG2" s="5" t="s">
        <v>88</v>
      </c>
      <c r="AH2" s="5" t="s">
        <v>89</v>
      </c>
      <c r="AI2" s="5" t="s">
        <v>90</v>
      </c>
      <c r="AJ2" s="5" t="s">
        <v>91</v>
      </c>
      <c r="AK2" s="5" t="s">
        <v>92</v>
      </c>
      <c r="AL2" s="5" t="s">
        <v>93</v>
      </c>
      <c r="AM2" s="5" t="s">
        <v>94</v>
      </c>
      <c r="AN2" s="8" t="s">
        <v>95</v>
      </c>
      <c r="AO2" s="8" t="s">
        <v>96</v>
      </c>
      <c r="AP2" s="7" t="s">
        <v>97</v>
      </c>
      <c r="AQ2" s="7" t="s">
        <v>98</v>
      </c>
      <c r="AR2" s="7" t="s">
        <v>55</v>
      </c>
    </row>
    <row r="3" spans="1:45" s="5" customFormat="1" ht="30" x14ac:dyDescent="0.25">
      <c r="A3" s="9" t="s">
        <v>99</v>
      </c>
      <c r="B3" s="9" t="s">
        <v>100</v>
      </c>
      <c r="C3" s="9" t="s">
        <v>101</v>
      </c>
      <c r="D3" s="9" t="s">
        <v>102</v>
      </c>
      <c r="E3" s="9" t="s">
        <v>103</v>
      </c>
      <c r="F3" s="10" t="s">
        <v>104</v>
      </c>
      <c r="G3" s="10" t="s">
        <v>105</v>
      </c>
      <c r="H3" s="10" t="s">
        <v>106</v>
      </c>
      <c r="I3" s="7" t="s">
        <v>107</v>
      </c>
      <c r="J3" s="7" t="s">
        <v>108</v>
      </c>
      <c r="K3" s="7" t="s">
        <v>109</v>
      </c>
      <c r="L3" s="5" t="s">
        <v>110</v>
      </c>
      <c r="M3" s="5" t="s">
        <v>111</v>
      </c>
      <c r="N3" s="5" t="s">
        <v>112</v>
      </c>
      <c r="O3" s="5" t="s">
        <v>113</v>
      </c>
      <c r="P3" s="5" t="s">
        <v>114</v>
      </c>
      <c r="Q3" s="5" t="s">
        <v>115</v>
      </c>
      <c r="R3" s="5" t="s">
        <v>116</v>
      </c>
      <c r="S3" s="8" t="s">
        <v>117</v>
      </c>
      <c r="T3" s="8" t="s">
        <v>75</v>
      </c>
      <c r="U3" s="8" t="s">
        <v>118</v>
      </c>
      <c r="V3" s="8" t="s">
        <v>119</v>
      </c>
      <c r="W3" s="8"/>
      <c r="X3" s="5" t="s">
        <v>120</v>
      </c>
      <c r="Y3" s="5" t="s">
        <v>121</v>
      </c>
      <c r="Z3" s="5" t="s">
        <v>122</v>
      </c>
      <c r="AA3" s="5" t="s">
        <v>123</v>
      </c>
      <c r="AB3" s="5" t="s">
        <v>124</v>
      </c>
      <c r="AC3" s="5" t="s">
        <v>125</v>
      </c>
      <c r="AD3" s="5" t="s">
        <v>126</v>
      </c>
      <c r="AE3" s="5" t="s">
        <v>127</v>
      </c>
      <c r="AF3" s="5" t="s">
        <v>128</v>
      </c>
      <c r="AG3" s="5" t="s">
        <v>129</v>
      </c>
      <c r="AH3" s="5" t="s">
        <v>130</v>
      </c>
      <c r="AI3" s="5" t="s">
        <v>131</v>
      </c>
      <c r="AJ3" s="5" t="s">
        <v>132</v>
      </c>
      <c r="AK3" s="5" t="s">
        <v>133</v>
      </c>
      <c r="AL3" s="5" t="s">
        <v>134</v>
      </c>
      <c r="AM3" s="5" t="s">
        <v>135</v>
      </c>
      <c r="AN3" s="8" t="s">
        <v>136</v>
      </c>
      <c r="AO3" s="8" t="s">
        <v>137</v>
      </c>
      <c r="AP3" s="7" t="s">
        <v>138</v>
      </c>
      <c r="AQ3" s="7" t="s">
        <v>139</v>
      </c>
      <c r="AR3" s="7" t="s">
        <v>0</v>
      </c>
    </row>
    <row r="4" spans="1:45" x14ac:dyDescent="0.25">
      <c r="A4" s="3" t="s">
        <v>2</v>
      </c>
      <c r="B4" s="3">
        <v>0</v>
      </c>
      <c r="C4" s="3">
        <v>0</v>
      </c>
      <c r="D4" s="3">
        <v>1</v>
      </c>
      <c r="E4" s="3" t="s">
        <v>140</v>
      </c>
      <c r="F4" s="11" t="s">
        <v>141</v>
      </c>
      <c r="G4" s="11" t="s">
        <v>142</v>
      </c>
      <c r="I4" t="s">
        <v>143</v>
      </c>
      <c r="J4" s="11" t="s">
        <v>144</v>
      </c>
      <c r="K4" t="s">
        <v>145</v>
      </c>
      <c r="L4">
        <v>120</v>
      </c>
      <c r="S4" s="6">
        <v>22.8</v>
      </c>
      <c r="T4" s="6">
        <v>8.6999999999999993</v>
      </c>
      <c r="U4" s="6">
        <v>1.8</v>
      </c>
      <c r="V4" s="6">
        <v>5.0999999999999996</v>
      </c>
      <c r="Y4" t="s">
        <v>146</v>
      </c>
      <c r="AD4" s="20">
        <f>70/V4</f>
        <v>13.725490196078432</v>
      </c>
      <c r="AE4" t="s">
        <v>147</v>
      </c>
      <c r="AG4">
        <v>27.8</v>
      </c>
      <c r="AI4" t="s">
        <v>148</v>
      </c>
      <c r="AK4" t="s">
        <v>149</v>
      </c>
      <c r="AN4" s="20">
        <f>AO4*V4/U4</f>
        <v>47.883333333333326</v>
      </c>
      <c r="AO4">
        <v>16.899999999999999</v>
      </c>
      <c r="AP4" t="s">
        <v>150</v>
      </c>
      <c r="AQ4" t="s">
        <v>151</v>
      </c>
      <c r="AR4" t="s">
        <v>152</v>
      </c>
    </row>
    <row r="5" spans="1:45" x14ac:dyDescent="0.25">
      <c r="A5" s="3" t="s">
        <v>2</v>
      </c>
      <c r="B5" s="3">
        <v>0</v>
      </c>
      <c r="C5" s="3">
        <v>0</v>
      </c>
      <c r="D5" s="3">
        <v>1</v>
      </c>
      <c r="E5" s="3" t="s">
        <v>140</v>
      </c>
      <c r="F5" s="11" t="s">
        <v>141</v>
      </c>
      <c r="G5" s="11" t="s">
        <v>142</v>
      </c>
      <c r="I5" t="s">
        <v>143</v>
      </c>
      <c r="J5" s="11" t="s">
        <v>144</v>
      </c>
      <c r="K5" t="s">
        <v>145</v>
      </c>
      <c r="L5">
        <v>120</v>
      </c>
      <c r="S5" s="6">
        <v>20.9</v>
      </c>
      <c r="T5" s="6">
        <v>8.1999999999999993</v>
      </c>
      <c r="U5" s="6">
        <v>1.4</v>
      </c>
      <c r="V5" s="6">
        <v>4.7</v>
      </c>
      <c r="W5"/>
      <c r="Y5" t="s">
        <v>146</v>
      </c>
      <c r="AD5" s="20">
        <f>70/V4</f>
        <v>13.725490196078432</v>
      </c>
      <c r="AE5" t="s">
        <v>153</v>
      </c>
      <c r="AG5">
        <v>12.5</v>
      </c>
      <c r="AI5" t="s">
        <v>148</v>
      </c>
      <c r="AK5" t="s">
        <v>149</v>
      </c>
      <c r="AN5" s="20">
        <f>AO5*V5/U5</f>
        <v>45.992857142857147</v>
      </c>
      <c r="AO5">
        <v>13.7</v>
      </c>
      <c r="AP5" t="s">
        <v>150</v>
      </c>
      <c r="AQ5" t="s">
        <v>154</v>
      </c>
      <c r="AR5" t="s">
        <v>152</v>
      </c>
    </row>
    <row r="6" spans="1:45" x14ac:dyDescent="0.25">
      <c r="A6" s="3" t="s">
        <v>1</v>
      </c>
      <c r="B6" s="3">
        <v>0</v>
      </c>
      <c r="C6" s="3">
        <v>0</v>
      </c>
      <c r="D6" s="3">
        <v>1</v>
      </c>
      <c r="E6" s="3" t="s">
        <v>140</v>
      </c>
      <c r="F6" s="11" t="s">
        <v>155</v>
      </c>
      <c r="G6" s="11" t="s">
        <v>142</v>
      </c>
      <c r="I6" t="s">
        <v>143</v>
      </c>
      <c r="J6" s="11" t="s">
        <v>144</v>
      </c>
      <c r="K6" t="s">
        <v>145</v>
      </c>
      <c r="L6">
        <v>120</v>
      </c>
      <c r="N6" t="s">
        <v>156</v>
      </c>
      <c r="Q6">
        <v>0</v>
      </c>
      <c r="S6" s="6">
        <v>23.2</v>
      </c>
      <c r="T6" s="6">
        <v>8.4</v>
      </c>
      <c r="U6" s="6">
        <v>3.3</v>
      </c>
      <c r="V6" s="6">
        <v>7.2</v>
      </c>
      <c r="W6"/>
      <c r="Y6" t="s">
        <v>146</v>
      </c>
      <c r="AD6" s="20">
        <f>70/V6</f>
        <v>9.7222222222222214</v>
      </c>
      <c r="AE6" t="s">
        <v>147</v>
      </c>
      <c r="AG6">
        <v>18.399999999999999</v>
      </c>
      <c r="AI6" t="s">
        <v>148</v>
      </c>
      <c r="AK6" t="s">
        <v>149</v>
      </c>
      <c r="AN6" s="20">
        <f>AO6*V6/U6</f>
        <v>41.45454545454546</v>
      </c>
      <c r="AO6">
        <v>19</v>
      </c>
      <c r="AP6" t="s">
        <v>157</v>
      </c>
      <c r="AQ6" t="s">
        <v>151</v>
      </c>
      <c r="AR6" t="s">
        <v>152</v>
      </c>
    </row>
    <row r="7" spans="1:45" x14ac:dyDescent="0.25">
      <c r="A7" s="3" t="s">
        <v>1</v>
      </c>
      <c r="B7" s="3">
        <v>0</v>
      </c>
      <c r="C7" s="3">
        <v>0</v>
      </c>
      <c r="D7" s="3">
        <v>1</v>
      </c>
      <c r="E7" s="3" t="s">
        <v>140</v>
      </c>
      <c r="F7" s="11" t="s">
        <v>155</v>
      </c>
      <c r="G7" s="11" t="s">
        <v>142</v>
      </c>
      <c r="I7" t="s">
        <v>143</v>
      </c>
      <c r="J7" s="11" t="s">
        <v>144</v>
      </c>
      <c r="K7" t="s">
        <v>145</v>
      </c>
      <c r="L7">
        <v>120</v>
      </c>
      <c r="N7" t="s">
        <v>156</v>
      </c>
      <c r="Q7">
        <v>0</v>
      </c>
      <c r="S7" s="6">
        <v>28.9</v>
      </c>
      <c r="T7" s="6">
        <v>8.1999999999999993</v>
      </c>
      <c r="U7" s="6">
        <v>2.5</v>
      </c>
      <c r="V7" s="6">
        <v>6.8</v>
      </c>
      <c r="W7"/>
      <c r="Y7" t="s">
        <v>146</v>
      </c>
      <c r="AD7" s="20">
        <f>70/V7</f>
        <v>10.294117647058824</v>
      </c>
      <c r="AE7" t="s">
        <v>153</v>
      </c>
      <c r="AG7">
        <v>11.4</v>
      </c>
      <c r="AI7" t="s">
        <v>148</v>
      </c>
      <c r="AK7" t="s">
        <v>149</v>
      </c>
      <c r="AN7" s="20">
        <f>AO7*V7/U7</f>
        <v>48.959999999999994</v>
      </c>
      <c r="AO7">
        <v>18</v>
      </c>
      <c r="AP7" t="s">
        <v>157</v>
      </c>
      <c r="AQ7" t="s">
        <v>154</v>
      </c>
      <c r="AR7" t="s">
        <v>152</v>
      </c>
    </row>
    <row r="8" spans="1:45" x14ac:dyDescent="0.25">
      <c r="A8" t="s">
        <v>3</v>
      </c>
      <c r="B8" s="3">
        <v>0</v>
      </c>
      <c r="C8" s="3">
        <v>1</v>
      </c>
      <c r="D8" s="3">
        <v>0</v>
      </c>
      <c r="E8" s="3" t="s">
        <v>158</v>
      </c>
      <c r="F8" s="11" t="s">
        <v>155</v>
      </c>
      <c r="G8" s="11" t="s">
        <v>159</v>
      </c>
      <c r="I8" t="s">
        <v>143</v>
      </c>
      <c r="J8" t="s">
        <v>144</v>
      </c>
      <c r="K8" t="s">
        <v>145</v>
      </c>
      <c r="L8">
        <v>168</v>
      </c>
      <c r="N8" t="s">
        <v>161</v>
      </c>
      <c r="U8" s="6">
        <v>0.2</v>
      </c>
      <c r="V8" s="29">
        <f>0.2/0.05</f>
        <v>4</v>
      </c>
      <c r="W8"/>
      <c r="Y8" t="s">
        <v>146</v>
      </c>
      <c r="Z8">
        <v>1</v>
      </c>
      <c r="AB8" t="s">
        <v>156</v>
      </c>
      <c r="AD8">
        <v>23</v>
      </c>
      <c r="AE8" t="s">
        <v>147</v>
      </c>
      <c r="AN8">
        <v>72</v>
      </c>
      <c r="AO8" s="19">
        <f>AN8*U8/V8</f>
        <v>3.6</v>
      </c>
      <c r="AP8" t="s">
        <v>162</v>
      </c>
      <c r="AQ8" t="s">
        <v>163</v>
      </c>
    </row>
    <row r="9" spans="1:45" x14ac:dyDescent="0.25">
      <c r="A9" t="s">
        <v>3</v>
      </c>
      <c r="B9" s="3">
        <v>0</v>
      </c>
      <c r="C9" s="3">
        <v>1</v>
      </c>
      <c r="D9" s="3">
        <v>0</v>
      </c>
      <c r="E9" s="3" t="s">
        <v>158</v>
      </c>
      <c r="F9" s="11" t="s">
        <v>155</v>
      </c>
      <c r="G9" s="11" t="s">
        <v>159</v>
      </c>
      <c r="I9" t="s">
        <v>143</v>
      </c>
      <c r="J9" t="s">
        <v>144</v>
      </c>
      <c r="K9" t="s">
        <v>145</v>
      </c>
      <c r="L9">
        <v>168</v>
      </c>
      <c r="N9" t="s">
        <v>161</v>
      </c>
      <c r="U9" s="6">
        <v>0.2</v>
      </c>
      <c r="V9" s="29">
        <f>0.2/0.05</f>
        <v>4</v>
      </c>
      <c r="W9"/>
      <c r="Y9" t="s">
        <v>164</v>
      </c>
      <c r="Z9">
        <v>1</v>
      </c>
      <c r="AA9" t="s">
        <v>165</v>
      </c>
      <c r="AB9" s="28" t="s">
        <v>166</v>
      </c>
      <c r="AC9">
        <v>1</v>
      </c>
      <c r="AD9">
        <v>23</v>
      </c>
      <c r="AE9" t="s">
        <v>147</v>
      </c>
      <c r="AN9">
        <v>63</v>
      </c>
      <c r="AO9" s="30">
        <f>AN9*U9/V9</f>
        <v>3.1500000000000004</v>
      </c>
      <c r="AP9" t="s">
        <v>162</v>
      </c>
      <c r="AQ9" t="s">
        <v>167</v>
      </c>
      <c r="AR9" t="s">
        <v>168</v>
      </c>
    </row>
    <row r="10" spans="1:45" x14ac:dyDescent="0.25">
      <c r="A10" s="3" t="s">
        <v>10</v>
      </c>
      <c r="B10" s="3">
        <v>1</v>
      </c>
      <c r="C10" s="3">
        <v>1</v>
      </c>
      <c r="D10" s="3">
        <v>0</v>
      </c>
      <c r="E10" s="3" t="s">
        <v>180</v>
      </c>
      <c r="F10" s="11" t="s">
        <v>169</v>
      </c>
      <c r="G10" s="11" t="s">
        <v>159</v>
      </c>
      <c r="I10" t="s">
        <v>181</v>
      </c>
      <c r="J10" t="s">
        <v>182</v>
      </c>
      <c r="K10" t="s">
        <v>145</v>
      </c>
      <c r="L10">
        <v>72</v>
      </c>
      <c r="S10" s="6">
        <v>59</v>
      </c>
      <c r="U10" s="6">
        <v>6.88</v>
      </c>
      <c r="V10" s="6">
        <v>28.8</v>
      </c>
      <c r="W10"/>
      <c r="Y10" t="s">
        <v>146</v>
      </c>
      <c r="Z10">
        <v>1</v>
      </c>
      <c r="AB10" t="s">
        <v>156</v>
      </c>
      <c r="AD10">
        <v>8.86</v>
      </c>
      <c r="AE10" t="s">
        <v>153</v>
      </c>
      <c r="AF10">
        <v>17</v>
      </c>
      <c r="AG10" s="20">
        <f>AVERAGE(17,21,16)</f>
        <v>18</v>
      </c>
      <c r="AI10" t="s">
        <v>183</v>
      </c>
      <c r="AN10">
        <v>22</v>
      </c>
      <c r="AO10" s="19">
        <f t="shared" ref="AO10:AO13" si="0">AN10*U10/V10</f>
        <v>5.2555555555555546</v>
      </c>
      <c r="AP10" t="s">
        <v>184</v>
      </c>
      <c r="AQ10" t="s">
        <v>185</v>
      </c>
    </row>
    <row r="11" spans="1:45" x14ac:dyDescent="0.25">
      <c r="A11" s="3" t="s">
        <v>10</v>
      </c>
      <c r="B11" s="3">
        <v>1</v>
      </c>
      <c r="C11" s="3">
        <v>1</v>
      </c>
      <c r="D11" s="3">
        <v>0</v>
      </c>
      <c r="E11" s="3" t="s">
        <v>180</v>
      </c>
      <c r="F11" s="11" t="s">
        <v>169</v>
      </c>
      <c r="G11" s="11" t="s">
        <v>159</v>
      </c>
      <c r="I11" t="s">
        <v>181</v>
      </c>
      <c r="J11" t="s">
        <v>182</v>
      </c>
      <c r="K11" t="s">
        <v>145</v>
      </c>
      <c r="L11">
        <v>72</v>
      </c>
      <c r="S11" s="6">
        <v>59</v>
      </c>
      <c r="U11" s="6">
        <v>6.88</v>
      </c>
      <c r="V11" s="6">
        <v>28.8</v>
      </c>
      <c r="W11"/>
      <c r="Y11" t="s">
        <v>164</v>
      </c>
      <c r="Z11">
        <v>1</v>
      </c>
      <c r="AA11" t="s">
        <v>186</v>
      </c>
      <c r="AB11" t="s">
        <v>187</v>
      </c>
      <c r="AC11">
        <v>0</v>
      </c>
      <c r="AD11">
        <v>8.67</v>
      </c>
      <c r="AE11" t="s">
        <v>153</v>
      </c>
      <c r="AF11">
        <v>17</v>
      </c>
      <c r="AG11" s="20">
        <f>AVERAGE(17,21,16)</f>
        <v>18</v>
      </c>
      <c r="AI11" t="s">
        <v>183</v>
      </c>
      <c r="AN11">
        <v>0.57999999999999996</v>
      </c>
      <c r="AO11" s="19">
        <f t="shared" si="0"/>
        <v>0.13855555555555554</v>
      </c>
      <c r="AP11" t="s">
        <v>184</v>
      </c>
      <c r="AQ11" t="s">
        <v>188</v>
      </c>
      <c r="AR11" t="s">
        <v>189</v>
      </c>
    </row>
    <row r="12" spans="1:45" x14ac:dyDescent="0.25">
      <c r="A12" s="3" t="s">
        <v>10</v>
      </c>
      <c r="B12" s="3">
        <v>1</v>
      </c>
      <c r="C12" s="3">
        <v>1</v>
      </c>
      <c r="D12" s="3">
        <v>0</v>
      </c>
      <c r="E12" s="3" t="s">
        <v>180</v>
      </c>
      <c r="F12" s="11" t="s">
        <v>169</v>
      </c>
      <c r="G12" s="11" t="s">
        <v>159</v>
      </c>
      <c r="I12" t="s">
        <v>181</v>
      </c>
      <c r="J12" t="s">
        <v>182</v>
      </c>
      <c r="K12" t="s">
        <v>145</v>
      </c>
      <c r="L12">
        <v>72</v>
      </c>
      <c r="S12" s="6">
        <v>59</v>
      </c>
      <c r="U12" s="6">
        <v>6.88</v>
      </c>
      <c r="V12" s="6">
        <v>28.8</v>
      </c>
      <c r="W12"/>
      <c r="Y12" t="s">
        <v>164</v>
      </c>
      <c r="Z12">
        <v>1</v>
      </c>
      <c r="AA12" t="s">
        <v>190</v>
      </c>
      <c r="AB12" t="s">
        <v>166</v>
      </c>
      <c r="AC12">
        <v>0</v>
      </c>
      <c r="AD12">
        <v>10.4</v>
      </c>
      <c r="AE12" t="s">
        <v>153</v>
      </c>
      <c r="AF12">
        <v>17</v>
      </c>
      <c r="AG12" s="20">
        <f>AVERAGE(17,21,16)</f>
        <v>18</v>
      </c>
      <c r="AI12" t="s">
        <v>183</v>
      </c>
      <c r="AN12">
        <v>3.71</v>
      </c>
      <c r="AO12" s="19">
        <f t="shared" si="0"/>
        <v>0.88627777777777772</v>
      </c>
      <c r="AP12" t="s">
        <v>184</v>
      </c>
      <c r="AQ12" t="s">
        <v>191</v>
      </c>
      <c r="AR12" t="s">
        <v>189</v>
      </c>
    </row>
    <row r="13" spans="1:45" x14ac:dyDescent="0.25">
      <c r="A13" s="3" t="s">
        <v>10</v>
      </c>
      <c r="B13" s="3">
        <v>1</v>
      </c>
      <c r="C13" s="3">
        <v>1</v>
      </c>
      <c r="D13" s="3">
        <v>0</v>
      </c>
      <c r="E13" s="3" t="s">
        <v>180</v>
      </c>
      <c r="F13" s="11" t="s">
        <v>169</v>
      </c>
      <c r="G13" s="11" t="s">
        <v>159</v>
      </c>
      <c r="I13" t="s">
        <v>181</v>
      </c>
      <c r="J13" t="s">
        <v>182</v>
      </c>
      <c r="K13" t="s">
        <v>145</v>
      </c>
      <c r="L13">
        <v>72</v>
      </c>
      <c r="S13" s="6">
        <v>59</v>
      </c>
      <c r="U13" s="6">
        <v>6.88</v>
      </c>
      <c r="V13" s="6">
        <v>28.8</v>
      </c>
      <c r="W13"/>
      <c r="Y13" t="s">
        <v>164</v>
      </c>
      <c r="Z13">
        <v>1</v>
      </c>
      <c r="AA13" t="s">
        <v>192</v>
      </c>
      <c r="AB13" t="s">
        <v>166</v>
      </c>
      <c r="AC13">
        <v>0</v>
      </c>
      <c r="AD13">
        <v>6.77</v>
      </c>
      <c r="AE13" t="s">
        <v>153</v>
      </c>
      <c r="AF13">
        <v>17</v>
      </c>
      <c r="AG13" s="20">
        <f>AVERAGE(17,21,16)</f>
        <v>18</v>
      </c>
      <c r="AI13" t="s">
        <v>183</v>
      </c>
      <c r="AN13">
        <v>4.0599999999999996</v>
      </c>
      <c r="AO13" s="19">
        <f t="shared" si="0"/>
        <v>0.9698888888888888</v>
      </c>
      <c r="AP13" t="s">
        <v>184</v>
      </c>
      <c r="AQ13" t="s">
        <v>193</v>
      </c>
      <c r="AR13" t="s">
        <v>189</v>
      </c>
    </row>
    <row r="14" spans="1:45" x14ac:dyDescent="0.25">
      <c r="A14" s="3" t="s">
        <v>7</v>
      </c>
      <c r="B14" s="3">
        <v>1</v>
      </c>
      <c r="C14" s="3">
        <v>0</v>
      </c>
      <c r="D14" s="3">
        <v>1</v>
      </c>
      <c r="E14" s="3" t="s">
        <v>177</v>
      </c>
      <c r="F14" s="11" t="s">
        <v>169</v>
      </c>
      <c r="G14" s="11" t="s">
        <v>170</v>
      </c>
      <c r="H14" s="11" t="s">
        <v>171</v>
      </c>
      <c r="I14" s="3" t="s">
        <v>194</v>
      </c>
      <c r="J14" s="11" t="s">
        <v>182</v>
      </c>
      <c r="K14" t="s">
        <v>145</v>
      </c>
      <c r="L14">
        <v>672</v>
      </c>
      <c r="S14" s="25">
        <f>1/1.28*100</f>
        <v>78.125</v>
      </c>
      <c r="T14" s="6">
        <v>7.9</v>
      </c>
      <c r="U14" s="25">
        <f>4.127*S14/100</f>
        <v>3.2242187499999999</v>
      </c>
      <c r="V14" s="25">
        <f>40*S14/100</f>
        <v>31.25</v>
      </c>
      <c r="W14" s="19">
        <f>7.053*S14/100</f>
        <v>5.5101562499999996</v>
      </c>
      <c r="X14" t="s">
        <v>172</v>
      </c>
      <c r="Y14" t="s">
        <v>146</v>
      </c>
      <c r="AD14">
        <v>3.23</v>
      </c>
      <c r="AE14" t="s">
        <v>174</v>
      </c>
      <c r="AG14">
        <v>20.100000000000001</v>
      </c>
      <c r="AH14">
        <v>19.899999999999999</v>
      </c>
      <c r="AI14" t="s">
        <v>173</v>
      </c>
      <c r="AJ14">
        <v>14.3</v>
      </c>
      <c r="AK14" t="s">
        <v>149</v>
      </c>
      <c r="AM14">
        <v>0.17</v>
      </c>
      <c r="AN14" s="19">
        <f t="shared" ref="AN14:AN24" si="1">AO14*V14/U14</f>
        <v>24.2306760358614</v>
      </c>
      <c r="AO14">
        <v>2.5</v>
      </c>
      <c r="AP14" t="s">
        <v>162</v>
      </c>
      <c r="AQ14" t="s">
        <v>195</v>
      </c>
    </row>
    <row r="15" spans="1:45" x14ac:dyDescent="0.25">
      <c r="A15" s="3" t="s">
        <v>7</v>
      </c>
      <c r="B15" s="3">
        <v>1</v>
      </c>
      <c r="C15" s="3">
        <v>0</v>
      </c>
      <c r="D15" s="3">
        <v>1</v>
      </c>
      <c r="E15" s="3" t="s">
        <v>177</v>
      </c>
      <c r="F15" s="11" t="s">
        <v>169</v>
      </c>
      <c r="G15" s="11" t="s">
        <v>170</v>
      </c>
      <c r="H15" s="11" t="s">
        <v>171</v>
      </c>
      <c r="I15" s="3" t="s">
        <v>194</v>
      </c>
      <c r="J15" s="11" t="s">
        <v>182</v>
      </c>
      <c r="K15" t="s">
        <v>145</v>
      </c>
      <c r="L15">
        <v>672</v>
      </c>
      <c r="S15" s="25">
        <f>1/1.26*100</f>
        <v>79.365079365079367</v>
      </c>
      <c r="T15" s="6">
        <v>7.9</v>
      </c>
      <c r="U15" s="25">
        <f>4.333*S15/100</f>
        <v>3.4388888888888891</v>
      </c>
      <c r="V15" s="25">
        <f>39.5*S15/100</f>
        <v>31.349206349206352</v>
      </c>
      <c r="W15" s="19">
        <f>8.081*S15/100</f>
        <v>6.4134920634920638</v>
      </c>
      <c r="X15" t="s">
        <v>172</v>
      </c>
      <c r="Y15" t="s">
        <v>146</v>
      </c>
      <c r="AD15">
        <v>3.23</v>
      </c>
      <c r="AE15" t="s">
        <v>147</v>
      </c>
      <c r="AG15">
        <v>26.2</v>
      </c>
      <c r="AH15">
        <v>33.5</v>
      </c>
      <c r="AI15" t="s">
        <v>173</v>
      </c>
      <c r="AJ15">
        <v>14.3</v>
      </c>
      <c r="AK15" t="s">
        <v>149</v>
      </c>
      <c r="AM15">
        <v>0.09</v>
      </c>
      <c r="AN15" s="19">
        <f t="shared" si="1"/>
        <v>37.375951996307407</v>
      </c>
      <c r="AO15">
        <v>4.0999999999999996</v>
      </c>
      <c r="AP15" t="s">
        <v>162</v>
      </c>
      <c r="AQ15" t="s">
        <v>196</v>
      </c>
    </row>
    <row r="16" spans="1:45" x14ac:dyDescent="0.25">
      <c r="A16" s="3" t="s">
        <v>7</v>
      </c>
      <c r="B16" s="3">
        <v>1</v>
      </c>
      <c r="C16" s="3">
        <v>0</v>
      </c>
      <c r="D16" s="3">
        <v>1</v>
      </c>
      <c r="E16" s="3" t="s">
        <v>177</v>
      </c>
      <c r="F16" s="11" t="s">
        <v>169</v>
      </c>
      <c r="G16" s="11" t="s">
        <v>170</v>
      </c>
      <c r="H16" s="11" t="s">
        <v>171</v>
      </c>
      <c r="I16" s="3" t="s">
        <v>194</v>
      </c>
      <c r="J16" s="11" t="s">
        <v>182</v>
      </c>
      <c r="K16" t="s">
        <v>145</v>
      </c>
      <c r="L16">
        <v>672</v>
      </c>
      <c r="S16" s="25">
        <f>1/1.2*100</f>
        <v>83.333333333333343</v>
      </c>
      <c r="T16" s="6">
        <v>7.5</v>
      </c>
      <c r="U16" s="25">
        <f>4.228*S16/100</f>
        <v>3.5233333333333339</v>
      </c>
      <c r="V16" s="25">
        <f>41.6*S16/100</f>
        <v>34.666666666666671</v>
      </c>
      <c r="W16" s="19">
        <f>11.274*S16/100</f>
        <v>9.3949999999999996</v>
      </c>
      <c r="X16" t="s">
        <v>172</v>
      </c>
      <c r="Y16" t="s">
        <v>146</v>
      </c>
      <c r="AD16">
        <v>3.23</v>
      </c>
      <c r="AE16" t="s">
        <v>147</v>
      </c>
      <c r="AG16">
        <v>26.7</v>
      </c>
      <c r="AH16">
        <v>119.2</v>
      </c>
      <c r="AI16" t="s">
        <v>173</v>
      </c>
      <c r="AJ16">
        <v>14.3</v>
      </c>
      <c r="AK16" t="s">
        <v>149</v>
      </c>
      <c r="AM16">
        <v>0.19</v>
      </c>
      <c r="AN16" s="19">
        <f t="shared" si="1"/>
        <v>70.842005676442767</v>
      </c>
      <c r="AO16">
        <v>7.2</v>
      </c>
      <c r="AP16" t="s">
        <v>162</v>
      </c>
      <c r="AQ16" t="s">
        <v>197</v>
      </c>
    </row>
    <row r="17" spans="1:43" x14ac:dyDescent="0.25">
      <c r="A17" s="3" t="s">
        <v>7</v>
      </c>
      <c r="B17" s="3">
        <v>1</v>
      </c>
      <c r="C17" s="3">
        <v>0</v>
      </c>
      <c r="D17" s="3">
        <v>1</v>
      </c>
      <c r="E17" s="3" t="s">
        <v>177</v>
      </c>
      <c r="F17" s="11" t="s">
        <v>169</v>
      </c>
      <c r="G17" s="11" t="s">
        <v>170</v>
      </c>
      <c r="H17" s="11" t="s">
        <v>171</v>
      </c>
      <c r="I17" s="3" t="s">
        <v>194</v>
      </c>
      <c r="J17" s="11" t="s">
        <v>182</v>
      </c>
      <c r="K17" t="s">
        <v>145</v>
      </c>
      <c r="L17">
        <v>672</v>
      </c>
      <c r="S17" s="25">
        <f>1/1.23*100</f>
        <v>81.300813008130078</v>
      </c>
      <c r="T17" s="6">
        <v>7.4</v>
      </c>
      <c r="U17" s="25">
        <f>5.223*S17/100</f>
        <v>4.2463414634146339</v>
      </c>
      <c r="V17" s="25">
        <f>41.8*S17/100</f>
        <v>33.983739837398367</v>
      </c>
      <c r="W17" s="19">
        <f>10.96*S17/100</f>
        <v>8.9105691056910583</v>
      </c>
      <c r="X17" t="s">
        <v>172</v>
      </c>
      <c r="Y17" t="s">
        <v>146</v>
      </c>
      <c r="AD17">
        <v>3.23</v>
      </c>
      <c r="AE17" t="s">
        <v>147</v>
      </c>
      <c r="AG17">
        <v>25.2</v>
      </c>
      <c r="AH17">
        <v>27.3</v>
      </c>
      <c r="AI17" t="s">
        <v>173</v>
      </c>
      <c r="AJ17">
        <v>14.3</v>
      </c>
      <c r="AK17" t="s">
        <v>149</v>
      </c>
      <c r="AM17">
        <v>0.11</v>
      </c>
      <c r="AN17" s="19">
        <f t="shared" si="1"/>
        <v>78.430021060693079</v>
      </c>
      <c r="AO17">
        <v>9.8000000000000007</v>
      </c>
      <c r="AP17" t="s">
        <v>162</v>
      </c>
      <c r="AQ17" t="s">
        <v>198</v>
      </c>
    </row>
    <row r="18" spans="1:43" x14ac:dyDescent="0.25">
      <c r="A18" s="3" t="s">
        <v>7</v>
      </c>
      <c r="B18" s="3">
        <v>1</v>
      </c>
      <c r="C18" s="3">
        <v>0</v>
      </c>
      <c r="D18" s="3">
        <v>1</v>
      </c>
      <c r="E18" s="3" t="s">
        <v>177</v>
      </c>
      <c r="F18" s="11" t="s">
        <v>169</v>
      </c>
      <c r="G18" s="11" t="s">
        <v>170</v>
      </c>
      <c r="H18" s="11" t="s">
        <v>171</v>
      </c>
      <c r="I18" s="3" t="s">
        <v>194</v>
      </c>
      <c r="J18" s="11" t="s">
        <v>182</v>
      </c>
      <c r="K18" t="s">
        <v>145</v>
      </c>
      <c r="L18">
        <v>672</v>
      </c>
      <c r="S18" s="25">
        <f>1/1.24*100</f>
        <v>80.645161290322591</v>
      </c>
      <c r="T18" s="6">
        <v>7</v>
      </c>
      <c r="U18" s="25">
        <f>4.853*S18/100</f>
        <v>3.9137096774193547</v>
      </c>
      <c r="V18" s="25">
        <f>43.5*S18/100</f>
        <v>35.080645161290327</v>
      </c>
      <c r="W18" s="19">
        <f>8.328*S18/100</f>
        <v>6.7161290322580642</v>
      </c>
      <c r="X18" t="s">
        <v>172</v>
      </c>
      <c r="Y18" t="s">
        <v>146</v>
      </c>
      <c r="AD18">
        <v>3.23</v>
      </c>
      <c r="AE18" t="s">
        <v>153</v>
      </c>
      <c r="AG18">
        <v>13.6</v>
      </c>
      <c r="AH18">
        <v>46</v>
      </c>
      <c r="AI18" t="s">
        <v>173</v>
      </c>
      <c r="AJ18">
        <v>14.3</v>
      </c>
      <c r="AK18" t="s">
        <v>149</v>
      </c>
      <c r="AM18">
        <v>0.1</v>
      </c>
      <c r="AN18" s="19">
        <f t="shared" si="1"/>
        <v>34.061405316299201</v>
      </c>
      <c r="AO18">
        <v>3.8</v>
      </c>
      <c r="AP18" t="s">
        <v>162</v>
      </c>
      <c r="AQ18" t="s">
        <v>199</v>
      </c>
    </row>
    <row r="19" spans="1:43" x14ac:dyDescent="0.25">
      <c r="A19" s="3" t="s">
        <v>7</v>
      </c>
      <c r="B19" s="3">
        <v>1</v>
      </c>
      <c r="C19" s="3">
        <v>0</v>
      </c>
      <c r="D19" s="3">
        <v>1</v>
      </c>
      <c r="E19" s="3" t="s">
        <v>177</v>
      </c>
      <c r="F19" s="11" t="s">
        <v>169</v>
      </c>
      <c r="G19" s="11" t="s">
        <v>170</v>
      </c>
      <c r="H19" s="11" t="s">
        <v>171</v>
      </c>
      <c r="I19" s="3" t="s">
        <v>194</v>
      </c>
      <c r="J19" s="11" t="s">
        <v>182</v>
      </c>
      <c r="K19" t="s">
        <v>145</v>
      </c>
      <c r="L19">
        <v>672</v>
      </c>
      <c r="S19" s="25">
        <f>1/1.55*100</f>
        <v>64.516129032258064</v>
      </c>
      <c r="T19" s="6">
        <v>8.8000000000000007</v>
      </c>
      <c r="U19" s="25">
        <f>6.724*S19/100</f>
        <v>4.3380645161290321</v>
      </c>
      <c r="V19" s="25">
        <f>39.5*S19/100</f>
        <v>25.483870967741936</v>
      </c>
      <c r="W19" s="19">
        <f>4.095*S19/100</f>
        <v>2.6419354838709679</v>
      </c>
      <c r="X19" t="s">
        <v>172</v>
      </c>
      <c r="Y19" t="s">
        <v>146</v>
      </c>
      <c r="AD19">
        <v>3.23</v>
      </c>
      <c r="AE19" t="s">
        <v>174</v>
      </c>
      <c r="AG19">
        <v>18.600000000000001</v>
      </c>
      <c r="AH19">
        <v>12.4</v>
      </c>
      <c r="AI19" t="s">
        <v>173</v>
      </c>
      <c r="AJ19">
        <v>14.3</v>
      </c>
      <c r="AK19" t="s">
        <v>149</v>
      </c>
      <c r="AM19">
        <v>0.1</v>
      </c>
      <c r="AN19" s="19">
        <f t="shared" si="1"/>
        <v>31.134741225461035</v>
      </c>
      <c r="AO19">
        <v>5.3</v>
      </c>
      <c r="AP19" t="s">
        <v>162</v>
      </c>
      <c r="AQ19" t="s">
        <v>200</v>
      </c>
    </row>
    <row r="20" spans="1:43" x14ac:dyDescent="0.25">
      <c r="A20" s="3" t="s">
        <v>7</v>
      </c>
      <c r="B20" s="3">
        <v>1</v>
      </c>
      <c r="C20" s="3">
        <v>0</v>
      </c>
      <c r="D20" s="3">
        <v>1</v>
      </c>
      <c r="E20" s="3" t="s">
        <v>177</v>
      </c>
      <c r="F20" s="11" t="s">
        <v>169</v>
      </c>
      <c r="G20" s="11" t="s">
        <v>170</v>
      </c>
      <c r="H20" s="11" t="s">
        <v>171</v>
      </c>
      <c r="I20" s="3" t="s">
        <v>194</v>
      </c>
      <c r="J20" s="11" t="s">
        <v>182</v>
      </c>
      <c r="K20" t="s">
        <v>145</v>
      </c>
      <c r="L20">
        <v>672</v>
      </c>
      <c r="S20" s="25">
        <f>1/1.46*100</f>
        <v>68.493150684931507</v>
      </c>
      <c r="T20" s="6">
        <v>8.4</v>
      </c>
      <c r="U20" s="25">
        <f>7.216*S20/100</f>
        <v>4.9424657534246572</v>
      </c>
      <c r="V20" s="25">
        <f>40*S20/100</f>
        <v>27.397260273972602</v>
      </c>
      <c r="W20" s="19">
        <f>4.25*S20/100</f>
        <v>2.9109589041095894</v>
      </c>
      <c r="X20" t="s">
        <v>172</v>
      </c>
      <c r="Y20" t="s">
        <v>146</v>
      </c>
      <c r="AD20">
        <v>3.23</v>
      </c>
      <c r="AE20" t="s">
        <v>174</v>
      </c>
      <c r="AG20">
        <v>21.8</v>
      </c>
      <c r="AH20">
        <v>41.4</v>
      </c>
      <c r="AI20" t="s">
        <v>173</v>
      </c>
      <c r="AJ20">
        <v>14.3</v>
      </c>
      <c r="AK20" t="s">
        <v>149</v>
      </c>
      <c r="AM20">
        <v>0.22</v>
      </c>
      <c r="AN20" s="19">
        <f t="shared" si="1"/>
        <v>4.9889135254988917</v>
      </c>
      <c r="AO20">
        <v>0.9</v>
      </c>
      <c r="AP20" t="s">
        <v>162</v>
      </c>
      <c r="AQ20" t="s">
        <v>201</v>
      </c>
    </row>
    <row r="21" spans="1:43" x14ac:dyDescent="0.25">
      <c r="A21" s="3" t="s">
        <v>7</v>
      </c>
      <c r="B21" s="3">
        <v>1</v>
      </c>
      <c r="C21" s="3">
        <v>0</v>
      </c>
      <c r="D21" s="3">
        <v>1</v>
      </c>
      <c r="E21" s="3" t="s">
        <v>177</v>
      </c>
      <c r="F21" s="11" t="s">
        <v>169</v>
      </c>
      <c r="G21" s="11" t="s">
        <v>170</v>
      </c>
      <c r="H21" s="11" t="s">
        <v>171</v>
      </c>
      <c r="I21" s="3" t="s">
        <v>194</v>
      </c>
      <c r="J21" s="11" t="s">
        <v>182</v>
      </c>
      <c r="K21" t="s">
        <v>145</v>
      </c>
      <c r="L21">
        <v>672</v>
      </c>
      <c r="S21" s="25">
        <f>1/1.5*100</f>
        <v>66.666666666666657</v>
      </c>
      <c r="T21" s="6">
        <v>8.5</v>
      </c>
      <c r="U21" s="25">
        <f>7.43*S21/100</f>
        <v>4.9533333333333323</v>
      </c>
      <c r="V21" s="25">
        <f>40.6*S21/100</f>
        <v>27.066666666666666</v>
      </c>
      <c r="W21" s="19">
        <f>5.143*S21/100</f>
        <v>3.4286666666666661</v>
      </c>
      <c r="X21" t="s">
        <v>172</v>
      </c>
      <c r="Y21" t="s">
        <v>146</v>
      </c>
      <c r="AD21">
        <v>3.23</v>
      </c>
      <c r="AE21" t="s">
        <v>147</v>
      </c>
      <c r="AG21">
        <v>26.4</v>
      </c>
      <c r="AH21">
        <v>72.3</v>
      </c>
      <c r="AI21" t="s">
        <v>173</v>
      </c>
      <c r="AJ21">
        <v>14.3</v>
      </c>
      <c r="AK21" t="s">
        <v>149</v>
      </c>
      <c r="AM21">
        <v>0.1</v>
      </c>
      <c r="AN21" s="19">
        <f t="shared" si="1"/>
        <v>49.725437415881565</v>
      </c>
      <c r="AO21">
        <v>9.1</v>
      </c>
      <c r="AP21" t="s">
        <v>162</v>
      </c>
      <c r="AQ21" t="s">
        <v>202</v>
      </c>
    </row>
    <row r="22" spans="1:43" x14ac:dyDescent="0.25">
      <c r="A22" s="3" t="s">
        <v>7</v>
      </c>
      <c r="B22" s="3">
        <v>1</v>
      </c>
      <c r="C22" s="3">
        <v>0</v>
      </c>
      <c r="D22" s="3">
        <v>1</v>
      </c>
      <c r="E22" s="3" t="s">
        <v>177</v>
      </c>
      <c r="F22" s="11" t="s">
        <v>169</v>
      </c>
      <c r="G22" s="11" t="s">
        <v>170</v>
      </c>
      <c r="H22" s="11" t="s">
        <v>171</v>
      </c>
      <c r="I22" s="3" t="s">
        <v>194</v>
      </c>
      <c r="J22" s="11" t="s">
        <v>182</v>
      </c>
      <c r="K22" t="s">
        <v>145</v>
      </c>
      <c r="L22">
        <v>672</v>
      </c>
      <c r="S22" s="25">
        <f>1/1.45*100</f>
        <v>68.965517241379317</v>
      </c>
      <c r="T22" s="6">
        <v>8.1</v>
      </c>
      <c r="U22" s="25">
        <f>7.216*S22/100</f>
        <v>4.9765517241379316</v>
      </c>
      <c r="V22" s="25">
        <f>40.9*S22/100</f>
        <v>28.206896551724139</v>
      </c>
      <c r="W22" s="19">
        <f>3.763*S22/100</f>
        <v>2.5951724137931036</v>
      </c>
      <c r="X22" t="s">
        <v>172</v>
      </c>
      <c r="Y22" t="s">
        <v>146</v>
      </c>
      <c r="AD22">
        <v>3.23</v>
      </c>
      <c r="AE22" t="s">
        <v>147</v>
      </c>
      <c r="AG22">
        <v>25.3</v>
      </c>
      <c r="AH22">
        <v>89.7</v>
      </c>
      <c r="AI22" t="s">
        <v>173</v>
      </c>
      <c r="AJ22">
        <v>14.3</v>
      </c>
      <c r="AK22" t="s">
        <v>149</v>
      </c>
      <c r="AM22">
        <v>0.11</v>
      </c>
      <c r="AN22" s="19">
        <f t="shared" si="1"/>
        <v>59.513580931263846</v>
      </c>
      <c r="AO22">
        <v>10.5</v>
      </c>
      <c r="AP22" t="s">
        <v>162</v>
      </c>
      <c r="AQ22" t="s">
        <v>203</v>
      </c>
    </row>
    <row r="23" spans="1:43" x14ac:dyDescent="0.25">
      <c r="A23" s="3" t="s">
        <v>7</v>
      </c>
      <c r="B23" s="3">
        <v>1</v>
      </c>
      <c r="C23" s="3">
        <v>0</v>
      </c>
      <c r="D23" s="3">
        <v>1</v>
      </c>
      <c r="E23" s="3" t="s">
        <v>177</v>
      </c>
      <c r="F23" s="11" t="s">
        <v>169</v>
      </c>
      <c r="G23" s="11" t="s">
        <v>170</v>
      </c>
      <c r="H23" s="11" t="s">
        <v>171</v>
      </c>
      <c r="I23" s="3" t="s">
        <v>194</v>
      </c>
      <c r="J23" s="11" t="s">
        <v>182</v>
      </c>
      <c r="K23" t="s">
        <v>145</v>
      </c>
      <c r="L23">
        <v>672</v>
      </c>
      <c r="S23" s="25">
        <f>1/1.43*100</f>
        <v>69.930069930069934</v>
      </c>
      <c r="T23" s="6">
        <v>8.1</v>
      </c>
      <c r="U23" s="25">
        <f>7.228*S23/100</f>
        <v>5.0545454545454547</v>
      </c>
      <c r="V23" s="25">
        <f>42.1*S23/100</f>
        <v>29.44055944055944</v>
      </c>
      <c r="W23" s="19">
        <f>4.803*S23/100</f>
        <v>3.3587412587412588</v>
      </c>
      <c r="X23" t="s">
        <v>172</v>
      </c>
      <c r="Y23" t="s">
        <v>146</v>
      </c>
      <c r="AD23">
        <v>3.23</v>
      </c>
      <c r="AE23" t="s">
        <v>147</v>
      </c>
      <c r="AG23">
        <v>24.2</v>
      </c>
      <c r="AH23">
        <v>66.400000000000006</v>
      </c>
      <c r="AI23" t="s">
        <v>173</v>
      </c>
      <c r="AJ23">
        <v>14.3</v>
      </c>
      <c r="AK23" t="s">
        <v>149</v>
      </c>
      <c r="AM23">
        <v>0.21</v>
      </c>
      <c r="AN23" s="19">
        <f t="shared" si="1"/>
        <v>16.891256225788599</v>
      </c>
      <c r="AO23">
        <v>2.9</v>
      </c>
      <c r="AP23" t="s">
        <v>162</v>
      </c>
      <c r="AQ23" t="s">
        <v>204</v>
      </c>
    </row>
    <row r="24" spans="1:43" x14ac:dyDescent="0.25">
      <c r="A24" s="3" t="s">
        <v>7</v>
      </c>
      <c r="B24" s="3">
        <v>1</v>
      </c>
      <c r="C24" s="3">
        <v>0</v>
      </c>
      <c r="D24" s="3">
        <v>1</v>
      </c>
      <c r="E24" s="3" t="s">
        <v>177</v>
      </c>
      <c r="F24" s="11" t="s">
        <v>169</v>
      </c>
      <c r="G24" s="11" t="s">
        <v>170</v>
      </c>
      <c r="H24" s="11" t="s">
        <v>171</v>
      </c>
      <c r="I24" s="3" t="s">
        <v>194</v>
      </c>
      <c r="J24" s="11" t="s">
        <v>182</v>
      </c>
      <c r="K24" t="s">
        <v>145</v>
      </c>
      <c r="L24">
        <v>672</v>
      </c>
      <c r="S24" s="25">
        <f>1/1.43*100</f>
        <v>69.930069930069934</v>
      </c>
      <c r="T24" s="6">
        <v>8.3000000000000007</v>
      </c>
      <c r="U24" s="25">
        <f>8.009*S24/100</f>
        <v>5.6006993006993016</v>
      </c>
      <c r="V24" s="25">
        <f>43*S24/100</f>
        <v>30.06993006993007</v>
      </c>
      <c r="W24" s="19">
        <f>4.749*S24/100</f>
        <v>3.3209790209790206</v>
      </c>
      <c r="X24" t="s">
        <v>172</v>
      </c>
      <c r="Y24" t="s">
        <v>146</v>
      </c>
      <c r="AD24">
        <v>3.23</v>
      </c>
      <c r="AE24" t="s">
        <v>153</v>
      </c>
      <c r="AG24">
        <v>15.5</v>
      </c>
      <c r="AH24">
        <v>4</v>
      </c>
      <c r="AI24" t="s">
        <v>173</v>
      </c>
      <c r="AJ24">
        <v>14.3</v>
      </c>
      <c r="AK24" t="s">
        <v>149</v>
      </c>
      <c r="AM24">
        <v>0.23</v>
      </c>
      <c r="AN24" s="19">
        <f t="shared" si="1"/>
        <v>25.234111624422521</v>
      </c>
      <c r="AO24">
        <v>4.7</v>
      </c>
      <c r="AP24" t="s">
        <v>162</v>
      </c>
      <c r="AQ24" t="s">
        <v>205</v>
      </c>
    </row>
    <row r="25" spans="1:43" x14ac:dyDescent="0.25">
      <c r="A25" s="3" t="s">
        <v>8</v>
      </c>
      <c r="B25" s="3">
        <v>1</v>
      </c>
      <c r="C25" s="3">
        <v>0</v>
      </c>
      <c r="D25" s="3">
        <v>0</v>
      </c>
      <c r="E25" s="3" t="s">
        <v>206</v>
      </c>
      <c r="F25" s="11" t="s">
        <v>141</v>
      </c>
      <c r="G25" s="11" t="s">
        <v>176</v>
      </c>
      <c r="I25" s="3" t="s">
        <v>194</v>
      </c>
      <c r="J25" s="11" t="s">
        <v>182</v>
      </c>
      <c r="K25" t="s">
        <v>145</v>
      </c>
      <c r="L25">
        <v>434</v>
      </c>
      <c r="S25" s="6">
        <v>23.5</v>
      </c>
      <c r="U25" s="25">
        <f>24/AD25</f>
        <v>0.78431372549019607</v>
      </c>
      <c r="V25" s="25">
        <f>200/AD25</f>
        <v>6.5359477124183005</v>
      </c>
      <c r="W25"/>
      <c r="Y25" t="s">
        <v>146</v>
      </c>
      <c r="AD25">
        <v>30.6</v>
      </c>
      <c r="AK25" t="s">
        <v>207</v>
      </c>
      <c r="AN25">
        <v>30</v>
      </c>
      <c r="AO25">
        <v>4</v>
      </c>
      <c r="AP25" t="s">
        <v>208</v>
      </c>
      <c r="AQ25" t="s">
        <v>209</v>
      </c>
    </row>
    <row r="26" spans="1:43" x14ac:dyDescent="0.25">
      <c r="A26" s="3" t="s">
        <v>8</v>
      </c>
      <c r="B26" s="3">
        <v>1</v>
      </c>
      <c r="C26" s="3">
        <v>0</v>
      </c>
      <c r="D26" s="3">
        <v>0</v>
      </c>
      <c r="E26" s="3" t="s">
        <v>206</v>
      </c>
      <c r="F26" s="11" t="s">
        <v>155</v>
      </c>
      <c r="G26" s="11" t="s">
        <v>176</v>
      </c>
      <c r="I26" s="3" t="s">
        <v>194</v>
      </c>
      <c r="J26" s="11" t="s">
        <v>182</v>
      </c>
      <c r="K26" t="s">
        <v>145</v>
      </c>
      <c r="L26">
        <v>213</v>
      </c>
      <c r="S26" s="6">
        <v>26.2</v>
      </c>
      <c r="U26" s="25">
        <f>48/AD26</f>
        <v>1.3407821229050281</v>
      </c>
      <c r="V26" s="25">
        <f>277/AD26</f>
        <v>7.7374301675977657</v>
      </c>
      <c r="W26"/>
      <c r="Y26" t="s">
        <v>146</v>
      </c>
      <c r="AD26">
        <v>35.799999999999997</v>
      </c>
      <c r="AK26" t="s">
        <v>207</v>
      </c>
      <c r="AN26">
        <v>73</v>
      </c>
      <c r="AO26">
        <v>13</v>
      </c>
      <c r="AP26" t="s">
        <v>208</v>
      </c>
      <c r="AQ26" t="s">
        <v>210</v>
      </c>
    </row>
    <row r="27" spans="1:43" x14ac:dyDescent="0.25">
      <c r="A27" s="3" t="s">
        <v>8</v>
      </c>
      <c r="B27" s="3">
        <v>1</v>
      </c>
      <c r="C27" s="3">
        <v>0</v>
      </c>
      <c r="D27" s="3">
        <v>0</v>
      </c>
      <c r="E27" s="3" t="s">
        <v>206</v>
      </c>
      <c r="F27" s="11" t="s">
        <v>155</v>
      </c>
      <c r="G27" s="11" t="s">
        <v>176</v>
      </c>
      <c r="I27" s="3" t="s">
        <v>194</v>
      </c>
      <c r="J27" s="11" t="s">
        <v>182</v>
      </c>
      <c r="K27" t="s">
        <v>145</v>
      </c>
      <c r="L27">
        <v>210</v>
      </c>
      <c r="S27" s="6">
        <v>24.1</v>
      </c>
      <c r="U27" s="25">
        <f>40/AD27</f>
        <v>1.7241379310344829</v>
      </c>
      <c r="V27" s="25">
        <f>241/AD27</f>
        <v>10.38793103448276</v>
      </c>
      <c r="W27"/>
      <c r="Y27" t="s">
        <v>146</v>
      </c>
      <c r="AD27">
        <v>23.2</v>
      </c>
      <c r="AK27" t="s">
        <v>207</v>
      </c>
      <c r="AN27">
        <v>89</v>
      </c>
      <c r="AO27">
        <v>23</v>
      </c>
      <c r="AP27" t="s">
        <v>208</v>
      </c>
      <c r="AQ27" t="s">
        <v>211</v>
      </c>
    </row>
    <row r="28" spans="1:43" x14ac:dyDescent="0.25">
      <c r="A28" s="3" t="s">
        <v>8</v>
      </c>
      <c r="B28" s="3">
        <v>1</v>
      </c>
      <c r="C28" s="3">
        <v>0</v>
      </c>
      <c r="D28" s="3">
        <v>0</v>
      </c>
      <c r="E28" s="3" t="s">
        <v>206</v>
      </c>
      <c r="F28" s="11" t="s">
        <v>169</v>
      </c>
      <c r="G28" s="11" t="s">
        <v>170</v>
      </c>
      <c r="H28" s="11" t="s">
        <v>171</v>
      </c>
      <c r="I28" s="3" t="s">
        <v>194</v>
      </c>
      <c r="J28" s="11" t="s">
        <v>182</v>
      </c>
      <c r="K28" t="s">
        <v>145</v>
      </c>
      <c r="L28">
        <v>222</v>
      </c>
      <c r="S28" s="6">
        <v>63.9</v>
      </c>
      <c r="U28" s="25">
        <f>65/AD28</f>
        <v>9.420289855072463</v>
      </c>
      <c r="V28" s="25">
        <f>215/AD28</f>
        <v>31.159420289855071</v>
      </c>
      <c r="W28"/>
      <c r="Y28" t="s">
        <v>146</v>
      </c>
      <c r="AD28">
        <v>6.9</v>
      </c>
      <c r="AK28" t="s">
        <v>207</v>
      </c>
      <c r="AN28">
        <v>46</v>
      </c>
      <c r="AO28">
        <v>14</v>
      </c>
      <c r="AP28" t="s">
        <v>208</v>
      </c>
      <c r="AQ28" t="s">
        <v>212</v>
      </c>
    </row>
    <row r="29" spans="1:43" x14ac:dyDescent="0.25">
      <c r="A29" s="3" t="s">
        <v>8</v>
      </c>
      <c r="B29" s="3">
        <v>1</v>
      </c>
      <c r="C29" s="3">
        <v>0</v>
      </c>
      <c r="D29" s="3">
        <v>0</v>
      </c>
      <c r="E29" s="3" t="s">
        <v>206</v>
      </c>
      <c r="F29" s="11" t="s">
        <v>169</v>
      </c>
      <c r="G29" s="11" t="s">
        <v>170</v>
      </c>
      <c r="H29" s="11" t="s">
        <v>171</v>
      </c>
      <c r="I29" s="3" t="s">
        <v>194</v>
      </c>
      <c r="J29" s="11" t="s">
        <v>182</v>
      </c>
      <c r="K29" t="s">
        <v>145</v>
      </c>
      <c r="L29">
        <v>546</v>
      </c>
      <c r="S29" s="6">
        <v>58.7</v>
      </c>
      <c r="U29" s="25">
        <f>133/AD29</f>
        <v>13.434343434343434</v>
      </c>
      <c r="V29" s="25">
        <f>302/AD29</f>
        <v>30.505050505050505</v>
      </c>
      <c r="W29"/>
      <c r="Y29" t="s">
        <v>146</v>
      </c>
      <c r="AD29">
        <v>9.9</v>
      </c>
      <c r="AK29" t="s">
        <v>207</v>
      </c>
      <c r="AN29">
        <v>15</v>
      </c>
      <c r="AO29">
        <v>7</v>
      </c>
      <c r="AP29" t="s">
        <v>208</v>
      </c>
      <c r="AQ29" t="s">
        <v>213</v>
      </c>
    </row>
    <row r="30" spans="1:43" x14ac:dyDescent="0.25">
      <c r="A30" s="3" t="s">
        <v>8</v>
      </c>
      <c r="B30" s="3">
        <v>1</v>
      </c>
      <c r="C30" s="3">
        <v>0</v>
      </c>
      <c r="D30" s="3">
        <v>0</v>
      </c>
      <c r="E30" s="3" t="s">
        <v>206</v>
      </c>
      <c r="F30" s="11" t="s">
        <v>169</v>
      </c>
      <c r="G30" s="11" t="s">
        <v>214</v>
      </c>
      <c r="H30" s="11" t="s">
        <v>175</v>
      </c>
      <c r="I30" s="3" t="s">
        <v>194</v>
      </c>
      <c r="J30" s="11" t="s">
        <v>182</v>
      </c>
      <c r="K30" t="s">
        <v>145</v>
      </c>
      <c r="L30">
        <v>739</v>
      </c>
      <c r="S30" s="6">
        <v>43.8</v>
      </c>
      <c r="U30" s="25">
        <f>99/AD30</f>
        <v>8.3193277310924358</v>
      </c>
      <c r="V30" s="25">
        <f>196/AD30</f>
        <v>16.470588235294116</v>
      </c>
      <c r="W30"/>
      <c r="Y30" t="s">
        <v>146</v>
      </c>
      <c r="AD30">
        <v>11.9</v>
      </c>
      <c r="AK30" t="s">
        <v>207</v>
      </c>
      <c r="AN30">
        <v>40</v>
      </c>
      <c r="AO30">
        <v>20</v>
      </c>
      <c r="AP30" t="s">
        <v>208</v>
      </c>
      <c r="AQ30" t="s">
        <v>215</v>
      </c>
    </row>
    <row r="31" spans="1:43" x14ac:dyDescent="0.25">
      <c r="A31" s="3" t="s">
        <v>14</v>
      </c>
      <c r="B31" s="3">
        <v>0</v>
      </c>
      <c r="C31" s="3">
        <v>1</v>
      </c>
      <c r="D31" s="3">
        <v>0</v>
      </c>
      <c r="E31" s="3" t="s">
        <v>177</v>
      </c>
      <c r="F31" s="11" t="s">
        <v>169</v>
      </c>
      <c r="I31" t="s">
        <v>143</v>
      </c>
      <c r="J31" s="11" t="s">
        <v>216</v>
      </c>
      <c r="K31" t="s">
        <v>178</v>
      </c>
      <c r="L31">
        <v>504</v>
      </c>
      <c r="T31" s="6">
        <v>8.6199999999999992</v>
      </c>
      <c r="U31" s="6">
        <v>9.4</v>
      </c>
      <c r="V31" s="6">
        <v>41.8</v>
      </c>
      <c r="W31"/>
      <c r="X31" t="s">
        <v>172</v>
      </c>
      <c r="Y31" t="s">
        <v>146</v>
      </c>
      <c r="Z31">
        <v>1</v>
      </c>
      <c r="AB31" t="s">
        <v>156</v>
      </c>
      <c r="AD31">
        <v>4.8</v>
      </c>
      <c r="AL31">
        <v>4.5</v>
      </c>
      <c r="AM31">
        <v>0.2</v>
      </c>
      <c r="AN31">
        <v>22.6</v>
      </c>
      <c r="AO31" s="19">
        <f>AN31*U31/V31</f>
        <v>5.0822966507177041</v>
      </c>
      <c r="AP31" t="s">
        <v>162</v>
      </c>
      <c r="AQ31" t="s">
        <v>217</v>
      </c>
    </row>
    <row r="32" spans="1:43" x14ac:dyDescent="0.25">
      <c r="A32" s="3" t="s">
        <v>14</v>
      </c>
      <c r="B32" s="3">
        <v>0</v>
      </c>
      <c r="C32" s="3">
        <v>1</v>
      </c>
      <c r="D32" s="3">
        <v>0</v>
      </c>
      <c r="E32" s="3" t="s">
        <v>177</v>
      </c>
      <c r="F32" s="11" t="s">
        <v>169</v>
      </c>
      <c r="I32" t="s">
        <v>143</v>
      </c>
      <c r="J32" s="11" t="s">
        <v>216</v>
      </c>
      <c r="K32" t="s">
        <v>178</v>
      </c>
      <c r="L32">
        <v>504</v>
      </c>
      <c r="T32" s="6">
        <v>8.6199999999999992</v>
      </c>
      <c r="U32" s="6">
        <v>9.4</v>
      </c>
      <c r="V32" s="6">
        <v>41.8</v>
      </c>
      <c r="W32"/>
      <c r="X32" t="s">
        <v>172</v>
      </c>
      <c r="Y32" t="s">
        <v>164</v>
      </c>
      <c r="Z32">
        <v>1</v>
      </c>
      <c r="AA32" t="s">
        <v>218</v>
      </c>
      <c r="AB32" t="s">
        <v>166</v>
      </c>
      <c r="AC32">
        <v>0</v>
      </c>
      <c r="AD32">
        <v>4.8</v>
      </c>
      <c r="AL32">
        <v>4.5</v>
      </c>
      <c r="AM32">
        <v>0.2</v>
      </c>
      <c r="AN32">
        <v>9.6999999999999993</v>
      </c>
      <c r="AO32" s="19">
        <f>AN32*U32/V32</f>
        <v>2.1813397129186605</v>
      </c>
      <c r="AP32" t="s">
        <v>162</v>
      </c>
      <c r="AQ32" t="s">
        <v>219</v>
      </c>
    </row>
    <row r="33" spans="1:44" x14ac:dyDescent="0.25">
      <c r="A33" s="3" t="s">
        <v>12</v>
      </c>
      <c r="B33" s="3">
        <v>0</v>
      </c>
      <c r="C33" s="3">
        <v>0</v>
      </c>
      <c r="D33" s="3">
        <v>0</v>
      </c>
      <c r="E33" s="3" t="s">
        <v>140</v>
      </c>
      <c r="F33" s="11" t="s">
        <v>141</v>
      </c>
      <c r="G33" s="11" t="s">
        <v>142</v>
      </c>
      <c r="I33" t="s">
        <v>143</v>
      </c>
      <c r="J33" s="11"/>
      <c r="K33" t="s">
        <v>178</v>
      </c>
      <c r="L33">
        <v>168</v>
      </c>
      <c r="N33" t="s">
        <v>220</v>
      </c>
      <c r="O33" t="s">
        <v>146</v>
      </c>
      <c r="Q33">
        <v>1</v>
      </c>
      <c r="S33" s="6">
        <v>18.600000000000001</v>
      </c>
      <c r="T33" s="6">
        <v>8.5</v>
      </c>
      <c r="U33" s="6">
        <v>0.2</v>
      </c>
      <c r="V33" s="6">
        <v>3.57</v>
      </c>
      <c r="W33"/>
      <c r="X33" t="s">
        <v>172</v>
      </c>
      <c r="Y33" t="s">
        <v>146</v>
      </c>
      <c r="AD33" s="20">
        <f>70/V33</f>
        <v>19.607843137254903</v>
      </c>
      <c r="AF33">
        <v>10</v>
      </c>
      <c r="AG33">
        <v>10</v>
      </c>
      <c r="AI33" t="s">
        <v>148</v>
      </c>
      <c r="AJ33">
        <v>1.94</v>
      </c>
      <c r="AK33" t="s">
        <v>156</v>
      </c>
      <c r="AM33">
        <v>9.8000000000000004E-2</v>
      </c>
      <c r="AN33">
        <v>6.81</v>
      </c>
      <c r="AO33" s="19">
        <f>AN33*U33/V33</f>
        <v>0.38151260504201684</v>
      </c>
      <c r="AP33" t="s">
        <v>162</v>
      </c>
      <c r="AQ33" t="s">
        <v>221</v>
      </c>
    </row>
    <row r="34" spans="1:44" x14ac:dyDescent="0.25">
      <c r="A34" s="3" t="s">
        <v>13</v>
      </c>
      <c r="B34" s="3">
        <v>0</v>
      </c>
      <c r="C34" s="3">
        <v>0</v>
      </c>
      <c r="D34" s="3">
        <v>1</v>
      </c>
      <c r="E34" s="3" t="s">
        <v>140</v>
      </c>
      <c r="F34" s="11" t="s">
        <v>155</v>
      </c>
      <c r="G34" s="11" t="s">
        <v>142</v>
      </c>
      <c r="I34" t="s">
        <v>143</v>
      </c>
      <c r="J34" s="11"/>
      <c r="K34" t="s">
        <v>145</v>
      </c>
      <c r="L34">
        <v>96</v>
      </c>
      <c r="N34" t="s">
        <v>222</v>
      </c>
      <c r="O34" t="s">
        <v>146</v>
      </c>
      <c r="S34" s="6">
        <v>22.9</v>
      </c>
      <c r="T34" s="6">
        <v>8.3000000000000007</v>
      </c>
      <c r="U34" s="6">
        <v>1.9</v>
      </c>
      <c r="V34" s="6">
        <v>5.3</v>
      </c>
      <c r="W34"/>
      <c r="X34" t="s">
        <v>172</v>
      </c>
      <c r="Y34" t="s">
        <v>146</v>
      </c>
      <c r="AD34" s="22">
        <f>70/V34</f>
        <v>13.20754716981132</v>
      </c>
      <c r="AE34" t="s">
        <v>147</v>
      </c>
      <c r="AG34">
        <v>27.6</v>
      </c>
      <c r="AI34" t="s">
        <v>148</v>
      </c>
      <c r="AJ34">
        <v>3.1</v>
      </c>
      <c r="AK34" t="s">
        <v>149</v>
      </c>
      <c r="AN34">
        <v>96.3</v>
      </c>
      <c r="AO34" s="20">
        <f>AN34*U34/V34</f>
        <v>34.52264150943396</v>
      </c>
      <c r="AP34" t="s">
        <v>162</v>
      </c>
      <c r="AQ34" t="s">
        <v>223</v>
      </c>
    </row>
    <row r="35" spans="1:44" x14ac:dyDescent="0.25">
      <c r="A35" s="3" t="s">
        <v>13</v>
      </c>
      <c r="B35" s="3">
        <v>0</v>
      </c>
      <c r="C35" s="3">
        <v>0</v>
      </c>
      <c r="D35" s="3">
        <v>1</v>
      </c>
      <c r="E35" s="3" t="s">
        <v>140</v>
      </c>
      <c r="F35" s="11" t="s">
        <v>155</v>
      </c>
      <c r="G35" s="11" t="s">
        <v>142</v>
      </c>
      <c r="I35" t="s">
        <v>143</v>
      </c>
      <c r="J35" s="11"/>
      <c r="K35" t="s">
        <v>145</v>
      </c>
      <c r="L35">
        <v>96</v>
      </c>
      <c r="N35" t="s">
        <v>222</v>
      </c>
      <c r="O35" t="s">
        <v>146</v>
      </c>
      <c r="S35" s="6">
        <v>23.1</v>
      </c>
      <c r="T35" s="6">
        <v>8.3000000000000007</v>
      </c>
      <c r="U35" s="6">
        <v>1.5</v>
      </c>
      <c r="V35" s="6">
        <v>6.6</v>
      </c>
      <c r="W35"/>
      <c r="X35" t="s">
        <v>172</v>
      </c>
      <c r="Y35" t="s">
        <v>146</v>
      </c>
      <c r="AD35" s="22">
        <f>70/V35</f>
        <v>10.606060606060607</v>
      </c>
      <c r="AE35" t="s">
        <v>224</v>
      </c>
      <c r="AG35">
        <v>5.8</v>
      </c>
      <c r="AI35" t="s">
        <v>148</v>
      </c>
      <c r="AJ35">
        <v>3.1</v>
      </c>
      <c r="AK35" t="s">
        <v>149</v>
      </c>
      <c r="AN35">
        <v>56.7</v>
      </c>
      <c r="AO35" s="20">
        <f>AN35*U35/V35</f>
        <v>12.886363636363638</v>
      </c>
      <c r="AP35" t="s">
        <v>162</v>
      </c>
      <c r="AQ35" t="s">
        <v>225</v>
      </c>
    </row>
    <row r="36" spans="1:44" x14ac:dyDescent="0.25">
      <c r="A36" s="3" t="s">
        <v>15</v>
      </c>
      <c r="B36" s="3">
        <v>1</v>
      </c>
      <c r="C36" s="3">
        <v>0</v>
      </c>
      <c r="D36" s="3">
        <v>0</v>
      </c>
      <c r="E36" s="3" t="s">
        <v>226</v>
      </c>
      <c r="F36" s="11" t="s">
        <v>155</v>
      </c>
      <c r="G36" s="11" t="s">
        <v>227</v>
      </c>
      <c r="I36" t="s">
        <v>181</v>
      </c>
      <c r="J36" t="s">
        <v>228</v>
      </c>
      <c r="K36" t="s">
        <v>145</v>
      </c>
      <c r="L36">
        <v>240</v>
      </c>
      <c r="M36" t="s">
        <v>229</v>
      </c>
      <c r="N36" t="s">
        <v>230</v>
      </c>
      <c r="O36" t="s">
        <v>146</v>
      </c>
      <c r="Q36">
        <v>2</v>
      </c>
      <c r="S36" s="6">
        <v>30.3</v>
      </c>
      <c r="U36" s="6">
        <v>0.45</v>
      </c>
      <c r="V36" s="6">
        <v>4.32</v>
      </c>
      <c r="W36"/>
      <c r="X36" t="s">
        <v>172</v>
      </c>
      <c r="Y36" t="s">
        <v>146</v>
      </c>
      <c r="AD36">
        <v>9.6</v>
      </c>
      <c r="AE36" t="s">
        <v>224</v>
      </c>
      <c r="AG36">
        <v>2.4</v>
      </c>
      <c r="AH36">
        <v>32</v>
      </c>
      <c r="AI36" t="s">
        <v>173</v>
      </c>
      <c r="AJ36">
        <v>10.3</v>
      </c>
      <c r="AK36" t="s">
        <v>156</v>
      </c>
      <c r="AN36">
        <v>35</v>
      </c>
      <c r="AO36">
        <v>3.6</v>
      </c>
      <c r="AP36" t="s">
        <v>150</v>
      </c>
      <c r="AQ36" t="s">
        <v>231</v>
      </c>
    </row>
    <row r="37" spans="1:44" x14ac:dyDescent="0.25">
      <c r="A37" s="3" t="s">
        <v>15</v>
      </c>
      <c r="B37" s="3">
        <v>1</v>
      </c>
      <c r="C37" s="3">
        <v>0</v>
      </c>
      <c r="D37" s="3">
        <v>0</v>
      </c>
      <c r="E37" s="3" t="s">
        <v>226</v>
      </c>
      <c r="F37" s="11" t="s">
        <v>155</v>
      </c>
      <c r="G37" s="11" t="s">
        <v>227</v>
      </c>
      <c r="I37" t="s">
        <v>181</v>
      </c>
      <c r="J37" t="s">
        <v>228</v>
      </c>
      <c r="K37" t="s">
        <v>145</v>
      </c>
      <c r="L37">
        <v>240</v>
      </c>
      <c r="M37" t="s">
        <v>229</v>
      </c>
      <c r="N37" t="s">
        <v>156</v>
      </c>
      <c r="Q37">
        <v>0</v>
      </c>
      <c r="S37" s="6">
        <v>23.1</v>
      </c>
      <c r="U37" s="6">
        <v>1.49</v>
      </c>
      <c r="V37" s="6">
        <v>4.57</v>
      </c>
      <c r="W37"/>
      <c r="X37" t="s">
        <v>172</v>
      </c>
      <c r="Y37" t="s">
        <v>146</v>
      </c>
      <c r="AD37">
        <v>9.3000000000000007</v>
      </c>
      <c r="AE37" t="s">
        <v>224</v>
      </c>
      <c r="AG37">
        <v>2.4</v>
      </c>
      <c r="AH37">
        <v>32</v>
      </c>
      <c r="AI37" t="s">
        <v>173</v>
      </c>
      <c r="AJ37">
        <v>10.3</v>
      </c>
      <c r="AK37" t="s">
        <v>156</v>
      </c>
      <c r="AN37">
        <v>19.5</v>
      </c>
      <c r="AO37">
        <v>6.4</v>
      </c>
      <c r="AP37" t="s">
        <v>150</v>
      </c>
      <c r="AQ37" t="s">
        <v>232</v>
      </c>
    </row>
    <row r="38" spans="1:44" x14ac:dyDescent="0.25">
      <c r="A38" s="23" t="s">
        <v>413</v>
      </c>
      <c r="B38" s="23">
        <v>1</v>
      </c>
      <c r="C38" s="23">
        <v>1</v>
      </c>
      <c r="D38" s="23">
        <v>0</v>
      </c>
      <c r="E38" s="23" t="s">
        <v>226</v>
      </c>
      <c r="F38" s="11" t="s">
        <v>141</v>
      </c>
      <c r="G38" s="11" t="s">
        <v>227</v>
      </c>
      <c r="I38" t="s">
        <v>181</v>
      </c>
      <c r="J38" t="s">
        <v>228</v>
      </c>
      <c r="K38" t="s">
        <v>145</v>
      </c>
      <c r="L38">
        <v>120</v>
      </c>
      <c r="N38" t="s">
        <v>233</v>
      </c>
      <c r="Q38">
        <v>2</v>
      </c>
      <c r="S38" s="6">
        <v>31.6</v>
      </c>
      <c r="T38" s="6">
        <v>8.6</v>
      </c>
      <c r="U38" s="6">
        <v>1.08</v>
      </c>
      <c r="V38" s="6">
        <v>6.2</v>
      </c>
      <c r="W38"/>
      <c r="X38" t="s">
        <v>172</v>
      </c>
      <c r="Y38" s="23" t="s">
        <v>164</v>
      </c>
      <c r="Z38">
        <v>1</v>
      </c>
      <c r="AA38" s="11" t="s">
        <v>234</v>
      </c>
      <c r="AB38" s="11" t="s">
        <v>166</v>
      </c>
      <c r="AC38" s="24">
        <v>0.08</v>
      </c>
      <c r="AD38">
        <v>19.600000000000001</v>
      </c>
      <c r="AE38" t="s">
        <v>174</v>
      </c>
      <c r="AI38" t="s">
        <v>173</v>
      </c>
      <c r="AJ38">
        <v>13.1</v>
      </c>
      <c r="AK38" t="s">
        <v>156</v>
      </c>
      <c r="AN38">
        <v>25</v>
      </c>
      <c r="AO38" s="20">
        <f>AN38*U38/V38</f>
        <v>4.354838709677419</v>
      </c>
      <c r="AP38" t="s">
        <v>235</v>
      </c>
      <c r="AQ38" t="s">
        <v>236</v>
      </c>
      <c r="AR38" t="s">
        <v>412</v>
      </c>
    </row>
    <row r="39" spans="1:44" x14ac:dyDescent="0.25">
      <c r="A39" s="23" t="s">
        <v>413</v>
      </c>
      <c r="B39" s="23">
        <v>1</v>
      </c>
      <c r="C39" s="23">
        <v>1</v>
      </c>
      <c r="D39" s="23">
        <v>0</v>
      </c>
      <c r="E39" s="23" t="s">
        <v>226</v>
      </c>
      <c r="F39" s="11" t="s">
        <v>141</v>
      </c>
      <c r="G39" s="11" t="s">
        <v>227</v>
      </c>
      <c r="I39" t="s">
        <v>181</v>
      </c>
      <c r="J39" t="s">
        <v>228</v>
      </c>
      <c r="K39" t="s">
        <v>145</v>
      </c>
      <c r="L39">
        <v>120</v>
      </c>
      <c r="N39" t="s">
        <v>233</v>
      </c>
      <c r="Q39">
        <v>2</v>
      </c>
      <c r="S39" s="6">
        <v>32.799999999999997</v>
      </c>
      <c r="T39" s="6">
        <v>8.8000000000000007</v>
      </c>
      <c r="U39" s="6">
        <v>0.99</v>
      </c>
      <c r="V39" s="6">
        <v>6.8</v>
      </c>
      <c r="W39"/>
      <c r="X39" t="s">
        <v>172</v>
      </c>
      <c r="Y39" t="s">
        <v>164</v>
      </c>
      <c r="Z39">
        <v>1</v>
      </c>
      <c r="AA39" t="s">
        <v>237</v>
      </c>
      <c r="AB39" t="s">
        <v>187</v>
      </c>
      <c r="AC39">
        <v>0.33</v>
      </c>
      <c r="AD39">
        <v>18.2</v>
      </c>
      <c r="AE39" t="s">
        <v>174</v>
      </c>
      <c r="AI39" t="s">
        <v>173</v>
      </c>
      <c r="AJ39">
        <v>13.1</v>
      </c>
      <c r="AK39" t="s">
        <v>156</v>
      </c>
      <c r="AN39">
        <v>13</v>
      </c>
      <c r="AO39" s="20">
        <f>AN39*U39/V39</f>
        <v>1.8926470588235293</v>
      </c>
      <c r="AP39" t="s">
        <v>235</v>
      </c>
      <c r="AQ39" t="s">
        <v>238</v>
      </c>
      <c r="AR39" t="s">
        <v>412</v>
      </c>
    </row>
    <row r="40" spans="1:44" x14ac:dyDescent="0.25">
      <c r="A40" s="23" t="s">
        <v>413</v>
      </c>
      <c r="B40" s="23">
        <v>1</v>
      </c>
      <c r="C40" s="23">
        <v>1</v>
      </c>
      <c r="D40" s="23">
        <v>0</v>
      </c>
      <c r="E40" s="23" t="s">
        <v>226</v>
      </c>
      <c r="F40" s="11" t="s">
        <v>141</v>
      </c>
      <c r="G40" s="11" t="s">
        <v>227</v>
      </c>
      <c r="I40" t="s">
        <v>181</v>
      </c>
      <c r="J40" t="s">
        <v>228</v>
      </c>
      <c r="K40" t="s">
        <v>145</v>
      </c>
      <c r="L40">
        <v>120</v>
      </c>
      <c r="N40" t="s">
        <v>233</v>
      </c>
      <c r="Q40">
        <v>2</v>
      </c>
      <c r="S40" s="6">
        <v>33.799999999999997</v>
      </c>
      <c r="T40" s="6">
        <v>8.6999999999999993</v>
      </c>
      <c r="U40" s="6">
        <v>1.27</v>
      </c>
      <c r="V40" s="6">
        <v>6</v>
      </c>
      <c r="W40"/>
      <c r="X40" t="s">
        <v>172</v>
      </c>
      <c r="Y40" t="s">
        <v>164</v>
      </c>
      <c r="Z40">
        <v>1</v>
      </c>
      <c r="AA40" t="s">
        <v>234</v>
      </c>
      <c r="AB40" t="s">
        <v>166</v>
      </c>
      <c r="AC40">
        <v>6</v>
      </c>
      <c r="AD40">
        <v>18.5</v>
      </c>
      <c r="AE40" t="s">
        <v>174</v>
      </c>
      <c r="AI40" t="s">
        <v>173</v>
      </c>
      <c r="AJ40">
        <v>13.1</v>
      </c>
      <c r="AK40" t="s">
        <v>156</v>
      </c>
      <c r="AN40">
        <v>39</v>
      </c>
      <c r="AO40" s="20">
        <f>AN40*U40/V40</f>
        <v>8.2550000000000008</v>
      </c>
      <c r="AP40" t="s">
        <v>235</v>
      </c>
      <c r="AQ40" t="s">
        <v>239</v>
      </c>
      <c r="AR40" t="s">
        <v>412</v>
      </c>
    </row>
    <row r="41" spans="1:44" x14ac:dyDescent="0.25">
      <c r="A41" s="23" t="s">
        <v>413</v>
      </c>
      <c r="B41" s="23">
        <v>1</v>
      </c>
      <c r="C41" s="23">
        <v>1</v>
      </c>
      <c r="D41" s="23">
        <v>0</v>
      </c>
      <c r="E41" s="23" t="s">
        <v>226</v>
      </c>
      <c r="F41" s="11" t="s">
        <v>141</v>
      </c>
      <c r="G41" s="11" t="s">
        <v>227</v>
      </c>
      <c r="I41" t="s">
        <v>181</v>
      </c>
      <c r="J41" t="s">
        <v>228</v>
      </c>
      <c r="K41" t="s">
        <v>145</v>
      </c>
      <c r="L41">
        <v>120</v>
      </c>
      <c r="N41" t="s">
        <v>233</v>
      </c>
      <c r="Q41">
        <v>2</v>
      </c>
      <c r="S41" s="6">
        <v>37.299999999999997</v>
      </c>
      <c r="T41" s="6">
        <v>8.6</v>
      </c>
      <c r="U41" s="6">
        <v>0.86</v>
      </c>
      <c r="V41" s="6">
        <v>7.4</v>
      </c>
      <c r="W41"/>
      <c r="X41" t="s">
        <v>172</v>
      </c>
      <c r="Y41" t="s">
        <v>146</v>
      </c>
      <c r="Z41">
        <v>1</v>
      </c>
      <c r="AB41" t="s">
        <v>156</v>
      </c>
      <c r="AD41">
        <v>13.6</v>
      </c>
      <c r="AE41" t="s">
        <v>174</v>
      </c>
      <c r="AI41" t="s">
        <v>173</v>
      </c>
      <c r="AJ41">
        <v>13.1</v>
      </c>
      <c r="AK41" t="s">
        <v>156</v>
      </c>
      <c r="AN41">
        <v>48</v>
      </c>
      <c r="AO41" s="20">
        <f>AN41*U41/V41</f>
        <v>5.5783783783783782</v>
      </c>
      <c r="AP41" t="s">
        <v>235</v>
      </c>
      <c r="AQ41" t="s">
        <v>240</v>
      </c>
      <c r="AR41" t="s">
        <v>412</v>
      </c>
    </row>
    <row r="42" spans="1:44" x14ac:dyDescent="0.25">
      <c r="A42" s="3" t="s">
        <v>16</v>
      </c>
      <c r="B42" s="3">
        <v>1</v>
      </c>
      <c r="C42" s="3">
        <v>0</v>
      </c>
      <c r="D42" s="3">
        <v>0</v>
      </c>
      <c r="E42" s="3" t="s">
        <v>180</v>
      </c>
      <c r="F42" s="11" t="s">
        <v>141</v>
      </c>
      <c r="G42" s="11" t="s">
        <v>159</v>
      </c>
      <c r="I42" t="s">
        <v>181</v>
      </c>
      <c r="J42" t="s">
        <v>182</v>
      </c>
      <c r="K42" t="s">
        <v>145</v>
      </c>
      <c r="L42">
        <v>72</v>
      </c>
      <c r="S42" s="6">
        <v>19.7</v>
      </c>
      <c r="U42" s="6">
        <v>2.9870000000000001</v>
      </c>
      <c r="V42" s="6">
        <v>7.87</v>
      </c>
      <c r="W42"/>
      <c r="Y42" t="s">
        <v>146</v>
      </c>
      <c r="AD42">
        <v>40</v>
      </c>
      <c r="AE42" t="s">
        <v>147</v>
      </c>
      <c r="AF42">
        <v>28</v>
      </c>
      <c r="AI42" t="s">
        <v>241</v>
      </c>
      <c r="AN42">
        <v>46.3</v>
      </c>
      <c r="AO42">
        <v>17.600000000000001</v>
      </c>
      <c r="AP42" t="s">
        <v>242</v>
      </c>
      <c r="AQ42" t="s">
        <v>243</v>
      </c>
    </row>
    <row r="43" spans="1:44" x14ac:dyDescent="0.25">
      <c r="A43" s="3" t="s">
        <v>22</v>
      </c>
      <c r="B43" s="3">
        <v>0</v>
      </c>
      <c r="C43" s="3">
        <v>0</v>
      </c>
      <c r="D43" s="3">
        <v>1</v>
      </c>
      <c r="E43" s="23" t="s">
        <v>244</v>
      </c>
      <c r="F43" s="11" t="s">
        <v>169</v>
      </c>
      <c r="G43" s="11" t="s">
        <v>170</v>
      </c>
      <c r="H43" s="11" t="s">
        <v>245</v>
      </c>
      <c r="I43" s="3" t="s">
        <v>143</v>
      </c>
      <c r="J43" s="3" t="s">
        <v>144</v>
      </c>
      <c r="K43" t="s">
        <v>145</v>
      </c>
      <c r="L43">
        <v>384</v>
      </c>
      <c r="N43" t="s">
        <v>156</v>
      </c>
      <c r="S43" s="26">
        <f>100-33.3</f>
        <v>66.7</v>
      </c>
      <c r="T43" s="6">
        <v>8.4</v>
      </c>
      <c r="U43" s="25">
        <f>0.72/(S43/100)</f>
        <v>1.0794602698650673</v>
      </c>
      <c r="V43" s="25">
        <f>2.98/(S43/100)</f>
        <v>4.4677661169415286</v>
      </c>
      <c r="W43"/>
      <c r="X43" t="s">
        <v>172</v>
      </c>
      <c r="Y43" t="s">
        <v>146</v>
      </c>
      <c r="AD43">
        <v>20.8</v>
      </c>
      <c r="AE43" t="s">
        <v>174</v>
      </c>
      <c r="AI43" t="s">
        <v>173</v>
      </c>
      <c r="AN43">
        <v>35</v>
      </c>
      <c r="AO43">
        <v>9</v>
      </c>
      <c r="AP43" t="s">
        <v>150</v>
      </c>
      <c r="AQ43" t="s">
        <v>246</v>
      </c>
    </row>
    <row r="44" spans="1:44" x14ac:dyDescent="0.25">
      <c r="A44" s="3" t="s">
        <v>22</v>
      </c>
      <c r="B44" s="3">
        <v>0</v>
      </c>
      <c r="C44" s="3">
        <v>0</v>
      </c>
      <c r="D44" s="3">
        <v>1</v>
      </c>
      <c r="E44" s="23" t="s">
        <v>244</v>
      </c>
      <c r="F44" s="11" t="s">
        <v>169</v>
      </c>
      <c r="G44" s="11" t="s">
        <v>170</v>
      </c>
      <c r="H44" s="11" t="s">
        <v>171</v>
      </c>
      <c r="I44" s="3" t="s">
        <v>143</v>
      </c>
      <c r="J44" s="3" t="s">
        <v>144</v>
      </c>
      <c r="K44" t="s">
        <v>145</v>
      </c>
      <c r="L44">
        <v>384</v>
      </c>
      <c r="N44" t="s">
        <v>156</v>
      </c>
      <c r="S44" s="26">
        <f>100-36.7</f>
        <v>63.3</v>
      </c>
      <c r="T44" s="6">
        <v>8.5</v>
      </c>
      <c r="U44" s="25">
        <f>0.57/(S44/100)</f>
        <v>0.90047393364928896</v>
      </c>
      <c r="V44" s="25">
        <f>2.67/(S44/100)</f>
        <v>4.218009478672986</v>
      </c>
      <c r="W44"/>
      <c r="X44" t="s">
        <v>172</v>
      </c>
      <c r="Y44" t="s">
        <v>146</v>
      </c>
      <c r="AD44">
        <v>27.9</v>
      </c>
      <c r="AE44" t="s">
        <v>174</v>
      </c>
      <c r="AI44" t="s">
        <v>173</v>
      </c>
      <c r="AN44">
        <v>57</v>
      </c>
      <c r="AO44">
        <v>12</v>
      </c>
      <c r="AP44" t="s">
        <v>150</v>
      </c>
      <c r="AQ44" t="s">
        <v>247</v>
      </c>
    </row>
    <row r="45" spans="1:44" x14ac:dyDescent="0.25">
      <c r="A45" s="3" t="s">
        <v>22</v>
      </c>
      <c r="B45" s="3">
        <v>0</v>
      </c>
      <c r="C45" s="3">
        <v>0</v>
      </c>
      <c r="D45" s="3">
        <v>1</v>
      </c>
      <c r="E45" s="23" t="s">
        <v>244</v>
      </c>
      <c r="F45" s="11" t="s">
        <v>169</v>
      </c>
      <c r="G45" s="11" t="s">
        <v>170</v>
      </c>
      <c r="H45" s="11" t="s">
        <v>175</v>
      </c>
      <c r="I45" s="3" t="s">
        <v>143</v>
      </c>
      <c r="J45" s="3" t="s">
        <v>144</v>
      </c>
      <c r="K45" t="s">
        <v>145</v>
      </c>
      <c r="L45">
        <v>384</v>
      </c>
      <c r="N45" t="s">
        <v>156</v>
      </c>
      <c r="S45" s="26">
        <f>100-79.5</f>
        <v>20.5</v>
      </c>
      <c r="T45" s="6">
        <v>6.5</v>
      </c>
      <c r="U45" s="25">
        <f>3.88/(S45/100)</f>
        <v>18.926829268292682</v>
      </c>
      <c r="V45" s="25">
        <f>6.26/(S45/100)</f>
        <v>30.536585365853661</v>
      </c>
      <c r="W45"/>
      <c r="X45" t="s">
        <v>172</v>
      </c>
      <c r="Y45" t="s">
        <v>146</v>
      </c>
      <c r="AD45">
        <v>12.6</v>
      </c>
      <c r="AE45" t="s">
        <v>174</v>
      </c>
      <c r="AI45" t="s">
        <v>173</v>
      </c>
      <c r="AN45">
        <v>37</v>
      </c>
      <c r="AO45">
        <v>23</v>
      </c>
      <c r="AP45" t="s">
        <v>150</v>
      </c>
      <c r="AQ45" t="s">
        <v>248</v>
      </c>
    </row>
    <row r="46" spans="1:44" x14ac:dyDescent="0.25">
      <c r="A46" s="3" t="s">
        <v>22</v>
      </c>
      <c r="B46" s="3">
        <v>0</v>
      </c>
      <c r="C46" s="3">
        <v>0</v>
      </c>
      <c r="D46" s="3">
        <v>1</v>
      </c>
      <c r="E46" s="23" t="s">
        <v>244</v>
      </c>
      <c r="F46" s="11" t="s">
        <v>169</v>
      </c>
      <c r="G46" s="11" t="s">
        <v>170</v>
      </c>
      <c r="H46" s="11" t="s">
        <v>249</v>
      </c>
      <c r="I46" s="3" t="s">
        <v>143</v>
      </c>
      <c r="J46" s="3" t="s">
        <v>144</v>
      </c>
      <c r="K46" t="s">
        <v>145</v>
      </c>
      <c r="L46">
        <v>384</v>
      </c>
      <c r="N46" t="s">
        <v>156</v>
      </c>
      <c r="S46" s="26">
        <f>100-41.6</f>
        <v>58.4</v>
      </c>
      <c r="T46" s="6">
        <v>8.4</v>
      </c>
      <c r="U46" s="25">
        <f>2.33/(S46/100)</f>
        <v>3.9897260273972606</v>
      </c>
      <c r="V46" s="25">
        <f>7.35/(S46/100)</f>
        <v>12.585616438356164</v>
      </c>
      <c r="W46"/>
      <c r="X46" t="s">
        <v>172</v>
      </c>
      <c r="Y46" t="s">
        <v>146</v>
      </c>
      <c r="AD46">
        <v>7.4</v>
      </c>
      <c r="AE46" t="s">
        <v>174</v>
      </c>
      <c r="AI46" t="s">
        <v>173</v>
      </c>
      <c r="AN46">
        <v>33</v>
      </c>
      <c r="AO46">
        <v>16</v>
      </c>
      <c r="AP46" t="s">
        <v>150</v>
      </c>
      <c r="AQ46" t="s">
        <v>250</v>
      </c>
    </row>
    <row r="47" spans="1:44" x14ac:dyDescent="0.25">
      <c r="A47" s="3" t="s">
        <v>22</v>
      </c>
      <c r="B47" s="3">
        <v>0</v>
      </c>
      <c r="C47" s="3">
        <v>0</v>
      </c>
      <c r="D47" s="3">
        <v>1</v>
      </c>
      <c r="E47" s="23" t="s">
        <v>244</v>
      </c>
      <c r="F47" s="11" t="s">
        <v>169</v>
      </c>
      <c r="G47" s="11" t="s">
        <v>170</v>
      </c>
      <c r="H47" s="11" t="s">
        <v>245</v>
      </c>
      <c r="I47" s="3" t="s">
        <v>143</v>
      </c>
      <c r="J47" s="3" t="s">
        <v>144</v>
      </c>
      <c r="K47" t="s">
        <v>145</v>
      </c>
      <c r="L47">
        <v>504</v>
      </c>
      <c r="N47" t="s">
        <v>251</v>
      </c>
      <c r="O47" t="s">
        <v>164</v>
      </c>
      <c r="Q47" t="s">
        <v>252</v>
      </c>
      <c r="S47" s="26">
        <f>100-23</f>
        <v>77</v>
      </c>
      <c r="T47" s="6">
        <v>8.8000000000000007</v>
      </c>
      <c r="U47" s="25">
        <f>1.22/(S47/100)</f>
        <v>1.5844155844155843</v>
      </c>
      <c r="V47" s="25">
        <f>2.89/(S47/100)</f>
        <v>3.7532467532467533</v>
      </c>
      <c r="W47"/>
      <c r="X47" t="s">
        <v>172</v>
      </c>
      <c r="Y47" t="s">
        <v>146</v>
      </c>
      <c r="AD47">
        <v>5.6</v>
      </c>
      <c r="AE47" t="s">
        <v>153</v>
      </c>
      <c r="AI47" t="s">
        <v>173</v>
      </c>
      <c r="AN47">
        <v>85</v>
      </c>
      <c r="AO47">
        <v>39</v>
      </c>
      <c r="AP47" t="s">
        <v>150</v>
      </c>
      <c r="AQ47" t="s">
        <v>253</v>
      </c>
    </row>
    <row r="48" spans="1:44" x14ac:dyDescent="0.25">
      <c r="A48" s="3" t="s">
        <v>22</v>
      </c>
      <c r="B48" s="3">
        <v>0</v>
      </c>
      <c r="C48" s="3">
        <v>0</v>
      </c>
      <c r="D48" s="3">
        <v>1</v>
      </c>
      <c r="E48" s="23" t="s">
        <v>244</v>
      </c>
      <c r="F48" s="11" t="s">
        <v>169</v>
      </c>
      <c r="G48" s="11" t="s">
        <v>170</v>
      </c>
      <c r="H48" s="11" t="s">
        <v>171</v>
      </c>
      <c r="I48" s="3" t="s">
        <v>143</v>
      </c>
      <c r="J48" s="3" t="s">
        <v>144</v>
      </c>
      <c r="K48" t="s">
        <v>145</v>
      </c>
      <c r="L48">
        <v>504</v>
      </c>
      <c r="N48" t="s">
        <v>251</v>
      </c>
      <c r="O48" t="s">
        <v>164</v>
      </c>
      <c r="Q48" t="s">
        <v>252</v>
      </c>
      <c r="S48" s="26">
        <f>100-32.1</f>
        <v>67.900000000000006</v>
      </c>
      <c r="T48" s="6">
        <v>8.9</v>
      </c>
      <c r="U48" s="25">
        <f>0.52/(S48/100)</f>
        <v>0.76583210603829155</v>
      </c>
      <c r="V48" s="25">
        <f>3.06/(S48/100)</f>
        <v>4.5066273932253313</v>
      </c>
      <c r="W48"/>
      <c r="X48" t="s">
        <v>172</v>
      </c>
      <c r="Y48" t="s">
        <v>146</v>
      </c>
      <c r="AD48">
        <v>6.8</v>
      </c>
      <c r="AE48" t="s">
        <v>153</v>
      </c>
      <c r="AI48" t="s">
        <v>173</v>
      </c>
      <c r="AN48">
        <v>70</v>
      </c>
      <c r="AO48">
        <v>12</v>
      </c>
      <c r="AP48" t="s">
        <v>150</v>
      </c>
      <c r="AQ48" t="s">
        <v>254</v>
      </c>
    </row>
    <row r="49" spans="1:44" x14ac:dyDescent="0.25">
      <c r="A49" s="3" t="s">
        <v>22</v>
      </c>
      <c r="B49" s="3">
        <v>0</v>
      </c>
      <c r="C49" s="3">
        <v>0</v>
      </c>
      <c r="D49" s="3">
        <v>1</v>
      </c>
      <c r="E49" s="23" t="s">
        <v>244</v>
      </c>
      <c r="F49" s="11" t="s">
        <v>169</v>
      </c>
      <c r="G49" s="11" t="s">
        <v>170</v>
      </c>
      <c r="H49" s="11" t="s">
        <v>175</v>
      </c>
      <c r="I49" s="3" t="s">
        <v>143</v>
      </c>
      <c r="J49" s="3" t="s">
        <v>144</v>
      </c>
      <c r="K49" t="s">
        <v>145</v>
      </c>
      <c r="L49">
        <v>504</v>
      </c>
      <c r="N49" t="s">
        <v>251</v>
      </c>
      <c r="O49" t="s">
        <v>164</v>
      </c>
      <c r="Q49" t="s">
        <v>252</v>
      </c>
      <c r="S49" s="26">
        <f>100-13.4</f>
        <v>86.6</v>
      </c>
      <c r="T49" s="6">
        <v>7.9</v>
      </c>
      <c r="U49" s="25">
        <f>0.82/(S49/100)</f>
        <v>0.94688221709006926</v>
      </c>
      <c r="V49" s="25">
        <f>5.9/(S49/100)</f>
        <v>6.8129330254041571</v>
      </c>
      <c r="W49"/>
      <c r="X49" t="s">
        <v>172</v>
      </c>
      <c r="Y49" t="s">
        <v>146</v>
      </c>
      <c r="AD49">
        <v>3</v>
      </c>
      <c r="AE49" t="s">
        <v>153</v>
      </c>
      <c r="AI49" t="s">
        <v>173</v>
      </c>
      <c r="AN49">
        <v>40</v>
      </c>
      <c r="AO49">
        <v>6</v>
      </c>
      <c r="AP49" t="s">
        <v>150</v>
      </c>
      <c r="AQ49" t="s">
        <v>255</v>
      </c>
    </row>
    <row r="50" spans="1:44" x14ac:dyDescent="0.25">
      <c r="A50" s="3" t="s">
        <v>22</v>
      </c>
      <c r="B50" s="3">
        <v>0</v>
      </c>
      <c r="C50" s="3">
        <v>0</v>
      </c>
      <c r="D50" s="3">
        <v>1</v>
      </c>
      <c r="E50" s="23" t="s">
        <v>244</v>
      </c>
      <c r="F50" s="11" t="s">
        <v>169</v>
      </c>
      <c r="G50" s="11" t="s">
        <v>170</v>
      </c>
      <c r="H50" s="11" t="s">
        <v>249</v>
      </c>
      <c r="I50" s="3" t="s">
        <v>143</v>
      </c>
      <c r="J50" s="3" t="s">
        <v>144</v>
      </c>
      <c r="K50" t="s">
        <v>145</v>
      </c>
      <c r="L50">
        <v>504</v>
      </c>
      <c r="N50" t="s">
        <v>251</v>
      </c>
      <c r="O50" t="s">
        <v>164</v>
      </c>
      <c r="Q50" t="s">
        <v>252</v>
      </c>
      <c r="S50" s="26">
        <f>100-39</f>
        <v>61</v>
      </c>
      <c r="T50" s="6">
        <v>5.9</v>
      </c>
      <c r="U50" s="25">
        <f>1.84/(S50/100)</f>
        <v>3.0163934426229511</v>
      </c>
      <c r="V50" s="25">
        <f>7.53/(S50/100)</f>
        <v>12.344262295081968</v>
      </c>
      <c r="W50"/>
      <c r="X50" t="s">
        <v>172</v>
      </c>
      <c r="Y50" t="s">
        <v>146</v>
      </c>
      <c r="AD50">
        <v>3</v>
      </c>
      <c r="AE50" t="s">
        <v>153</v>
      </c>
      <c r="AI50" t="s">
        <v>173</v>
      </c>
      <c r="AN50">
        <v>26</v>
      </c>
      <c r="AO50">
        <v>10</v>
      </c>
      <c r="AP50" t="s">
        <v>150</v>
      </c>
      <c r="AQ50" t="s">
        <v>256</v>
      </c>
    </row>
    <row r="51" spans="1:44" x14ac:dyDescent="0.25">
      <c r="A51" s="3" t="s">
        <v>22</v>
      </c>
      <c r="B51" s="3">
        <v>0</v>
      </c>
      <c r="C51" s="3">
        <v>0</v>
      </c>
      <c r="D51" s="3">
        <v>1</v>
      </c>
      <c r="E51" s="23" t="s">
        <v>244</v>
      </c>
      <c r="F51" s="11" t="s">
        <v>169</v>
      </c>
      <c r="G51" s="11" t="s">
        <v>170</v>
      </c>
      <c r="H51" s="11" t="s">
        <v>245</v>
      </c>
      <c r="I51" s="3" t="s">
        <v>143</v>
      </c>
      <c r="J51" s="3" t="s">
        <v>144</v>
      </c>
      <c r="K51" t="s">
        <v>145</v>
      </c>
      <c r="L51">
        <v>528</v>
      </c>
      <c r="N51" t="s">
        <v>156</v>
      </c>
      <c r="S51" s="26">
        <f>100-31.7</f>
        <v>68.3</v>
      </c>
      <c r="T51" s="6">
        <v>7.3</v>
      </c>
      <c r="U51" s="25">
        <f>1.2/(S51/100)</f>
        <v>1.7569546120058566</v>
      </c>
      <c r="V51" s="25">
        <f>4.26/(S51/100)</f>
        <v>6.2371888726207905</v>
      </c>
      <c r="W51"/>
      <c r="X51" t="s">
        <v>172</v>
      </c>
      <c r="Y51" t="s">
        <v>146</v>
      </c>
      <c r="AD51">
        <v>5.2</v>
      </c>
      <c r="AE51" t="s">
        <v>174</v>
      </c>
      <c r="AI51" t="s">
        <v>173</v>
      </c>
      <c r="AN51">
        <v>71</v>
      </c>
      <c r="AO51">
        <v>20</v>
      </c>
      <c r="AP51" t="s">
        <v>150</v>
      </c>
      <c r="AQ51" t="s">
        <v>257</v>
      </c>
    </row>
    <row r="52" spans="1:44" x14ac:dyDescent="0.25">
      <c r="A52" s="3" t="s">
        <v>22</v>
      </c>
      <c r="B52" s="3">
        <v>0</v>
      </c>
      <c r="C52" s="3">
        <v>0</v>
      </c>
      <c r="D52" s="3">
        <v>1</v>
      </c>
      <c r="E52" s="23" t="s">
        <v>244</v>
      </c>
      <c r="F52" s="11" t="s">
        <v>169</v>
      </c>
      <c r="G52" s="11" t="s">
        <v>170</v>
      </c>
      <c r="H52" s="11" t="s">
        <v>171</v>
      </c>
      <c r="I52" s="3" t="s">
        <v>143</v>
      </c>
      <c r="J52" s="3" t="s">
        <v>144</v>
      </c>
      <c r="K52" t="s">
        <v>145</v>
      </c>
      <c r="L52">
        <v>528</v>
      </c>
      <c r="N52" t="s">
        <v>156</v>
      </c>
      <c r="S52" s="26">
        <f>100-22.1</f>
        <v>77.900000000000006</v>
      </c>
      <c r="T52" s="6">
        <v>7.5</v>
      </c>
      <c r="U52" s="25">
        <f>0.9/(S52/100)</f>
        <v>1.1553273427471116</v>
      </c>
      <c r="V52" s="25">
        <f>4.73/(S52/100)</f>
        <v>6.071887034659821</v>
      </c>
      <c r="W52"/>
      <c r="X52" t="s">
        <v>172</v>
      </c>
      <c r="Y52" t="s">
        <v>146</v>
      </c>
      <c r="AD52">
        <v>4.0999999999999996</v>
      </c>
      <c r="AE52" t="s">
        <v>174</v>
      </c>
      <c r="AI52" t="s">
        <v>173</v>
      </c>
      <c r="AN52">
        <v>46</v>
      </c>
      <c r="AO52">
        <v>9</v>
      </c>
      <c r="AP52" t="s">
        <v>150</v>
      </c>
      <c r="AQ52" t="s">
        <v>258</v>
      </c>
    </row>
    <row r="53" spans="1:44" x14ac:dyDescent="0.25">
      <c r="A53" s="3" t="s">
        <v>22</v>
      </c>
      <c r="B53" s="3">
        <v>0</v>
      </c>
      <c r="C53" s="3">
        <v>0</v>
      </c>
      <c r="D53" s="3">
        <v>1</v>
      </c>
      <c r="E53" s="23" t="s">
        <v>244</v>
      </c>
      <c r="F53" s="11" t="s">
        <v>169</v>
      </c>
      <c r="G53" s="11" t="s">
        <v>170</v>
      </c>
      <c r="H53" s="11" t="s">
        <v>175</v>
      </c>
      <c r="I53" s="3" t="s">
        <v>143</v>
      </c>
      <c r="J53" s="3" t="s">
        <v>144</v>
      </c>
      <c r="K53" t="s">
        <v>145</v>
      </c>
      <c r="L53">
        <v>528</v>
      </c>
      <c r="N53" t="s">
        <v>156</v>
      </c>
      <c r="S53" s="26">
        <f>100-53.7</f>
        <v>46.3</v>
      </c>
      <c r="T53" s="6">
        <v>7.3</v>
      </c>
      <c r="U53" s="25">
        <f>2.53/(S53/100)</f>
        <v>5.4643628509719226</v>
      </c>
      <c r="V53" s="25">
        <f>4.55/(S53/100)</f>
        <v>9.8272138228941692</v>
      </c>
      <c r="W53"/>
      <c r="X53" t="s">
        <v>172</v>
      </c>
      <c r="Y53" t="s">
        <v>146</v>
      </c>
      <c r="AD53">
        <v>7.1</v>
      </c>
      <c r="AE53" t="s">
        <v>174</v>
      </c>
      <c r="AI53" t="s">
        <v>173</v>
      </c>
      <c r="AN53">
        <v>33</v>
      </c>
      <c r="AO53">
        <v>18</v>
      </c>
      <c r="AP53" t="s">
        <v>150</v>
      </c>
      <c r="AQ53" t="s">
        <v>259</v>
      </c>
    </row>
    <row r="54" spans="1:44" x14ac:dyDescent="0.25">
      <c r="A54" s="3" t="s">
        <v>22</v>
      </c>
      <c r="B54" s="3">
        <v>0</v>
      </c>
      <c r="C54" s="3">
        <v>0</v>
      </c>
      <c r="D54" s="3">
        <v>1</v>
      </c>
      <c r="E54" s="23" t="s">
        <v>244</v>
      </c>
      <c r="F54" s="11" t="s">
        <v>169</v>
      </c>
      <c r="G54" s="11" t="s">
        <v>170</v>
      </c>
      <c r="H54" s="11" t="s">
        <v>249</v>
      </c>
      <c r="I54" s="3" t="s">
        <v>143</v>
      </c>
      <c r="J54" s="3" t="s">
        <v>144</v>
      </c>
      <c r="K54" t="s">
        <v>145</v>
      </c>
      <c r="L54">
        <v>528</v>
      </c>
      <c r="N54" t="s">
        <v>156</v>
      </c>
      <c r="S54" s="26">
        <f>100-29.6</f>
        <v>70.400000000000006</v>
      </c>
      <c r="T54" s="6">
        <v>6.7</v>
      </c>
      <c r="U54" s="25">
        <f>1.26/(S54/100)</f>
        <v>1.7897727272727271</v>
      </c>
      <c r="V54" s="25">
        <f>5.95/(S54/100)</f>
        <v>8.451704545454545</v>
      </c>
      <c r="W54"/>
      <c r="X54" t="s">
        <v>172</v>
      </c>
      <c r="Y54" t="s">
        <v>146</v>
      </c>
      <c r="AD54">
        <v>3.6</v>
      </c>
      <c r="AE54" t="s">
        <v>174</v>
      </c>
      <c r="AI54" t="s">
        <v>173</v>
      </c>
      <c r="AN54">
        <v>65</v>
      </c>
      <c r="AO54">
        <v>14</v>
      </c>
      <c r="AP54" t="s">
        <v>150</v>
      </c>
      <c r="AQ54" t="s">
        <v>260</v>
      </c>
    </row>
    <row r="55" spans="1:44" ht="12" customHeight="1" x14ac:dyDescent="0.25">
      <c r="A55" s="3" t="s">
        <v>23</v>
      </c>
      <c r="B55" s="3">
        <v>0</v>
      </c>
      <c r="C55" s="3">
        <v>0</v>
      </c>
      <c r="D55" s="3">
        <v>1</v>
      </c>
      <c r="E55" s="3" t="s">
        <v>261</v>
      </c>
      <c r="F55" s="11" t="s">
        <v>141</v>
      </c>
      <c r="H55" s="3"/>
      <c r="I55" t="s">
        <v>143</v>
      </c>
      <c r="J55" s="3" t="s">
        <v>144</v>
      </c>
      <c r="K55" t="s">
        <v>145</v>
      </c>
      <c r="Q55">
        <v>4</v>
      </c>
      <c r="S55" s="6">
        <v>22.7</v>
      </c>
      <c r="T55" s="6">
        <v>6.7</v>
      </c>
      <c r="U55" s="6">
        <v>0.7</v>
      </c>
      <c r="V55" s="6">
        <v>4.9000000000000004</v>
      </c>
      <c r="W55"/>
      <c r="X55" t="s">
        <v>172</v>
      </c>
      <c r="Y55" t="s">
        <v>146</v>
      </c>
      <c r="AD55" s="20">
        <f>100/V55</f>
        <v>20.408163265306122</v>
      </c>
      <c r="AE55" t="s">
        <v>174</v>
      </c>
      <c r="AF55">
        <v>12</v>
      </c>
      <c r="AI55" t="s">
        <v>179</v>
      </c>
      <c r="AJ55">
        <v>47</v>
      </c>
      <c r="AK55" t="s">
        <v>149</v>
      </c>
      <c r="AL55">
        <v>0.75</v>
      </c>
      <c r="AN55" s="20">
        <f>5.7/(U55*AD55)*100</f>
        <v>39.900000000000006</v>
      </c>
      <c r="AO55" s="19">
        <f>AN55*U55/V55</f>
        <v>5.7</v>
      </c>
      <c r="AP55" t="s">
        <v>162</v>
      </c>
      <c r="AQ55" t="s">
        <v>262</v>
      </c>
    </row>
    <row r="56" spans="1:44" x14ac:dyDescent="0.25">
      <c r="A56" s="3" t="s">
        <v>23</v>
      </c>
      <c r="B56" s="3">
        <v>0</v>
      </c>
      <c r="C56" s="3">
        <v>0</v>
      </c>
      <c r="D56" s="3">
        <v>1</v>
      </c>
      <c r="E56" s="3" t="s">
        <v>261</v>
      </c>
      <c r="F56" s="11" t="s">
        <v>141</v>
      </c>
      <c r="H56" s="3"/>
      <c r="I56" t="s">
        <v>143</v>
      </c>
      <c r="J56" s="3" t="s">
        <v>144</v>
      </c>
      <c r="K56" t="s">
        <v>145</v>
      </c>
      <c r="Q56">
        <v>4</v>
      </c>
      <c r="S56" s="6">
        <v>24.5</v>
      </c>
      <c r="T56" s="6">
        <v>8.5</v>
      </c>
      <c r="U56" s="6">
        <v>0.7</v>
      </c>
      <c r="V56" s="6">
        <v>6.8</v>
      </c>
      <c r="W56"/>
      <c r="X56" t="s">
        <v>172</v>
      </c>
      <c r="Y56" t="s">
        <v>146</v>
      </c>
      <c r="AD56" s="20">
        <f>100/V56</f>
        <v>14.705882352941178</v>
      </c>
      <c r="AE56" t="s">
        <v>147</v>
      </c>
      <c r="AF56">
        <v>24</v>
      </c>
      <c r="AI56" t="s">
        <v>179</v>
      </c>
      <c r="AJ56">
        <v>47</v>
      </c>
      <c r="AK56" t="s">
        <v>149</v>
      </c>
      <c r="AL56">
        <v>0.75</v>
      </c>
      <c r="AN56" s="20">
        <f>4.4/(U56*AD56)*100</f>
        <v>42.74285714285714</v>
      </c>
      <c r="AO56" s="19">
        <f>AN56*U56/V56</f>
        <v>4.3999999999999995</v>
      </c>
      <c r="AP56" t="s">
        <v>162</v>
      </c>
      <c r="AQ56" t="s">
        <v>263</v>
      </c>
    </row>
    <row r="57" spans="1:44" x14ac:dyDescent="0.25">
      <c r="A57" s="3" t="s">
        <v>23</v>
      </c>
      <c r="B57" s="3">
        <v>0</v>
      </c>
      <c r="C57" s="3">
        <v>0</v>
      </c>
      <c r="D57" s="3">
        <v>1</v>
      </c>
      <c r="E57" s="3" t="s">
        <v>261</v>
      </c>
      <c r="F57" s="11" t="s">
        <v>141</v>
      </c>
      <c r="H57" s="3"/>
      <c r="I57" t="s">
        <v>143</v>
      </c>
      <c r="J57" s="3" t="s">
        <v>144</v>
      </c>
      <c r="K57" t="s">
        <v>145</v>
      </c>
      <c r="Q57">
        <v>4</v>
      </c>
      <c r="S57" s="6">
        <v>21</v>
      </c>
      <c r="T57" s="6">
        <v>8.4</v>
      </c>
      <c r="U57" s="6">
        <v>0.8</v>
      </c>
      <c r="V57" s="6">
        <v>5.7</v>
      </c>
      <c r="W57"/>
      <c r="X57" t="s">
        <v>172</v>
      </c>
      <c r="Y57" t="s">
        <v>146</v>
      </c>
      <c r="AD57" s="20">
        <f>100/V57</f>
        <v>17.543859649122805</v>
      </c>
      <c r="AE57" t="s">
        <v>153</v>
      </c>
      <c r="AF57">
        <v>15</v>
      </c>
      <c r="AI57" t="s">
        <v>179</v>
      </c>
      <c r="AJ57">
        <v>47</v>
      </c>
      <c r="AK57" t="s">
        <v>149</v>
      </c>
      <c r="AL57">
        <v>0.75</v>
      </c>
      <c r="AN57" s="20">
        <f>6.4/(U57*AD57)*100</f>
        <v>45.600000000000009</v>
      </c>
      <c r="AO57" s="19">
        <f>AN57*U57/V57</f>
        <v>6.4000000000000021</v>
      </c>
      <c r="AP57" t="s">
        <v>162</v>
      </c>
      <c r="AQ57" t="s">
        <v>264</v>
      </c>
    </row>
    <row r="58" spans="1:44" x14ac:dyDescent="0.25">
      <c r="A58" s="3" t="s">
        <v>25</v>
      </c>
      <c r="B58" s="3">
        <v>1</v>
      </c>
      <c r="C58" s="3">
        <v>0</v>
      </c>
      <c r="D58" s="3">
        <v>0</v>
      </c>
      <c r="E58" s="3" t="s">
        <v>266</v>
      </c>
      <c r="F58" s="11" t="s">
        <v>169</v>
      </c>
      <c r="G58" s="11" t="s">
        <v>170</v>
      </c>
      <c r="H58" s="11" t="s">
        <v>171</v>
      </c>
      <c r="I58" s="3" t="s">
        <v>181</v>
      </c>
      <c r="J58" t="s">
        <v>228</v>
      </c>
      <c r="K58" t="s">
        <v>145</v>
      </c>
      <c r="L58">
        <v>336</v>
      </c>
      <c r="U58" s="6">
        <v>3.8</v>
      </c>
      <c r="V58" s="6">
        <v>34.6</v>
      </c>
      <c r="W58"/>
      <c r="X58" t="s">
        <v>172</v>
      </c>
      <c r="Y58" t="s">
        <v>146</v>
      </c>
      <c r="AD58">
        <v>4.0999999999999996</v>
      </c>
      <c r="AG58">
        <v>19.3</v>
      </c>
      <c r="AH58">
        <v>67.099999999999994</v>
      </c>
      <c r="AI58" t="s">
        <v>179</v>
      </c>
      <c r="AM58">
        <v>0.26</v>
      </c>
      <c r="AN58">
        <v>29.3</v>
      </c>
      <c r="AO58">
        <v>2.7</v>
      </c>
      <c r="AP58" t="s">
        <v>150</v>
      </c>
      <c r="AQ58" t="s">
        <v>267</v>
      </c>
    </row>
    <row r="59" spans="1:44" x14ac:dyDescent="0.25">
      <c r="A59" s="3" t="s">
        <v>25</v>
      </c>
      <c r="B59" s="3">
        <v>1</v>
      </c>
      <c r="C59" s="3">
        <v>0</v>
      </c>
      <c r="D59" s="3">
        <v>0</v>
      </c>
      <c r="E59" s="3" t="s">
        <v>266</v>
      </c>
      <c r="F59" s="11" t="s">
        <v>169</v>
      </c>
      <c r="G59" s="11" t="s">
        <v>170</v>
      </c>
      <c r="H59" s="11" t="s">
        <v>171</v>
      </c>
      <c r="I59" s="3" t="s">
        <v>181</v>
      </c>
      <c r="J59" t="s">
        <v>228</v>
      </c>
      <c r="K59" t="s">
        <v>145</v>
      </c>
      <c r="L59">
        <v>336</v>
      </c>
      <c r="U59" s="6">
        <v>3.8</v>
      </c>
      <c r="V59" s="6">
        <v>41.2</v>
      </c>
      <c r="W59"/>
      <c r="X59" t="s">
        <v>172</v>
      </c>
      <c r="Y59" t="s">
        <v>146</v>
      </c>
      <c r="AD59">
        <v>2.5</v>
      </c>
      <c r="AG59">
        <v>18.3</v>
      </c>
      <c r="AH59">
        <v>27.2</v>
      </c>
      <c r="AI59" t="s">
        <v>179</v>
      </c>
      <c r="AM59">
        <v>0.28000000000000003</v>
      </c>
      <c r="AN59">
        <v>46.1</v>
      </c>
      <c r="AO59">
        <v>3.8</v>
      </c>
      <c r="AP59" t="s">
        <v>150</v>
      </c>
      <c r="AQ59" t="s">
        <v>268</v>
      </c>
    </row>
    <row r="60" spans="1:44" x14ac:dyDescent="0.25">
      <c r="A60" s="3" t="s">
        <v>25</v>
      </c>
      <c r="B60" s="3">
        <v>1</v>
      </c>
      <c r="C60" s="3">
        <v>0</v>
      </c>
      <c r="D60" s="3">
        <v>0</v>
      </c>
      <c r="E60" s="3" t="s">
        <v>266</v>
      </c>
      <c r="F60" s="11" t="s">
        <v>169</v>
      </c>
      <c r="G60" s="11" t="s">
        <v>170</v>
      </c>
      <c r="H60" s="11" t="s">
        <v>171</v>
      </c>
      <c r="I60" s="3" t="s">
        <v>181</v>
      </c>
      <c r="J60" t="s">
        <v>228</v>
      </c>
      <c r="K60" t="s">
        <v>145</v>
      </c>
      <c r="L60">
        <v>336</v>
      </c>
      <c r="U60" s="6">
        <v>10.1</v>
      </c>
      <c r="V60" s="6">
        <v>44.4</v>
      </c>
      <c r="W60"/>
      <c r="X60" t="s">
        <v>172</v>
      </c>
      <c r="Y60" t="s">
        <v>146</v>
      </c>
      <c r="AD60">
        <v>3.7</v>
      </c>
      <c r="AG60">
        <v>18.600000000000001</v>
      </c>
      <c r="AH60">
        <v>14.7</v>
      </c>
      <c r="AI60" t="s">
        <v>173</v>
      </c>
      <c r="AM60">
        <v>0.11</v>
      </c>
      <c r="AN60">
        <v>28.1</v>
      </c>
      <c r="AO60">
        <v>6.4</v>
      </c>
      <c r="AP60" t="s">
        <v>150</v>
      </c>
      <c r="AQ60" t="s">
        <v>269</v>
      </c>
    </row>
    <row r="61" spans="1:44" x14ac:dyDescent="0.25">
      <c r="A61" s="3" t="s">
        <v>25</v>
      </c>
      <c r="B61" s="3">
        <v>1</v>
      </c>
      <c r="C61" s="3">
        <v>0</v>
      </c>
      <c r="D61" s="3">
        <v>0</v>
      </c>
      <c r="E61" s="3" t="s">
        <v>266</v>
      </c>
      <c r="F61" s="11" t="s">
        <v>169</v>
      </c>
      <c r="G61" s="11" t="s">
        <v>170</v>
      </c>
      <c r="H61" s="11" t="s">
        <v>171</v>
      </c>
      <c r="I61" s="3" t="s">
        <v>181</v>
      </c>
      <c r="J61" t="s">
        <v>228</v>
      </c>
      <c r="K61" t="s">
        <v>145</v>
      </c>
      <c r="L61">
        <v>336</v>
      </c>
      <c r="U61" s="6">
        <v>8.1999999999999993</v>
      </c>
      <c r="V61" s="6">
        <v>59.3</v>
      </c>
      <c r="W61"/>
      <c r="X61" t="s">
        <v>172</v>
      </c>
      <c r="Y61" t="s">
        <v>146</v>
      </c>
      <c r="AD61">
        <v>2.5</v>
      </c>
      <c r="AG61">
        <v>17.7</v>
      </c>
      <c r="AH61">
        <v>41.5</v>
      </c>
      <c r="AI61" t="s">
        <v>173</v>
      </c>
      <c r="AM61">
        <v>0.13</v>
      </c>
      <c r="AN61">
        <v>37.200000000000003</v>
      </c>
      <c r="AO61">
        <v>5.0999999999999996</v>
      </c>
      <c r="AP61" t="s">
        <v>150</v>
      </c>
      <c r="AQ61" t="s">
        <v>270</v>
      </c>
    </row>
    <row r="62" spans="1:44" x14ac:dyDescent="0.25">
      <c r="A62" s="3" t="s">
        <v>25</v>
      </c>
      <c r="B62" s="3">
        <v>1</v>
      </c>
      <c r="C62" s="3">
        <v>0</v>
      </c>
      <c r="D62" s="3">
        <v>0</v>
      </c>
      <c r="E62" s="3" t="s">
        <v>266</v>
      </c>
      <c r="F62" s="11" t="s">
        <v>169</v>
      </c>
      <c r="G62" s="11" t="s">
        <v>170</v>
      </c>
      <c r="H62" s="11" t="s">
        <v>171</v>
      </c>
      <c r="I62" s="3" t="s">
        <v>181</v>
      </c>
      <c r="J62" t="s">
        <v>228</v>
      </c>
      <c r="K62" t="s">
        <v>145</v>
      </c>
      <c r="L62">
        <v>336</v>
      </c>
      <c r="V62" s="6">
        <v>21</v>
      </c>
      <c r="W62"/>
      <c r="X62" t="s">
        <v>172</v>
      </c>
      <c r="Y62" t="s">
        <v>146</v>
      </c>
      <c r="AD62">
        <v>12</v>
      </c>
      <c r="AG62">
        <v>19.8</v>
      </c>
      <c r="AH62">
        <v>16.3</v>
      </c>
      <c r="AI62" t="s">
        <v>271</v>
      </c>
      <c r="AM62">
        <v>0.22</v>
      </c>
      <c r="AO62">
        <v>3.4</v>
      </c>
      <c r="AP62" t="s">
        <v>150</v>
      </c>
      <c r="AQ62" t="s">
        <v>272</v>
      </c>
    </row>
    <row r="63" spans="1:44" x14ac:dyDescent="0.25">
      <c r="A63" s="3" t="s">
        <v>25</v>
      </c>
      <c r="B63" s="3">
        <v>1</v>
      </c>
      <c r="C63" s="3">
        <v>0</v>
      </c>
      <c r="D63" s="3">
        <v>0</v>
      </c>
      <c r="E63" s="3" t="s">
        <v>266</v>
      </c>
      <c r="F63" s="11" t="s">
        <v>169</v>
      </c>
      <c r="G63" s="11" t="s">
        <v>170</v>
      </c>
      <c r="H63" s="11" t="s">
        <v>171</v>
      </c>
      <c r="I63" s="3" t="s">
        <v>181</v>
      </c>
      <c r="J63" t="s">
        <v>228</v>
      </c>
      <c r="K63" t="s">
        <v>145</v>
      </c>
      <c r="L63">
        <v>336</v>
      </c>
      <c r="V63" s="6">
        <v>24.8</v>
      </c>
      <c r="W63"/>
      <c r="X63" t="s">
        <v>172</v>
      </c>
      <c r="Y63" t="s">
        <v>146</v>
      </c>
      <c r="AD63">
        <v>8.1999999999999993</v>
      </c>
      <c r="AG63">
        <v>20.8</v>
      </c>
      <c r="AH63">
        <v>16.3</v>
      </c>
      <c r="AI63" t="s">
        <v>271</v>
      </c>
      <c r="AM63">
        <v>0.2</v>
      </c>
      <c r="AO63">
        <v>1.7</v>
      </c>
      <c r="AP63" t="s">
        <v>150</v>
      </c>
      <c r="AQ63" t="s">
        <v>273</v>
      </c>
    </row>
    <row r="64" spans="1:44" x14ac:dyDescent="0.25">
      <c r="A64" s="3" t="s">
        <v>28</v>
      </c>
      <c r="B64" s="3">
        <v>1</v>
      </c>
      <c r="C64" s="3">
        <v>0</v>
      </c>
      <c r="D64" s="3">
        <v>1</v>
      </c>
      <c r="E64" s="3" t="s">
        <v>158</v>
      </c>
      <c r="F64" s="11" t="s">
        <v>141</v>
      </c>
      <c r="G64" s="11" t="s">
        <v>176</v>
      </c>
      <c r="I64" s="3" t="s">
        <v>181</v>
      </c>
      <c r="J64" s="3" t="s">
        <v>182</v>
      </c>
      <c r="K64" s="3" t="s">
        <v>145</v>
      </c>
      <c r="L64">
        <v>120</v>
      </c>
      <c r="S64" s="25">
        <f>AVERAGE(24.3,21.4,27)</f>
        <v>24.233333333333334</v>
      </c>
      <c r="T64" s="32">
        <f>AVERAGE(8.6,8.8,8.9)</f>
        <v>8.7666666666666657</v>
      </c>
      <c r="U64" s="32">
        <f>AVERAGE(0.61,0.47,0.77)</f>
        <v>0.6166666666666667</v>
      </c>
      <c r="V64" s="32">
        <f>AVERAGE(5.13,4.71,4.78)</f>
        <v>4.873333333333334</v>
      </c>
      <c r="W64"/>
      <c r="Y64" t="s">
        <v>146</v>
      </c>
      <c r="AD64" s="19">
        <f>AVERAGE(55.7, 49.6, 54.1)</f>
        <v>53.133333333333333</v>
      </c>
      <c r="AE64" t="s">
        <v>174</v>
      </c>
      <c r="AN64">
        <v>69</v>
      </c>
      <c r="AO64" s="27">
        <f>AN64*U64/V64</f>
        <v>8.7311901504787954</v>
      </c>
      <c r="AP64" t="s">
        <v>265</v>
      </c>
      <c r="AQ64" t="s">
        <v>274</v>
      </c>
      <c r="AR64" t="s">
        <v>275</v>
      </c>
    </row>
    <row r="65" spans="1:44" x14ac:dyDescent="0.25">
      <c r="A65" s="3" t="s">
        <v>28</v>
      </c>
      <c r="B65" s="3">
        <v>1</v>
      </c>
      <c r="C65" s="3">
        <v>0</v>
      </c>
      <c r="D65" s="3">
        <v>1</v>
      </c>
      <c r="E65" s="3" t="s">
        <v>158</v>
      </c>
      <c r="F65" s="11" t="s">
        <v>169</v>
      </c>
      <c r="H65" s="11" t="s">
        <v>175</v>
      </c>
      <c r="I65" s="3" t="s">
        <v>181</v>
      </c>
      <c r="J65" s="3" t="s">
        <v>182</v>
      </c>
      <c r="K65" s="3" t="s">
        <v>145</v>
      </c>
      <c r="L65">
        <v>120</v>
      </c>
      <c r="S65" s="25">
        <f>AVERAGE(61.2,57.4,54.5)</f>
        <v>57.699999999999996</v>
      </c>
      <c r="T65" s="32">
        <f>AVERAGE(6.4,6.7,6.2)</f>
        <v>6.4333333333333336</v>
      </c>
      <c r="U65" s="32">
        <f>AVERAGE(15.5,14.5,13.8)</f>
        <v>14.6</v>
      </c>
      <c r="V65" s="32">
        <f>AVERAGE(30.2,28.3,26.9)</f>
        <v>28.466666666666669</v>
      </c>
      <c r="W65" s="32">
        <f>AVERAGE(4.7,4.4,4.1)</f>
        <v>4.4000000000000004</v>
      </c>
      <c r="Y65" t="s">
        <v>146</v>
      </c>
      <c r="AD65" s="19">
        <f>AVERAGE(21.4,21.5,21.8)</f>
        <v>21.566666666666666</v>
      </c>
      <c r="AE65" t="s">
        <v>147</v>
      </c>
      <c r="AN65" s="27">
        <f>54*SUM(W65,U65)/U65</f>
        <v>70.273972602739732</v>
      </c>
      <c r="AO65" s="31">
        <f>54*SUM(U65,W65)/V65</f>
        <v>36.042154566744728</v>
      </c>
      <c r="AP65" t="s">
        <v>265</v>
      </c>
      <c r="AQ65" t="s">
        <v>276</v>
      </c>
      <c r="AR65" t="s">
        <v>277</v>
      </c>
    </row>
    <row r="66" spans="1:44" x14ac:dyDescent="0.25">
      <c r="A66" s="3" t="s">
        <v>28</v>
      </c>
      <c r="B66" s="3">
        <v>1</v>
      </c>
      <c r="C66" s="3">
        <v>0</v>
      </c>
      <c r="D66" s="3">
        <v>1</v>
      </c>
      <c r="E66" s="3" t="s">
        <v>158</v>
      </c>
      <c r="F66" s="11" t="s">
        <v>169</v>
      </c>
      <c r="G66" s="11" t="s">
        <v>170</v>
      </c>
      <c r="H66" s="11" t="s">
        <v>175</v>
      </c>
      <c r="I66" s="3" t="s">
        <v>181</v>
      </c>
      <c r="J66" s="3" t="s">
        <v>182</v>
      </c>
      <c r="K66" s="3" t="s">
        <v>145</v>
      </c>
      <c r="L66">
        <v>120</v>
      </c>
      <c r="R66" t="s">
        <v>278</v>
      </c>
      <c r="S66" s="25">
        <f>AVERAGE(41.6,44.4,38.9)</f>
        <v>41.633333333333333</v>
      </c>
      <c r="T66" s="32">
        <f>AVERAGE(6.5,6.5,6.3)</f>
        <v>6.4333333333333336</v>
      </c>
      <c r="U66" s="32">
        <f>AVERAGE(10.2,9.2,12)</f>
        <v>10.466666666666667</v>
      </c>
      <c r="V66" s="32">
        <f>AVERAGE(20.8,19.3,21.1)</f>
        <v>20.400000000000002</v>
      </c>
      <c r="W66" s="32">
        <f>AVERAGE(2.3,3.4,3.7)</f>
        <v>3.1333333333333329</v>
      </c>
      <c r="Y66" t="s">
        <v>146</v>
      </c>
      <c r="AD66" s="19">
        <f>AVERAGE(14.7,16.7,15.1)</f>
        <v>15.5</v>
      </c>
      <c r="AE66" t="s">
        <v>153</v>
      </c>
      <c r="AN66" s="27">
        <f>29*SUM(W66,U66)/U66</f>
        <v>37.681528662420376</v>
      </c>
      <c r="AO66" s="31">
        <f>29*SUM(U66,W66)/V66</f>
        <v>19.333333333333329</v>
      </c>
      <c r="AP66" t="s">
        <v>265</v>
      </c>
      <c r="AQ66" t="s">
        <v>279</v>
      </c>
      <c r="AR66" t="s">
        <v>277</v>
      </c>
    </row>
    <row r="67" spans="1:44" x14ac:dyDescent="0.25">
      <c r="A67" s="3" t="s">
        <v>28</v>
      </c>
      <c r="B67" s="3">
        <v>0</v>
      </c>
      <c r="C67" s="3">
        <v>0</v>
      </c>
      <c r="D67" s="3">
        <v>1</v>
      </c>
      <c r="E67" s="3" t="s">
        <v>158</v>
      </c>
      <c r="F67" s="11" t="s">
        <v>169</v>
      </c>
      <c r="H67" s="11" t="s">
        <v>175</v>
      </c>
      <c r="I67" s="3" t="s">
        <v>143</v>
      </c>
      <c r="J67" s="3" t="s">
        <v>144</v>
      </c>
      <c r="K67" s="3" t="s">
        <v>145</v>
      </c>
      <c r="L67">
        <v>120</v>
      </c>
      <c r="S67" s="25">
        <f>AVERAGE(61.2,57.4,54.5)</f>
        <v>57.699999999999996</v>
      </c>
      <c r="T67" s="32">
        <f>AVERAGE(6.4,6.7,6.2)</f>
        <v>6.4333333333333336</v>
      </c>
      <c r="U67" s="32">
        <f>AVERAGE(15.5,14.5,13.8)</f>
        <v>14.6</v>
      </c>
      <c r="V67" s="32">
        <f>AVERAGE(30.2,28.3,26.9)</f>
        <v>28.466666666666669</v>
      </c>
      <c r="W67" s="32">
        <f>AVERAGE(4.7,4.4,4.1)</f>
        <v>4.4000000000000004</v>
      </c>
      <c r="Y67" t="s">
        <v>146</v>
      </c>
      <c r="AD67" s="19">
        <f>AVERAGE(21.4,21.5,21.8)</f>
        <v>21.566666666666666</v>
      </c>
      <c r="AE67" t="s">
        <v>147</v>
      </c>
      <c r="AN67" s="27">
        <f>21*SUM(W67,U67)/U67</f>
        <v>27.328767123287673</v>
      </c>
      <c r="AO67" s="31">
        <f>21*SUM(U67,W67)/V67</f>
        <v>14.016393442622951</v>
      </c>
      <c r="AP67" t="s">
        <v>280</v>
      </c>
      <c r="AQ67" t="s">
        <v>276</v>
      </c>
      <c r="AR67" t="s">
        <v>277</v>
      </c>
    </row>
    <row r="68" spans="1:44" x14ac:dyDescent="0.25">
      <c r="A68" s="3" t="s">
        <v>28</v>
      </c>
      <c r="B68" s="3">
        <v>0</v>
      </c>
      <c r="C68" s="3">
        <v>0</v>
      </c>
      <c r="D68" s="3">
        <v>1</v>
      </c>
      <c r="E68" s="3" t="s">
        <v>158</v>
      </c>
      <c r="F68" s="11" t="s">
        <v>169</v>
      </c>
      <c r="G68" s="11" t="s">
        <v>170</v>
      </c>
      <c r="H68" s="11" t="s">
        <v>175</v>
      </c>
      <c r="I68" s="3" t="s">
        <v>143</v>
      </c>
      <c r="J68" s="3" t="s">
        <v>144</v>
      </c>
      <c r="K68" s="3" t="s">
        <v>145</v>
      </c>
      <c r="L68">
        <v>120</v>
      </c>
      <c r="R68" t="s">
        <v>278</v>
      </c>
      <c r="S68" s="25">
        <f>AVERAGE(41.6,44.4,38.9)</f>
        <v>41.633333333333333</v>
      </c>
      <c r="T68" s="32">
        <f>AVERAGE(6.5,6.5,6.3)</f>
        <v>6.4333333333333336</v>
      </c>
      <c r="U68" s="32">
        <f>AVERAGE(10.2,9.2,12)</f>
        <v>10.466666666666667</v>
      </c>
      <c r="V68" s="32">
        <f>AVERAGE(20.8,19.3,21.1)</f>
        <v>20.400000000000002</v>
      </c>
      <c r="W68" s="32">
        <f>AVERAGE(2.3,3.4,3.7)</f>
        <v>3.1333333333333329</v>
      </c>
      <c r="Y68" t="s">
        <v>146</v>
      </c>
      <c r="AD68" s="19">
        <f>AVERAGE(14.7,16.7,15.1)</f>
        <v>15.5</v>
      </c>
      <c r="AE68" t="s">
        <v>153</v>
      </c>
      <c r="AN68" s="27">
        <f>39*SUM(W68,U68)/U68</f>
        <v>50.675159235668787</v>
      </c>
      <c r="AO68" s="31">
        <f>39*SUM(U68,W68)/V68</f>
        <v>25.999999999999996</v>
      </c>
      <c r="AP68" t="s">
        <v>280</v>
      </c>
      <c r="AQ68" t="s">
        <v>279</v>
      </c>
      <c r="AR68" t="s">
        <v>277</v>
      </c>
    </row>
    <row r="69" spans="1:44" x14ac:dyDescent="0.25">
      <c r="A69" s="23" t="s">
        <v>281</v>
      </c>
      <c r="B69" s="3">
        <v>1</v>
      </c>
      <c r="C69" s="3">
        <v>0</v>
      </c>
      <c r="D69" s="3">
        <v>0</v>
      </c>
      <c r="E69" s="3" t="s">
        <v>180</v>
      </c>
      <c r="F69" s="11" t="s">
        <v>141</v>
      </c>
      <c r="G69" s="11" t="s">
        <v>159</v>
      </c>
      <c r="I69" t="s">
        <v>181</v>
      </c>
      <c r="J69" s="11" t="s">
        <v>182</v>
      </c>
      <c r="K69" s="11" t="s">
        <v>145</v>
      </c>
      <c r="L69">
        <v>96</v>
      </c>
      <c r="S69" s="6">
        <v>19.7</v>
      </c>
      <c r="T69" s="6">
        <v>7.8</v>
      </c>
      <c r="U69" s="6">
        <v>3</v>
      </c>
      <c r="V69" s="6">
        <v>7.9</v>
      </c>
      <c r="X69" t="s">
        <v>172</v>
      </c>
      <c r="Y69" t="s">
        <v>146</v>
      </c>
      <c r="AD69">
        <v>40.5</v>
      </c>
      <c r="AE69" t="s">
        <v>147</v>
      </c>
      <c r="AI69" t="s">
        <v>282</v>
      </c>
      <c r="AK69" t="s">
        <v>149</v>
      </c>
      <c r="AN69">
        <v>46.3</v>
      </c>
      <c r="AO69" s="31">
        <f t="shared" ref="AO69:AO73" si="2">39*SUM(U69,W69)/V69</f>
        <v>14.81012658227848</v>
      </c>
      <c r="AP69" t="s">
        <v>283</v>
      </c>
    </row>
    <row r="70" spans="1:44" x14ac:dyDescent="0.25">
      <c r="A70" s="23" t="s">
        <v>281</v>
      </c>
      <c r="B70" s="3">
        <v>1</v>
      </c>
      <c r="C70" s="3">
        <v>0</v>
      </c>
      <c r="D70" s="3">
        <v>0</v>
      </c>
      <c r="E70" s="3" t="s">
        <v>180</v>
      </c>
      <c r="F70" s="11" t="s">
        <v>141</v>
      </c>
      <c r="G70" s="11" t="s">
        <v>227</v>
      </c>
      <c r="I70" t="s">
        <v>181</v>
      </c>
      <c r="J70" s="11" t="s">
        <v>182</v>
      </c>
      <c r="K70" s="11" t="s">
        <v>145</v>
      </c>
      <c r="L70">
        <v>96</v>
      </c>
      <c r="S70" s="6">
        <v>20.399999999999999</v>
      </c>
      <c r="T70" s="6">
        <v>8.9</v>
      </c>
      <c r="U70" s="6">
        <v>2</v>
      </c>
      <c r="V70" s="6">
        <v>6</v>
      </c>
      <c r="X70" t="s">
        <v>172</v>
      </c>
      <c r="Y70" t="s">
        <v>146</v>
      </c>
      <c r="AD70">
        <v>14.7</v>
      </c>
      <c r="AE70" t="s">
        <v>153</v>
      </c>
      <c r="AI70" t="s">
        <v>282</v>
      </c>
      <c r="AK70" t="s">
        <v>149</v>
      </c>
      <c r="AN70">
        <v>69.099999999999994</v>
      </c>
      <c r="AO70" s="31">
        <f t="shared" si="2"/>
        <v>13</v>
      </c>
      <c r="AP70" t="s">
        <v>284</v>
      </c>
    </row>
    <row r="71" spans="1:44" x14ac:dyDescent="0.25">
      <c r="A71" s="23" t="s">
        <v>281</v>
      </c>
      <c r="B71" s="3">
        <v>1</v>
      </c>
      <c r="C71" s="3">
        <v>0</v>
      </c>
      <c r="D71" s="3">
        <v>0</v>
      </c>
      <c r="E71" s="3" t="s">
        <v>180</v>
      </c>
      <c r="F71" s="11" t="s">
        <v>141</v>
      </c>
      <c r="G71" s="11" t="s">
        <v>227</v>
      </c>
      <c r="I71" t="s">
        <v>181</v>
      </c>
      <c r="J71" s="11" t="s">
        <v>182</v>
      </c>
      <c r="K71" s="11" t="s">
        <v>145</v>
      </c>
      <c r="L71">
        <v>96</v>
      </c>
      <c r="S71" s="6">
        <v>20.399999999999999</v>
      </c>
      <c r="T71" s="6">
        <v>8.9</v>
      </c>
      <c r="U71" s="6">
        <v>2</v>
      </c>
      <c r="V71" s="6">
        <v>6</v>
      </c>
      <c r="X71" t="s">
        <v>172</v>
      </c>
      <c r="Y71" t="s">
        <v>146</v>
      </c>
      <c r="AD71">
        <v>14.7</v>
      </c>
      <c r="AE71" t="s">
        <v>153</v>
      </c>
      <c r="AI71" t="s">
        <v>282</v>
      </c>
      <c r="AK71" t="s">
        <v>149</v>
      </c>
      <c r="AN71">
        <v>74.900000000000006</v>
      </c>
      <c r="AO71" s="31">
        <f t="shared" si="2"/>
        <v>13</v>
      </c>
      <c r="AP71" t="s">
        <v>284</v>
      </c>
    </row>
    <row r="72" spans="1:44" x14ac:dyDescent="0.25">
      <c r="A72" s="23" t="s">
        <v>281</v>
      </c>
      <c r="B72" s="3">
        <v>1</v>
      </c>
      <c r="C72" s="3">
        <v>0</v>
      </c>
      <c r="D72" s="3">
        <v>0</v>
      </c>
      <c r="E72" s="3" t="s">
        <v>180</v>
      </c>
      <c r="F72" s="11" t="s">
        <v>141</v>
      </c>
      <c r="G72" s="11" t="s">
        <v>227</v>
      </c>
      <c r="I72" t="s">
        <v>181</v>
      </c>
      <c r="J72" s="11" t="s">
        <v>182</v>
      </c>
      <c r="K72" s="11" t="s">
        <v>145</v>
      </c>
      <c r="L72">
        <v>96</v>
      </c>
      <c r="S72" s="6">
        <v>31.7</v>
      </c>
      <c r="T72" s="6">
        <v>8.6</v>
      </c>
      <c r="U72" s="6">
        <v>0.8</v>
      </c>
      <c r="V72" s="6">
        <v>5.8</v>
      </c>
      <c r="X72" t="s">
        <v>172</v>
      </c>
      <c r="Y72" t="s">
        <v>146</v>
      </c>
      <c r="AD72">
        <v>16.399999999999999</v>
      </c>
      <c r="AE72" t="s">
        <v>153</v>
      </c>
      <c r="AI72" t="s">
        <v>282</v>
      </c>
      <c r="AK72" t="s">
        <v>149</v>
      </c>
      <c r="AN72">
        <v>100</v>
      </c>
      <c r="AO72" s="31">
        <f t="shared" si="2"/>
        <v>5.3793103448275872</v>
      </c>
      <c r="AP72" t="s">
        <v>285</v>
      </c>
    </row>
    <row r="73" spans="1:44" x14ac:dyDescent="0.25">
      <c r="A73" s="23" t="s">
        <v>281</v>
      </c>
      <c r="B73" s="3">
        <v>1</v>
      </c>
      <c r="C73" s="3">
        <v>0</v>
      </c>
      <c r="D73" s="3">
        <v>0</v>
      </c>
      <c r="E73" s="3" t="s">
        <v>180</v>
      </c>
      <c r="F73" s="11" t="s">
        <v>141</v>
      </c>
      <c r="G73" s="11" t="s">
        <v>227</v>
      </c>
      <c r="H73" s="11" t="s">
        <v>160</v>
      </c>
      <c r="I73" t="s">
        <v>181</v>
      </c>
      <c r="J73" s="11" t="s">
        <v>182</v>
      </c>
      <c r="K73" s="11" t="s">
        <v>145</v>
      </c>
      <c r="L73">
        <v>96</v>
      </c>
      <c r="S73" s="6">
        <v>21.7</v>
      </c>
      <c r="T73" s="6">
        <v>8.9</v>
      </c>
      <c r="U73" s="6">
        <v>1.8</v>
      </c>
      <c r="V73" s="6">
        <v>6</v>
      </c>
      <c r="X73" t="s">
        <v>172</v>
      </c>
      <c r="Y73" t="s">
        <v>146</v>
      </c>
      <c r="AD73">
        <v>15.9</v>
      </c>
      <c r="AE73" t="s">
        <v>153</v>
      </c>
      <c r="AK73" t="s">
        <v>156</v>
      </c>
      <c r="AN73">
        <v>42.7</v>
      </c>
      <c r="AO73" s="31">
        <f t="shared" si="2"/>
        <v>11.700000000000001</v>
      </c>
      <c r="AP73" t="s">
        <v>286</v>
      </c>
    </row>
    <row r="74" spans="1:44" x14ac:dyDescent="0.25">
      <c r="A74" s="3" t="s">
        <v>32</v>
      </c>
      <c r="B74" s="3">
        <v>1</v>
      </c>
      <c r="C74" s="3">
        <v>1</v>
      </c>
      <c r="D74" s="3">
        <v>0</v>
      </c>
      <c r="E74" s="3" t="s">
        <v>180</v>
      </c>
      <c r="F74" s="11" t="s">
        <v>141</v>
      </c>
      <c r="G74" s="11" t="s">
        <v>227</v>
      </c>
      <c r="I74" s="3" t="s">
        <v>181</v>
      </c>
      <c r="J74" s="3" t="s">
        <v>182</v>
      </c>
      <c r="K74" s="3" t="s">
        <v>145</v>
      </c>
      <c r="L74" s="3"/>
      <c r="S74" s="6">
        <v>21.7</v>
      </c>
      <c r="T74" s="6">
        <v>8.9</v>
      </c>
      <c r="U74" s="6">
        <v>1.7849999999999999</v>
      </c>
      <c r="V74" s="6">
        <v>5.9880000000000004</v>
      </c>
      <c r="X74" t="s">
        <v>172</v>
      </c>
      <c r="Y74" t="s">
        <v>164</v>
      </c>
      <c r="Z74">
        <v>1</v>
      </c>
      <c r="AA74" t="s">
        <v>287</v>
      </c>
      <c r="AB74" t="s">
        <v>166</v>
      </c>
      <c r="AC74">
        <v>0</v>
      </c>
      <c r="AD74">
        <v>18</v>
      </c>
      <c r="AN74">
        <v>42.7</v>
      </c>
      <c r="AO74" s="31">
        <f>39*SUM(U74,W74)/V74</f>
        <v>11.625751503006009</v>
      </c>
      <c r="AP74" t="s">
        <v>242</v>
      </c>
      <c r="AQ74" t="s">
        <v>288</v>
      </c>
      <c r="AR74" t="s">
        <v>289</v>
      </c>
    </row>
    <row r="75" spans="1:44" x14ac:dyDescent="0.25">
      <c r="A75" s="3" t="s">
        <v>32</v>
      </c>
      <c r="B75" s="3">
        <v>1</v>
      </c>
      <c r="C75" s="3">
        <v>1</v>
      </c>
      <c r="D75" s="3">
        <v>0</v>
      </c>
      <c r="E75" s="3" t="s">
        <v>180</v>
      </c>
      <c r="F75" s="11" t="s">
        <v>141</v>
      </c>
      <c r="G75" s="11" t="s">
        <v>227</v>
      </c>
      <c r="I75" s="3" t="s">
        <v>181</v>
      </c>
      <c r="J75" s="3" t="s">
        <v>182</v>
      </c>
      <c r="K75" s="3" t="s">
        <v>145</v>
      </c>
      <c r="L75" s="3"/>
      <c r="S75" s="6">
        <v>21.7</v>
      </c>
      <c r="T75" s="6">
        <v>8.9</v>
      </c>
      <c r="U75" s="6">
        <v>1.7849999999999999</v>
      </c>
      <c r="V75" s="6">
        <v>5.9880000000000004</v>
      </c>
      <c r="X75" t="s">
        <v>172</v>
      </c>
      <c r="Y75" t="s">
        <v>146</v>
      </c>
      <c r="Z75">
        <v>1</v>
      </c>
      <c r="AB75" t="s">
        <v>156</v>
      </c>
      <c r="AD75">
        <v>15.9</v>
      </c>
      <c r="AN75">
        <v>42.7</v>
      </c>
      <c r="AO75" s="31">
        <f>39*SUM(U75,W75)/V75</f>
        <v>11.625751503006009</v>
      </c>
      <c r="AP75" t="s">
        <v>242</v>
      </c>
      <c r="AQ75" t="s">
        <v>290</v>
      </c>
      <c r="AR75" t="s">
        <v>289</v>
      </c>
    </row>
    <row r="76" spans="1:44" x14ac:dyDescent="0.25">
      <c r="A76" s="3" t="s">
        <v>34</v>
      </c>
      <c r="B76" s="3">
        <v>1</v>
      </c>
      <c r="C76" s="3">
        <v>0</v>
      </c>
      <c r="D76" s="3">
        <v>0</v>
      </c>
      <c r="E76" s="3" t="s">
        <v>180</v>
      </c>
      <c r="F76" s="11" t="s">
        <v>141</v>
      </c>
      <c r="G76" s="11" t="s">
        <v>227</v>
      </c>
      <c r="I76" s="11" t="s">
        <v>181</v>
      </c>
      <c r="J76" s="11" t="s">
        <v>182</v>
      </c>
      <c r="K76" s="11" t="s">
        <v>145</v>
      </c>
      <c r="L76">
        <v>96</v>
      </c>
      <c r="S76" s="6">
        <v>20.399999999999999</v>
      </c>
      <c r="T76" s="6">
        <v>8.9</v>
      </c>
      <c r="U76" s="6">
        <v>2.0299999999999998</v>
      </c>
      <c r="V76" s="6">
        <v>6.02</v>
      </c>
      <c r="X76" t="s">
        <v>172</v>
      </c>
      <c r="Y76" t="s">
        <v>146</v>
      </c>
      <c r="AD76">
        <v>14.7</v>
      </c>
      <c r="AE76" t="s">
        <v>153</v>
      </c>
      <c r="AF76">
        <v>28</v>
      </c>
      <c r="AN76">
        <v>69.099999999999994</v>
      </c>
      <c r="AO76">
        <v>23.3</v>
      </c>
      <c r="AP76" t="s">
        <v>265</v>
      </c>
      <c r="AQ76" t="s">
        <v>291</v>
      </c>
      <c r="AR76" t="s">
        <v>292</v>
      </c>
    </row>
    <row r="77" spans="1:44" x14ac:dyDescent="0.25">
      <c r="A77" s="3" t="s">
        <v>34</v>
      </c>
      <c r="B77" s="3">
        <v>1</v>
      </c>
      <c r="C77" s="3">
        <v>0</v>
      </c>
      <c r="D77" s="3">
        <v>0</v>
      </c>
      <c r="E77" s="3" t="s">
        <v>180</v>
      </c>
      <c r="F77" s="11" t="s">
        <v>141</v>
      </c>
      <c r="G77" s="11" t="s">
        <v>227</v>
      </c>
      <c r="I77" s="11" t="s">
        <v>181</v>
      </c>
      <c r="J77" s="11" t="s">
        <v>182</v>
      </c>
      <c r="K77" s="11" t="s">
        <v>145</v>
      </c>
      <c r="L77">
        <v>96</v>
      </c>
      <c r="S77" s="6">
        <v>20.399999999999999</v>
      </c>
      <c r="T77" s="6">
        <v>8.9</v>
      </c>
      <c r="U77" s="6">
        <v>2.0299999999999998</v>
      </c>
      <c r="V77" s="6">
        <v>6.02</v>
      </c>
      <c r="X77" t="s">
        <v>172</v>
      </c>
      <c r="Y77" t="s">
        <v>146</v>
      </c>
      <c r="AD77">
        <v>14.2</v>
      </c>
      <c r="AE77" t="s">
        <v>153</v>
      </c>
      <c r="AF77">
        <v>28</v>
      </c>
      <c r="AN77">
        <v>74.900000000000006</v>
      </c>
      <c r="AO77">
        <v>24.3</v>
      </c>
      <c r="AP77" t="s">
        <v>265</v>
      </c>
      <c r="AQ77" t="s">
        <v>293</v>
      </c>
      <c r="AR77" t="s">
        <v>292</v>
      </c>
    </row>
    <row r="78" spans="1:44" x14ac:dyDescent="0.25">
      <c r="A78" s="3" t="s">
        <v>34</v>
      </c>
      <c r="B78" s="3">
        <v>1</v>
      </c>
      <c r="C78" s="3">
        <v>0</v>
      </c>
      <c r="D78" s="3">
        <v>0</v>
      </c>
      <c r="E78" s="3" t="s">
        <v>180</v>
      </c>
      <c r="F78" s="11" t="s">
        <v>141</v>
      </c>
      <c r="G78" s="11" t="s">
        <v>294</v>
      </c>
      <c r="I78" s="11" t="s">
        <v>181</v>
      </c>
      <c r="J78" s="11" t="s">
        <v>182</v>
      </c>
      <c r="K78" s="11" t="s">
        <v>145</v>
      </c>
      <c r="L78">
        <v>96</v>
      </c>
      <c r="S78" s="6">
        <v>31.7</v>
      </c>
      <c r="U78" s="6">
        <v>0.83499999999999996</v>
      </c>
      <c r="V78" s="6">
        <v>5.7949999999999999</v>
      </c>
      <c r="X78" t="s">
        <v>172</v>
      </c>
      <c r="Y78" t="s">
        <v>146</v>
      </c>
      <c r="AD78">
        <v>16.399999999999999</v>
      </c>
      <c r="AE78" t="s">
        <v>153</v>
      </c>
      <c r="AF78">
        <v>28</v>
      </c>
      <c r="AN78">
        <v>100.6</v>
      </c>
      <c r="AO78">
        <v>14.5</v>
      </c>
      <c r="AP78" t="s">
        <v>265</v>
      </c>
      <c r="AQ78" t="s">
        <v>295</v>
      </c>
    </row>
    <row r="79" spans="1:44" x14ac:dyDescent="0.25">
      <c r="A79" s="3" t="s">
        <v>38</v>
      </c>
      <c r="B79" s="3">
        <v>0</v>
      </c>
      <c r="C79" s="3">
        <v>1</v>
      </c>
      <c r="D79" s="3">
        <v>0</v>
      </c>
      <c r="E79" s="3" t="s">
        <v>296</v>
      </c>
      <c r="F79" s="11" t="s">
        <v>169</v>
      </c>
      <c r="G79" s="11" t="s">
        <v>170</v>
      </c>
      <c r="I79" s="3" t="s">
        <v>143</v>
      </c>
      <c r="J79" s="3" t="s">
        <v>144</v>
      </c>
      <c r="K79" t="s">
        <v>145</v>
      </c>
      <c r="L79">
        <v>120</v>
      </c>
      <c r="S79" s="6">
        <v>74.3</v>
      </c>
      <c r="T79" s="6">
        <v>8</v>
      </c>
      <c r="U79" s="6">
        <v>6.6</v>
      </c>
      <c r="V79" s="6">
        <v>30.6</v>
      </c>
      <c r="W79"/>
      <c r="X79" t="s">
        <v>172</v>
      </c>
      <c r="Y79" t="s">
        <v>146</v>
      </c>
      <c r="Z79">
        <v>1</v>
      </c>
      <c r="AB79" t="s">
        <v>156</v>
      </c>
      <c r="AD79">
        <v>5.15</v>
      </c>
      <c r="AE79" t="s">
        <v>147</v>
      </c>
      <c r="AF79">
        <v>31</v>
      </c>
      <c r="AI79" t="s">
        <v>179</v>
      </c>
      <c r="AJ79">
        <v>20</v>
      </c>
      <c r="AL79">
        <v>1.35</v>
      </c>
      <c r="AN79">
        <v>73.900000000000006</v>
      </c>
      <c r="AO79" s="19">
        <f t="shared" ref="AO79:AO82" si="3">AN79*U79/V79</f>
        <v>15.93921568627451</v>
      </c>
      <c r="AP79" t="s">
        <v>162</v>
      </c>
      <c r="AQ79" t="s">
        <v>297</v>
      </c>
    </row>
    <row r="80" spans="1:44" x14ac:dyDescent="0.25">
      <c r="A80" s="3" t="s">
        <v>38</v>
      </c>
      <c r="B80" s="3">
        <v>0</v>
      </c>
      <c r="C80" s="3">
        <v>1</v>
      </c>
      <c r="D80" s="3">
        <v>0</v>
      </c>
      <c r="E80" s="3" t="s">
        <v>296</v>
      </c>
      <c r="F80" s="11" t="s">
        <v>169</v>
      </c>
      <c r="G80" s="11" t="s">
        <v>170</v>
      </c>
      <c r="I80" s="3" t="s">
        <v>143</v>
      </c>
      <c r="J80" s="3" t="s">
        <v>144</v>
      </c>
      <c r="K80" t="s">
        <v>145</v>
      </c>
      <c r="L80">
        <v>120</v>
      </c>
      <c r="S80" s="6">
        <v>74.3</v>
      </c>
      <c r="T80" s="6">
        <v>8</v>
      </c>
      <c r="U80" s="6">
        <v>6.6</v>
      </c>
      <c r="V80" s="6">
        <v>30.6</v>
      </c>
      <c r="W80"/>
      <c r="X80" t="s">
        <v>172</v>
      </c>
      <c r="Y80" t="s">
        <v>164</v>
      </c>
      <c r="Z80">
        <v>1</v>
      </c>
      <c r="AA80" t="s">
        <v>298</v>
      </c>
      <c r="AB80" t="s">
        <v>166</v>
      </c>
      <c r="AC80">
        <v>0</v>
      </c>
      <c r="AD80">
        <v>5.15</v>
      </c>
      <c r="AE80" t="s">
        <v>147</v>
      </c>
      <c r="AF80">
        <v>31</v>
      </c>
      <c r="AI80" t="s">
        <v>179</v>
      </c>
      <c r="AJ80">
        <v>20</v>
      </c>
      <c r="AL80">
        <v>1.35</v>
      </c>
      <c r="AN80">
        <v>21.5</v>
      </c>
      <c r="AO80" s="19">
        <f t="shared" si="3"/>
        <v>4.6372549019607847</v>
      </c>
      <c r="AP80" t="s">
        <v>162</v>
      </c>
      <c r="AQ80" t="s">
        <v>299</v>
      </c>
    </row>
    <row r="81" spans="1:43" x14ac:dyDescent="0.25">
      <c r="A81" s="3" t="s">
        <v>38</v>
      </c>
      <c r="B81" s="3">
        <v>0</v>
      </c>
      <c r="C81" s="3">
        <v>1</v>
      </c>
      <c r="D81" s="3">
        <v>0</v>
      </c>
      <c r="E81" s="3" t="s">
        <v>296</v>
      </c>
      <c r="F81" s="11" t="s">
        <v>169</v>
      </c>
      <c r="G81" s="11" t="s">
        <v>170</v>
      </c>
      <c r="I81" s="3" t="s">
        <v>143</v>
      </c>
      <c r="J81" t="s">
        <v>144</v>
      </c>
      <c r="K81" t="s">
        <v>145</v>
      </c>
      <c r="L81">
        <v>144</v>
      </c>
      <c r="S81" s="6">
        <v>74.400000000000006</v>
      </c>
      <c r="T81" s="6">
        <v>8.4</v>
      </c>
      <c r="U81" s="6">
        <v>6.4</v>
      </c>
      <c r="V81" s="6">
        <v>30.2</v>
      </c>
      <c r="W81"/>
      <c r="X81" t="s">
        <v>172</v>
      </c>
      <c r="Y81" t="s">
        <v>146</v>
      </c>
      <c r="Z81">
        <v>2</v>
      </c>
      <c r="AB81" t="s">
        <v>156</v>
      </c>
      <c r="AD81">
        <v>4.7</v>
      </c>
      <c r="AE81" t="s">
        <v>147</v>
      </c>
      <c r="AF81">
        <v>30</v>
      </c>
      <c r="AI81" t="s">
        <v>179</v>
      </c>
      <c r="AJ81">
        <v>20</v>
      </c>
      <c r="AL81">
        <v>1.35</v>
      </c>
      <c r="AN81">
        <v>95.2</v>
      </c>
      <c r="AO81" s="19">
        <f t="shared" si="3"/>
        <v>20.174834437086098</v>
      </c>
      <c r="AP81" t="s">
        <v>150</v>
      </c>
      <c r="AQ81" t="s">
        <v>297</v>
      </c>
    </row>
    <row r="82" spans="1:43" x14ac:dyDescent="0.25">
      <c r="A82" s="3" t="s">
        <v>38</v>
      </c>
      <c r="B82" s="3">
        <v>0</v>
      </c>
      <c r="C82" s="3">
        <v>1</v>
      </c>
      <c r="D82" s="3">
        <v>0</v>
      </c>
      <c r="E82" s="3" t="s">
        <v>296</v>
      </c>
      <c r="F82" s="11" t="s">
        <v>169</v>
      </c>
      <c r="G82" s="11" t="s">
        <v>170</v>
      </c>
      <c r="I82" s="3" t="s">
        <v>143</v>
      </c>
      <c r="J82" t="s">
        <v>144</v>
      </c>
      <c r="K82" t="s">
        <v>145</v>
      </c>
      <c r="L82">
        <v>144</v>
      </c>
      <c r="S82" s="6">
        <v>74.400000000000006</v>
      </c>
      <c r="T82" s="6">
        <v>8.4</v>
      </c>
      <c r="U82" s="6">
        <v>6.4</v>
      </c>
      <c r="V82" s="6">
        <v>30.2</v>
      </c>
      <c r="W82"/>
      <c r="X82" t="s">
        <v>172</v>
      </c>
      <c r="Y82" t="s">
        <v>164</v>
      </c>
      <c r="Z82">
        <v>2</v>
      </c>
      <c r="AA82" t="s">
        <v>298</v>
      </c>
      <c r="AB82" t="s">
        <v>166</v>
      </c>
      <c r="AC82">
        <v>0</v>
      </c>
      <c r="AD82">
        <v>4.7</v>
      </c>
      <c r="AE82" t="s">
        <v>147</v>
      </c>
      <c r="AF82">
        <v>30</v>
      </c>
      <c r="AI82" t="s">
        <v>179</v>
      </c>
      <c r="AJ82">
        <v>20</v>
      </c>
      <c r="AL82">
        <v>1.35</v>
      </c>
      <c r="AN82">
        <v>32.4</v>
      </c>
      <c r="AO82" s="19">
        <f t="shared" si="3"/>
        <v>6.8662251655629145</v>
      </c>
      <c r="AP82" t="s">
        <v>150</v>
      </c>
      <c r="AQ82" t="s">
        <v>299</v>
      </c>
    </row>
    <row r="83" spans="1:43" x14ac:dyDescent="0.25">
      <c r="A83" t="s">
        <v>41</v>
      </c>
      <c r="B83" s="3">
        <v>0</v>
      </c>
      <c r="C83" s="3">
        <v>0</v>
      </c>
      <c r="D83" s="3">
        <v>1</v>
      </c>
      <c r="E83" s="3" t="s">
        <v>300</v>
      </c>
      <c r="F83" s="11" t="s">
        <v>169</v>
      </c>
      <c r="G83" s="11" t="s">
        <v>170</v>
      </c>
      <c r="I83" t="s">
        <v>194</v>
      </c>
      <c r="K83" t="s">
        <v>145</v>
      </c>
      <c r="L83" t="s">
        <v>301</v>
      </c>
      <c r="U83" s="25">
        <f>17.4/AD83</f>
        <v>5.2095808383233528</v>
      </c>
      <c r="V83" s="25">
        <f>109.2/AD83</f>
        <v>32.694610778443113</v>
      </c>
      <c r="W83"/>
      <c r="X83" t="s">
        <v>172</v>
      </c>
      <c r="Y83" t="s">
        <v>146</v>
      </c>
      <c r="AD83">
        <v>3.34</v>
      </c>
      <c r="AE83" t="s">
        <v>147</v>
      </c>
      <c r="AI83" t="s">
        <v>173</v>
      </c>
      <c r="AK83" t="s">
        <v>207</v>
      </c>
      <c r="AN83">
        <v>95.1</v>
      </c>
      <c r="AO83">
        <v>23.9</v>
      </c>
      <c r="AP83" t="s">
        <v>162</v>
      </c>
      <c r="AQ83" t="s">
        <v>302</v>
      </c>
    </row>
    <row r="84" spans="1:43" x14ac:dyDescent="0.25">
      <c r="A84" t="s">
        <v>41</v>
      </c>
      <c r="B84" s="3">
        <v>0</v>
      </c>
      <c r="C84" s="3">
        <v>0</v>
      </c>
      <c r="D84" s="3">
        <v>1</v>
      </c>
      <c r="E84" s="3" t="s">
        <v>300</v>
      </c>
      <c r="F84" s="11" t="s">
        <v>169</v>
      </c>
      <c r="G84" s="11" t="s">
        <v>170</v>
      </c>
      <c r="I84" t="s">
        <v>194</v>
      </c>
      <c r="K84" t="s">
        <v>145</v>
      </c>
      <c r="L84" t="s">
        <v>301</v>
      </c>
      <c r="U84" s="25">
        <f>10.5/AD84</f>
        <v>3.8461538461538463</v>
      </c>
      <c r="V84" s="25">
        <f>87.2/AD84</f>
        <v>31.941391941391942</v>
      </c>
      <c r="W84"/>
      <c r="X84" t="s">
        <v>172</v>
      </c>
      <c r="Y84" t="s">
        <v>146</v>
      </c>
      <c r="AD84">
        <v>2.73</v>
      </c>
      <c r="AE84" t="s">
        <v>147</v>
      </c>
      <c r="AI84" t="s">
        <v>173</v>
      </c>
      <c r="AK84" t="s">
        <v>207</v>
      </c>
      <c r="AN84">
        <v>101</v>
      </c>
      <c r="AO84">
        <v>22.3</v>
      </c>
      <c r="AP84" t="s">
        <v>162</v>
      </c>
      <c r="AQ84" t="s">
        <v>303</v>
      </c>
    </row>
    <row r="85" spans="1:43" x14ac:dyDescent="0.25">
      <c r="A85" t="s">
        <v>41</v>
      </c>
      <c r="B85" s="3">
        <v>0</v>
      </c>
      <c r="C85" s="3">
        <v>0</v>
      </c>
      <c r="D85" s="3">
        <v>1</v>
      </c>
      <c r="E85" s="3" t="s">
        <v>300</v>
      </c>
      <c r="F85" s="11" t="s">
        <v>169</v>
      </c>
      <c r="G85" s="11" t="s">
        <v>170</v>
      </c>
      <c r="I85" t="s">
        <v>194</v>
      </c>
      <c r="K85" t="s">
        <v>145</v>
      </c>
      <c r="L85" t="s">
        <v>301</v>
      </c>
      <c r="U85" s="25">
        <f>14.8/AD85</f>
        <v>4.3916913946587535</v>
      </c>
      <c r="V85" s="25">
        <f>98.9/AD85</f>
        <v>29.347181008902076</v>
      </c>
      <c r="W85"/>
      <c r="X85" t="s">
        <v>172</v>
      </c>
      <c r="Y85" t="s">
        <v>146</v>
      </c>
      <c r="AD85">
        <v>3.37</v>
      </c>
      <c r="AE85" t="s">
        <v>147</v>
      </c>
      <c r="AI85" t="s">
        <v>173</v>
      </c>
      <c r="AK85" t="s">
        <v>207</v>
      </c>
      <c r="AN85">
        <v>36.299999999999997</v>
      </c>
      <c r="AO85">
        <v>5.4</v>
      </c>
      <c r="AP85" t="s">
        <v>162</v>
      </c>
      <c r="AQ85" t="s">
        <v>304</v>
      </c>
    </row>
    <row r="86" spans="1:43" x14ac:dyDescent="0.25">
      <c r="A86" t="s">
        <v>41</v>
      </c>
      <c r="B86" s="3">
        <v>0</v>
      </c>
      <c r="C86" s="3">
        <v>0</v>
      </c>
      <c r="D86" s="3">
        <v>1</v>
      </c>
      <c r="E86" s="3" t="s">
        <v>300</v>
      </c>
      <c r="F86" s="11" t="s">
        <v>169</v>
      </c>
      <c r="G86" s="11" t="s">
        <v>170</v>
      </c>
      <c r="I86" t="s">
        <v>194</v>
      </c>
      <c r="K86" t="s">
        <v>145</v>
      </c>
      <c r="L86" t="s">
        <v>301</v>
      </c>
      <c r="U86" s="25">
        <f>10.5/AD86</f>
        <v>3.8888888888888888</v>
      </c>
      <c r="V86" s="25">
        <f>86.9/AD86</f>
        <v>32.185185185185183</v>
      </c>
      <c r="W86"/>
      <c r="X86" t="s">
        <v>172</v>
      </c>
      <c r="Y86" t="s">
        <v>146</v>
      </c>
      <c r="AD86">
        <v>2.7</v>
      </c>
      <c r="AE86" t="s">
        <v>147</v>
      </c>
      <c r="AI86" t="s">
        <v>173</v>
      </c>
      <c r="AK86" t="s">
        <v>207</v>
      </c>
      <c r="AN86">
        <v>42.3</v>
      </c>
      <c r="AO86">
        <v>5.2</v>
      </c>
      <c r="AP86" t="s">
        <v>162</v>
      </c>
      <c r="AQ86" t="s">
        <v>305</v>
      </c>
    </row>
    <row r="87" spans="1:43" x14ac:dyDescent="0.25">
      <c r="A87" t="s">
        <v>41</v>
      </c>
      <c r="B87" s="3">
        <v>0</v>
      </c>
      <c r="C87" s="3">
        <v>0</v>
      </c>
      <c r="D87" s="3">
        <v>1</v>
      </c>
      <c r="E87" s="3" t="s">
        <v>300</v>
      </c>
      <c r="F87" s="11" t="s">
        <v>169</v>
      </c>
      <c r="G87" s="11" t="s">
        <v>170</v>
      </c>
      <c r="I87" t="s">
        <v>194</v>
      </c>
      <c r="K87" t="s">
        <v>145</v>
      </c>
      <c r="L87" t="s">
        <v>301</v>
      </c>
      <c r="U87" s="25">
        <f>40.6/AD87</f>
        <v>8.7311827956989241</v>
      </c>
      <c r="V87" s="25">
        <f>133.4/AD87</f>
        <v>28.688172043010752</v>
      </c>
      <c r="W87"/>
      <c r="X87" t="s">
        <v>172</v>
      </c>
      <c r="Y87" t="s">
        <v>146</v>
      </c>
      <c r="AD87">
        <v>4.6500000000000004</v>
      </c>
      <c r="AE87" t="s">
        <v>224</v>
      </c>
      <c r="AI87" t="s">
        <v>173</v>
      </c>
      <c r="AK87" t="s">
        <v>207</v>
      </c>
      <c r="AN87">
        <v>13.4</v>
      </c>
      <c r="AO87">
        <v>4.0999999999999996</v>
      </c>
      <c r="AP87" t="s">
        <v>162</v>
      </c>
      <c r="AQ87" t="s">
        <v>306</v>
      </c>
    </row>
    <row r="88" spans="1:43" x14ac:dyDescent="0.25">
      <c r="A88" t="s">
        <v>41</v>
      </c>
      <c r="B88" s="3">
        <v>0</v>
      </c>
      <c r="C88" s="3">
        <v>0</v>
      </c>
      <c r="D88" s="3">
        <v>1</v>
      </c>
      <c r="E88" s="3" t="s">
        <v>300</v>
      </c>
      <c r="F88" s="11" t="s">
        <v>169</v>
      </c>
      <c r="G88" s="11" t="s">
        <v>170</v>
      </c>
      <c r="I88" t="s">
        <v>194</v>
      </c>
      <c r="K88" t="s">
        <v>145</v>
      </c>
      <c r="L88" t="s">
        <v>301</v>
      </c>
      <c r="U88" s="25">
        <f>55/AD88</f>
        <v>12.44343891402715</v>
      </c>
      <c r="V88" s="25">
        <f>138.9/AD88</f>
        <v>31.425339366515839</v>
      </c>
      <c r="W88"/>
      <c r="X88" t="s">
        <v>172</v>
      </c>
      <c r="Y88" t="s">
        <v>146</v>
      </c>
      <c r="AD88">
        <v>4.42</v>
      </c>
      <c r="AE88" t="s">
        <v>224</v>
      </c>
      <c r="AI88" t="s">
        <v>173</v>
      </c>
      <c r="AK88" t="s">
        <v>207</v>
      </c>
      <c r="AN88">
        <v>9.9</v>
      </c>
      <c r="AO88">
        <v>3.3</v>
      </c>
      <c r="AP88" t="s">
        <v>162</v>
      </c>
      <c r="AQ88" t="s">
        <v>307</v>
      </c>
    </row>
    <row r="89" spans="1:43" x14ac:dyDescent="0.25">
      <c r="A89" t="s">
        <v>308</v>
      </c>
      <c r="B89" s="3">
        <v>0</v>
      </c>
      <c r="C89" s="3">
        <v>1</v>
      </c>
      <c r="D89" s="3">
        <v>0</v>
      </c>
      <c r="E89" s="3" t="s">
        <v>158</v>
      </c>
      <c r="F89" s="11" t="s">
        <v>155</v>
      </c>
      <c r="G89" s="11" t="s">
        <v>176</v>
      </c>
      <c r="I89" t="s">
        <v>143</v>
      </c>
      <c r="J89" s="11" t="s">
        <v>144</v>
      </c>
      <c r="K89" t="s">
        <v>145</v>
      </c>
      <c r="L89">
        <v>240</v>
      </c>
      <c r="N89" t="s">
        <v>309</v>
      </c>
      <c r="O89" t="s">
        <v>164</v>
      </c>
      <c r="P89" t="s">
        <v>310</v>
      </c>
      <c r="Q89">
        <v>5</v>
      </c>
      <c r="S89" s="6">
        <v>22.2</v>
      </c>
      <c r="T89" s="6">
        <v>8.8000000000000007</v>
      </c>
      <c r="U89" s="6">
        <v>0.8</v>
      </c>
      <c r="V89" s="6">
        <v>3</v>
      </c>
      <c r="W89"/>
      <c r="X89" t="s">
        <v>172</v>
      </c>
      <c r="Y89" t="s">
        <v>164</v>
      </c>
      <c r="Z89">
        <v>1</v>
      </c>
      <c r="AA89" t="s">
        <v>311</v>
      </c>
      <c r="AB89" t="s">
        <v>187</v>
      </c>
      <c r="AC89">
        <v>0</v>
      </c>
      <c r="AD89">
        <v>50</v>
      </c>
      <c r="AE89" t="s">
        <v>153</v>
      </c>
      <c r="AK89" t="s">
        <v>156</v>
      </c>
      <c r="AN89">
        <v>10</v>
      </c>
      <c r="AO89" s="19">
        <f t="shared" ref="AO89:AO96" si="4">AN89*U89/V89</f>
        <v>2.6666666666666665</v>
      </c>
      <c r="AP89" t="s">
        <v>312</v>
      </c>
      <c r="AQ89" t="s">
        <v>313</v>
      </c>
    </row>
    <row r="90" spans="1:43" x14ac:dyDescent="0.25">
      <c r="A90" t="s">
        <v>308</v>
      </c>
      <c r="B90" s="3">
        <v>0</v>
      </c>
      <c r="C90" s="3">
        <v>1</v>
      </c>
      <c r="D90" s="3">
        <v>0</v>
      </c>
      <c r="E90" s="3" t="s">
        <v>158</v>
      </c>
      <c r="F90" s="11" t="s">
        <v>155</v>
      </c>
      <c r="G90" s="11" t="s">
        <v>176</v>
      </c>
      <c r="I90" t="s">
        <v>143</v>
      </c>
      <c r="J90" s="11" t="s">
        <v>144</v>
      </c>
      <c r="K90" t="s">
        <v>145</v>
      </c>
      <c r="L90">
        <v>240</v>
      </c>
      <c r="N90" t="s">
        <v>309</v>
      </c>
      <c r="O90" t="s">
        <v>164</v>
      </c>
      <c r="P90" t="s">
        <v>310</v>
      </c>
      <c r="Q90">
        <v>5</v>
      </c>
      <c r="S90" s="6">
        <v>22.2</v>
      </c>
      <c r="T90" s="6">
        <v>8.8000000000000007</v>
      </c>
      <c r="U90" s="6">
        <v>0.8</v>
      </c>
      <c r="V90" s="6">
        <v>3</v>
      </c>
      <c r="W90"/>
      <c r="X90" t="s">
        <v>172</v>
      </c>
      <c r="Y90" t="s">
        <v>164</v>
      </c>
      <c r="Z90">
        <v>1</v>
      </c>
      <c r="AA90" t="s">
        <v>311</v>
      </c>
      <c r="AB90" t="s">
        <v>187</v>
      </c>
      <c r="AC90">
        <v>4</v>
      </c>
      <c r="AD90">
        <v>50</v>
      </c>
      <c r="AE90" t="s">
        <v>153</v>
      </c>
      <c r="AK90" t="s">
        <v>156</v>
      </c>
      <c r="AN90">
        <v>25</v>
      </c>
      <c r="AO90" s="19">
        <f t="shared" si="4"/>
        <v>6.666666666666667</v>
      </c>
      <c r="AP90" t="s">
        <v>312</v>
      </c>
      <c r="AQ90" t="s">
        <v>314</v>
      </c>
    </row>
    <row r="91" spans="1:43" x14ac:dyDescent="0.25">
      <c r="A91" t="s">
        <v>308</v>
      </c>
      <c r="B91" s="3">
        <v>0</v>
      </c>
      <c r="C91" s="3">
        <v>1</v>
      </c>
      <c r="D91" s="3">
        <v>0</v>
      </c>
      <c r="E91" s="3" t="s">
        <v>158</v>
      </c>
      <c r="F91" s="11" t="s">
        <v>155</v>
      </c>
      <c r="G91" s="11" t="s">
        <v>176</v>
      </c>
      <c r="I91" t="s">
        <v>143</v>
      </c>
      <c r="J91" s="11" t="s">
        <v>144</v>
      </c>
      <c r="K91" t="s">
        <v>145</v>
      </c>
      <c r="L91">
        <v>240</v>
      </c>
      <c r="N91" t="s">
        <v>309</v>
      </c>
      <c r="O91" t="s">
        <v>164</v>
      </c>
      <c r="P91" t="s">
        <v>310</v>
      </c>
      <c r="Q91">
        <v>5</v>
      </c>
      <c r="S91" s="6">
        <v>22.2</v>
      </c>
      <c r="T91" s="6">
        <v>8.8000000000000007</v>
      </c>
      <c r="U91" s="6">
        <v>0.8</v>
      </c>
      <c r="V91" s="6">
        <v>3</v>
      </c>
      <c r="W91"/>
      <c r="X91" t="s">
        <v>172</v>
      </c>
      <c r="Y91" t="s">
        <v>164</v>
      </c>
      <c r="Z91">
        <v>1</v>
      </c>
      <c r="AA91" t="s">
        <v>311</v>
      </c>
      <c r="AB91" t="s">
        <v>187</v>
      </c>
      <c r="AC91">
        <v>24</v>
      </c>
      <c r="AD91">
        <v>50</v>
      </c>
      <c r="AE91" t="s">
        <v>153</v>
      </c>
      <c r="AK91" t="s">
        <v>156</v>
      </c>
      <c r="AN91">
        <v>49</v>
      </c>
      <c r="AO91" s="19">
        <f t="shared" si="4"/>
        <v>13.066666666666668</v>
      </c>
      <c r="AP91" t="s">
        <v>312</v>
      </c>
      <c r="AQ91" t="s">
        <v>315</v>
      </c>
    </row>
    <row r="92" spans="1:43" x14ac:dyDescent="0.25">
      <c r="A92" t="s">
        <v>308</v>
      </c>
      <c r="B92" s="3">
        <v>0</v>
      </c>
      <c r="C92" s="3">
        <v>1</v>
      </c>
      <c r="D92" s="3">
        <v>0</v>
      </c>
      <c r="E92" s="3" t="s">
        <v>158</v>
      </c>
      <c r="F92" s="11" t="s">
        <v>155</v>
      </c>
      <c r="G92" s="11" t="s">
        <v>176</v>
      </c>
      <c r="I92" t="s">
        <v>143</v>
      </c>
      <c r="J92" s="11" t="s">
        <v>144</v>
      </c>
      <c r="K92" t="s">
        <v>145</v>
      </c>
      <c r="L92">
        <v>240</v>
      </c>
      <c r="N92" t="s">
        <v>309</v>
      </c>
      <c r="O92" t="s">
        <v>164</v>
      </c>
      <c r="P92" t="s">
        <v>310</v>
      </c>
      <c r="Q92">
        <v>5</v>
      </c>
      <c r="S92" s="6">
        <v>22.2</v>
      </c>
      <c r="T92" s="6">
        <v>8.8000000000000007</v>
      </c>
      <c r="U92" s="6">
        <v>0.8</v>
      </c>
      <c r="V92" s="6">
        <v>3</v>
      </c>
      <c r="W92"/>
      <c r="X92" t="s">
        <v>172</v>
      </c>
      <c r="Y92" t="s">
        <v>146</v>
      </c>
      <c r="Z92">
        <v>1</v>
      </c>
      <c r="AB92" t="s">
        <v>156</v>
      </c>
      <c r="AD92">
        <v>50</v>
      </c>
      <c r="AE92" t="s">
        <v>153</v>
      </c>
      <c r="AK92" t="s">
        <v>156</v>
      </c>
      <c r="AN92">
        <v>75</v>
      </c>
      <c r="AO92" s="19">
        <f t="shared" si="4"/>
        <v>20</v>
      </c>
      <c r="AP92" t="s">
        <v>312</v>
      </c>
      <c r="AQ92" t="s">
        <v>316</v>
      </c>
    </row>
    <row r="93" spans="1:43" x14ac:dyDescent="0.25">
      <c r="A93" t="s">
        <v>308</v>
      </c>
      <c r="B93" s="3">
        <v>0</v>
      </c>
      <c r="C93" s="3">
        <v>1</v>
      </c>
      <c r="D93" s="3">
        <v>0</v>
      </c>
      <c r="E93" s="3" t="s">
        <v>158</v>
      </c>
      <c r="F93" s="11" t="s">
        <v>155</v>
      </c>
      <c r="G93" s="11" t="s">
        <v>176</v>
      </c>
      <c r="I93" t="s">
        <v>143</v>
      </c>
      <c r="J93" s="11" t="s">
        <v>144</v>
      </c>
      <c r="K93" t="s">
        <v>145</v>
      </c>
      <c r="L93">
        <v>240</v>
      </c>
      <c r="N93" t="s">
        <v>309</v>
      </c>
      <c r="O93" t="s">
        <v>146</v>
      </c>
      <c r="Q93">
        <v>5</v>
      </c>
      <c r="S93" s="6">
        <v>25.5</v>
      </c>
      <c r="T93" s="6">
        <v>8.8000000000000007</v>
      </c>
      <c r="U93" s="6">
        <v>0.6</v>
      </c>
      <c r="V93" s="6">
        <v>3.6</v>
      </c>
      <c r="W93"/>
      <c r="X93" t="s">
        <v>172</v>
      </c>
      <c r="Y93" t="s">
        <v>164</v>
      </c>
      <c r="Z93">
        <v>2</v>
      </c>
      <c r="AA93" t="s">
        <v>311</v>
      </c>
      <c r="AB93" t="s">
        <v>187</v>
      </c>
      <c r="AC93">
        <v>0</v>
      </c>
      <c r="AD93">
        <v>50</v>
      </c>
      <c r="AE93" t="s">
        <v>153</v>
      </c>
      <c r="AK93" t="s">
        <v>156</v>
      </c>
      <c r="AN93">
        <v>6</v>
      </c>
      <c r="AO93" s="19">
        <f t="shared" si="4"/>
        <v>0.99999999999999989</v>
      </c>
      <c r="AP93" t="s">
        <v>312</v>
      </c>
      <c r="AQ93" t="s">
        <v>317</v>
      </c>
    </row>
    <row r="94" spans="1:43" x14ac:dyDescent="0.25">
      <c r="A94" t="s">
        <v>308</v>
      </c>
      <c r="B94" s="3">
        <v>0</v>
      </c>
      <c r="C94" s="3">
        <v>1</v>
      </c>
      <c r="D94" s="3">
        <v>0</v>
      </c>
      <c r="E94" s="3" t="s">
        <v>158</v>
      </c>
      <c r="F94" s="11" t="s">
        <v>155</v>
      </c>
      <c r="G94" s="11" t="s">
        <v>176</v>
      </c>
      <c r="I94" t="s">
        <v>143</v>
      </c>
      <c r="J94" s="11" t="s">
        <v>144</v>
      </c>
      <c r="K94" t="s">
        <v>145</v>
      </c>
      <c r="L94">
        <v>240</v>
      </c>
      <c r="N94" t="s">
        <v>309</v>
      </c>
      <c r="O94" t="s">
        <v>146</v>
      </c>
      <c r="Q94">
        <v>5</v>
      </c>
      <c r="S94" s="6">
        <v>25.5</v>
      </c>
      <c r="T94" s="6">
        <v>8.8000000000000007</v>
      </c>
      <c r="U94" s="6">
        <v>0.6</v>
      </c>
      <c r="V94" s="6">
        <v>3.6</v>
      </c>
      <c r="W94"/>
      <c r="X94" t="s">
        <v>172</v>
      </c>
      <c r="Y94" t="s">
        <v>164</v>
      </c>
      <c r="Z94">
        <v>2</v>
      </c>
      <c r="AA94" t="s">
        <v>311</v>
      </c>
      <c r="AB94" t="s">
        <v>187</v>
      </c>
      <c r="AC94">
        <v>4</v>
      </c>
      <c r="AD94">
        <v>50</v>
      </c>
      <c r="AE94" t="s">
        <v>153</v>
      </c>
      <c r="AK94" t="s">
        <v>156</v>
      </c>
      <c r="AN94">
        <v>40</v>
      </c>
      <c r="AO94" s="19">
        <f t="shared" si="4"/>
        <v>6.6666666666666661</v>
      </c>
      <c r="AP94" t="s">
        <v>312</v>
      </c>
      <c r="AQ94" t="s">
        <v>318</v>
      </c>
    </row>
    <row r="95" spans="1:43" x14ac:dyDescent="0.25">
      <c r="A95" t="s">
        <v>308</v>
      </c>
      <c r="B95" s="3">
        <v>0</v>
      </c>
      <c r="C95" s="3">
        <v>1</v>
      </c>
      <c r="D95" s="3">
        <v>0</v>
      </c>
      <c r="E95" s="3" t="s">
        <v>158</v>
      </c>
      <c r="F95" s="11" t="s">
        <v>155</v>
      </c>
      <c r="G95" s="11" t="s">
        <v>176</v>
      </c>
      <c r="I95" t="s">
        <v>143</v>
      </c>
      <c r="J95" s="11" t="s">
        <v>144</v>
      </c>
      <c r="K95" t="s">
        <v>145</v>
      </c>
      <c r="L95">
        <v>240</v>
      </c>
      <c r="N95" t="s">
        <v>309</v>
      </c>
      <c r="O95" t="s">
        <v>146</v>
      </c>
      <c r="Q95">
        <v>5</v>
      </c>
      <c r="S95" s="6">
        <v>25.5</v>
      </c>
      <c r="T95" s="6">
        <v>8.8000000000000007</v>
      </c>
      <c r="U95" s="6">
        <v>0.6</v>
      </c>
      <c r="V95" s="6">
        <v>3.6</v>
      </c>
      <c r="W95"/>
      <c r="X95" t="s">
        <v>172</v>
      </c>
      <c r="Y95" t="s">
        <v>164</v>
      </c>
      <c r="Z95">
        <v>2</v>
      </c>
      <c r="AA95" t="s">
        <v>311</v>
      </c>
      <c r="AB95" t="s">
        <v>187</v>
      </c>
      <c r="AC95">
        <v>24</v>
      </c>
      <c r="AD95">
        <v>50</v>
      </c>
      <c r="AE95" t="s">
        <v>153</v>
      </c>
      <c r="AK95" t="s">
        <v>156</v>
      </c>
      <c r="AN95">
        <v>53</v>
      </c>
      <c r="AO95" s="19">
        <f t="shared" si="4"/>
        <v>8.8333333333333321</v>
      </c>
      <c r="AP95" t="s">
        <v>312</v>
      </c>
      <c r="AQ95" t="s">
        <v>319</v>
      </c>
    </row>
    <row r="96" spans="1:43" x14ac:dyDescent="0.25">
      <c r="A96" t="s">
        <v>308</v>
      </c>
      <c r="B96" s="3">
        <v>0</v>
      </c>
      <c r="C96" s="3">
        <v>1</v>
      </c>
      <c r="D96" s="3">
        <v>0</v>
      </c>
      <c r="E96" s="3" t="s">
        <v>158</v>
      </c>
      <c r="F96" s="11" t="s">
        <v>155</v>
      </c>
      <c r="G96" s="11" t="s">
        <v>176</v>
      </c>
      <c r="I96" t="s">
        <v>143</v>
      </c>
      <c r="J96" s="11" t="s">
        <v>144</v>
      </c>
      <c r="K96" t="s">
        <v>145</v>
      </c>
      <c r="L96">
        <v>240</v>
      </c>
      <c r="N96" t="s">
        <v>309</v>
      </c>
      <c r="O96" t="s">
        <v>146</v>
      </c>
      <c r="Q96">
        <v>5</v>
      </c>
      <c r="S96" s="6">
        <v>25.5</v>
      </c>
      <c r="T96" s="6">
        <v>8.8000000000000007</v>
      </c>
      <c r="U96" s="6">
        <v>0.6</v>
      </c>
      <c r="V96" s="6">
        <v>3.6</v>
      </c>
      <c r="W96"/>
      <c r="X96" t="s">
        <v>172</v>
      </c>
      <c r="Y96" t="s">
        <v>146</v>
      </c>
      <c r="Z96">
        <v>2</v>
      </c>
      <c r="AB96" t="s">
        <v>156</v>
      </c>
      <c r="AD96">
        <v>50</v>
      </c>
      <c r="AE96" t="s">
        <v>153</v>
      </c>
      <c r="AK96" t="s">
        <v>156</v>
      </c>
      <c r="AN96">
        <v>72</v>
      </c>
      <c r="AO96" s="19">
        <f t="shared" si="4"/>
        <v>11.999999999999998</v>
      </c>
      <c r="AP96" t="s">
        <v>312</v>
      </c>
      <c r="AQ96" t="s">
        <v>320</v>
      </c>
    </row>
    <row r="97" spans="1:43" x14ac:dyDescent="0.25">
      <c r="A97" t="s">
        <v>308</v>
      </c>
      <c r="B97" s="3">
        <v>0</v>
      </c>
      <c r="C97" s="3">
        <v>1</v>
      </c>
      <c r="D97" s="3">
        <v>0</v>
      </c>
      <c r="E97" s="3" t="s">
        <v>158</v>
      </c>
      <c r="F97" s="11" t="s">
        <v>155</v>
      </c>
      <c r="G97" s="11" t="s">
        <v>176</v>
      </c>
      <c r="I97" t="s">
        <v>143</v>
      </c>
      <c r="J97" s="11" t="s">
        <v>144</v>
      </c>
      <c r="K97" t="s">
        <v>145</v>
      </c>
      <c r="L97">
        <v>240</v>
      </c>
      <c r="N97" t="s">
        <v>309</v>
      </c>
      <c r="O97" t="s">
        <v>164</v>
      </c>
      <c r="P97" t="s">
        <v>310</v>
      </c>
      <c r="Q97">
        <v>5</v>
      </c>
      <c r="X97" t="s">
        <v>172</v>
      </c>
      <c r="Y97" t="s">
        <v>164</v>
      </c>
      <c r="Z97">
        <v>3</v>
      </c>
      <c r="AA97" t="s">
        <v>311</v>
      </c>
      <c r="AB97" t="s">
        <v>187</v>
      </c>
      <c r="AC97">
        <v>0</v>
      </c>
      <c r="AD97">
        <v>50</v>
      </c>
      <c r="AE97" t="s">
        <v>153</v>
      </c>
      <c r="AK97" t="s">
        <v>156</v>
      </c>
      <c r="AN97">
        <v>3</v>
      </c>
      <c r="AP97" t="s">
        <v>150</v>
      </c>
      <c r="AQ97" t="s">
        <v>321</v>
      </c>
    </row>
    <row r="98" spans="1:43" x14ac:dyDescent="0.25">
      <c r="A98" t="s">
        <v>308</v>
      </c>
      <c r="B98" s="3">
        <v>0</v>
      </c>
      <c r="C98" s="3">
        <v>1</v>
      </c>
      <c r="D98" s="3">
        <v>0</v>
      </c>
      <c r="E98" s="3" t="s">
        <v>158</v>
      </c>
      <c r="F98" s="11" t="s">
        <v>155</v>
      </c>
      <c r="G98" s="11" t="s">
        <v>176</v>
      </c>
      <c r="I98" t="s">
        <v>143</v>
      </c>
      <c r="J98" s="11" t="s">
        <v>144</v>
      </c>
      <c r="K98" t="s">
        <v>145</v>
      </c>
      <c r="L98">
        <v>240</v>
      </c>
      <c r="N98" t="s">
        <v>309</v>
      </c>
      <c r="O98" t="s">
        <v>164</v>
      </c>
      <c r="P98" t="s">
        <v>310</v>
      </c>
      <c r="Q98">
        <v>5</v>
      </c>
      <c r="X98" t="s">
        <v>172</v>
      </c>
      <c r="Y98" t="s">
        <v>164</v>
      </c>
      <c r="Z98">
        <v>3</v>
      </c>
      <c r="AA98" t="s">
        <v>311</v>
      </c>
      <c r="AB98" t="s">
        <v>187</v>
      </c>
      <c r="AC98">
        <v>4</v>
      </c>
      <c r="AD98">
        <v>50</v>
      </c>
      <c r="AE98" t="s">
        <v>153</v>
      </c>
      <c r="AK98" t="s">
        <v>156</v>
      </c>
      <c r="AN98">
        <v>9</v>
      </c>
      <c r="AP98" t="s">
        <v>150</v>
      </c>
      <c r="AQ98" t="s">
        <v>322</v>
      </c>
    </row>
    <row r="99" spans="1:43" x14ac:dyDescent="0.25">
      <c r="A99" t="s">
        <v>308</v>
      </c>
      <c r="B99" s="3">
        <v>0</v>
      </c>
      <c r="C99" s="3">
        <v>1</v>
      </c>
      <c r="D99" s="3">
        <v>0</v>
      </c>
      <c r="E99" s="3" t="s">
        <v>158</v>
      </c>
      <c r="F99" s="11" t="s">
        <v>155</v>
      </c>
      <c r="G99" s="11" t="s">
        <v>176</v>
      </c>
      <c r="I99" t="s">
        <v>143</v>
      </c>
      <c r="J99" s="11" t="s">
        <v>144</v>
      </c>
      <c r="K99" t="s">
        <v>145</v>
      </c>
      <c r="L99">
        <v>240</v>
      </c>
      <c r="N99" t="s">
        <v>309</v>
      </c>
      <c r="O99" t="s">
        <v>164</v>
      </c>
      <c r="P99" t="s">
        <v>310</v>
      </c>
      <c r="Q99">
        <v>5</v>
      </c>
      <c r="X99" t="s">
        <v>172</v>
      </c>
      <c r="Y99" t="s">
        <v>146</v>
      </c>
      <c r="Z99">
        <v>3</v>
      </c>
      <c r="AB99" t="s">
        <v>156</v>
      </c>
      <c r="AD99">
        <v>50</v>
      </c>
      <c r="AE99" t="s">
        <v>153</v>
      </c>
      <c r="AK99" t="s">
        <v>156</v>
      </c>
      <c r="AN99">
        <v>50</v>
      </c>
      <c r="AP99" t="s">
        <v>150</v>
      </c>
      <c r="AQ99" t="s">
        <v>323</v>
      </c>
    </row>
    <row r="100" spans="1:43" x14ac:dyDescent="0.25">
      <c r="A100" t="s">
        <v>308</v>
      </c>
      <c r="B100" s="3">
        <v>0</v>
      </c>
      <c r="C100" s="3">
        <v>1</v>
      </c>
      <c r="D100" s="3">
        <v>0</v>
      </c>
      <c r="E100" s="3" t="s">
        <v>158</v>
      </c>
      <c r="F100" s="11" t="s">
        <v>155</v>
      </c>
      <c r="G100" s="11" t="s">
        <v>176</v>
      </c>
      <c r="I100" t="s">
        <v>143</v>
      </c>
      <c r="J100" s="11" t="s">
        <v>144</v>
      </c>
      <c r="K100" t="s">
        <v>145</v>
      </c>
      <c r="L100">
        <v>240</v>
      </c>
      <c r="N100" t="s">
        <v>309</v>
      </c>
      <c r="O100" t="s">
        <v>146</v>
      </c>
      <c r="Q100">
        <v>5</v>
      </c>
      <c r="X100" t="s">
        <v>172</v>
      </c>
      <c r="Y100" t="s">
        <v>164</v>
      </c>
      <c r="Z100">
        <v>4</v>
      </c>
      <c r="AA100" t="s">
        <v>311</v>
      </c>
      <c r="AB100" t="s">
        <v>187</v>
      </c>
      <c r="AC100">
        <v>0</v>
      </c>
      <c r="AD100">
        <v>50</v>
      </c>
      <c r="AE100" t="s">
        <v>153</v>
      </c>
      <c r="AK100" t="s">
        <v>156</v>
      </c>
      <c r="AN100">
        <v>4</v>
      </c>
      <c r="AP100" t="s">
        <v>150</v>
      </c>
      <c r="AQ100" t="s">
        <v>324</v>
      </c>
    </row>
    <row r="101" spans="1:43" x14ac:dyDescent="0.25">
      <c r="A101" t="s">
        <v>308</v>
      </c>
      <c r="B101" s="3">
        <v>0</v>
      </c>
      <c r="C101" s="3">
        <v>1</v>
      </c>
      <c r="D101" s="3">
        <v>0</v>
      </c>
      <c r="E101" s="3" t="s">
        <v>158</v>
      </c>
      <c r="F101" s="11" t="s">
        <v>155</v>
      </c>
      <c r="G101" s="11" t="s">
        <v>176</v>
      </c>
      <c r="I101" t="s">
        <v>143</v>
      </c>
      <c r="J101" s="11" t="s">
        <v>144</v>
      </c>
      <c r="K101" t="s">
        <v>145</v>
      </c>
      <c r="L101">
        <v>240</v>
      </c>
      <c r="N101" t="s">
        <v>309</v>
      </c>
      <c r="O101" t="s">
        <v>146</v>
      </c>
      <c r="Q101">
        <v>5</v>
      </c>
      <c r="X101" t="s">
        <v>172</v>
      </c>
      <c r="Y101" t="s">
        <v>164</v>
      </c>
      <c r="Z101">
        <v>4</v>
      </c>
      <c r="AA101" t="s">
        <v>311</v>
      </c>
      <c r="AB101" t="s">
        <v>187</v>
      </c>
      <c r="AC101">
        <v>4</v>
      </c>
      <c r="AD101">
        <v>50</v>
      </c>
      <c r="AE101" t="s">
        <v>153</v>
      </c>
      <c r="AK101" t="s">
        <v>156</v>
      </c>
      <c r="AN101">
        <v>21</v>
      </c>
      <c r="AP101" t="s">
        <v>150</v>
      </c>
      <c r="AQ101" t="s">
        <v>325</v>
      </c>
    </row>
    <row r="102" spans="1:43" x14ac:dyDescent="0.25">
      <c r="A102" t="s">
        <v>308</v>
      </c>
      <c r="B102" s="3">
        <v>0</v>
      </c>
      <c r="C102" s="3">
        <v>1</v>
      </c>
      <c r="D102" s="3">
        <v>0</v>
      </c>
      <c r="E102" s="3" t="s">
        <v>158</v>
      </c>
      <c r="F102" s="11" t="s">
        <v>155</v>
      </c>
      <c r="G102" s="11" t="s">
        <v>176</v>
      </c>
      <c r="I102" t="s">
        <v>143</v>
      </c>
      <c r="J102" s="11" t="s">
        <v>144</v>
      </c>
      <c r="K102" t="s">
        <v>145</v>
      </c>
      <c r="L102">
        <v>240</v>
      </c>
      <c r="N102" t="s">
        <v>309</v>
      </c>
      <c r="O102" t="s">
        <v>146</v>
      </c>
      <c r="Q102">
        <v>5</v>
      </c>
      <c r="X102" t="s">
        <v>172</v>
      </c>
      <c r="Y102" t="s">
        <v>146</v>
      </c>
      <c r="Z102">
        <v>4</v>
      </c>
      <c r="AB102" t="s">
        <v>156</v>
      </c>
      <c r="AD102">
        <v>50</v>
      </c>
      <c r="AE102" t="s">
        <v>153</v>
      </c>
      <c r="AK102" t="s">
        <v>156</v>
      </c>
      <c r="AN102">
        <v>73</v>
      </c>
      <c r="AP102" t="s">
        <v>150</v>
      </c>
      <c r="AQ102" t="s">
        <v>326</v>
      </c>
    </row>
    <row r="103" spans="1:43" x14ac:dyDescent="0.25">
      <c r="A103" t="s">
        <v>308</v>
      </c>
      <c r="B103" s="3">
        <v>0</v>
      </c>
      <c r="C103" s="3">
        <v>1</v>
      </c>
      <c r="D103" s="3">
        <v>0</v>
      </c>
      <c r="E103" s="3" t="s">
        <v>158</v>
      </c>
      <c r="F103" s="11" t="s">
        <v>141</v>
      </c>
      <c r="G103" s="11" t="s">
        <v>176</v>
      </c>
      <c r="I103" t="s">
        <v>143</v>
      </c>
      <c r="J103" s="11" t="s">
        <v>144</v>
      </c>
      <c r="K103" t="s">
        <v>145</v>
      </c>
      <c r="L103">
        <v>240</v>
      </c>
      <c r="N103" t="s">
        <v>309</v>
      </c>
      <c r="O103" t="s">
        <v>164</v>
      </c>
      <c r="P103" t="s">
        <v>310</v>
      </c>
      <c r="Q103">
        <v>4</v>
      </c>
      <c r="S103" s="6">
        <v>17.600000000000001</v>
      </c>
      <c r="U103" s="6">
        <v>0.27</v>
      </c>
      <c r="V103" s="6">
        <v>2.1</v>
      </c>
      <c r="X103" t="s">
        <v>172</v>
      </c>
      <c r="Y103" t="s">
        <v>164</v>
      </c>
      <c r="Z103">
        <v>5</v>
      </c>
      <c r="AA103" t="s">
        <v>311</v>
      </c>
      <c r="AB103" t="s">
        <v>187</v>
      </c>
      <c r="AC103">
        <v>4</v>
      </c>
      <c r="AD103">
        <v>50</v>
      </c>
      <c r="AE103" t="s">
        <v>153</v>
      </c>
      <c r="AK103" t="s">
        <v>156</v>
      </c>
      <c r="AN103">
        <v>27</v>
      </c>
      <c r="AP103" t="s">
        <v>150</v>
      </c>
      <c r="AQ103" t="s">
        <v>327</v>
      </c>
    </row>
    <row r="104" spans="1:43" x14ac:dyDescent="0.25">
      <c r="A104" t="s">
        <v>308</v>
      </c>
      <c r="B104" s="3">
        <v>0</v>
      </c>
      <c r="C104" s="3">
        <v>1</v>
      </c>
      <c r="D104" s="3">
        <v>0</v>
      </c>
      <c r="E104" s="3" t="s">
        <v>158</v>
      </c>
      <c r="F104" s="11" t="s">
        <v>141</v>
      </c>
      <c r="G104" s="11" t="s">
        <v>176</v>
      </c>
      <c r="I104" t="s">
        <v>143</v>
      </c>
      <c r="J104" s="11" t="s">
        <v>144</v>
      </c>
      <c r="K104" t="s">
        <v>145</v>
      </c>
      <c r="L104">
        <v>240</v>
      </c>
      <c r="N104" t="s">
        <v>309</v>
      </c>
      <c r="O104" t="s">
        <v>164</v>
      </c>
      <c r="P104" t="s">
        <v>310</v>
      </c>
      <c r="Q104">
        <v>4</v>
      </c>
      <c r="S104" s="6">
        <v>17.600000000000001</v>
      </c>
      <c r="U104" s="6">
        <v>0.27</v>
      </c>
      <c r="V104" s="6">
        <v>2.1</v>
      </c>
      <c r="X104" t="s">
        <v>172</v>
      </c>
      <c r="Y104" t="s">
        <v>164</v>
      </c>
      <c r="Z104">
        <v>5</v>
      </c>
      <c r="AA104" t="s">
        <v>311</v>
      </c>
      <c r="AB104" t="s">
        <v>187</v>
      </c>
      <c r="AC104">
        <v>24</v>
      </c>
      <c r="AD104">
        <v>50</v>
      </c>
      <c r="AE104" t="s">
        <v>153</v>
      </c>
      <c r="AK104" t="s">
        <v>156</v>
      </c>
      <c r="AN104">
        <v>109</v>
      </c>
      <c r="AP104" t="s">
        <v>150</v>
      </c>
      <c r="AQ104" t="s">
        <v>328</v>
      </c>
    </row>
    <row r="105" spans="1:43" x14ac:dyDescent="0.25">
      <c r="A105" t="s">
        <v>308</v>
      </c>
      <c r="B105" s="3">
        <v>0</v>
      </c>
      <c r="C105" s="3">
        <v>1</v>
      </c>
      <c r="D105" s="3">
        <v>0</v>
      </c>
      <c r="E105" s="3" t="s">
        <v>158</v>
      </c>
      <c r="F105" s="11" t="s">
        <v>141</v>
      </c>
      <c r="G105" s="11" t="s">
        <v>176</v>
      </c>
      <c r="I105" t="s">
        <v>143</v>
      </c>
      <c r="J105" s="11" t="s">
        <v>144</v>
      </c>
      <c r="K105" t="s">
        <v>145</v>
      </c>
      <c r="L105">
        <v>240</v>
      </c>
      <c r="N105" t="s">
        <v>309</v>
      </c>
      <c r="O105" t="s">
        <v>164</v>
      </c>
      <c r="P105" t="s">
        <v>310</v>
      </c>
      <c r="Q105">
        <v>4</v>
      </c>
      <c r="S105" s="6">
        <v>17.600000000000001</v>
      </c>
      <c r="U105" s="6">
        <v>0.27</v>
      </c>
      <c r="V105" s="6">
        <v>2.1</v>
      </c>
      <c r="X105" t="s">
        <v>172</v>
      </c>
      <c r="Y105" t="s">
        <v>146</v>
      </c>
      <c r="Z105">
        <v>5</v>
      </c>
      <c r="AB105" t="s">
        <v>156</v>
      </c>
      <c r="AD105">
        <v>50</v>
      </c>
      <c r="AE105" t="s">
        <v>153</v>
      </c>
      <c r="AK105" t="s">
        <v>156</v>
      </c>
      <c r="AN105">
        <v>139</v>
      </c>
      <c r="AP105" t="s">
        <v>150</v>
      </c>
      <c r="AQ105" t="s">
        <v>329</v>
      </c>
    </row>
    <row r="106" spans="1:43" x14ac:dyDescent="0.25">
      <c r="A106" t="s">
        <v>308</v>
      </c>
      <c r="B106" s="3">
        <v>0</v>
      </c>
      <c r="C106" s="3">
        <v>1</v>
      </c>
      <c r="D106" s="3">
        <v>0</v>
      </c>
      <c r="E106" s="3" t="s">
        <v>158</v>
      </c>
      <c r="F106" s="11" t="s">
        <v>141</v>
      </c>
      <c r="G106" s="11" t="s">
        <v>176</v>
      </c>
      <c r="I106" t="s">
        <v>143</v>
      </c>
      <c r="J106" s="11" t="s">
        <v>144</v>
      </c>
      <c r="K106" t="s">
        <v>145</v>
      </c>
      <c r="L106">
        <v>240</v>
      </c>
      <c r="N106" t="s">
        <v>309</v>
      </c>
      <c r="O106" t="s">
        <v>146</v>
      </c>
      <c r="Q106">
        <v>4</v>
      </c>
      <c r="S106" s="6">
        <v>17.100000000000001</v>
      </c>
      <c r="U106" s="6">
        <v>0.21</v>
      </c>
      <c r="V106" s="6">
        <v>2.9</v>
      </c>
      <c r="X106" t="s">
        <v>172</v>
      </c>
      <c r="Y106" t="s">
        <v>164</v>
      </c>
      <c r="Z106">
        <v>6</v>
      </c>
      <c r="AA106" t="s">
        <v>311</v>
      </c>
      <c r="AB106" t="s">
        <v>187</v>
      </c>
      <c r="AC106">
        <v>4</v>
      </c>
      <c r="AD106">
        <v>50</v>
      </c>
      <c r="AE106" t="s">
        <v>153</v>
      </c>
      <c r="AK106" t="s">
        <v>156</v>
      </c>
      <c r="AN106">
        <v>75</v>
      </c>
      <c r="AP106" t="s">
        <v>150</v>
      </c>
      <c r="AQ106" t="s">
        <v>330</v>
      </c>
    </row>
    <row r="107" spans="1:43" x14ac:dyDescent="0.25">
      <c r="A107" t="s">
        <v>308</v>
      </c>
      <c r="B107" s="3">
        <v>0</v>
      </c>
      <c r="C107" s="3">
        <v>1</v>
      </c>
      <c r="D107" s="3">
        <v>0</v>
      </c>
      <c r="E107" s="3" t="s">
        <v>158</v>
      </c>
      <c r="F107" s="11" t="s">
        <v>141</v>
      </c>
      <c r="G107" s="11" t="s">
        <v>176</v>
      </c>
      <c r="I107" t="s">
        <v>143</v>
      </c>
      <c r="J107" s="11" t="s">
        <v>144</v>
      </c>
      <c r="K107" t="s">
        <v>145</v>
      </c>
      <c r="L107">
        <v>240</v>
      </c>
      <c r="N107" t="s">
        <v>309</v>
      </c>
      <c r="O107" t="s">
        <v>146</v>
      </c>
      <c r="Q107">
        <v>4</v>
      </c>
      <c r="S107" s="6">
        <v>17.100000000000001</v>
      </c>
      <c r="U107" s="6">
        <v>0.21</v>
      </c>
      <c r="V107" s="6">
        <v>2.9</v>
      </c>
      <c r="X107" t="s">
        <v>172</v>
      </c>
      <c r="Y107" t="s">
        <v>164</v>
      </c>
      <c r="Z107">
        <v>6</v>
      </c>
      <c r="AA107" t="s">
        <v>311</v>
      </c>
      <c r="AB107" t="s">
        <v>187</v>
      </c>
      <c r="AC107">
        <v>24</v>
      </c>
      <c r="AD107">
        <v>50</v>
      </c>
      <c r="AE107" t="s">
        <v>153</v>
      </c>
      <c r="AK107" t="s">
        <v>156</v>
      </c>
      <c r="AN107">
        <v>116</v>
      </c>
      <c r="AP107" t="s">
        <v>150</v>
      </c>
      <c r="AQ107" t="s">
        <v>331</v>
      </c>
    </row>
    <row r="108" spans="1:43" x14ac:dyDescent="0.25">
      <c r="A108" t="s">
        <v>308</v>
      </c>
      <c r="B108" s="3">
        <v>0</v>
      </c>
      <c r="C108" s="3">
        <v>1</v>
      </c>
      <c r="D108" s="3">
        <v>0</v>
      </c>
      <c r="E108" s="3" t="s">
        <v>158</v>
      </c>
      <c r="F108" s="11" t="s">
        <v>141</v>
      </c>
      <c r="G108" s="11" t="s">
        <v>176</v>
      </c>
      <c r="I108" t="s">
        <v>143</v>
      </c>
      <c r="J108" s="11" t="s">
        <v>144</v>
      </c>
      <c r="K108" t="s">
        <v>145</v>
      </c>
      <c r="L108">
        <v>240</v>
      </c>
      <c r="N108" t="s">
        <v>309</v>
      </c>
      <c r="O108" t="s">
        <v>146</v>
      </c>
      <c r="Q108">
        <v>4</v>
      </c>
      <c r="S108" s="6">
        <v>17.100000000000001</v>
      </c>
      <c r="U108" s="6">
        <v>0.21</v>
      </c>
      <c r="V108" s="6">
        <v>2.9</v>
      </c>
      <c r="X108" t="s">
        <v>172</v>
      </c>
      <c r="Y108" t="s">
        <v>146</v>
      </c>
      <c r="Z108">
        <v>6</v>
      </c>
      <c r="AB108" t="s">
        <v>156</v>
      </c>
      <c r="AD108">
        <v>50</v>
      </c>
      <c r="AE108" t="s">
        <v>153</v>
      </c>
      <c r="AK108" t="s">
        <v>156</v>
      </c>
      <c r="AN108">
        <v>122</v>
      </c>
      <c r="AP108" t="s">
        <v>150</v>
      </c>
      <c r="AQ108" t="s">
        <v>332</v>
      </c>
    </row>
    <row r="109" spans="1:43" x14ac:dyDescent="0.25">
      <c r="A109" t="s">
        <v>308</v>
      </c>
      <c r="B109" s="3">
        <v>0</v>
      </c>
      <c r="C109" s="3">
        <v>1</v>
      </c>
      <c r="D109" s="3">
        <v>0</v>
      </c>
      <c r="E109" s="3" t="s">
        <v>158</v>
      </c>
      <c r="F109" s="11" t="s">
        <v>141</v>
      </c>
      <c r="G109" s="11" t="s">
        <v>176</v>
      </c>
      <c r="I109" t="s">
        <v>143</v>
      </c>
      <c r="J109" s="11" t="s">
        <v>144</v>
      </c>
      <c r="K109" t="s">
        <v>145</v>
      </c>
      <c r="L109">
        <v>240</v>
      </c>
      <c r="N109" t="s">
        <v>309</v>
      </c>
      <c r="O109" t="s">
        <v>164</v>
      </c>
      <c r="P109" t="s">
        <v>310</v>
      </c>
      <c r="Q109">
        <v>4</v>
      </c>
      <c r="S109" s="6">
        <v>17.7</v>
      </c>
      <c r="T109" s="6">
        <v>8.3000000000000007</v>
      </c>
      <c r="U109" s="6">
        <v>0.17</v>
      </c>
      <c r="V109" s="6">
        <v>2.2999999999999998</v>
      </c>
      <c r="X109" t="s">
        <v>172</v>
      </c>
      <c r="Y109" t="s">
        <v>164</v>
      </c>
      <c r="Z109">
        <v>7</v>
      </c>
      <c r="AA109" t="s">
        <v>311</v>
      </c>
      <c r="AB109" t="s">
        <v>187</v>
      </c>
      <c r="AC109">
        <v>4</v>
      </c>
      <c r="AD109">
        <v>50</v>
      </c>
      <c r="AE109" t="s">
        <v>153</v>
      </c>
      <c r="AK109" t="s">
        <v>156</v>
      </c>
      <c r="AN109">
        <v>167</v>
      </c>
      <c r="AP109" t="s">
        <v>150</v>
      </c>
      <c r="AQ109" t="s">
        <v>333</v>
      </c>
    </row>
    <row r="110" spans="1:43" x14ac:dyDescent="0.25">
      <c r="A110" t="s">
        <v>308</v>
      </c>
      <c r="B110" s="3">
        <v>0</v>
      </c>
      <c r="C110" s="3">
        <v>1</v>
      </c>
      <c r="D110" s="3">
        <v>0</v>
      </c>
      <c r="E110" s="3" t="s">
        <v>158</v>
      </c>
      <c r="F110" s="11" t="s">
        <v>141</v>
      </c>
      <c r="G110" s="11" t="s">
        <v>176</v>
      </c>
      <c r="I110" t="s">
        <v>143</v>
      </c>
      <c r="J110" s="11" t="s">
        <v>144</v>
      </c>
      <c r="K110" t="s">
        <v>145</v>
      </c>
      <c r="L110">
        <v>240</v>
      </c>
      <c r="N110" t="s">
        <v>309</v>
      </c>
      <c r="O110" t="s">
        <v>164</v>
      </c>
      <c r="P110" t="s">
        <v>310</v>
      </c>
      <c r="Q110">
        <v>4</v>
      </c>
      <c r="S110" s="6">
        <v>17.7</v>
      </c>
      <c r="T110" s="6">
        <v>8.3000000000000007</v>
      </c>
      <c r="U110" s="6">
        <v>0.17</v>
      </c>
      <c r="V110" s="6">
        <v>2.2999999999999998</v>
      </c>
      <c r="X110" t="s">
        <v>172</v>
      </c>
      <c r="Y110" t="s">
        <v>164</v>
      </c>
      <c r="Z110">
        <v>7</v>
      </c>
      <c r="AA110" t="s">
        <v>311</v>
      </c>
      <c r="AB110" t="s">
        <v>187</v>
      </c>
      <c r="AC110">
        <v>24</v>
      </c>
      <c r="AD110">
        <v>50</v>
      </c>
      <c r="AE110" t="s">
        <v>153</v>
      </c>
      <c r="AK110" t="s">
        <v>156</v>
      </c>
      <c r="AN110">
        <v>267</v>
      </c>
      <c r="AP110" t="s">
        <v>150</v>
      </c>
      <c r="AQ110" t="s">
        <v>334</v>
      </c>
    </row>
    <row r="111" spans="1:43" x14ac:dyDescent="0.25">
      <c r="A111" t="s">
        <v>308</v>
      </c>
      <c r="B111" s="3">
        <v>0</v>
      </c>
      <c r="C111" s="3">
        <v>1</v>
      </c>
      <c r="D111" s="3">
        <v>0</v>
      </c>
      <c r="E111" s="3" t="s">
        <v>158</v>
      </c>
      <c r="F111" s="11" t="s">
        <v>141</v>
      </c>
      <c r="G111" s="11" t="s">
        <v>176</v>
      </c>
      <c r="I111" t="s">
        <v>143</v>
      </c>
      <c r="J111" s="11" t="s">
        <v>144</v>
      </c>
      <c r="K111" t="s">
        <v>145</v>
      </c>
      <c r="L111">
        <v>240</v>
      </c>
      <c r="N111" t="s">
        <v>309</v>
      </c>
      <c r="O111" t="s">
        <v>164</v>
      </c>
      <c r="P111" t="s">
        <v>310</v>
      </c>
      <c r="Q111">
        <v>4</v>
      </c>
      <c r="S111" s="6">
        <v>17.7</v>
      </c>
      <c r="T111" s="6">
        <v>8.3000000000000007</v>
      </c>
      <c r="U111" s="6">
        <v>0.17</v>
      </c>
      <c r="V111" s="6">
        <v>2.2999999999999998</v>
      </c>
      <c r="X111" t="s">
        <v>172</v>
      </c>
      <c r="Y111" t="s">
        <v>146</v>
      </c>
      <c r="Z111">
        <v>7</v>
      </c>
      <c r="AB111" t="s">
        <v>156</v>
      </c>
      <c r="AD111">
        <v>50</v>
      </c>
      <c r="AE111" t="s">
        <v>153</v>
      </c>
      <c r="AK111" t="s">
        <v>156</v>
      </c>
      <c r="AN111">
        <v>273</v>
      </c>
      <c r="AP111" t="s">
        <v>150</v>
      </c>
      <c r="AQ111" t="s">
        <v>335</v>
      </c>
    </row>
    <row r="112" spans="1:43" x14ac:dyDescent="0.25">
      <c r="A112" t="s">
        <v>308</v>
      </c>
      <c r="B112" s="3">
        <v>0</v>
      </c>
      <c r="C112" s="3">
        <v>1</v>
      </c>
      <c r="D112" s="3">
        <v>0</v>
      </c>
      <c r="E112" s="3" t="s">
        <v>158</v>
      </c>
      <c r="F112" s="11" t="s">
        <v>141</v>
      </c>
      <c r="G112" s="11" t="s">
        <v>176</v>
      </c>
      <c r="I112" t="s">
        <v>143</v>
      </c>
      <c r="J112" s="11" t="s">
        <v>144</v>
      </c>
      <c r="K112" t="s">
        <v>145</v>
      </c>
      <c r="L112">
        <v>240</v>
      </c>
      <c r="N112" t="s">
        <v>309</v>
      </c>
      <c r="O112" t="s">
        <v>146</v>
      </c>
      <c r="Q112">
        <v>4</v>
      </c>
      <c r="S112" s="6">
        <v>16.7</v>
      </c>
      <c r="T112" s="6">
        <v>8.1999999999999993</v>
      </c>
      <c r="U112" s="6">
        <v>0.16</v>
      </c>
      <c r="V112" s="6">
        <v>2.2000000000000002</v>
      </c>
      <c r="X112" t="s">
        <v>172</v>
      </c>
      <c r="Y112" t="s">
        <v>164</v>
      </c>
      <c r="Z112">
        <v>8</v>
      </c>
      <c r="AA112" t="s">
        <v>311</v>
      </c>
      <c r="AB112" t="s">
        <v>187</v>
      </c>
      <c r="AC112">
        <v>4</v>
      </c>
      <c r="AD112">
        <v>50</v>
      </c>
      <c r="AE112" t="s">
        <v>153</v>
      </c>
      <c r="AK112" t="s">
        <v>156</v>
      </c>
      <c r="AN112">
        <v>67</v>
      </c>
      <c r="AP112" t="s">
        <v>150</v>
      </c>
      <c r="AQ112" t="s">
        <v>336</v>
      </c>
    </row>
    <row r="113" spans="1:43" x14ac:dyDescent="0.25">
      <c r="A113" t="s">
        <v>308</v>
      </c>
      <c r="B113" s="3">
        <v>0</v>
      </c>
      <c r="C113" s="3">
        <v>1</v>
      </c>
      <c r="D113" s="3">
        <v>0</v>
      </c>
      <c r="E113" s="3" t="s">
        <v>158</v>
      </c>
      <c r="F113" s="11" t="s">
        <v>141</v>
      </c>
      <c r="G113" s="11" t="s">
        <v>176</v>
      </c>
      <c r="I113" t="s">
        <v>143</v>
      </c>
      <c r="J113" s="11" t="s">
        <v>144</v>
      </c>
      <c r="K113" t="s">
        <v>145</v>
      </c>
      <c r="L113">
        <v>240</v>
      </c>
      <c r="N113" t="s">
        <v>309</v>
      </c>
      <c r="O113" t="s">
        <v>146</v>
      </c>
      <c r="Q113">
        <v>4</v>
      </c>
      <c r="S113" s="6">
        <v>16.7</v>
      </c>
      <c r="T113" s="6">
        <v>8.1999999999999993</v>
      </c>
      <c r="U113" s="6">
        <v>0.16</v>
      </c>
      <c r="V113" s="6">
        <v>2.2000000000000002</v>
      </c>
      <c r="X113" t="s">
        <v>172</v>
      </c>
      <c r="Y113" t="s">
        <v>164</v>
      </c>
      <c r="Z113">
        <v>8</v>
      </c>
      <c r="AA113" t="s">
        <v>311</v>
      </c>
      <c r="AB113" t="s">
        <v>187</v>
      </c>
      <c r="AC113">
        <v>24</v>
      </c>
      <c r="AD113">
        <v>50</v>
      </c>
      <c r="AE113" t="s">
        <v>153</v>
      </c>
      <c r="AK113" t="s">
        <v>156</v>
      </c>
      <c r="AN113">
        <v>98</v>
      </c>
      <c r="AP113" t="s">
        <v>150</v>
      </c>
      <c r="AQ113" t="s">
        <v>337</v>
      </c>
    </row>
    <row r="114" spans="1:43" x14ac:dyDescent="0.25">
      <c r="A114" t="s">
        <v>308</v>
      </c>
      <c r="B114" s="3">
        <v>0</v>
      </c>
      <c r="C114" s="3">
        <v>1</v>
      </c>
      <c r="D114" s="3">
        <v>0</v>
      </c>
      <c r="E114" s="3" t="s">
        <v>158</v>
      </c>
      <c r="F114" s="11" t="s">
        <v>141</v>
      </c>
      <c r="G114" s="11" t="s">
        <v>176</v>
      </c>
      <c r="I114" t="s">
        <v>143</v>
      </c>
      <c r="J114" s="11" t="s">
        <v>144</v>
      </c>
      <c r="K114" t="s">
        <v>145</v>
      </c>
      <c r="L114">
        <v>240</v>
      </c>
      <c r="N114" t="s">
        <v>309</v>
      </c>
      <c r="O114" t="s">
        <v>146</v>
      </c>
      <c r="Q114">
        <v>4</v>
      </c>
      <c r="S114" s="6">
        <v>16.7</v>
      </c>
      <c r="T114" s="6">
        <v>8.1999999999999993</v>
      </c>
      <c r="U114" s="6">
        <v>0.16</v>
      </c>
      <c r="V114" s="6">
        <v>2.2000000000000002</v>
      </c>
      <c r="X114" t="s">
        <v>172</v>
      </c>
      <c r="Y114" t="s">
        <v>146</v>
      </c>
      <c r="Z114">
        <v>8</v>
      </c>
      <c r="AB114" t="s">
        <v>156</v>
      </c>
      <c r="AD114">
        <v>50</v>
      </c>
      <c r="AE114" t="s">
        <v>153</v>
      </c>
      <c r="AK114" t="s">
        <v>156</v>
      </c>
      <c r="AN114">
        <v>144</v>
      </c>
      <c r="AP114" t="s">
        <v>150</v>
      </c>
      <c r="AQ114" t="s">
        <v>338</v>
      </c>
    </row>
    <row r="115" spans="1:43" x14ac:dyDescent="0.25">
      <c r="A115" t="s">
        <v>45</v>
      </c>
      <c r="B115" s="3">
        <v>0</v>
      </c>
      <c r="C115" s="3">
        <v>1</v>
      </c>
      <c r="D115" s="3">
        <v>1</v>
      </c>
      <c r="E115" s="3" t="s">
        <v>158</v>
      </c>
      <c r="F115" s="11" t="s">
        <v>141</v>
      </c>
      <c r="G115" s="11" t="s">
        <v>176</v>
      </c>
      <c r="I115" t="s">
        <v>143</v>
      </c>
      <c r="J115" s="11" t="s">
        <v>144</v>
      </c>
      <c r="K115" t="s">
        <v>145</v>
      </c>
      <c r="L115">
        <v>96</v>
      </c>
      <c r="S115" s="6">
        <v>18.899999999999999</v>
      </c>
      <c r="U115" s="6">
        <v>0.4</v>
      </c>
      <c r="V115" s="6">
        <v>3.4</v>
      </c>
      <c r="W115"/>
      <c r="X115" t="s">
        <v>172</v>
      </c>
      <c r="Y115" t="s">
        <v>146</v>
      </c>
      <c r="Z115">
        <v>1</v>
      </c>
      <c r="AB115" t="s">
        <v>156</v>
      </c>
      <c r="AD115" s="20">
        <f>8.5/(S115/100)</f>
        <v>44.973544973544982</v>
      </c>
      <c r="AE115" t="s">
        <v>224</v>
      </c>
      <c r="AG115" s="20">
        <f t="shared" ref="AG115:AG130" si="5">AVERAGE(5.4,6.5,7.1,4.7)</f>
        <v>5.9249999999999998</v>
      </c>
      <c r="AI115" t="s">
        <v>148</v>
      </c>
      <c r="AJ115">
        <v>6</v>
      </c>
      <c r="AN115" s="33">
        <v>38.4</v>
      </c>
      <c r="AO115" s="19">
        <f t="shared" ref="AO115" si="6">AN115*U115/V115</f>
        <v>4.5176470588235293</v>
      </c>
      <c r="AP115" t="s">
        <v>339</v>
      </c>
    </row>
    <row r="116" spans="1:43" x14ac:dyDescent="0.25">
      <c r="A116" t="s">
        <v>45</v>
      </c>
      <c r="B116" s="3">
        <v>0</v>
      </c>
      <c r="C116" s="3">
        <v>1</v>
      </c>
      <c r="D116" s="3">
        <v>1</v>
      </c>
      <c r="E116" s="3" t="s">
        <v>158</v>
      </c>
      <c r="F116" s="11" t="s">
        <v>141</v>
      </c>
      <c r="G116" s="11" t="s">
        <v>176</v>
      </c>
      <c r="I116" t="s">
        <v>143</v>
      </c>
      <c r="J116" s="11" t="s">
        <v>144</v>
      </c>
      <c r="K116" t="s">
        <v>145</v>
      </c>
      <c r="L116">
        <v>96</v>
      </c>
      <c r="S116" s="6">
        <v>18.899999999999999</v>
      </c>
      <c r="U116" s="6">
        <v>0.4</v>
      </c>
      <c r="V116" s="6">
        <v>3.4</v>
      </c>
      <c r="W116"/>
      <c r="X116" t="s">
        <v>172</v>
      </c>
      <c r="Y116" t="s">
        <v>164</v>
      </c>
      <c r="Z116">
        <v>1</v>
      </c>
      <c r="AA116" t="s">
        <v>311</v>
      </c>
      <c r="AB116" t="s">
        <v>187</v>
      </c>
      <c r="AC116">
        <v>0</v>
      </c>
      <c r="AD116" s="20">
        <f>8.5/(S116/100)</f>
        <v>44.973544973544982</v>
      </c>
      <c r="AE116" t="s">
        <v>224</v>
      </c>
      <c r="AG116" s="20">
        <f t="shared" si="5"/>
        <v>5.9249999999999998</v>
      </c>
      <c r="AI116" t="s">
        <v>148</v>
      </c>
      <c r="AJ116">
        <v>6</v>
      </c>
      <c r="AN116" s="33">
        <v>0.9</v>
      </c>
      <c r="AO116" s="19">
        <f t="shared" ref="AO116:AO117" si="7">AN116*U116/V116</f>
        <v>0.10588235294117648</v>
      </c>
      <c r="AP116" t="s">
        <v>339</v>
      </c>
    </row>
    <row r="117" spans="1:43" x14ac:dyDescent="0.25">
      <c r="A117" t="s">
        <v>45</v>
      </c>
      <c r="B117" s="3">
        <v>0</v>
      </c>
      <c r="C117" s="3">
        <v>1</v>
      </c>
      <c r="D117" s="3">
        <v>1</v>
      </c>
      <c r="E117" s="3" t="s">
        <v>158</v>
      </c>
      <c r="F117" s="11" t="s">
        <v>141</v>
      </c>
      <c r="G117" s="11" t="s">
        <v>176</v>
      </c>
      <c r="I117" t="s">
        <v>143</v>
      </c>
      <c r="J117" s="11" t="s">
        <v>144</v>
      </c>
      <c r="K117" t="s">
        <v>145</v>
      </c>
      <c r="L117">
        <v>96</v>
      </c>
      <c r="S117" s="6">
        <v>18.899999999999999</v>
      </c>
      <c r="U117" s="6">
        <v>0.4</v>
      </c>
      <c r="V117" s="6">
        <v>3.4</v>
      </c>
      <c r="W117"/>
      <c r="X117" t="s">
        <v>172</v>
      </c>
      <c r="Y117" t="s">
        <v>164</v>
      </c>
      <c r="Z117">
        <v>1</v>
      </c>
      <c r="AA117" t="s">
        <v>340</v>
      </c>
      <c r="AB117" t="s">
        <v>166</v>
      </c>
      <c r="AC117">
        <v>0</v>
      </c>
      <c r="AD117" s="20">
        <f>8.5/(S117/100)</f>
        <v>44.973544973544982</v>
      </c>
      <c r="AE117" t="s">
        <v>224</v>
      </c>
      <c r="AG117" s="20">
        <f t="shared" si="5"/>
        <v>5.9249999999999998</v>
      </c>
      <c r="AI117" t="s">
        <v>148</v>
      </c>
      <c r="AJ117">
        <v>6</v>
      </c>
      <c r="AN117" s="33">
        <v>19.600000000000001</v>
      </c>
      <c r="AO117" s="19">
        <f t="shared" si="7"/>
        <v>2.3058823529411767</v>
      </c>
      <c r="AP117" t="s">
        <v>339</v>
      </c>
    </row>
    <row r="118" spans="1:43" x14ac:dyDescent="0.25">
      <c r="A118" t="s">
        <v>45</v>
      </c>
      <c r="B118" s="3">
        <v>0</v>
      </c>
      <c r="C118" s="3">
        <v>1</v>
      </c>
      <c r="D118" s="3">
        <v>1</v>
      </c>
      <c r="E118" s="3" t="s">
        <v>158</v>
      </c>
      <c r="F118" s="11" t="s">
        <v>141</v>
      </c>
      <c r="G118" s="11" t="s">
        <v>176</v>
      </c>
      <c r="I118" t="s">
        <v>143</v>
      </c>
      <c r="J118" s="11" t="s">
        <v>144</v>
      </c>
      <c r="K118" t="s">
        <v>145</v>
      </c>
      <c r="L118">
        <v>96</v>
      </c>
      <c r="S118" s="6">
        <v>18.899999999999999</v>
      </c>
      <c r="U118" s="6">
        <v>0.4</v>
      </c>
      <c r="V118" s="6">
        <v>3.4</v>
      </c>
      <c r="W118"/>
      <c r="X118" t="s">
        <v>172</v>
      </c>
      <c r="Y118" t="s">
        <v>164</v>
      </c>
      <c r="Z118">
        <v>1</v>
      </c>
      <c r="AA118" t="s">
        <v>341</v>
      </c>
      <c r="AB118" t="s">
        <v>166</v>
      </c>
      <c r="AC118">
        <v>0</v>
      </c>
      <c r="AD118" s="20">
        <f>8.5/(S118/100)</f>
        <v>44.973544973544982</v>
      </c>
      <c r="AE118" t="s">
        <v>224</v>
      </c>
      <c r="AG118" s="20">
        <f t="shared" si="5"/>
        <v>5.9249999999999998</v>
      </c>
      <c r="AI118" t="s">
        <v>148</v>
      </c>
      <c r="AJ118">
        <v>6</v>
      </c>
      <c r="AN118" s="33">
        <v>0.85</v>
      </c>
      <c r="AO118" s="19">
        <f t="shared" ref="AO118" si="8">AN118*U118/V118</f>
        <v>0.1</v>
      </c>
      <c r="AP118" t="s">
        <v>339</v>
      </c>
    </row>
    <row r="119" spans="1:43" x14ac:dyDescent="0.25">
      <c r="A119" t="s">
        <v>45</v>
      </c>
      <c r="B119" s="3">
        <v>0</v>
      </c>
      <c r="C119" s="3">
        <v>1</v>
      </c>
      <c r="D119" s="3">
        <v>1</v>
      </c>
      <c r="E119" s="3" t="s">
        <v>158</v>
      </c>
      <c r="F119" s="11" t="s">
        <v>155</v>
      </c>
      <c r="G119" s="11" t="s">
        <v>176</v>
      </c>
      <c r="I119" t="s">
        <v>143</v>
      </c>
      <c r="J119" s="11" t="s">
        <v>144</v>
      </c>
      <c r="K119" t="s">
        <v>145</v>
      </c>
      <c r="L119">
        <v>96</v>
      </c>
      <c r="S119" s="6">
        <v>23.7</v>
      </c>
      <c r="U119" s="6">
        <v>4.9000000000000004</v>
      </c>
      <c r="V119" s="6">
        <v>9.6</v>
      </c>
      <c r="W119"/>
      <c r="X119" t="s">
        <v>172</v>
      </c>
      <c r="Y119" t="s">
        <v>146</v>
      </c>
      <c r="Z119">
        <v>2</v>
      </c>
      <c r="AB119" t="s">
        <v>156</v>
      </c>
      <c r="AD119" s="20">
        <f>3.5/(S119/100)</f>
        <v>14.767932489451477</v>
      </c>
      <c r="AE119" t="s">
        <v>224</v>
      </c>
      <c r="AG119" s="20">
        <f t="shared" si="5"/>
        <v>5.9249999999999998</v>
      </c>
      <c r="AI119" t="s">
        <v>148</v>
      </c>
      <c r="AJ119">
        <v>6</v>
      </c>
      <c r="AN119" s="33">
        <v>42.8</v>
      </c>
      <c r="AO119" s="19">
        <f t="shared" ref="AO119:AO162" si="9">AN119*U119/V119</f>
        <v>21.845833333333335</v>
      </c>
      <c r="AP119" t="s">
        <v>339</v>
      </c>
    </row>
    <row r="120" spans="1:43" x14ac:dyDescent="0.25">
      <c r="A120" t="s">
        <v>45</v>
      </c>
      <c r="B120" s="3">
        <v>0</v>
      </c>
      <c r="C120" s="3">
        <v>1</v>
      </c>
      <c r="D120" s="3">
        <v>1</v>
      </c>
      <c r="E120" s="3" t="s">
        <v>158</v>
      </c>
      <c r="F120" s="11" t="s">
        <v>155</v>
      </c>
      <c r="G120" s="11" t="s">
        <v>176</v>
      </c>
      <c r="I120" t="s">
        <v>143</v>
      </c>
      <c r="J120" s="11" t="s">
        <v>144</v>
      </c>
      <c r="K120" t="s">
        <v>145</v>
      </c>
      <c r="L120">
        <v>96</v>
      </c>
      <c r="S120" s="6">
        <v>23.7</v>
      </c>
      <c r="U120" s="6">
        <v>4.9000000000000004</v>
      </c>
      <c r="V120" s="6">
        <v>9.6</v>
      </c>
      <c r="W120"/>
      <c r="X120" t="s">
        <v>172</v>
      </c>
      <c r="Y120" t="s">
        <v>164</v>
      </c>
      <c r="Z120">
        <v>2</v>
      </c>
      <c r="AA120" t="s">
        <v>311</v>
      </c>
      <c r="AB120" t="s">
        <v>187</v>
      </c>
      <c r="AC120">
        <v>0</v>
      </c>
      <c r="AD120" s="20">
        <f>3.5/(S120/100)</f>
        <v>14.767932489451477</v>
      </c>
      <c r="AE120" t="s">
        <v>224</v>
      </c>
      <c r="AG120" s="20">
        <f t="shared" si="5"/>
        <v>5.9249999999999998</v>
      </c>
      <c r="AI120" t="s">
        <v>148</v>
      </c>
      <c r="AJ120">
        <v>6</v>
      </c>
      <c r="AN120" s="33">
        <v>1.075</v>
      </c>
      <c r="AO120" s="19">
        <f t="shared" ref="AO120:AO121" si="10">AN120*U120/V120</f>
        <v>0.54869791666666667</v>
      </c>
      <c r="AP120" t="s">
        <v>339</v>
      </c>
    </row>
    <row r="121" spans="1:43" x14ac:dyDescent="0.25">
      <c r="A121" t="s">
        <v>45</v>
      </c>
      <c r="B121" s="3">
        <v>0</v>
      </c>
      <c r="C121" s="3">
        <v>1</v>
      </c>
      <c r="D121" s="3">
        <v>1</v>
      </c>
      <c r="E121" s="3" t="s">
        <v>158</v>
      </c>
      <c r="F121" s="11" t="s">
        <v>155</v>
      </c>
      <c r="G121" s="11" t="s">
        <v>176</v>
      </c>
      <c r="I121" t="s">
        <v>143</v>
      </c>
      <c r="J121" s="11" t="s">
        <v>144</v>
      </c>
      <c r="K121" t="s">
        <v>145</v>
      </c>
      <c r="L121">
        <v>96</v>
      </c>
      <c r="S121" s="6">
        <v>23.7</v>
      </c>
      <c r="U121" s="6">
        <v>4.9000000000000004</v>
      </c>
      <c r="V121" s="6">
        <v>9.6</v>
      </c>
      <c r="W121"/>
      <c r="X121" t="s">
        <v>172</v>
      </c>
      <c r="Y121" t="s">
        <v>164</v>
      </c>
      <c r="Z121">
        <v>2</v>
      </c>
      <c r="AA121" t="s">
        <v>340</v>
      </c>
      <c r="AB121" t="s">
        <v>166</v>
      </c>
      <c r="AC121">
        <v>0</v>
      </c>
      <c r="AD121" s="20">
        <f>3.5/(S121/100)</f>
        <v>14.767932489451477</v>
      </c>
      <c r="AE121" t="s">
        <v>224</v>
      </c>
      <c r="AG121" s="20">
        <f t="shared" si="5"/>
        <v>5.9249999999999998</v>
      </c>
      <c r="AI121" t="s">
        <v>148</v>
      </c>
      <c r="AJ121">
        <v>6</v>
      </c>
      <c r="AN121" s="33">
        <v>21.2</v>
      </c>
      <c r="AO121" s="19">
        <f t="shared" si="10"/>
        <v>10.820833333333335</v>
      </c>
      <c r="AP121" t="s">
        <v>339</v>
      </c>
    </row>
    <row r="122" spans="1:43" x14ac:dyDescent="0.25">
      <c r="A122" t="s">
        <v>45</v>
      </c>
      <c r="B122" s="3">
        <v>0</v>
      </c>
      <c r="C122" s="3">
        <v>1</v>
      </c>
      <c r="D122" s="3">
        <v>1</v>
      </c>
      <c r="E122" s="3" t="s">
        <v>158</v>
      </c>
      <c r="F122" s="11" t="s">
        <v>155</v>
      </c>
      <c r="G122" s="11" t="s">
        <v>176</v>
      </c>
      <c r="I122" t="s">
        <v>143</v>
      </c>
      <c r="J122" s="11" t="s">
        <v>144</v>
      </c>
      <c r="K122" t="s">
        <v>145</v>
      </c>
      <c r="L122">
        <v>96</v>
      </c>
      <c r="S122" s="6">
        <v>23.7</v>
      </c>
      <c r="U122" s="6">
        <v>4.9000000000000004</v>
      </c>
      <c r="V122" s="6">
        <v>9.6</v>
      </c>
      <c r="W122"/>
      <c r="X122" t="s">
        <v>172</v>
      </c>
      <c r="Y122" t="s">
        <v>164</v>
      </c>
      <c r="Z122">
        <v>2</v>
      </c>
      <c r="AA122" t="s">
        <v>341</v>
      </c>
      <c r="AB122" t="s">
        <v>166</v>
      </c>
      <c r="AC122">
        <v>0</v>
      </c>
      <c r="AD122" s="20">
        <f>3.5/(S122/100)</f>
        <v>14.767932489451477</v>
      </c>
      <c r="AE122" t="s">
        <v>224</v>
      </c>
      <c r="AG122" s="20">
        <f t="shared" si="5"/>
        <v>5.9249999999999998</v>
      </c>
      <c r="AI122" t="s">
        <v>148</v>
      </c>
      <c r="AJ122">
        <v>6</v>
      </c>
      <c r="AN122" s="33">
        <v>10.425000000000001</v>
      </c>
      <c r="AO122" s="19">
        <f t="shared" ref="AO122" si="11">AN122*U122/V122</f>
        <v>5.3210937500000011</v>
      </c>
      <c r="AP122" t="s">
        <v>339</v>
      </c>
    </row>
    <row r="123" spans="1:43" x14ac:dyDescent="0.25">
      <c r="A123" t="s">
        <v>45</v>
      </c>
      <c r="B123" s="3">
        <v>0</v>
      </c>
      <c r="C123" s="3">
        <v>1</v>
      </c>
      <c r="D123" s="3">
        <v>1</v>
      </c>
      <c r="E123" s="3" t="s">
        <v>158</v>
      </c>
      <c r="F123" s="11" t="s">
        <v>169</v>
      </c>
      <c r="H123" s="11" t="s">
        <v>175</v>
      </c>
      <c r="I123" t="s">
        <v>143</v>
      </c>
      <c r="J123" s="11" t="s">
        <v>144</v>
      </c>
      <c r="K123" t="s">
        <v>145</v>
      </c>
      <c r="L123">
        <v>336</v>
      </c>
      <c r="S123" s="6">
        <v>20.7</v>
      </c>
      <c r="U123" s="6">
        <v>6.3</v>
      </c>
      <c r="V123" s="6">
        <v>11.6</v>
      </c>
      <c r="W123"/>
      <c r="X123" t="s">
        <v>172</v>
      </c>
      <c r="Y123" t="s">
        <v>146</v>
      </c>
      <c r="Z123">
        <v>3</v>
      </c>
      <c r="AB123" t="s">
        <v>156</v>
      </c>
      <c r="AD123" s="20">
        <f>2.5/(S123/100)</f>
        <v>12.077294685990339</v>
      </c>
      <c r="AE123" t="s">
        <v>224</v>
      </c>
      <c r="AG123" s="20">
        <f t="shared" si="5"/>
        <v>5.9249999999999998</v>
      </c>
      <c r="AI123" t="s">
        <v>148</v>
      </c>
      <c r="AJ123">
        <v>6</v>
      </c>
      <c r="AN123" s="33">
        <v>25.75</v>
      </c>
      <c r="AO123" s="19">
        <f t="shared" ref="AO123:AO124" si="12">AN123*U123/V123</f>
        <v>13.984913793103448</v>
      </c>
      <c r="AP123" t="s">
        <v>339</v>
      </c>
    </row>
    <row r="124" spans="1:43" x14ac:dyDescent="0.25">
      <c r="A124" t="s">
        <v>45</v>
      </c>
      <c r="B124" s="3">
        <v>0</v>
      </c>
      <c r="C124" s="3">
        <v>1</v>
      </c>
      <c r="D124" s="3">
        <v>1</v>
      </c>
      <c r="E124" s="3" t="s">
        <v>158</v>
      </c>
      <c r="F124" s="11" t="s">
        <v>169</v>
      </c>
      <c r="H124" s="11" t="s">
        <v>175</v>
      </c>
      <c r="I124" t="s">
        <v>143</v>
      </c>
      <c r="J124" s="11" t="s">
        <v>144</v>
      </c>
      <c r="K124" t="s">
        <v>145</v>
      </c>
      <c r="L124">
        <v>336</v>
      </c>
      <c r="S124" s="6">
        <v>20.7</v>
      </c>
      <c r="U124" s="6">
        <v>6.3</v>
      </c>
      <c r="V124" s="6">
        <v>11.6</v>
      </c>
      <c r="W124"/>
      <c r="X124" t="s">
        <v>172</v>
      </c>
      <c r="Y124" t="s">
        <v>164</v>
      </c>
      <c r="Z124">
        <v>3</v>
      </c>
      <c r="AA124" t="s">
        <v>311</v>
      </c>
      <c r="AB124" t="s">
        <v>187</v>
      </c>
      <c r="AC124">
        <v>0</v>
      </c>
      <c r="AD124" s="20">
        <f>2.5/(S124/100)</f>
        <v>12.077294685990339</v>
      </c>
      <c r="AE124" t="s">
        <v>224</v>
      </c>
      <c r="AG124" s="20">
        <f t="shared" si="5"/>
        <v>5.9249999999999998</v>
      </c>
      <c r="AI124" t="s">
        <v>148</v>
      </c>
      <c r="AJ124">
        <v>6</v>
      </c>
      <c r="AN124" s="33">
        <v>2.5249999999999999</v>
      </c>
      <c r="AO124" s="19">
        <f t="shared" si="12"/>
        <v>1.3713362068965516</v>
      </c>
      <c r="AP124" t="s">
        <v>339</v>
      </c>
    </row>
    <row r="125" spans="1:43" x14ac:dyDescent="0.25">
      <c r="A125" t="s">
        <v>45</v>
      </c>
      <c r="B125" s="3">
        <v>0</v>
      </c>
      <c r="C125" s="3">
        <v>1</v>
      </c>
      <c r="D125" s="3">
        <v>1</v>
      </c>
      <c r="E125" s="3" t="s">
        <v>158</v>
      </c>
      <c r="F125" s="11" t="s">
        <v>169</v>
      </c>
      <c r="H125" s="11" t="s">
        <v>175</v>
      </c>
      <c r="I125" t="s">
        <v>143</v>
      </c>
      <c r="J125" s="11" t="s">
        <v>144</v>
      </c>
      <c r="K125" t="s">
        <v>145</v>
      </c>
      <c r="L125">
        <v>336</v>
      </c>
      <c r="S125" s="6">
        <v>20.7</v>
      </c>
      <c r="U125" s="6">
        <v>6.3</v>
      </c>
      <c r="V125" s="6">
        <v>11.6</v>
      </c>
      <c r="W125"/>
      <c r="X125" t="s">
        <v>172</v>
      </c>
      <c r="Y125" t="s">
        <v>164</v>
      </c>
      <c r="Z125">
        <v>3</v>
      </c>
      <c r="AA125" t="s">
        <v>340</v>
      </c>
      <c r="AB125" t="s">
        <v>166</v>
      </c>
      <c r="AC125">
        <v>0</v>
      </c>
      <c r="AD125" s="20">
        <f>2.5/(S125/100)</f>
        <v>12.077294685990339</v>
      </c>
      <c r="AE125" t="s">
        <v>224</v>
      </c>
      <c r="AG125" s="20">
        <f t="shared" si="5"/>
        <v>5.9249999999999998</v>
      </c>
      <c r="AI125" t="s">
        <v>148</v>
      </c>
      <c r="AJ125">
        <v>6</v>
      </c>
      <c r="AN125" s="33">
        <v>11.9</v>
      </c>
      <c r="AO125" s="19">
        <f t="shared" ref="AO125" si="13">AN125*U125/V125</f>
        <v>6.4629310344827591</v>
      </c>
      <c r="AP125" t="s">
        <v>339</v>
      </c>
    </row>
    <row r="126" spans="1:43" x14ac:dyDescent="0.25">
      <c r="A126" t="s">
        <v>45</v>
      </c>
      <c r="B126" s="3">
        <v>0</v>
      </c>
      <c r="C126" s="3">
        <v>1</v>
      </c>
      <c r="D126" s="3">
        <v>1</v>
      </c>
      <c r="E126" s="3" t="s">
        <v>158</v>
      </c>
      <c r="F126" s="11" t="s">
        <v>169</v>
      </c>
      <c r="H126" s="11" t="s">
        <v>175</v>
      </c>
      <c r="I126" t="s">
        <v>143</v>
      </c>
      <c r="J126" s="11" t="s">
        <v>144</v>
      </c>
      <c r="K126" t="s">
        <v>145</v>
      </c>
      <c r="L126">
        <v>336</v>
      </c>
      <c r="S126" s="6">
        <v>20.7</v>
      </c>
      <c r="U126" s="6">
        <v>6.3</v>
      </c>
      <c r="V126" s="6">
        <v>11.6</v>
      </c>
      <c r="W126"/>
      <c r="X126" t="s">
        <v>172</v>
      </c>
      <c r="Y126" t="s">
        <v>164</v>
      </c>
      <c r="Z126">
        <v>3</v>
      </c>
      <c r="AA126" t="s">
        <v>341</v>
      </c>
      <c r="AB126" t="s">
        <v>166</v>
      </c>
      <c r="AC126">
        <v>0</v>
      </c>
      <c r="AD126" s="20">
        <f>2.5/(S126/100)</f>
        <v>12.077294685990339</v>
      </c>
      <c r="AE126" t="s">
        <v>224</v>
      </c>
      <c r="AG126" s="20">
        <f t="shared" si="5"/>
        <v>5.9249999999999998</v>
      </c>
      <c r="AI126" t="s">
        <v>148</v>
      </c>
      <c r="AJ126">
        <v>6</v>
      </c>
      <c r="AN126" s="33">
        <v>13.975</v>
      </c>
      <c r="AO126" s="19">
        <f t="shared" si="9"/>
        <v>7.5898706896551715</v>
      </c>
      <c r="AP126" t="s">
        <v>339</v>
      </c>
    </row>
    <row r="127" spans="1:43" x14ac:dyDescent="0.25">
      <c r="A127" t="s">
        <v>45</v>
      </c>
      <c r="B127" s="3">
        <v>0</v>
      </c>
      <c r="C127" s="3">
        <v>1</v>
      </c>
      <c r="D127" s="3">
        <v>1</v>
      </c>
      <c r="E127" s="3" t="s">
        <v>158</v>
      </c>
      <c r="F127" s="11" t="s">
        <v>169</v>
      </c>
      <c r="H127" s="11" t="s">
        <v>171</v>
      </c>
      <c r="I127" t="s">
        <v>143</v>
      </c>
      <c r="J127" s="11" t="s">
        <v>144</v>
      </c>
      <c r="K127" t="s">
        <v>145</v>
      </c>
      <c r="L127">
        <v>336</v>
      </c>
      <c r="S127" s="6">
        <v>54.8</v>
      </c>
      <c r="U127" s="6">
        <v>4.9000000000000004</v>
      </c>
      <c r="V127" s="6">
        <v>18.600000000000001</v>
      </c>
      <c r="W127"/>
      <c r="X127" t="s">
        <v>172</v>
      </c>
      <c r="Y127" t="s">
        <v>146</v>
      </c>
      <c r="Z127">
        <v>4</v>
      </c>
      <c r="AB127" t="s">
        <v>156</v>
      </c>
      <c r="AD127" s="20">
        <f>4.5/(S127/100)</f>
        <v>8.2116788321167888</v>
      </c>
      <c r="AE127" t="s">
        <v>224</v>
      </c>
      <c r="AG127" s="20">
        <f t="shared" si="5"/>
        <v>5.9249999999999998</v>
      </c>
      <c r="AI127" t="s">
        <v>148</v>
      </c>
      <c r="AJ127">
        <v>6</v>
      </c>
      <c r="AN127" s="33">
        <v>68.025000000000006</v>
      </c>
      <c r="AO127" s="19">
        <f t="shared" ref="AO127" si="14">AN127*U127/V127</f>
        <v>17.920564516129033</v>
      </c>
      <c r="AP127" t="s">
        <v>339</v>
      </c>
    </row>
    <row r="128" spans="1:43" x14ac:dyDescent="0.25">
      <c r="A128" t="s">
        <v>45</v>
      </c>
      <c r="B128" s="3">
        <v>0</v>
      </c>
      <c r="C128" s="3">
        <v>1</v>
      </c>
      <c r="D128" s="3">
        <v>1</v>
      </c>
      <c r="E128" s="3" t="s">
        <v>158</v>
      </c>
      <c r="F128" s="11" t="s">
        <v>169</v>
      </c>
      <c r="H128" s="11" t="s">
        <v>171</v>
      </c>
      <c r="I128" t="s">
        <v>143</v>
      </c>
      <c r="J128" s="11" t="s">
        <v>144</v>
      </c>
      <c r="K128" t="s">
        <v>145</v>
      </c>
      <c r="L128">
        <v>336</v>
      </c>
      <c r="S128" s="6">
        <v>54.8</v>
      </c>
      <c r="U128" s="6">
        <v>4.9000000000000004</v>
      </c>
      <c r="V128" s="6">
        <v>18.600000000000001</v>
      </c>
      <c r="W128"/>
      <c r="X128" t="s">
        <v>172</v>
      </c>
      <c r="Y128" t="s">
        <v>164</v>
      </c>
      <c r="Z128">
        <v>4</v>
      </c>
      <c r="AA128" t="s">
        <v>311</v>
      </c>
      <c r="AB128" t="s">
        <v>187</v>
      </c>
      <c r="AC128">
        <v>0</v>
      </c>
      <c r="AD128" s="20">
        <f>4.5/(S128/100)</f>
        <v>8.2116788321167888</v>
      </c>
      <c r="AE128" t="s">
        <v>224</v>
      </c>
      <c r="AG128" s="20">
        <f t="shared" si="5"/>
        <v>5.9249999999999998</v>
      </c>
      <c r="AI128" t="s">
        <v>148</v>
      </c>
      <c r="AJ128">
        <v>6</v>
      </c>
      <c r="AN128" s="33">
        <v>2.5000000000000001E-2</v>
      </c>
      <c r="AO128" s="19">
        <f t="shared" si="9"/>
        <v>6.5860215053763441E-3</v>
      </c>
      <c r="AP128" t="s">
        <v>339</v>
      </c>
    </row>
    <row r="129" spans="1:42" x14ac:dyDescent="0.25">
      <c r="A129" t="s">
        <v>45</v>
      </c>
      <c r="B129" s="3">
        <v>0</v>
      </c>
      <c r="C129" s="3">
        <v>1</v>
      </c>
      <c r="D129" s="3">
        <v>1</v>
      </c>
      <c r="E129" s="3" t="s">
        <v>158</v>
      </c>
      <c r="F129" s="11" t="s">
        <v>169</v>
      </c>
      <c r="H129" s="11" t="s">
        <v>171</v>
      </c>
      <c r="I129" t="s">
        <v>143</v>
      </c>
      <c r="J129" s="11" t="s">
        <v>144</v>
      </c>
      <c r="K129" t="s">
        <v>145</v>
      </c>
      <c r="L129">
        <v>336</v>
      </c>
      <c r="S129" s="6">
        <v>54.8</v>
      </c>
      <c r="U129" s="6">
        <v>4.9000000000000004</v>
      </c>
      <c r="V129" s="6">
        <v>18.600000000000001</v>
      </c>
      <c r="W129"/>
      <c r="X129" t="s">
        <v>172</v>
      </c>
      <c r="Y129" t="s">
        <v>164</v>
      </c>
      <c r="Z129">
        <v>4</v>
      </c>
      <c r="AA129" t="s">
        <v>340</v>
      </c>
      <c r="AB129" t="s">
        <v>166</v>
      </c>
      <c r="AC129">
        <v>0</v>
      </c>
      <c r="AD129" s="20">
        <f>4.5/(S129/100)</f>
        <v>8.2116788321167888</v>
      </c>
      <c r="AE129" t="s">
        <v>224</v>
      </c>
      <c r="AG129" s="20">
        <f t="shared" si="5"/>
        <v>5.9249999999999998</v>
      </c>
      <c r="AI129" t="s">
        <v>148</v>
      </c>
      <c r="AJ129">
        <v>6</v>
      </c>
      <c r="AN129" s="33">
        <v>21</v>
      </c>
      <c r="AO129" s="19">
        <f t="shared" si="9"/>
        <v>5.532258064516129</v>
      </c>
      <c r="AP129" t="s">
        <v>339</v>
      </c>
    </row>
    <row r="130" spans="1:42" x14ac:dyDescent="0.25">
      <c r="A130" t="s">
        <v>45</v>
      </c>
      <c r="B130" s="3">
        <v>0</v>
      </c>
      <c r="C130" s="3">
        <v>1</v>
      </c>
      <c r="D130" s="3">
        <v>1</v>
      </c>
      <c r="E130" s="3" t="s">
        <v>158</v>
      </c>
      <c r="F130" s="11" t="s">
        <v>169</v>
      </c>
      <c r="H130" s="11" t="s">
        <v>171</v>
      </c>
      <c r="I130" t="s">
        <v>143</v>
      </c>
      <c r="J130" s="11" t="s">
        <v>144</v>
      </c>
      <c r="K130" t="s">
        <v>145</v>
      </c>
      <c r="L130">
        <v>336</v>
      </c>
      <c r="S130" s="6">
        <v>54.8</v>
      </c>
      <c r="U130" s="6">
        <v>4.9000000000000004</v>
      </c>
      <c r="V130" s="6">
        <v>18.600000000000001</v>
      </c>
      <c r="W130"/>
      <c r="X130" t="s">
        <v>172</v>
      </c>
      <c r="Y130" t="s">
        <v>164</v>
      </c>
      <c r="Z130">
        <v>4</v>
      </c>
      <c r="AA130" t="s">
        <v>341</v>
      </c>
      <c r="AB130" t="s">
        <v>166</v>
      </c>
      <c r="AC130">
        <v>0</v>
      </c>
      <c r="AD130" s="20">
        <f>4.5/(S130/100)</f>
        <v>8.2116788321167888</v>
      </c>
      <c r="AE130" t="s">
        <v>224</v>
      </c>
      <c r="AG130" s="20">
        <f t="shared" si="5"/>
        <v>5.9249999999999998</v>
      </c>
      <c r="AI130" t="s">
        <v>148</v>
      </c>
      <c r="AJ130">
        <v>6</v>
      </c>
      <c r="AN130" s="33">
        <v>24.05</v>
      </c>
      <c r="AO130" s="19">
        <f t="shared" ref="AO130" si="15">AN130*U130/V130</f>
        <v>6.3357526881720432</v>
      </c>
      <c r="AP130" t="s">
        <v>339</v>
      </c>
    </row>
    <row r="131" spans="1:42" x14ac:dyDescent="0.25">
      <c r="A131" t="s">
        <v>45</v>
      </c>
      <c r="B131" s="3">
        <v>0</v>
      </c>
      <c r="C131" s="3">
        <v>1</v>
      </c>
      <c r="D131" s="3">
        <v>1</v>
      </c>
      <c r="E131" s="3" t="s">
        <v>158</v>
      </c>
      <c r="F131" s="11" t="s">
        <v>141</v>
      </c>
      <c r="G131" s="11" t="s">
        <v>176</v>
      </c>
      <c r="I131" t="s">
        <v>143</v>
      </c>
      <c r="J131" s="11" t="s">
        <v>144</v>
      </c>
      <c r="K131" t="s">
        <v>145</v>
      </c>
      <c r="L131">
        <v>96</v>
      </c>
      <c r="S131" s="6">
        <v>37.799999999999997</v>
      </c>
      <c r="U131" s="6">
        <v>1.6</v>
      </c>
      <c r="V131" s="6">
        <v>10.3</v>
      </c>
      <c r="W131"/>
      <c r="X131" t="s">
        <v>172</v>
      </c>
      <c r="Y131" t="s">
        <v>146</v>
      </c>
      <c r="Z131">
        <v>5</v>
      </c>
      <c r="AB131" t="s">
        <v>156</v>
      </c>
      <c r="AD131" s="20">
        <f>5.5/(S131/100)</f>
        <v>14.550264550264552</v>
      </c>
      <c r="AE131" t="s">
        <v>147</v>
      </c>
      <c r="AG131" s="20">
        <f t="shared" ref="AG131:AG146" si="16">AVERAGE(15.1,16.4,9.8,11.1)</f>
        <v>13.1</v>
      </c>
      <c r="AI131" t="s">
        <v>342</v>
      </c>
      <c r="AJ131">
        <v>64</v>
      </c>
      <c r="AN131" s="33">
        <v>76.8</v>
      </c>
      <c r="AO131" s="19">
        <f t="shared" ref="AO131:AO132" si="17">AN131*U131/V131</f>
        <v>11.930097087378639</v>
      </c>
      <c r="AP131" t="s">
        <v>339</v>
      </c>
    </row>
    <row r="132" spans="1:42" x14ac:dyDescent="0.25">
      <c r="A132" t="s">
        <v>45</v>
      </c>
      <c r="B132" s="3">
        <v>0</v>
      </c>
      <c r="C132" s="3">
        <v>1</v>
      </c>
      <c r="D132" s="3">
        <v>1</v>
      </c>
      <c r="E132" s="3" t="s">
        <v>158</v>
      </c>
      <c r="F132" s="11" t="s">
        <v>141</v>
      </c>
      <c r="G132" s="11" t="s">
        <v>176</v>
      </c>
      <c r="I132" t="s">
        <v>143</v>
      </c>
      <c r="J132" s="11" t="s">
        <v>144</v>
      </c>
      <c r="K132" t="s">
        <v>145</v>
      </c>
      <c r="L132">
        <v>96</v>
      </c>
      <c r="S132" s="6">
        <v>37.799999999999997</v>
      </c>
      <c r="U132" s="6">
        <v>1.6</v>
      </c>
      <c r="V132" s="6">
        <v>10.3</v>
      </c>
      <c r="W132"/>
      <c r="X132" t="s">
        <v>172</v>
      </c>
      <c r="Y132" t="s">
        <v>164</v>
      </c>
      <c r="Z132">
        <v>5</v>
      </c>
      <c r="AA132" t="s">
        <v>311</v>
      </c>
      <c r="AB132" t="s">
        <v>187</v>
      </c>
      <c r="AC132">
        <v>0</v>
      </c>
      <c r="AD132" s="20">
        <f>5.5/(S132/100)</f>
        <v>14.550264550264552</v>
      </c>
      <c r="AE132" t="s">
        <v>147</v>
      </c>
      <c r="AG132" s="20">
        <f t="shared" si="16"/>
        <v>13.1</v>
      </c>
      <c r="AI132" t="s">
        <v>342</v>
      </c>
      <c r="AJ132">
        <v>64</v>
      </c>
      <c r="AN132" s="33">
        <v>6.8</v>
      </c>
      <c r="AO132" s="19">
        <f t="shared" si="17"/>
        <v>1.0563106796116506</v>
      </c>
      <c r="AP132" t="s">
        <v>339</v>
      </c>
    </row>
    <row r="133" spans="1:42" x14ac:dyDescent="0.25">
      <c r="A133" t="s">
        <v>45</v>
      </c>
      <c r="B133" s="3">
        <v>0</v>
      </c>
      <c r="C133" s="3">
        <v>1</v>
      </c>
      <c r="D133" s="3">
        <v>1</v>
      </c>
      <c r="E133" s="3" t="s">
        <v>158</v>
      </c>
      <c r="F133" s="11" t="s">
        <v>141</v>
      </c>
      <c r="G133" s="11" t="s">
        <v>176</v>
      </c>
      <c r="I133" t="s">
        <v>143</v>
      </c>
      <c r="J133" s="11" t="s">
        <v>144</v>
      </c>
      <c r="K133" t="s">
        <v>145</v>
      </c>
      <c r="L133">
        <v>96</v>
      </c>
      <c r="S133" s="6">
        <v>37.799999999999997</v>
      </c>
      <c r="U133" s="6">
        <v>1.6</v>
      </c>
      <c r="V133" s="6">
        <v>10.3</v>
      </c>
      <c r="W133"/>
      <c r="X133" t="s">
        <v>172</v>
      </c>
      <c r="Y133" t="s">
        <v>164</v>
      </c>
      <c r="Z133">
        <v>5</v>
      </c>
      <c r="AA133" t="s">
        <v>340</v>
      </c>
      <c r="AB133" t="s">
        <v>166</v>
      </c>
      <c r="AC133">
        <v>0</v>
      </c>
      <c r="AD133" s="20">
        <f>5.5/(S133/100)</f>
        <v>14.550264550264552</v>
      </c>
      <c r="AE133" t="s">
        <v>147</v>
      </c>
      <c r="AG133" s="20">
        <f t="shared" si="16"/>
        <v>13.1</v>
      </c>
      <c r="AI133" t="s">
        <v>342</v>
      </c>
      <c r="AJ133">
        <v>64</v>
      </c>
      <c r="AN133" s="33">
        <v>48.8</v>
      </c>
      <c r="AO133" s="19">
        <f t="shared" si="9"/>
        <v>7.5805825242718443</v>
      </c>
      <c r="AP133" t="s">
        <v>339</v>
      </c>
    </row>
    <row r="134" spans="1:42" x14ac:dyDescent="0.25">
      <c r="A134" t="s">
        <v>45</v>
      </c>
      <c r="B134" s="3">
        <v>0</v>
      </c>
      <c r="C134" s="3">
        <v>1</v>
      </c>
      <c r="D134" s="3">
        <v>1</v>
      </c>
      <c r="E134" s="3" t="s">
        <v>158</v>
      </c>
      <c r="F134" s="11" t="s">
        <v>141</v>
      </c>
      <c r="G134" s="11" t="s">
        <v>176</v>
      </c>
      <c r="I134" t="s">
        <v>143</v>
      </c>
      <c r="J134" s="11" t="s">
        <v>144</v>
      </c>
      <c r="K134" t="s">
        <v>145</v>
      </c>
      <c r="L134">
        <v>96</v>
      </c>
      <c r="S134" s="6">
        <v>37.799999999999997</v>
      </c>
      <c r="U134" s="6">
        <v>1.6</v>
      </c>
      <c r="V134" s="6">
        <v>10.3</v>
      </c>
      <c r="W134"/>
      <c r="X134" t="s">
        <v>172</v>
      </c>
      <c r="Y134" t="s">
        <v>164</v>
      </c>
      <c r="Z134">
        <v>5</v>
      </c>
      <c r="AA134" t="s">
        <v>341</v>
      </c>
      <c r="AB134" t="s">
        <v>166</v>
      </c>
      <c r="AC134">
        <v>0</v>
      </c>
      <c r="AD134" s="20">
        <f>5.5/(S134/100)</f>
        <v>14.550264550264552</v>
      </c>
      <c r="AE134" t="s">
        <v>147</v>
      </c>
      <c r="AG134" s="20">
        <f t="shared" si="16"/>
        <v>13.1</v>
      </c>
      <c r="AI134" t="s">
        <v>342</v>
      </c>
      <c r="AJ134">
        <v>64</v>
      </c>
      <c r="AN134" s="33">
        <v>51.25</v>
      </c>
      <c r="AO134" s="19">
        <f t="shared" ref="AO134" si="18">AN134*U134/V134</f>
        <v>7.9611650485436884</v>
      </c>
      <c r="AP134" t="s">
        <v>339</v>
      </c>
    </row>
    <row r="135" spans="1:42" x14ac:dyDescent="0.25">
      <c r="A135" t="s">
        <v>45</v>
      </c>
      <c r="B135" s="3">
        <v>0</v>
      </c>
      <c r="C135" s="3">
        <v>1</v>
      </c>
      <c r="D135" s="3">
        <v>1</v>
      </c>
      <c r="E135" s="3" t="s">
        <v>158</v>
      </c>
      <c r="F135" s="11" t="s">
        <v>155</v>
      </c>
      <c r="G135" s="11" t="s">
        <v>176</v>
      </c>
      <c r="I135" t="s">
        <v>143</v>
      </c>
      <c r="J135" s="11" t="s">
        <v>144</v>
      </c>
      <c r="K135" t="s">
        <v>145</v>
      </c>
      <c r="L135">
        <v>96</v>
      </c>
      <c r="S135" s="6">
        <v>26.7</v>
      </c>
      <c r="U135" s="6">
        <v>3.2</v>
      </c>
      <c r="V135" s="6">
        <v>10.8</v>
      </c>
      <c r="W135"/>
      <c r="X135" t="s">
        <v>172</v>
      </c>
      <c r="Y135" t="s">
        <v>146</v>
      </c>
      <c r="Z135">
        <v>6</v>
      </c>
      <c r="AB135" t="s">
        <v>156</v>
      </c>
      <c r="AD135" s="20">
        <f>3.5/(S135/100)</f>
        <v>13.108614232209737</v>
      </c>
      <c r="AE135" t="s">
        <v>147</v>
      </c>
      <c r="AG135" s="20">
        <f t="shared" si="16"/>
        <v>13.1</v>
      </c>
      <c r="AI135" t="s">
        <v>342</v>
      </c>
      <c r="AJ135">
        <v>64</v>
      </c>
      <c r="AN135" s="33">
        <v>73.45</v>
      </c>
      <c r="AO135" s="19">
        <f t="shared" ref="AO135:AO136" si="19">AN135*U135/V135</f>
        <v>21.762962962962963</v>
      </c>
      <c r="AP135" t="s">
        <v>339</v>
      </c>
    </row>
    <row r="136" spans="1:42" x14ac:dyDescent="0.25">
      <c r="A136" t="s">
        <v>45</v>
      </c>
      <c r="B136" s="3">
        <v>0</v>
      </c>
      <c r="C136" s="3">
        <v>1</v>
      </c>
      <c r="D136" s="3">
        <v>1</v>
      </c>
      <c r="E136" s="3" t="s">
        <v>158</v>
      </c>
      <c r="F136" s="11" t="s">
        <v>155</v>
      </c>
      <c r="G136" s="11" t="s">
        <v>176</v>
      </c>
      <c r="I136" t="s">
        <v>143</v>
      </c>
      <c r="J136" s="11" t="s">
        <v>144</v>
      </c>
      <c r="K136" t="s">
        <v>145</v>
      </c>
      <c r="L136">
        <v>96</v>
      </c>
      <c r="S136" s="6">
        <v>26.7</v>
      </c>
      <c r="U136" s="6">
        <v>3.2</v>
      </c>
      <c r="V136" s="6">
        <v>10.8</v>
      </c>
      <c r="W136"/>
      <c r="X136" t="s">
        <v>172</v>
      </c>
      <c r="Y136" t="s">
        <v>164</v>
      </c>
      <c r="Z136">
        <v>6</v>
      </c>
      <c r="AA136" t="s">
        <v>311</v>
      </c>
      <c r="AB136" t="s">
        <v>187</v>
      </c>
      <c r="AC136">
        <v>0</v>
      </c>
      <c r="AD136" s="20">
        <f>3.5/(S136/100)</f>
        <v>13.108614232209737</v>
      </c>
      <c r="AE136" t="s">
        <v>147</v>
      </c>
      <c r="AG136" s="20">
        <f t="shared" si="16"/>
        <v>13.1</v>
      </c>
      <c r="AI136" t="s">
        <v>342</v>
      </c>
      <c r="AJ136">
        <v>64</v>
      </c>
      <c r="AN136" s="33">
        <v>9.4749999999999996</v>
      </c>
      <c r="AO136" s="19">
        <f t="shared" si="19"/>
        <v>2.8074074074074074</v>
      </c>
      <c r="AP136" t="s">
        <v>339</v>
      </c>
    </row>
    <row r="137" spans="1:42" x14ac:dyDescent="0.25">
      <c r="A137" t="s">
        <v>45</v>
      </c>
      <c r="B137" s="3">
        <v>0</v>
      </c>
      <c r="C137" s="3">
        <v>1</v>
      </c>
      <c r="D137" s="3">
        <v>1</v>
      </c>
      <c r="E137" s="3" t="s">
        <v>158</v>
      </c>
      <c r="F137" s="11" t="s">
        <v>155</v>
      </c>
      <c r="G137" s="11" t="s">
        <v>176</v>
      </c>
      <c r="I137" t="s">
        <v>143</v>
      </c>
      <c r="J137" s="11" t="s">
        <v>144</v>
      </c>
      <c r="K137" t="s">
        <v>145</v>
      </c>
      <c r="L137">
        <v>96</v>
      </c>
      <c r="S137" s="6">
        <v>26.7</v>
      </c>
      <c r="U137" s="6">
        <v>3.2</v>
      </c>
      <c r="V137" s="6">
        <v>10.8</v>
      </c>
      <c r="W137"/>
      <c r="X137" t="s">
        <v>172</v>
      </c>
      <c r="Y137" t="s">
        <v>164</v>
      </c>
      <c r="Z137">
        <v>6</v>
      </c>
      <c r="AA137" t="s">
        <v>340</v>
      </c>
      <c r="AB137" t="s">
        <v>166</v>
      </c>
      <c r="AC137">
        <v>0</v>
      </c>
      <c r="AD137" s="20">
        <f>3.5/(S137/100)</f>
        <v>13.108614232209737</v>
      </c>
      <c r="AE137" t="s">
        <v>147</v>
      </c>
      <c r="AG137" s="20">
        <f t="shared" si="16"/>
        <v>13.1</v>
      </c>
      <c r="AI137" t="s">
        <v>342</v>
      </c>
      <c r="AJ137">
        <v>64</v>
      </c>
      <c r="AN137" s="33">
        <v>19.850000000000001</v>
      </c>
      <c r="AO137" s="19">
        <f t="shared" ref="AO137" si="20">AN137*U137/V137</f>
        <v>5.8814814814814822</v>
      </c>
      <c r="AP137" t="s">
        <v>339</v>
      </c>
    </row>
    <row r="138" spans="1:42" x14ac:dyDescent="0.25">
      <c r="A138" t="s">
        <v>45</v>
      </c>
      <c r="B138" s="3">
        <v>0</v>
      </c>
      <c r="C138" s="3">
        <v>1</v>
      </c>
      <c r="D138" s="3">
        <v>1</v>
      </c>
      <c r="E138" s="3" t="s">
        <v>158</v>
      </c>
      <c r="F138" s="11" t="s">
        <v>155</v>
      </c>
      <c r="G138" s="11" t="s">
        <v>176</v>
      </c>
      <c r="I138" t="s">
        <v>143</v>
      </c>
      <c r="J138" s="11" t="s">
        <v>144</v>
      </c>
      <c r="K138" t="s">
        <v>145</v>
      </c>
      <c r="L138">
        <v>96</v>
      </c>
      <c r="S138" s="6">
        <v>26.7</v>
      </c>
      <c r="U138" s="6">
        <v>3.2</v>
      </c>
      <c r="V138" s="6">
        <v>10.8</v>
      </c>
      <c r="W138"/>
      <c r="X138" t="s">
        <v>172</v>
      </c>
      <c r="Y138" t="s">
        <v>164</v>
      </c>
      <c r="Z138">
        <v>6</v>
      </c>
      <c r="AA138" t="s">
        <v>341</v>
      </c>
      <c r="AB138" t="s">
        <v>166</v>
      </c>
      <c r="AC138">
        <v>0</v>
      </c>
      <c r="AD138" s="20">
        <f>3.5/(S138/100)</f>
        <v>13.108614232209737</v>
      </c>
      <c r="AE138" t="s">
        <v>147</v>
      </c>
      <c r="AG138" s="20">
        <f t="shared" si="16"/>
        <v>13.1</v>
      </c>
      <c r="AI138" t="s">
        <v>342</v>
      </c>
      <c r="AJ138">
        <v>64</v>
      </c>
      <c r="AN138" s="33">
        <v>29.274999999999999</v>
      </c>
      <c r="AO138" s="19">
        <f t="shared" si="9"/>
        <v>8.674074074074074</v>
      </c>
      <c r="AP138" t="s">
        <v>339</v>
      </c>
    </row>
    <row r="139" spans="1:42" x14ac:dyDescent="0.25">
      <c r="A139" t="s">
        <v>45</v>
      </c>
      <c r="B139" s="3">
        <v>0</v>
      </c>
      <c r="C139" s="3">
        <v>1</v>
      </c>
      <c r="D139" s="3">
        <v>1</v>
      </c>
      <c r="E139" s="3" t="s">
        <v>158</v>
      </c>
      <c r="F139" s="11" t="s">
        <v>169</v>
      </c>
      <c r="H139" s="11" t="s">
        <v>175</v>
      </c>
      <c r="I139" t="s">
        <v>143</v>
      </c>
      <c r="J139" s="11" t="s">
        <v>144</v>
      </c>
      <c r="K139" t="s">
        <v>145</v>
      </c>
      <c r="L139">
        <v>336</v>
      </c>
      <c r="S139" s="6">
        <v>45.7</v>
      </c>
      <c r="U139" s="6">
        <v>4.5</v>
      </c>
      <c r="V139" s="6">
        <v>16.100000000000001</v>
      </c>
      <c r="W139"/>
      <c r="X139" t="s">
        <v>172</v>
      </c>
      <c r="Y139" t="s">
        <v>146</v>
      </c>
      <c r="Z139">
        <v>7</v>
      </c>
      <c r="AB139" t="s">
        <v>156</v>
      </c>
      <c r="AD139" s="20">
        <f>4.5/(S139/100)</f>
        <v>9.846827133479211</v>
      </c>
      <c r="AE139" t="s">
        <v>147</v>
      </c>
      <c r="AG139" s="20">
        <f t="shared" si="16"/>
        <v>13.1</v>
      </c>
      <c r="AI139" t="s">
        <v>342</v>
      </c>
      <c r="AJ139">
        <v>64</v>
      </c>
      <c r="AN139" s="33">
        <v>104.27500000000001</v>
      </c>
      <c r="AO139" s="19">
        <f t="shared" ref="AO139:AO140" si="21">AN139*U139/V139</f>
        <v>29.145186335403725</v>
      </c>
      <c r="AP139" t="s">
        <v>339</v>
      </c>
    </row>
    <row r="140" spans="1:42" x14ac:dyDescent="0.25">
      <c r="A140" t="s">
        <v>45</v>
      </c>
      <c r="B140" s="3">
        <v>0</v>
      </c>
      <c r="C140" s="3">
        <v>1</v>
      </c>
      <c r="D140" s="3">
        <v>1</v>
      </c>
      <c r="E140" s="3" t="s">
        <v>158</v>
      </c>
      <c r="F140" s="11" t="s">
        <v>169</v>
      </c>
      <c r="H140" s="11" t="s">
        <v>175</v>
      </c>
      <c r="I140" t="s">
        <v>143</v>
      </c>
      <c r="J140" s="11" t="s">
        <v>144</v>
      </c>
      <c r="K140" t="s">
        <v>145</v>
      </c>
      <c r="L140">
        <v>336</v>
      </c>
      <c r="S140" s="6">
        <v>45.7</v>
      </c>
      <c r="U140" s="6">
        <v>4.5</v>
      </c>
      <c r="V140" s="6">
        <v>16.100000000000001</v>
      </c>
      <c r="W140"/>
      <c r="X140" t="s">
        <v>172</v>
      </c>
      <c r="Y140" t="s">
        <v>164</v>
      </c>
      <c r="Z140">
        <v>7</v>
      </c>
      <c r="AA140" t="s">
        <v>311</v>
      </c>
      <c r="AB140" t="s">
        <v>187</v>
      </c>
      <c r="AC140">
        <v>0</v>
      </c>
      <c r="AD140" s="20">
        <f>4.5/(S140/100)</f>
        <v>9.846827133479211</v>
      </c>
      <c r="AE140" t="s">
        <v>147</v>
      </c>
      <c r="AG140" s="20">
        <f t="shared" si="16"/>
        <v>13.1</v>
      </c>
      <c r="AI140" t="s">
        <v>342</v>
      </c>
      <c r="AJ140">
        <v>64</v>
      </c>
      <c r="AN140" s="33">
        <v>8.2750000000000004</v>
      </c>
      <c r="AO140" s="19">
        <f t="shared" si="21"/>
        <v>2.3128881987577641</v>
      </c>
      <c r="AP140" t="s">
        <v>339</v>
      </c>
    </row>
    <row r="141" spans="1:42" x14ac:dyDescent="0.25">
      <c r="A141" t="s">
        <v>45</v>
      </c>
      <c r="B141" s="3">
        <v>0</v>
      </c>
      <c r="C141" s="3">
        <v>1</v>
      </c>
      <c r="D141" s="3">
        <v>1</v>
      </c>
      <c r="E141" s="3" t="s">
        <v>158</v>
      </c>
      <c r="F141" s="11" t="s">
        <v>169</v>
      </c>
      <c r="H141" s="11" t="s">
        <v>175</v>
      </c>
      <c r="I141" t="s">
        <v>143</v>
      </c>
      <c r="J141" s="11" t="s">
        <v>144</v>
      </c>
      <c r="K141" t="s">
        <v>145</v>
      </c>
      <c r="L141">
        <v>336</v>
      </c>
      <c r="S141" s="6">
        <v>45.7</v>
      </c>
      <c r="U141" s="6">
        <v>4.5</v>
      </c>
      <c r="V141" s="6">
        <v>16.100000000000001</v>
      </c>
      <c r="W141"/>
      <c r="X141" t="s">
        <v>172</v>
      </c>
      <c r="Y141" t="s">
        <v>164</v>
      </c>
      <c r="Z141">
        <v>7</v>
      </c>
      <c r="AA141" t="s">
        <v>340</v>
      </c>
      <c r="AB141" t="s">
        <v>166</v>
      </c>
      <c r="AC141">
        <v>0</v>
      </c>
      <c r="AD141" s="20">
        <f>4.5/(S141/100)</f>
        <v>9.846827133479211</v>
      </c>
      <c r="AE141" t="s">
        <v>147</v>
      </c>
      <c r="AG141" s="20">
        <f t="shared" si="16"/>
        <v>13.1</v>
      </c>
      <c r="AI141" t="s">
        <v>342</v>
      </c>
      <c r="AJ141">
        <v>64</v>
      </c>
      <c r="AN141" s="33">
        <v>24.425000000000001</v>
      </c>
      <c r="AO141" s="19">
        <f t="shared" ref="AO141" si="22">AN141*U141/V141</f>
        <v>6.8268633540372674</v>
      </c>
      <c r="AP141" t="s">
        <v>339</v>
      </c>
    </row>
    <row r="142" spans="1:42" x14ac:dyDescent="0.25">
      <c r="A142" t="s">
        <v>45</v>
      </c>
      <c r="B142" s="3">
        <v>0</v>
      </c>
      <c r="C142" s="3">
        <v>1</v>
      </c>
      <c r="D142" s="3">
        <v>1</v>
      </c>
      <c r="E142" s="3" t="s">
        <v>158</v>
      </c>
      <c r="F142" s="11" t="s">
        <v>169</v>
      </c>
      <c r="H142" s="11" t="s">
        <v>175</v>
      </c>
      <c r="I142" t="s">
        <v>143</v>
      </c>
      <c r="J142" s="11" t="s">
        <v>144</v>
      </c>
      <c r="K142" t="s">
        <v>145</v>
      </c>
      <c r="L142">
        <v>336</v>
      </c>
      <c r="S142" s="6">
        <v>45.7</v>
      </c>
      <c r="U142" s="6">
        <v>4.5</v>
      </c>
      <c r="V142" s="6">
        <v>16.100000000000001</v>
      </c>
      <c r="W142"/>
      <c r="X142" t="s">
        <v>172</v>
      </c>
      <c r="Y142" t="s">
        <v>164</v>
      </c>
      <c r="Z142">
        <v>7</v>
      </c>
      <c r="AA142" t="s">
        <v>341</v>
      </c>
      <c r="AB142" t="s">
        <v>166</v>
      </c>
      <c r="AC142">
        <v>0</v>
      </c>
      <c r="AD142" s="20">
        <f>4.5/(S142/100)</f>
        <v>9.846827133479211</v>
      </c>
      <c r="AE142" t="s">
        <v>147</v>
      </c>
      <c r="AG142" s="20">
        <f t="shared" si="16"/>
        <v>13.1</v>
      </c>
      <c r="AI142" t="s">
        <v>342</v>
      </c>
      <c r="AJ142">
        <v>64</v>
      </c>
      <c r="AN142" s="33">
        <v>38.6</v>
      </c>
      <c r="AO142" s="19">
        <f t="shared" si="9"/>
        <v>10.788819875776397</v>
      </c>
      <c r="AP142" t="s">
        <v>339</v>
      </c>
    </row>
    <row r="143" spans="1:42" x14ac:dyDescent="0.25">
      <c r="A143" t="s">
        <v>45</v>
      </c>
      <c r="B143" s="3">
        <v>0</v>
      </c>
      <c r="C143" s="3">
        <v>1</v>
      </c>
      <c r="D143" s="3">
        <v>1</v>
      </c>
      <c r="E143" s="3" t="s">
        <v>158</v>
      </c>
      <c r="F143" s="11" t="s">
        <v>169</v>
      </c>
      <c r="H143" s="11" t="s">
        <v>171</v>
      </c>
      <c r="I143" t="s">
        <v>143</v>
      </c>
      <c r="J143" s="11" t="s">
        <v>144</v>
      </c>
      <c r="K143" t="s">
        <v>145</v>
      </c>
      <c r="L143">
        <v>336</v>
      </c>
      <c r="S143" s="6">
        <v>74.3</v>
      </c>
      <c r="U143" s="6">
        <v>3.4</v>
      </c>
      <c r="V143" s="6">
        <v>39.1</v>
      </c>
      <c r="W143"/>
      <c r="X143" t="s">
        <v>172</v>
      </c>
      <c r="Y143" t="s">
        <v>146</v>
      </c>
      <c r="Z143">
        <v>8</v>
      </c>
      <c r="AB143" t="s">
        <v>156</v>
      </c>
      <c r="AD143" s="20">
        <f>3/(S143/100)</f>
        <v>4.0376850605652761</v>
      </c>
      <c r="AE143" t="s">
        <v>147</v>
      </c>
      <c r="AG143" s="20">
        <f t="shared" si="16"/>
        <v>13.1</v>
      </c>
      <c r="AI143" t="s">
        <v>342</v>
      </c>
      <c r="AJ143">
        <v>64</v>
      </c>
      <c r="AN143" s="33">
        <v>18.574999999999999</v>
      </c>
      <c r="AO143" s="19">
        <f t="shared" ref="AO143:AO144" si="23">AN143*U143/V143</f>
        <v>1.6152173913043477</v>
      </c>
      <c r="AP143" t="s">
        <v>339</v>
      </c>
    </row>
    <row r="144" spans="1:42" x14ac:dyDescent="0.25">
      <c r="A144" t="s">
        <v>45</v>
      </c>
      <c r="B144" s="3">
        <v>0</v>
      </c>
      <c r="C144" s="3">
        <v>1</v>
      </c>
      <c r="D144" s="3">
        <v>1</v>
      </c>
      <c r="E144" s="3" t="s">
        <v>158</v>
      </c>
      <c r="F144" s="11" t="s">
        <v>169</v>
      </c>
      <c r="H144" s="11" t="s">
        <v>171</v>
      </c>
      <c r="I144" t="s">
        <v>143</v>
      </c>
      <c r="J144" s="11" t="s">
        <v>144</v>
      </c>
      <c r="K144" t="s">
        <v>145</v>
      </c>
      <c r="L144">
        <v>336</v>
      </c>
      <c r="S144" s="6">
        <v>74.3</v>
      </c>
      <c r="U144" s="6">
        <v>3.4</v>
      </c>
      <c r="V144" s="6">
        <v>39.1</v>
      </c>
      <c r="W144"/>
      <c r="X144" t="s">
        <v>172</v>
      </c>
      <c r="Y144" t="s">
        <v>164</v>
      </c>
      <c r="Z144">
        <v>8</v>
      </c>
      <c r="AA144" t="s">
        <v>311</v>
      </c>
      <c r="AB144" t="s">
        <v>187</v>
      </c>
      <c r="AC144">
        <v>0</v>
      </c>
      <c r="AD144" s="20">
        <f>3/(S144/100)</f>
        <v>4.0376850605652761</v>
      </c>
      <c r="AE144" t="s">
        <v>147</v>
      </c>
      <c r="AG144" s="20">
        <f t="shared" si="16"/>
        <v>13.1</v>
      </c>
      <c r="AI144" t="s">
        <v>342</v>
      </c>
      <c r="AJ144">
        <v>64</v>
      </c>
      <c r="AN144" s="33">
        <v>1.325</v>
      </c>
      <c r="AO144" s="19">
        <f t="shared" si="23"/>
        <v>0.11521739130434781</v>
      </c>
      <c r="AP144" t="s">
        <v>339</v>
      </c>
    </row>
    <row r="145" spans="1:42" x14ac:dyDescent="0.25">
      <c r="A145" t="s">
        <v>45</v>
      </c>
      <c r="B145" s="3">
        <v>0</v>
      </c>
      <c r="C145" s="3">
        <v>1</v>
      </c>
      <c r="D145" s="3">
        <v>1</v>
      </c>
      <c r="E145" s="3" t="s">
        <v>158</v>
      </c>
      <c r="F145" s="11" t="s">
        <v>169</v>
      </c>
      <c r="H145" s="11" t="s">
        <v>171</v>
      </c>
      <c r="I145" t="s">
        <v>143</v>
      </c>
      <c r="J145" s="11" t="s">
        <v>144</v>
      </c>
      <c r="K145" t="s">
        <v>145</v>
      </c>
      <c r="L145">
        <v>336</v>
      </c>
      <c r="S145" s="6">
        <v>74.3</v>
      </c>
      <c r="U145" s="6">
        <v>3.4</v>
      </c>
      <c r="V145" s="6">
        <v>39.1</v>
      </c>
      <c r="W145"/>
      <c r="X145" t="s">
        <v>172</v>
      </c>
      <c r="Y145" t="s">
        <v>164</v>
      </c>
      <c r="Z145">
        <v>8</v>
      </c>
      <c r="AA145" t="s">
        <v>340</v>
      </c>
      <c r="AB145" t="s">
        <v>166</v>
      </c>
      <c r="AC145">
        <v>0</v>
      </c>
      <c r="AD145" s="20">
        <f>3/(S145/100)</f>
        <v>4.0376850605652761</v>
      </c>
      <c r="AE145" t="s">
        <v>147</v>
      </c>
      <c r="AG145" s="20">
        <f t="shared" si="16"/>
        <v>13.1</v>
      </c>
      <c r="AI145" t="s">
        <v>342</v>
      </c>
      <c r="AJ145">
        <v>64</v>
      </c>
      <c r="AN145">
        <v>4.7</v>
      </c>
      <c r="AO145" s="19">
        <f t="shared" ref="AO145" si="24">AN145*U145/V145</f>
        <v>0.40869565217391302</v>
      </c>
      <c r="AP145" t="s">
        <v>339</v>
      </c>
    </row>
    <row r="146" spans="1:42" x14ac:dyDescent="0.25">
      <c r="A146" t="s">
        <v>45</v>
      </c>
      <c r="B146" s="3">
        <v>0</v>
      </c>
      <c r="C146" s="3">
        <v>1</v>
      </c>
      <c r="D146" s="3">
        <v>1</v>
      </c>
      <c r="E146" s="3" t="s">
        <v>158</v>
      </c>
      <c r="F146" s="11" t="s">
        <v>169</v>
      </c>
      <c r="H146" s="11" t="s">
        <v>171</v>
      </c>
      <c r="I146" t="s">
        <v>143</v>
      </c>
      <c r="J146" s="11" t="s">
        <v>144</v>
      </c>
      <c r="K146" t="s">
        <v>145</v>
      </c>
      <c r="L146">
        <v>336</v>
      </c>
      <c r="S146" s="6">
        <v>74.3</v>
      </c>
      <c r="U146" s="6">
        <v>3.4</v>
      </c>
      <c r="V146" s="6">
        <v>39.1</v>
      </c>
      <c r="W146"/>
      <c r="X146" t="s">
        <v>172</v>
      </c>
      <c r="Y146" t="s">
        <v>164</v>
      </c>
      <c r="Z146">
        <v>8</v>
      </c>
      <c r="AA146" t="s">
        <v>341</v>
      </c>
      <c r="AB146" t="s">
        <v>166</v>
      </c>
      <c r="AC146">
        <v>0</v>
      </c>
      <c r="AD146" s="20">
        <f>3/(S146/100)</f>
        <v>4.0376850605652761</v>
      </c>
      <c r="AE146" t="s">
        <v>147</v>
      </c>
      <c r="AG146" s="20">
        <f t="shared" si="16"/>
        <v>13.1</v>
      </c>
      <c r="AI146" t="s">
        <v>342</v>
      </c>
      <c r="AJ146">
        <v>64</v>
      </c>
      <c r="AN146" s="33">
        <v>4.6749999999999998</v>
      </c>
      <c r="AO146" s="19">
        <f t="shared" si="9"/>
        <v>0.40652173913043477</v>
      </c>
      <c r="AP146" t="s">
        <v>339</v>
      </c>
    </row>
    <row r="147" spans="1:42" x14ac:dyDescent="0.25">
      <c r="A147" t="s">
        <v>45</v>
      </c>
      <c r="B147" s="3">
        <v>0</v>
      </c>
      <c r="C147" s="3">
        <v>1</v>
      </c>
      <c r="D147" s="3">
        <v>1</v>
      </c>
      <c r="E147" s="3" t="s">
        <v>158</v>
      </c>
      <c r="F147" s="11" t="s">
        <v>141</v>
      </c>
      <c r="G147" s="11" t="s">
        <v>176</v>
      </c>
      <c r="I147" t="s">
        <v>143</v>
      </c>
      <c r="J147" s="11" t="s">
        <v>144</v>
      </c>
      <c r="K147" t="s">
        <v>145</v>
      </c>
      <c r="L147">
        <v>96</v>
      </c>
      <c r="S147" s="6">
        <v>17.600000000000001</v>
      </c>
      <c r="U147" s="6">
        <v>0.3</v>
      </c>
      <c r="V147" s="6">
        <v>3.5</v>
      </c>
      <c r="W147"/>
      <c r="X147" t="s">
        <v>172</v>
      </c>
      <c r="Y147" t="s">
        <v>146</v>
      </c>
      <c r="Z147">
        <v>9</v>
      </c>
      <c r="AB147" t="s">
        <v>156</v>
      </c>
      <c r="AD147" s="20">
        <f>7.5/(S147/100)</f>
        <v>42.61363636363636</v>
      </c>
      <c r="AE147" t="s">
        <v>147</v>
      </c>
      <c r="AG147" s="20">
        <f t="shared" ref="AG147:AG162" si="25">AVERAGE(16.4,17.3,14.1,13.5)</f>
        <v>15.325000000000001</v>
      </c>
      <c r="AI147" t="s">
        <v>148</v>
      </c>
      <c r="AJ147">
        <v>6</v>
      </c>
      <c r="AN147" s="33">
        <v>52.8</v>
      </c>
      <c r="AO147" s="19">
        <f>AN147*U147/V147</f>
        <v>4.5257142857142849</v>
      </c>
      <c r="AP147" t="s">
        <v>339</v>
      </c>
    </row>
    <row r="148" spans="1:42" x14ac:dyDescent="0.25">
      <c r="A148" t="s">
        <v>45</v>
      </c>
      <c r="B148" s="3">
        <v>0</v>
      </c>
      <c r="C148" s="3">
        <v>1</v>
      </c>
      <c r="D148" s="3">
        <v>1</v>
      </c>
      <c r="E148" s="3" t="s">
        <v>158</v>
      </c>
      <c r="F148" s="11" t="s">
        <v>141</v>
      </c>
      <c r="G148" s="11" t="s">
        <v>176</v>
      </c>
      <c r="I148" t="s">
        <v>143</v>
      </c>
      <c r="J148" s="11" t="s">
        <v>144</v>
      </c>
      <c r="K148" t="s">
        <v>145</v>
      </c>
      <c r="L148">
        <v>96</v>
      </c>
      <c r="S148" s="6">
        <v>17.600000000000001</v>
      </c>
      <c r="U148" s="6">
        <v>0.3</v>
      </c>
      <c r="V148" s="6">
        <v>3.5</v>
      </c>
      <c r="W148"/>
      <c r="X148" t="s">
        <v>172</v>
      </c>
      <c r="Y148" t="s">
        <v>164</v>
      </c>
      <c r="Z148">
        <v>9</v>
      </c>
      <c r="AA148" t="s">
        <v>311</v>
      </c>
      <c r="AB148" t="s">
        <v>187</v>
      </c>
      <c r="AC148">
        <v>0</v>
      </c>
      <c r="AD148" s="20">
        <f>7.5/(S148/100)</f>
        <v>42.61363636363636</v>
      </c>
      <c r="AE148" t="s">
        <v>147</v>
      </c>
      <c r="AG148" s="20">
        <f t="shared" si="25"/>
        <v>15.325000000000001</v>
      </c>
      <c r="AI148" t="s">
        <v>148</v>
      </c>
      <c r="AJ148">
        <v>6</v>
      </c>
      <c r="AN148" s="33">
        <v>6.6749999999999998</v>
      </c>
      <c r="AO148" s="19">
        <f t="shared" ref="AO148:AO150" si="26">AN148*U148/V148</f>
        <v>0.57214285714285718</v>
      </c>
      <c r="AP148" t="s">
        <v>339</v>
      </c>
    </row>
    <row r="149" spans="1:42" x14ac:dyDescent="0.25">
      <c r="A149" t="s">
        <v>45</v>
      </c>
      <c r="B149" s="3">
        <v>0</v>
      </c>
      <c r="C149" s="3">
        <v>1</v>
      </c>
      <c r="D149" s="3">
        <v>1</v>
      </c>
      <c r="E149" s="3" t="s">
        <v>158</v>
      </c>
      <c r="F149" s="11" t="s">
        <v>141</v>
      </c>
      <c r="G149" s="11" t="s">
        <v>176</v>
      </c>
      <c r="I149" t="s">
        <v>143</v>
      </c>
      <c r="J149" s="11" t="s">
        <v>144</v>
      </c>
      <c r="K149" t="s">
        <v>145</v>
      </c>
      <c r="L149">
        <v>96</v>
      </c>
      <c r="S149" s="6">
        <v>17.600000000000001</v>
      </c>
      <c r="U149" s="6">
        <v>0.3</v>
      </c>
      <c r="V149" s="6">
        <v>3.5</v>
      </c>
      <c r="W149"/>
      <c r="X149" t="s">
        <v>172</v>
      </c>
      <c r="Y149" t="s">
        <v>164</v>
      </c>
      <c r="Z149">
        <v>9</v>
      </c>
      <c r="AA149" t="s">
        <v>340</v>
      </c>
      <c r="AB149" t="s">
        <v>166</v>
      </c>
      <c r="AC149">
        <v>0</v>
      </c>
      <c r="AD149" s="20">
        <f>7.5/(S149/100)</f>
        <v>42.61363636363636</v>
      </c>
      <c r="AE149" t="s">
        <v>147</v>
      </c>
      <c r="AG149" s="20">
        <f t="shared" si="25"/>
        <v>15.325000000000001</v>
      </c>
      <c r="AI149" t="s">
        <v>148</v>
      </c>
      <c r="AJ149">
        <v>6</v>
      </c>
      <c r="AN149" s="33">
        <v>38.65</v>
      </c>
      <c r="AO149" s="19">
        <f t="shared" si="26"/>
        <v>3.3128571428571427</v>
      </c>
      <c r="AP149" t="s">
        <v>339</v>
      </c>
    </row>
    <row r="150" spans="1:42" x14ac:dyDescent="0.25">
      <c r="A150" t="s">
        <v>45</v>
      </c>
      <c r="B150" s="3">
        <v>0</v>
      </c>
      <c r="C150" s="3">
        <v>1</v>
      </c>
      <c r="D150" s="3">
        <v>1</v>
      </c>
      <c r="E150" s="3" t="s">
        <v>158</v>
      </c>
      <c r="F150" s="11" t="s">
        <v>141</v>
      </c>
      <c r="G150" s="11" t="s">
        <v>176</v>
      </c>
      <c r="I150" t="s">
        <v>143</v>
      </c>
      <c r="J150" s="11" t="s">
        <v>144</v>
      </c>
      <c r="K150" t="s">
        <v>145</v>
      </c>
      <c r="L150">
        <v>96</v>
      </c>
      <c r="S150" s="6">
        <v>17.600000000000001</v>
      </c>
      <c r="U150" s="6">
        <v>0.3</v>
      </c>
      <c r="V150" s="6">
        <v>3.5</v>
      </c>
      <c r="W150"/>
      <c r="X150" t="s">
        <v>172</v>
      </c>
      <c r="Y150" t="s">
        <v>164</v>
      </c>
      <c r="Z150">
        <v>9</v>
      </c>
      <c r="AA150" t="s">
        <v>341</v>
      </c>
      <c r="AB150" t="s">
        <v>166</v>
      </c>
      <c r="AC150">
        <v>0</v>
      </c>
      <c r="AD150" s="20">
        <f>7.5/(S150/100)</f>
        <v>42.61363636363636</v>
      </c>
      <c r="AE150" t="s">
        <v>147</v>
      </c>
      <c r="AG150" s="20">
        <f t="shared" si="25"/>
        <v>15.325000000000001</v>
      </c>
      <c r="AI150" t="s">
        <v>148</v>
      </c>
      <c r="AJ150">
        <v>6</v>
      </c>
      <c r="AN150" s="33">
        <v>23.375</v>
      </c>
      <c r="AO150" s="19">
        <f t="shared" si="26"/>
        <v>2.0035714285714286</v>
      </c>
      <c r="AP150" t="s">
        <v>339</v>
      </c>
    </row>
    <row r="151" spans="1:42" x14ac:dyDescent="0.25">
      <c r="A151" t="s">
        <v>45</v>
      </c>
      <c r="B151" s="3">
        <v>0</v>
      </c>
      <c r="C151" s="3">
        <v>1</v>
      </c>
      <c r="D151" s="3">
        <v>1</v>
      </c>
      <c r="E151" s="3" t="s">
        <v>158</v>
      </c>
      <c r="F151" s="11" t="s">
        <v>155</v>
      </c>
      <c r="G151" s="11" t="s">
        <v>176</v>
      </c>
      <c r="I151" t="s">
        <v>143</v>
      </c>
      <c r="J151" s="11" t="s">
        <v>144</v>
      </c>
      <c r="K151" t="s">
        <v>145</v>
      </c>
      <c r="L151">
        <v>96</v>
      </c>
      <c r="S151" s="6">
        <v>28.1</v>
      </c>
      <c r="U151" s="6">
        <v>0.2</v>
      </c>
      <c r="V151" s="6">
        <v>11.3</v>
      </c>
      <c r="W151"/>
      <c r="X151" t="s">
        <v>172</v>
      </c>
      <c r="Y151" t="s">
        <v>146</v>
      </c>
      <c r="Z151">
        <v>10</v>
      </c>
      <c r="AB151" t="s">
        <v>156</v>
      </c>
      <c r="AD151" s="20">
        <f>3.5/(S151/100)</f>
        <v>12.455516014234874</v>
      </c>
      <c r="AE151" t="s">
        <v>147</v>
      </c>
      <c r="AG151" s="20">
        <f t="shared" si="25"/>
        <v>15.325000000000001</v>
      </c>
      <c r="AI151" t="s">
        <v>148</v>
      </c>
      <c r="AJ151">
        <v>6</v>
      </c>
      <c r="AN151" s="33">
        <v>85.025000000000006</v>
      </c>
      <c r="AO151" s="19">
        <f t="shared" ref="AO151:AO152" si="27">AN151*U151/V151</f>
        <v>1.5048672566371684</v>
      </c>
      <c r="AP151" t="s">
        <v>339</v>
      </c>
    </row>
    <row r="152" spans="1:42" x14ac:dyDescent="0.25">
      <c r="A152" t="s">
        <v>45</v>
      </c>
      <c r="B152" s="3">
        <v>0</v>
      </c>
      <c r="C152" s="3">
        <v>1</v>
      </c>
      <c r="D152" s="3">
        <v>1</v>
      </c>
      <c r="E152" s="3" t="s">
        <v>158</v>
      </c>
      <c r="F152" s="11" t="s">
        <v>155</v>
      </c>
      <c r="G152" s="11" t="s">
        <v>176</v>
      </c>
      <c r="I152" t="s">
        <v>143</v>
      </c>
      <c r="J152" s="11" t="s">
        <v>144</v>
      </c>
      <c r="K152" t="s">
        <v>145</v>
      </c>
      <c r="L152">
        <v>96</v>
      </c>
      <c r="S152" s="6">
        <v>28.1</v>
      </c>
      <c r="U152" s="6">
        <v>0.2</v>
      </c>
      <c r="V152" s="6">
        <v>11.3</v>
      </c>
      <c r="W152"/>
      <c r="X152" t="s">
        <v>172</v>
      </c>
      <c r="Y152" t="s">
        <v>164</v>
      </c>
      <c r="Z152">
        <v>10</v>
      </c>
      <c r="AA152" t="s">
        <v>311</v>
      </c>
      <c r="AB152" t="s">
        <v>187</v>
      </c>
      <c r="AC152">
        <v>0</v>
      </c>
      <c r="AD152" s="20">
        <f>3.5/(S152/100)</f>
        <v>12.455516014234874</v>
      </c>
      <c r="AE152" t="s">
        <v>147</v>
      </c>
      <c r="AG152" s="20">
        <f t="shared" si="25"/>
        <v>15.325000000000001</v>
      </c>
      <c r="AI152" t="s">
        <v>148</v>
      </c>
      <c r="AJ152">
        <v>6</v>
      </c>
      <c r="AN152" s="33">
        <v>0.82499999999999996</v>
      </c>
      <c r="AO152" s="19">
        <f t="shared" si="27"/>
        <v>1.4601769911504425E-2</v>
      </c>
      <c r="AP152" t="s">
        <v>339</v>
      </c>
    </row>
    <row r="153" spans="1:42" x14ac:dyDescent="0.25">
      <c r="A153" t="s">
        <v>45</v>
      </c>
      <c r="B153" s="3">
        <v>0</v>
      </c>
      <c r="C153" s="3">
        <v>1</v>
      </c>
      <c r="D153" s="3">
        <v>1</v>
      </c>
      <c r="E153" s="3" t="s">
        <v>158</v>
      </c>
      <c r="F153" s="11" t="s">
        <v>155</v>
      </c>
      <c r="G153" s="11" t="s">
        <v>176</v>
      </c>
      <c r="I153" t="s">
        <v>143</v>
      </c>
      <c r="J153" s="11" t="s">
        <v>144</v>
      </c>
      <c r="K153" t="s">
        <v>145</v>
      </c>
      <c r="L153">
        <v>96</v>
      </c>
      <c r="S153" s="6">
        <v>28.1</v>
      </c>
      <c r="U153" s="6">
        <v>0.2</v>
      </c>
      <c r="V153" s="6">
        <v>11.3</v>
      </c>
      <c r="W153"/>
      <c r="X153" t="s">
        <v>172</v>
      </c>
      <c r="Y153" t="s">
        <v>164</v>
      </c>
      <c r="Z153">
        <v>10</v>
      </c>
      <c r="AA153" t="s">
        <v>340</v>
      </c>
      <c r="AB153" t="s">
        <v>166</v>
      </c>
      <c r="AC153">
        <v>0</v>
      </c>
      <c r="AD153" s="20">
        <f>3.5/(S153/100)</f>
        <v>12.455516014234874</v>
      </c>
      <c r="AE153" t="s">
        <v>147</v>
      </c>
      <c r="AG153" s="20">
        <f t="shared" si="25"/>
        <v>15.325000000000001</v>
      </c>
      <c r="AI153" t="s">
        <v>148</v>
      </c>
      <c r="AJ153">
        <v>6</v>
      </c>
      <c r="AN153" s="33">
        <v>43.45</v>
      </c>
      <c r="AO153" s="19">
        <f t="shared" ref="AO153" si="28">AN153*U153/V153</f>
        <v>0.76902654867256648</v>
      </c>
      <c r="AP153" t="s">
        <v>339</v>
      </c>
    </row>
    <row r="154" spans="1:42" x14ac:dyDescent="0.25">
      <c r="A154" t="s">
        <v>45</v>
      </c>
      <c r="B154" s="3">
        <v>0</v>
      </c>
      <c r="C154" s="3">
        <v>1</v>
      </c>
      <c r="D154" s="3">
        <v>1</v>
      </c>
      <c r="E154" s="3" t="s">
        <v>158</v>
      </c>
      <c r="F154" s="11" t="s">
        <v>155</v>
      </c>
      <c r="G154" s="11" t="s">
        <v>176</v>
      </c>
      <c r="I154" t="s">
        <v>143</v>
      </c>
      <c r="J154" s="11" t="s">
        <v>144</v>
      </c>
      <c r="K154" t="s">
        <v>145</v>
      </c>
      <c r="L154">
        <v>96</v>
      </c>
      <c r="S154" s="6">
        <v>28.1</v>
      </c>
      <c r="U154" s="6">
        <v>0.2</v>
      </c>
      <c r="V154" s="6">
        <v>11.3</v>
      </c>
      <c r="W154"/>
      <c r="X154" t="s">
        <v>172</v>
      </c>
      <c r="Y154" t="s">
        <v>164</v>
      </c>
      <c r="Z154">
        <v>10</v>
      </c>
      <c r="AA154" t="s">
        <v>341</v>
      </c>
      <c r="AB154" t="s">
        <v>166</v>
      </c>
      <c r="AC154">
        <v>0</v>
      </c>
      <c r="AD154" s="20">
        <f>3.5/(S154/100)</f>
        <v>12.455516014234874</v>
      </c>
      <c r="AE154" t="s">
        <v>147</v>
      </c>
      <c r="AG154" s="20">
        <f t="shared" si="25"/>
        <v>15.325000000000001</v>
      </c>
      <c r="AI154" t="s">
        <v>148</v>
      </c>
      <c r="AJ154">
        <v>6</v>
      </c>
      <c r="AN154" s="33">
        <v>32.975000000000001</v>
      </c>
      <c r="AO154" s="19">
        <f t="shared" si="9"/>
        <v>0.58362831858407083</v>
      </c>
      <c r="AP154" t="s">
        <v>339</v>
      </c>
    </row>
    <row r="155" spans="1:42" x14ac:dyDescent="0.25">
      <c r="A155" t="s">
        <v>45</v>
      </c>
      <c r="B155" s="3">
        <v>0</v>
      </c>
      <c r="C155" s="3">
        <v>1</v>
      </c>
      <c r="D155" s="3">
        <v>1</v>
      </c>
      <c r="E155" s="3" t="s">
        <v>158</v>
      </c>
      <c r="F155" s="11" t="s">
        <v>169</v>
      </c>
      <c r="H155" s="11" t="s">
        <v>175</v>
      </c>
      <c r="I155" t="s">
        <v>143</v>
      </c>
      <c r="J155" s="11" t="s">
        <v>144</v>
      </c>
      <c r="K155" t="s">
        <v>145</v>
      </c>
      <c r="L155">
        <v>336</v>
      </c>
      <c r="S155" s="6">
        <v>28.1</v>
      </c>
      <c r="U155" s="6">
        <v>9.6</v>
      </c>
      <c r="V155" s="6">
        <v>16</v>
      </c>
      <c r="W155"/>
      <c r="X155" t="s">
        <v>172</v>
      </c>
      <c r="Y155" t="s">
        <v>146</v>
      </c>
      <c r="Z155">
        <v>11</v>
      </c>
      <c r="AB155" t="s">
        <v>156</v>
      </c>
      <c r="AD155" s="20">
        <f>2.5/(S155/100)</f>
        <v>8.8967971530249095</v>
      </c>
      <c r="AE155" t="s">
        <v>147</v>
      </c>
      <c r="AG155" s="20">
        <f t="shared" si="25"/>
        <v>15.325000000000001</v>
      </c>
      <c r="AI155" t="s">
        <v>148</v>
      </c>
      <c r="AJ155">
        <v>6</v>
      </c>
      <c r="AN155" s="33">
        <v>38.85</v>
      </c>
      <c r="AO155" s="19">
        <f t="shared" ref="AO155:AO156" si="29">AN155*U155/V155</f>
        <v>23.31</v>
      </c>
      <c r="AP155" t="s">
        <v>339</v>
      </c>
    </row>
    <row r="156" spans="1:42" x14ac:dyDescent="0.25">
      <c r="A156" t="s">
        <v>45</v>
      </c>
      <c r="B156" s="3">
        <v>0</v>
      </c>
      <c r="C156" s="3">
        <v>1</v>
      </c>
      <c r="D156" s="3">
        <v>1</v>
      </c>
      <c r="E156" s="3" t="s">
        <v>158</v>
      </c>
      <c r="F156" s="11" t="s">
        <v>169</v>
      </c>
      <c r="H156" s="11" t="s">
        <v>175</v>
      </c>
      <c r="I156" t="s">
        <v>143</v>
      </c>
      <c r="J156" s="11" t="s">
        <v>144</v>
      </c>
      <c r="K156" t="s">
        <v>145</v>
      </c>
      <c r="L156">
        <v>336</v>
      </c>
      <c r="S156" s="6">
        <v>28.1</v>
      </c>
      <c r="U156" s="6">
        <v>9.6</v>
      </c>
      <c r="V156" s="6">
        <v>16</v>
      </c>
      <c r="W156"/>
      <c r="X156" t="s">
        <v>172</v>
      </c>
      <c r="Y156" t="s">
        <v>164</v>
      </c>
      <c r="Z156">
        <v>11</v>
      </c>
      <c r="AA156" t="s">
        <v>311</v>
      </c>
      <c r="AB156" t="s">
        <v>187</v>
      </c>
      <c r="AC156">
        <v>0</v>
      </c>
      <c r="AD156" s="20">
        <f>2.5/(S156/100)</f>
        <v>8.8967971530249095</v>
      </c>
      <c r="AE156" t="s">
        <v>147</v>
      </c>
      <c r="AG156" s="20">
        <f t="shared" si="25"/>
        <v>15.325000000000001</v>
      </c>
      <c r="AI156" t="s">
        <v>148</v>
      </c>
      <c r="AJ156">
        <v>6</v>
      </c>
      <c r="AN156" s="33">
        <v>0.8</v>
      </c>
      <c r="AO156" s="19">
        <f t="shared" si="29"/>
        <v>0.48</v>
      </c>
      <c r="AP156" t="s">
        <v>339</v>
      </c>
    </row>
    <row r="157" spans="1:42" x14ac:dyDescent="0.25">
      <c r="A157" t="s">
        <v>45</v>
      </c>
      <c r="B157" s="3">
        <v>0</v>
      </c>
      <c r="C157" s="3">
        <v>1</v>
      </c>
      <c r="D157" s="3">
        <v>1</v>
      </c>
      <c r="E157" s="3" t="s">
        <v>158</v>
      </c>
      <c r="F157" s="11" t="s">
        <v>169</v>
      </c>
      <c r="H157" s="11" t="s">
        <v>175</v>
      </c>
      <c r="I157" t="s">
        <v>143</v>
      </c>
      <c r="J157" s="11" t="s">
        <v>144</v>
      </c>
      <c r="K157" t="s">
        <v>145</v>
      </c>
      <c r="L157">
        <v>336</v>
      </c>
      <c r="S157" s="6">
        <v>28.1</v>
      </c>
      <c r="U157" s="6">
        <v>9.6</v>
      </c>
      <c r="V157" s="6">
        <v>16</v>
      </c>
      <c r="W157"/>
      <c r="X157" t="s">
        <v>172</v>
      </c>
      <c r="Y157" t="s">
        <v>164</v>
      </c>
      <c r="Z157">
        <v>11</v>
      </c>
      <c r="AA157" t="s">
        <v>340</v>
      </c>
      <c r="AB157" t="s">
        <v>166</v>
      </c>
      <c r="AC157">
        <v>0</v>
      </c>
      <c r="AD157" s="20">
        <f>2.5/(S157/100)</f>
        <v>8.8967971530249095</v>
      </c>
      <c r="AE157" t="s">
        <v>147</v>
      </c>
      <c r="AG157" s="20">
        <f t="shared" si="25"/>
        <v>15.325000000000001</v>
      </c>
      <c r="AI157" t="s">
        <v>148</v>
      </c>
      <c r="AJ157">
        <v>6</v>
      </c>
      <c r="AN157" s="33">
        <v>20.6</v>
      </c>
      <c r="AO157" s="19">
        <f t="shared" ref="AO157" si="30">AN157*U157/V157</f>
        <v>12.360000000000001</v>
      </c>
      <c r="AP157" t="s">
        <v>339</v>
      </c>
    </row>
    <row r="158" spans="1:42" x14ac:dyDescent="0.25">
      <c r="A158" t="s">
        <v>45</v>
      </c>
      <c r="B158" s="3">
        <v>0</v>
      </c>
      <c r="C158" s="3">
        <v>1</v>
      </c>
      <c r="D158" s="3">
        <v>1</v>
      </c>
      <c r="E158" s="3" t="s">
        <v>158</v>
      </c>
      <c r="F158" s="11" t="s">
        <v>169</v>
      </c>
      <c r="H158" s="11" t="s">
        <v>175</v>
      </c>
      <c r="I158" t="s">
        <v>143</v>
      </c>
      <c r="J158" s="11" t="s">
        <v>144</v>
      </c>
      <c r="K158" t="s">
        <v>145</v>
      </c>
      <c r="L158">
        <v>336</v>
      </c>
      <c r="S158" s="6">
        <v>28.1</v>
      </c>
      <c r="U158" s="6">
        <v>9.6</v>
      </c>
      <c r="V158" s="6">
        <v>16</v>
      </c>
      <c r="W158"/>
      <c r="X158" t="s">
        <v>172</v>
      </c>
      <c r="Y158" t="s">
        <v>164</v>
      </c>
      <c r="Z158">
        <v>11</v>
      </c>
      <c r="AA158" t="s">
        <v>341</v>
      </c>
      <c r="AB158" t="s">
        <v>166</v>
      </c>
      <c r="AC158">
        <v>0</v>
      </c>
      <c r="AD158" s="20">
        <f>2.5/(S158/100)</f>
        <v>8.8967971530249095</v>
      </c>
      <c r="AE158" t="s">
        <v>147</v>
      </c>
      <c r="AG158" s="20">
        <f t="shared" si="25"/>
        <v>15.325000000000001</v>
      </c>
      <c r="AI158" t="s">
        <v>148</v>
      </c>
      <c r="AJ158">
        <v>6</v>
      </c>
      <c r="AN158" s="33">
        <v>27.15</v>
      </c>
      <c r="AO158" s="19">
        <f t="shared" si="9"/>
        <v>16.29</v>
      </c>
      <c r="AP158" t="s">
        <v>339</v>
      </c>
    </row>
    <row r="159" spans="1:42" x14ac:dyDescent="0.25">
      <c r="A159" t="s">
        <v>45</v>
      </c>
      <c r="B159" s="3">
        <v>0</v>
      </c>
      <c r="C159" s="3">
        <v>1</v>
      </c>
      <c r="D159" s="3">
        <v>1</v>
      </c>
      <c r="E159" s="3" t="s">
        <v>158</v>
      </c>
      <c r="F159" s="11" t="s">
        <v>169</v>
      </c>
      <c r="H159" s="11" t="s">
        <v>171</v>
      </c>
      <c r="I159" t="s">
        <v>143</v>
      </c>
      <c r="J159" s="11" t="s">
        <v>144</v>
      </c>
      <c r="K159" t="s">
        <v>145</v>
      </c>
      <c r="L159">
        <v>336</v>
      </c>
      <c r="S159" s="6">
        <v>43.3</v>
      </c>
      <c r="U159" s="6">
        <v>1.9</v>
      </c>
      <c r="V159" s="6">
        <v>11.4</v>
      </c>
      <c r="W159"/>
      <c r="X159" t="s">
        <v>172</v>
      </c>
      <c r="Y159" t="s">
        <v>146</v>
      </c>
      <c r="Z159">
        <v>12</v>
      </c>
      <c r="AB159" t="s">
        <v>156</v>
      </c>
      <c r="AD159" s="20">
        <f>5.5/(S159/100)</f>
        <v>12.702078521939955</v>
      </c>
      <c r="AE159" t="s">
        <v>147</v>
      </c>
      <c r="AG159" s="20">
        <f t="shared" si="25"/>
        <v>15.325000000000001</v>
      </c>
      <c r="AI159" t="s">
        <v>148</v>
      </c>
      <c r="AJ159">
        <v>6</v>
      </c>
      <c r="AN159" s="33">
        <v>26.475000000000001</v>
      </c>
      <c r="AO159" s="19">
        <f t="shared" ref="AO159:AO160" si="31">AN159*U159/V159</f>
        <v>4.4124999999999996</v>
      </c>
      <c r="AP159" t="s">
        <v>339</v>
      </c>
    </row>
    <row r="160" spans="1:42" x14ac:dyDescent="0.25">
      <c r="A160" t="s">
        <v>45</v>
      </c>
      <c r="B160" s="3">
        <v>0</v>
      </c>
      <c r="C160" s="3">
        <v>1</v>
      </c>
      <c r="D160" s="3">
        <v>1</v>
      </c>
      <c r="E160" s="3" t="s">
        <v>158</v>
      </c>
      <c r="F160" s="11" t="s">
        <v>169</v>
      </c>
      <c r="H160" s="11" t="s">
        <v>171</v>
      </c>
      <c r="I160" t="s">
        <v>143</v>
      </c>
      <c r="J160" s="11" t="s">
        <v>144</v>
      </c>
      <c r="K160" t="s">
        <v>145</v>
      </c>
      <c r="L160">
        <v>336</v>
      </c>
      <c r="S160" s="6">
        <v>43.3</v>
      </c>
      <c r="U160" s="6">
        <v>1.9</v>
      </c>
      <c r="V160" s="6">
        <v>11.4</v>
      </c>
      <c r="W160"/>
      <c r="X160" t="s">
        <v>172</v>
      </c>
      <c r="Y160" t="s">
        <v>164</v>
      </c>
      <c r="Z160">
        <v>12</v>
      </c>
      <c r="AA160" t="s">
        <v>311</v>
      </c>
      <c r="AB160" t="s">
        <v>187</v>
      </c>
      <c r="AC160">
        <v>0</v>
      </c>
      <c r="AD160" s="20">
        <f>5.5/(S160/100)</f>
        <v>12.702078521939955</v>
      </c>
      <c r="AE160" t="s">
        <v>147</v>
      </c>
      <c r="AG160" s="20">
        <f t="shared" si="25"/>
        <v>15.325000000000001</v>
      </c>
      <c r="AI160" t="s">
        <v>148</v>
      </c>
      <c r="AJ160">
        <v>6</v>
      </c>
      <c r="AN160" s="33">
        <v>11.4</v>
      </c>
      <c r="AO160" s="19">
        <f t="shared" si="31"/>
        <v>1.9</v>
      </c>
      <c r="AP160" t="s">
        <v>339</v>
      </c>
    </row>
    <row r="161" spans="1:44" x14ac:dyDescent="0.25">
      <c r="A161" t="s">
        <v>45</v>
      </c>
      <c r="B161" s="3">
        <v>0</v>
      </c>
      <c r="C161" s="3">
        <v>1</v>
      </c>
      <c r="D161" s="3">
        <v>1</v>
      </c>
      <c r="E161" s="3" t="s">
        <v>158</v>
      </c>
      <c r="F161" s="11" t="s">
        <v>169</v>
      </c>
      <c r="H161" s="11" t="s">
        <v>171</v>
      </c>
      <c r="I161" t="s">
        <v>143</v>
      </c>
      <c r="J161" s="11" t="s">
        <v>144</v>
      </c>
      <c r="K161" t="s">
        <v>145</v>
      </c>
      <c r="L161">
        <v>336</v>
      </c>
      <c r="S161" s="6">
        <v>43.3</v>
      </c>
      <c r="U161" s="6">
        <v>1.9</v>
      </c>
      <c r="V161" s="6">
        <v>11.4</v>
      </c>
      <c r="W161"/>
      <c r="X161" t="s">
        <v>172</v>
      </c>
      <c r="Y161" t="s">
        <v>164</v>
      </c>
      <c r="Z161">
        <v>12</v>
      </c>
      <c r="AA161" t="s">
        <v>340</v>
      </c>
      <c r="AB161" t="s">
        <v>166</v>
      </c>
      <c r="AC161">
        <v>0</v>
      </c>
      <c r="AD161" s="20">
        <f>5.5/(S161/100)</f>
        <v>12.702078521939955</v>
      </c>
      <c r="AE161" t="s">
        <v>147</v>
      </c>
      <c r="AG161" s="20">
        <f t="shared" si="25"/>
        <v>15.325000000000001</v>
      </c>
      <c r="AI161" t="s">
        <v>148</v>
      </c>
      <c r="AJ161">
        <v>6</v>
      </c>
      <c r="AN161" s="33">
        <v>24.15</v>
      </c>
      <c r="AO161" s="19">
        <f t="shared" ref="AO161" si="32">AN161*U161/V161</f>
        <v>4.0249999999999995</v>
      </c>
      <c r="AP161" t="s">
        <v>339</v>
      </c>
    </row>
    <row r="162" spans="1:44" x14ac:dyDescent="0.25">
      <c r="A162" t="s">
        <v>45</v>
      </c>
      <c r="B162" s="3">
        <v>0</v>
      </c>
      <c r="C162" s="3">
        <v>1</v>
      </c>
      <c r="D162" s="3">
        <v>1</v>
      </c>
      <c r="E162" s="3" t="s">
        <v>158</v>
      </c>
      <c r="F162" s="11" t="s">
        <v>169</v>
      </c>
      <c r="H162" s="11" t="s">
        <v>171</v>
      </c>
      <c r="I162" t="s">
        <v>143</v>
      </c>
      <c r="J162" s="11" t="s">
        <v>144</v>
      </c>
      <c r="K162" t="s">
        <v>145</v>
      </c>
      <c r="L162">
        <v>336</v>
      </c>
      <c r="S162" s="6">
        <v>43.3</v>
      </c>
      <c r="U162" s="6">
        <v>1.9</v>
      </c>
      <c r="V162" s="6">
        <v>11.4</v>
      </c>
      <c r="W162"/>
      <c r="X162" t="s">
        <v>172</v>
      </c>
      <c r="Y162" t="s">
        <v>164</v>
      </c>
      <c r="Z162">
        <v>12</v>
      </c>
      <c r="AA162" t="s">
        <v>341</v>
      </c>
      <c r="AB162" t="s">
        <v>166</v>
      </c>
      <c r="AC162">
        <v>0</v>
      </c>
      <c r="AD162" s="20">
        <f>5.5/(S162/100)</f>
        <v>12.702078521939955</v>
      </c>
      <c r="AE162" t="s">
        <v>147</v>
      </c>
      <c r="AG162" s="20">
        <f t="shared" si="25"/>
        <v>15.325000000000001</v>
      </c>
      <c r="AI162" t="s">
        <v>148</v>
      </c>
      <c r="AJ162">
        <v>6</v>
      </c>
      <c r="AN162" s="33">
        <v>15.475</v>
      </c>
      <c r="AO162" s="19">
        <f t="shared" si="9"/>
        <v>2.5791666666666662</v>
      </c>
      <c r="AP162" t="s">
        <v>339</v>
      </c>
    </row>
    <row r="163" spans="1:44" x14ac:dyDescent="0.25">
      <c r="A163" s="3" t="s">
        <v>46</v>
      </c>
      <c r="B163" s="3">
        <v>0</v>
      </c>
      <c r="C163" s="3">
        <v>1</v>
      </c>
      <c r="D163" s="3">
        <v>0</v>
      </c>
      <c r="E163" s="3" t="s">
        <v>158</v>
      </c>
      <c r="F163" s="11" t="s">
        <v>343</v>
      </c>
      <c r="G163" s="11" t="s">
        <v>176</v>
      </c>
      <c r="H163" s="11" t="s">
        <v>160</v>
      </c>
      <c r="I163" s="11" t="s">
        <v>143</v>
      </c>
      <c r="J163" s="11" t="s">
        <v>144</v>
      </c>
      <c r="K163" s="11" t="s">
        <v>145</v>
      </c>
      <c r="L163">
        <v>169</v>
      </c>
      <c r="Q163">
        <v>7</v>
      </c>
      <c r="U163" s="6">
        <v>0.41</v>
      </c>
      <c r="V163" s="6">
        <v>12</v>
      </c>
      <c r="X163" t="s">
        <v>172</v>
      </c>
      <c r="Y163" t="s">
        <v>146</v>
      </c>
      <c r="Z163">
        <v>1</v>
      </c>
      <c r="AC163">
        <v>1</v>
      </c>
      <c r="AD163">
        <v>30</v>
      </c>
      <c r="AE163" t="s">
        <v>153</v>
      </c>
      <c r="AK163" t="s">
        <v>156</v>
      </c>
      <c r="AN163" s="20">
        <f>3/4.1*100</f>
        <v>73.170731707317088</v>
      </c>
      <c r="AO163" s="19">
        <f>AN163*U163/V163</f>
        <v>2.5000000000000004</v>
      </c>
      <c r="AP163" t="s">
        <v>344</v>
      </c>
      <c r="AQ163" t="s">
        <v>345</v>
      </c>
    </row>
    <row r="164" spans="1:44" x14ac:dyDescent="0.25">
      <c r="A164" s="3" t="s">
        <v>46</v>
      </c>
      <c r="B164" s="3">
        <v>0</v>
      </c>
      <c r="C164" s="3">
        <v>1</v>
      </c>
      <c r="D164" s="3">
        <v>0</v>
      </c>
      <c r="E164" s="3" t="s">
        <v>158</v>
      </c>
      <c r="F164" s="11" t="s">
        <v>343</v>
      </c>
      <c r="G164" s="11" t="s">
        <v>176</v>
      </c>
      <c r="H164" s="11" t="s">
        <v>160</v>
      </c>
      <c r="I164" s="11" t="s">
        <v>143</v>
      </c>
      <c r="J164" s="11" t="s">
        <v>144</v>
      </c>
      <c r="K164" s="11" t="s">
        <v>145</v>
      </c>
      <c r="L164">
        <v>169</v>
      </c>
      <c r="Q164">
        <v>7</v>
      </c>
      <c r="U164" s="6">
        <v>0.41</v>
      </c>
      <c r="V164" s="6">
        <v>12</v>
      </c>
      <c r="X164" t="s">
        <v>172</v>
      </c>
      <c r="Y164" t="s">
        <v>164</v>
      </c>
      <c r="Z164">
        <v>1</v>
      </c>
      <c r="AA164" t="s">
        <v>346</v>
      </c>
      <c r="AB164" t="s">
        <v>166</v>
      </c>
      <c r="AC164">
        <v>1</v>
      </c>
      <c r="AD164">
        <v>30</v>
      </c>
      <c r="AE164" t="s">
        <v>153</v>
      </c>
      <c r="AK164" t="s">
        <v>156</v>
      </c>
      <c r="AN164" s="20">
        <f>2.6/4.1*100</f>
        <v>63.414634146341477</v>
      </c>
      <c r="AO164" s="19">
        <f t="shared" ref="AO164:AO170" si="33">AN164*U164/V164</f>
        <v>2.166666666666667</v>
      </c>
      <c r="AP164" t="s">
        <v>344</v>
      </c>
      <c r="AQ164" t="s">
        <v>347</v>
      </c>
    </row>
    <row r="165" spans="1:44" x14ac:dyDescent="0.25">
      <c r="A165" s="3" t="s">
        <v>46</v>
      </c>
      <c r="B165" s="3">
        <v>0</v>
      </c>
      <c r="C165" s="3">
        <v>1</v>
      </c>
      <c r="D165" s="3">
        <v>0</v>
      </c>
      <c r="E165" s="3" t="s">
        <v>158</v>
      </c>
      <c r="F165" s="11" t="s">
        <v>343</v>
      </c>
      <c r="G165" s="11" t="s">
        <v>176</v>
      </c>
      <c r="H165" s="11" t="s">
        <v>160</v>
      </c>
      <c r="I165" s="11" t="s">
        <v>143</v>
      </c>
      <c r="J165" s="11" t="s">
        <v>144</v>
      </c>
      <c r="K165" s="11" t="s">
        <v>145</v>
      </c>
      <c r="L165">
        <v>169</v>
      </c>
      <c r="Q165">
        <v>7</v>
      </c>
      <c r="U165" s="6">
        <v>0.63</v>
      </c>
      <c r="V165" s="6">
        <v>23.7</v>
      </c>
      <c r="X165" t="s">
        <v>172</v>
      </c>
      <c r="Y165" t="s">
        <v>146</v>
      </c>
      <c r="Z165">
        <v>2</v>
      </c>
      <c r="AC165">
        <v>1</v>
      </c>
      <c r="AD165">
        <v>30</v>
      </c>
      <c r="AE165" t="s">
        <v>153</v>
      </c>
      <c r="AK165" t="s">
        <v>156</v>
      </c>
      <c r="AN165" s="20">
        <f>6.3/6.3*100</f>
        <v>100</v>
      </c>
      <c r="AO165" s="19">
        <f t="shared" si="33"/>
        <v>2.6582278481012658</v>
      </c>
      <c r="AP165" t="s">
        <v>344</v>
      </c>
      <c r="AQ165" t="s">
        <v>348</v>
      </c>
    </row>
    <row r="166" spans="1:44" x14ac:dyDescent="0.25">
      <c r="A166" s="3" t="s">
        <v>46</v>
      </c>
      <c r="B166" s="3">
        <v>0</v>
      </c>
      <c r="C166" s="3">
        <v>1</v>
      </c>
      <c r="D166" s="3">
        <v>0</v>
      </c>
      <c r="E166" s="3" t="s">
        <v>158</v>
      </c>
      <c r="F166" s="11" t="s">
        <v>343</v>
      </c>
      <c r="G166" s="11" t="s">
        <v>176</v>
      </c>
      <c r="H166" s="11" t="s">
        <v>160</v>
      </c>
      <c r="I166" s="11" t="s">
        <v>143</v>
      </c>
      <c r="J166" s="11" t="s">
        <v>144</v>
      </c>
      <c r="K166" s="11" t="s">
        <v>145</v>
      </c>
      <c r="L166">
        <v>169</v>
      </c>
      <c r="Q166">
        <v>7</v>
      </c>
      <c r="U166" s="6">
        <v>0.63</v>
      </c>
      <c r="V166" s="6">
        <v>23.7</v>
      </c>
      <c r="X166" t="s">
        <v>172</v>
      </c>
      <c r="Y166" t="s">
        <v>164</v>
      </c>
      <c r="Z166">
        <v>2</v>
      </c>
      <c r="AA166" t="s">
        <v>311</v>
      </c>
      <c r="AB166" t="s">
        <v>187</v>
      </c>
      <c r="AC166">
        <v>1</v>
      </c>
      <c r="AD166">
        <v>30</v>
      </c>
      <c r="AE166" t="s">
        <v>153</v>
      </c>
      <c r="AK166" t="s">
        <v>156</v>
      </c>
      <c r="AN166" s="20">
        <f>6.3/6.3*100</f>
        <v>100</v>
      </c>
      <c r="AO166" s="19">
        <f t="shared" si="33"/>
        <v>2.6582278481012658</v>
      </c>
      <c r="AP166" t="s">
        <v>344</v>
      </c>
      <c r="AQ166" t="s">
        <v>349</v>
      </c>
    </row>
    <row r="167" spans="1:44" x14ac:dyDescent="0.25">
      <c r="A167" s="3" t="s">
        <v>46</v>
      </c>
      <c r="B167" s="3">
        <v>0</v>
      </c>
      <c r="C167" s="3">
        <v>1</v>
      </c>
      <c r="D167" s="3">
        <v>0</v>
      </c>
      <c r="E167" s="3" t="s">
        <v>158</v>
      </c>
      <c r="F167" s="11" t="s">
        <v>343</v>
      </c>
      <c r="G167" s="11" t="s">
        <v>176</v>
      </c>
      <c r="H167" s="11" t="s">
        <v>160</v>
      </c>
      <c r="I167" s="11" t="s">
        <v>143</v>
      </c>
      <c r="J167" s="11" t="s">
        <v>144</v>
      </c>
      <c r="K167" s="11" t="s">
        <v>145</v>
      </c>
      <c r="L167">
        <v>169</v>
      </c>
      <c r="Q167">
        <v>7</v>
      </c>
      <c r="U167" s="6">
        <v>0.72</v>
      </c>
      <c r="V167" s="6">
        <v>13.3</v>
      </c>
      <c r="X167" t="s">
        <v>172</v>
      </c>
      <c r="Y167" t="s">
        <v>146</v>
      </c>
      <c r="Z167">
        <v>3</v>
      </c>
      <c r="AC167">
        <v>1</v>
      </c>
      <c r="AD167">
        <v>30</v>
      </c>
      <c r="AE167" t="s">
        <v>224</v>
      </c>
      <c r="AK167" t="s">
        <v>207</v>
      </c>
      <c r="AN167" s="20">
        <f>0.6/7.2*100</f>
        <v>8.3333333333333321</v>
      </c>
      <c r="AO167" s="19">
        <f t="shared" si="33"/>
        <v>0.4511278195488721</v>
      </c>
      <c r="AP167" t="s">
        <v>344</v>
      </c>
      <c r="AQ167" t="s">
        <v>350</v>
      </c>
    </row>
    <row r="168" spans="1:44" x14ac:dyDescent="0.25">
      <c r="A168" s="3" t="s">
        <v>46</v>
      </c>
      <c r="B168" s="3">
        <v>0</v>
      </c>
      <c r="C168" s="3">
        <v>1</v>
      </c>
      <c r="D168" s="3">
        <v>0</v>
      </c>
      <c r="E168" s="3" t="s">
        <v>158</v>
      </c>
      <c r="F168" s="11" t="s">
        <v>343</v>
      </c>
      <c r="G168" s="11" t="s">
        <v>176</v>
      </c>
      <c r="H168" s="11" t="s">
        <v>160</v>
      </c>
      <c r="I168" s="11" t="s">
        <v>143</v>
      </c>
      <c r="J168" s="11" t="s">
        <v>144</v>
      </c>
      <c r="K168" s="11" t="s">
        <v>145</v>
      </c>
      <c r="L168">
        <v>169</v>
      </c>
      <c r="Q168">
        <v>7</v>
      </c>
      <c r="U168" s="6">
        <v>0.72</v>
      </c>
      <c r="V168" s="6">
        <v>13.3</v>
      </c>
      <c r="X168" t="s">
        <v>172</v>
      </c>
      <c r="Y168" t="s">
        <v>164</v>
      </c>
      <c r="Z168">
        <v>3</v>
      </c>
      <c r="AA168" t="s">
        <v>346</v>
      </c>
      <c r="AB168" t="s">
        <v>166</v>
      </c>
      <c r="AC168">
        <v>1</v>
      </c>
      <c r="AD168">
        <v>30</v>
      </c>
      <c r="AE168" t="s">
        <v>224</v>
      </c>
      <c r="AK168" t="s">
        <v>207</v>
      </c>
      <c r="AN168" s="20">
        <f>1/7.2*100</f>
        <v>13.888888888888889</v>
      </c>
      <c r="AO168" s="19">
        <f t="shared" si="33"/>
        <v>0.75187969924812026</v>
      </c>
      <c r="AP168" t="s">
        <v>344</v>
      </c>
      <c r="AQ168" t="s">
        <v>351</v>
      </c>
    </row>
    <row r="169" spans="1:44" x14ac:dyDescent="0.25">
      <c r="A169" s="3" t="s">
        <v>46</v>
      </c>
      <c r="B169" s="3">
        <v>0</v>
      </c>
      <c r="C169" s="3">
        <v>1</v>
      </c>
      <c r="D169" s="3">
        <v>0</v>
      </c>
      <c r="E169" s="3" t="s">
        <v>158</v>
      </c>
      <c r="F169" s="11" t="s">
        <v>343</v>
      </c>
      <c r="G169" s="11" t="s">
        <v>176</v>
      </c>
      <c r="H169" s="11" t="s">
        <v>160</v>
      </c>
      <c r="I169" s="11" t="s">
        <v>143</v>
      </c>
      <c r="J169" s="11" t="s">
        <v>144</v>
      </c>
      <c r="K169" s="11" t="s">
        <v>145</v>
      </c>
      <c r="L169">
        <v>169</v>
      </c>
      <c r="Q169">
        <v>7</v>
      </c>
      <c r="U169" s="6">
        <v>1.55</v>
      </c>
      <c r="V169" s="6">
        <v>35.200000000000003</v>
      </c>
      <c r="X169" t="s">
        <v>172</v>
      </c>
      <c r="Y169" t="s">
        <v>146</v>
      </c>
      <c r="Z169">
        <v>4</v>
      </c>
      <c r="AC169">
        <v>1</v>
      </c>
      <c r="AD169">
        <v>30</v>
      </c>
      <c r="AE169" t="s">
        <v>224</v>
      </c>
      <c r="AK169" t="s">
        <v>207</v>
      </c>
      <c r="AN169" s="20">
        <f>4/15.5*100</f>
        <v>25.806451612903224</v>
      </c>
      <c r="AO169" s="19">
        <f t="shared" si="33"/>
        <v>1.1363636363636362</v>
      </c>
      <c r="AP169" t="s">
        <v>344</v>
      </c>
      <c r="AQ169" t="s">
        <v>352</v>
      </c>
    </row>
    <row r="170" spans="1:44" x14ac:dyDescent="0.25">
      <c r="A170" s="3" t="s">
        <v>46</v>
      </c>
      <c r="B170" s="3">
        <v>0</v>
      </c>
      <c r="C170" s="3">
        <v>1</v>
      </c>
      <c r="D170" s="3">
        <v>0</v>
      </c>
      <c r="E170" s="3" t="s">
        <v>158</v>
      </c>
      <c r="F170" s="11" t="s">
        <v>343</v>
      </c>
      <c r="G170" s="11" t="s">
        <v>176</v>
      </c>
      <c r="H170" s="11" t="s">
        <v>160</v>
      </c>
      <c r="I170" s="11" t="s">
        <v>143</v>
      </c>
      <c r="J170" s="11" t="s">
        <v>144</v>
      </c>
      <c r="K170" s="11" t="s">
        <v>145</v>
      </c>
      <c r="L170">
        <v>169</v>
      </c>
      <c r="Q170">
        <v>7</v>
      </c>
      <c r="U170" s="6">
        <v>1.55</v>
      </c>
      <c r="V170" s="6">
        <v>35.200000000000003</v>
      </c>
      <c r="X170" t="s">
        <v>172</v>
      </c>
      <c r="Y170" t="s">
        <v>164</v>
      </c>
      <c r="Z170">
        <v>4</v>
      </c>
      <c r="AA170" t="s">
        <v>311</v>
      </c>
      <c r="AB170" t="s">
        <v>187</v>
      </c>
      <c r="AC170">
        <v>1</v>
      </c>
      <c r="AD170">
        <v>30</v>
      </c>
      <c r="AE170" t="s">
        <v>224</v>
      </c>
      <c r="AK170" t="s">
        <v>207</v>
      </c>
      <c r="AN170" s="20">
        <f>0.3/15.5*100</f>
        <v>1.935483870967742</v>
      </c>
      <c r="AO170" s="19">
        <f t="shared" si="33"/>
        <v>8.5227272727272721E-2</v>
      </c>
      <c r="AP170" t="s">
        <v>344</v>
      </c>
      <c r="AQ170" t="s">
        <v>353</v>
      </c>
    </row>
    <row r="171" spans="1:44" x14ac:dyDescent="0.25">
      <c r="A171" s="3" t="s">
        <v>39</v>
      </c>
      <c r="B171" s="3">
        <v>0</v>
      </c>
      <c r="C171" s="3">
        <v>1</v>
      </c>
      <c r="D171" s="3">
        <v>1</v>
      </c>
      <c r="E171" s="3" t="s">
        <v>158</v>
      </c>
      <c r="F171" s="11" t="s">
        <v>155</v>
      </c>
      <c r="G171" s="11" t="s">
        <v>176</v>
      </c>
      <c r="I171" s="11" t="s">
        <v>143</v>
      </c>
      <c r="K171" s="11" t="s">
        <v>145</v>
      </c>
      <c r="N171" t="s">
        <v>156</v>
      </c>
      <c r="S171" s="6">
        <v>38.5</v>
      </c>
      <c r="U171" s="32">
        <f>8.2/4.47</f>
        <v>1.8344519015659955</v>
      </c>
      <c r="V171" s="32">
        <f>40.9/4.47</f>
        <v>9.1498881431767334</v>
      </c>
      <c r="X171" t="s">
        <v>172</v>
      </c>
      <c r="Y171" t="s">
        <v>146</v>
      </c>
      <c r="Z171">
        <v>1</v>
      </c>
      <c r="AD171" s="20">
        <f>275/V171</f>
        <v>30.055012224938878</v>
      </c>
      <c r="AE171" t="s">
        <v>174</v>
      </c>
      <c r="AN171" s="20">
        <f>AO171*V171/U171</f>
        <v>209.48780487804879</v>
      </c>
      <c r="AO171">
        <v>42</v>
      </c>
      <c r="AP171" t="s">
        <v>354</v>
      </c>
      <c r="AQ171" t="s">
        <v>355</v>
      </c>
      <c r="AR171" t="s">
        <v>356</v>
      </c>
    </row>
    <row r="172" spans="1:44" x14ac:dyDescent="0.25">
      <c r="A172" s="3" t="s">
        <v>39</v>
      </c>
      <c r="B172" s="3">
        <v>0</v>
      </c>
      <c r="C172" s="3">
        <v>1</v>
      </c>
      <c r="D172" s="3">
        <v>1</v>
      </c>
      <c r="E172" s="3" t="s">
        <v>158</v>
      </c>
      <c r="F172" s="11" t="s">
        <v>155</v>
      </c>
      <c r="G172" s="11" t="s">
        <v>176</v>
      </c>
      <c r="I172" s="11" t="s">
        <v>143</v>
      </c>
      <c r="K172" s="11" t="s">
        <v>145</v>
      </c>
      <c r="N172" t="s">
        <v>156</v>
      </c>
      <c r="S172" s="6">
        <v>38.5</v>
      </c>
      <c r="U172" s="32">
        <f t="shared" ref="U172:U175" si="34">8.2/4.47</f>
        <v>1.8344519015659955</v>
      </c>
      <c r="V172" s="32">
        <f t="shared" ref="V172:V175" si="35">40.9/4.47</f>
        <v>9.1498881431767334</v>
      </c>
      <c r="X172" t="s">
        <v>172</v>
      </c>
      <c r="Y172" t="s">
        <v>164</v>
      </c>
      <c r="Z172">
        <v>1</v>
      </c>
      <c r="AA172" t="s">
        <v>341</v>
      </c>
      <c r="AB172" t="s">
        <v>166</v>
      </c>
      <c r="AC172">
        <v>4</v>
      </c>
      <c r="AD172" s="20">
        <f t="shared" ref="AD172:AD175" si="36">275/V172</f>
        <v>30.055012224938878</v>
      </c>
      <c r="AE172" t="s">
        <v>174</v>
      </c>
      <c r="AN172" s="20">
        <f t="shared" ref="AN172:AN175" si="37">AO172*V172/U172</f>
        <v>84.792682926829258</v>
      </c>
      <c r="AO172">
        <v>17</v>
      </c>
      <c r="AP172" t="s">
        <v>354</v>
      </c>
      <c r="AQ172" t="s">
        <v>357</v>
      </c>
      <c r="AR172" t="s">
        <v>356</v>
      </c>
    </row>
    <row r="173" spans="1:44" x14ac:dyDescent="0.25">
      <c r="A173" s="3" t="s">
        <v>39</v>
      </c>
      <c r="B173" s="3">
        <v>0</v>
      </c>
      <c r="C173" s="3">
        <v>1</v>
      </c>
      <c r="D173" s="3">
        <v>1</v>
      </c>
      <c r="E173" s="3" t="s">
        <v>158</v>
      </c>
      <c r="F173" s="11" t="s">
        <v>155</v>
      </c>
      <c r="G173" s="11" t="s">
        <v>176</v>
      </c>
      <c r="I173" s="11" t="s">
        <v>143</v>
      </c>
      <c r="K173" s="11" t="s">
        <v>145</v>
      </c>
      <c r="N173" t="s">
        <v>156</v>
      </c>
      <c r="S173" s="6">
        <v>38.5</v>
      </c>
      <c r="U173" s="32">
        <f t="shared" si="34"/>
        <v>1.8344519015659955</v>
      </c>
      <c r="V173" s="32">
        <f t="shared" si="35"/>
        <v>9.1498881431767334</v>
      </c>
      <c r="X173" t="s">
        <v>172</v>
      </c>
      <c r="Y173" t="s">
        <v>164</v>
      </c>
      <c r="Z173">
        <v>1</v>
      </c>
      <c r="AA173" t="s">
        <v>341</v>
      </c>
      <c r="AB173" t="s">
        <v>166</v>
      </c>
      <c r="AC173">
        <v>24</v>
      </c>
      <c r="AD173" s="20">
        <f t="shared" si="36"/>
        <v>30.055012224938878</v>
      </c>
      <c r="AE173" t="s">
        <v>174</v>
      </c>
      <c r="AN173" s="20">
        <f t="shared" si="37"/>
        <v>164.59756097560975</v>
      </c>
      <c r="AO173">
        <v>33</v>
      </c>
      <c r="AP173" t="s">
        <v>354</v>
      </c>
      <c r="AQ173" t="s">
        <v>358</v>
      </c>
      <c r="AR173" t="s">
        <v>356</v>
      </c>
    </row>
    <row r="174" spans="1:44" x14ac:dyDescent="0.25">
      <c r="A174" s="3" t="s">
        <v>39</v>
      </c>
      <c r="B174" s="3">
        <v>0</v>
      </c>
      <c r="C174" s="3">
        <v>1</v>
      </c>
      <c r="D174" s="3">
        <v>1</v>
      </c>
      <c r="E174" s="3" t="s">
        <v>158</v>
      </c>
      <c r="F174" s="11" t="s">
        <v>155</v>
      </c>
      <c r="G174" s="11" t="s">
        <v>176</v>
      </c>
      <c r="I174" s="11" t="s">
        <v>143</v>
      </c>
      <c r="K174" s="11" t="s">
        <v>145</v>
      </c>
      <c r="N174" t="s">
        <v>156</v>
      </c>
      <c r="S174" s="6">
        <v>38.5</v>
      </c>
      <c r="U174" s="32">
        <f t="shared" si="34"/>
        <v>1.8344519015659955</v>
      </c>
      <c r="V174" s="32">
        <f t="shared" si="35"/>
        <v>9.1498881431767334</v>
      </c>
      <c r="X174" t="s">
        <v>172</v>
      </c>
      <c r="Y174" t="s">
        <v>164</v>
      </c>
      <c r="Z174">
        <v>1</v>
      </c>
      <c r="AA174" t="s">
        <v>311</v>
      </c>
      <c r="AB174" t="s">
        <v>187</v>
      </c>
      <c r="AC174">
        <v>4</v>
      </c>
      <c r="AD174" s="20">
        <f t="shared" si="36"/>
        <v>30.055012224938878</v>
      </c>
      <c r="AE174" t="s">
        <v>174</v>
      </c>
      <c r="AN174" s="20">
        <f t="shared" si="37"/>
        <v>24.939024390243901</v>
      </c>
      <c r="AO174">
        <v>5</v>
      </c>
      <c r="AP174" t="s">
        <v>354</v>
      </c>
      <c r="AQ174" t="s">
        <v>359</v>
      </c>
      <c r="AR174" t="s">
        <v>356</v>
      </c>
    </row>
    <row r="175" spans="1:44" x14ac:dyDescent="0.25">
      <c r="A175" s="3" t="s">
        <v>39</v>
      </c>
      <c r="B175" s="3">
        <v>0</v>
      </c>
      <c r="C175" s="3">
        <v>1</v>
      </c>
      <c r="D175" s="3">
        <v>1</v>
      </c>
      <c r="E175" s="3" t="s">
        <v>158</v>
      </c>
      <c r="F175" s="11" t="s">
        <v>155</v>
      </c>
      <c r="G175" s="11" t="s">
        <v>176</v>
      </c>
      <c r="I175" s="11" t="s">
        <v>143</v>
      </c>
      <c r="K175" s="11" t="s">
        <v>145</v>
      </c>
      <c r="N175" t="s">
        <v>156</v>
      </c>
      <c r="S175" s="6">
        <v>38.5</v>
      </c>
      <c r="U175" s="32">
        <f t="shared" si="34"/>
        <v>1.8344519015659955</v>
      </c>
      <c r="V175" s="32">
        <f t="shared" si="35"/>
        <v>9.1498881431767334</v>
      </c>
      <c r="X175" t="s">
        <v>172</v>
      </c>
      <c r="Y175" t="s">
        <v>164</v>
      </c>
      <c r="Z175">
        <v>1</v>
      </c>
      <c r="AA175" t="s">
        <v>311</v>
      </c>
      <c r="AB175" t="s">
        <v>187</v>
      </c>
      <c r="AC175">
        <v>24</v>
      </c>
      <c r="AD175" s="20">
        <f t="shared" si="36"/>
        <v>30.055012224938878</v>
      </c>
      <c r="AE175" t="s">
        <v>174</v>
      </c>
      <c r="AN175" s="20">
        <f t="shared" si="37"/>
        <v>34.914634146341463</v>
      </c>
      <c r="AO175">
        <v>7</v>
      </c>
      <c r="AP175" t="s">
        <v>354</v>
      </c>
      <c r="AQ175" t="s">
        <v>360</v>
      </c>
      <c r="AR175" t="s">
        <v>356</v>
      </c>
    </row>
    <row r="176" spans="1:44" x14ac:dyDescent="0.25">
      <c r="A176" s="3" t="s">
        <v>39</v>
      </c>
      <c r="B176" s="3">
        <v>0</v>
      </c>
      <c r="C176" s="3">
        <v>1</v>
      </c>
      <c r="D176" s="3">
        <v>1</v>
      </c>
      <c r="E176" s="3" t="s">
        <v>158</v>
      </c>
      <c r="F176" s="11" t="s">
        <v>155</v>
      </c>
      <c r="G176" s="11" t="s">
        <v>176</v>
      </c>
      <c r="I176" s="11" t="s">
        <v>143</v>
      </c>
      <c r="K176" s="11" t="s">
        <v>145</v>
      </c>
      <c r="S176" s="6">
        <v>28.5</v>
      </c>
      <c r="U176" s="32">
        <f>3.6/3.45</f>
        <v>1.0434782608695652</v>
      </c>
      <c r="V176" s="32">
        <f>21.6/3.45</f>
        <v>6.2608695652173916</v>
      </c>
      <c r="X176" t="s">
        <v>172</v>
      </c>
      <c r="Y176" t="s">
        <v>146</v>
      </c>
      <c r="AD176" s="20">
        <f>442/V176</f>
        <v>70.597222222222214</v>
      </c>
      <c r="AE176" t="s">
        <v>174</v>
      </c>
      <c r="AN176" s="20">
        <f t="shared" ref="AN176:AN182" si="38">AO176*V176/U176</f>
        <v>24</v>
      </c>
      <c r="AO176">
        <v>4</v>
      </c>
      <c r="AP176" t="s">
        <v>354</v>
      </c>
      <c r="AQ176" t="s">
        <v>361</v>
      </c>
      <c r="AR176" t="s">
        <v>356</v>
      </c>
    </row>
    <row r="177" spans="1:44" x14ac:dyDescent="0.25">
      <c r="A177" s="3" t="s">
        <v>39</v>
      </c>
      <c r="B177" s="3">
        <v>0</v>
      </c>
      <c r="C177" s="3">
        <v>1</v>
      </c>
      <c r="D177" s="3">
        <v>1</v>
      </c>
      <c r="E177" s="3" t="s">
        <v>158</v>
      </c>
      <c r="F177" s="11" t="s">
        <v>155</v>
      </c>
      <c r="G177" s="11" t="s">
        <v>176</v>
      </c>
      <c r="I177" s="11" t="s">
        <v>143</v>
      </c>
      <c r="K177" s="11" t="s">
        <v>145</v>
      </c>
      <c r="N177" t="s">
        <v>156</v>
      </c>
      <c r="S177" s="6">
        <v>22.3</v>
      </c>
      <c r="U177" s="32">
        <f>9.3/4.15</f>
        <v>2.2409638554216866</v>
      </c>
      <c r="V177" s="32">
        <f>32.5/4.15</f>
        <v>7.831325301204819</v>
      </c>
      <c r="X177" t="s">
        <v>172</v>
      </c>
      <c r="Y177" t="s">
        <v>146</v>
      </c>
      <c r="Z177">
        <v>2</v>
      </c>
      <c r="AD177" s="20">
        <f>284/V177</f>
        <v>36.264615384615389</v>
      </c>
      <c r="AE177" t="s">
        <v>174</v>
      </c>
      <c r="AN177" s="20">
        <f t="shared" si="38"/>
        <v>43.682795698924728</v>
      </c>
      <c r="AO177">
        <v>12.5</v>
      </c>
      <c r="AP177" t="s">
        <v>354</v>
      </c>
      <c r="AQ177" t="s">
        <v>362</v>
      </c>
      <c r="AR177" t="s">
        <v>356</v>
      </c>
    </row>
    <row r="178" spans="1:44" x14ac:dyDescent="0.25">
      <c r="A178" s="3" t="s">
        <v>39</v>
      </c>
      <c r="B178" s="3">
        <v>0</v>
      </c>
      <c r="C178" s="3">
        <v>1</v>
      </c>
      <c r="D178" s="3">
        <v>1</v>
      </c>
      <c r="E178" s="3" t="s">
        <v>158</v>
      </c>
      <c r="F178" s="11" t="s">
        <v>155</v>
      </c>
      <c r="G178" s="11" t="s">
        <v>176</v>
      </c>
      <c r="I178" s="11" t="s">
        <v>143</v>
      </c>
      <c r="K178" s="11" t="s">
        <v>145</v>
      </c>
      <c r="N178" t="s">
        <v>156</v>
      </c>
      <c r="S178" s="6">
        <v>22.3</v>
      </c>
      <c r="U178" s="32">
        <f t="shared" ref="U178:U181" si="39">9.3/4.15</f>
        <v>2.2409638554216866</v>
      </c>
      <c r="V178" s="32">
        <f t="shared" ref="V178:V181" si="40">32.5/4.15</f>
        <v>7.831325301204819</v>
      </c>
      <c r="X178" t="s">
        <v>172</v>
      </c>
      <c r="Y178" t="s">
        <v>164</v>
      </c>
      <c r="Z178">
        <v>2</v>
      </c>
      <c r="AA178" t="s">
        <v>341</v>
      </c>
      <c r="AB178" t="s">
        <v>166</v>
      </c>
      <c r="AC178">
        <v>4</v>
      </c>
      <c r="AD178" s="20">
        <f t="shared" ref="AD178:AD181" si="41">284/V178</f>
        <v>36.264615384615389</v>
      </c>
      <c r="AE178" t="s">
        <v>174</v>
      </c>
      <c r="AN178" s="20">
        <f t="shared" si="38"/>
        <v>45.43010752688172</v>
      </c>
      <c r="AO178">
        <v>13</v>
      </c>
      <c r="AP178" t="s">
        <v>354</v>
      </c>
      <c r="AQ178" t="s">
        <v>363</v>
      </c>
      <c r="AR178" t="s">
        <v>356</v>
      </c>
    </row>
    <row r="179" spans="1:44" x14ac:dyDescent="0.25">
      <c r="A179" s="3" t="s">
        <v>39</v>
      </c>
      <c r="B179" s="3">
        <v>0</v>
      </c>
      <c r="C179" s="3">
        <v>1</v>
      </c>
      <c r="D179" s="3">
        <v>1</v>
      </c>
      <c r="E179" s="3" t="s">
        <v>158</v>
      </c>
      <c r="F179" s="11" t="s">
        <v>155</v>
      </c>
      <c r="G179" s="11" t="s">
        <v>176</v>
      </c>
      <c r="I179" s="11" t="s">
        <v>143</v>
      </c>
      <c r="K179" s="11" t="s">
        <v>145</v>
      </c>
      <c r="N179" t="s">
        <v>156</v>
      </c>
      <c r="S179" s="6">
        <v>22.3</v>
      </c>
      <c r="U179" s="32">
        <f t="shared" si="39"/>
        <v>2.2409638554216866</v>
      </c>
      <c r="V179" s="32">
        <f t="shared" si="40"/>
        <v>7.831325301204819</v>
      </c>
      <c r="X179" t="s">
        <v>172</v>
      </c>
      <c r="Y179" t="s">
        <v>164</v>
      </c>
      <c r="Z179">
        <v>2</v>
      </c>
      <c r="AA179" t="s">
        <v>341</v>
      </c>
      <c r="AB179" t="s">
        <v>166</v>
      </c>
      <c r="AC179">
        <v>24</v>
      </c>
      <c r="AD179" s="20">
        <f t="shared" si="41"/>
        <v>36.264615384615389</v>
      </c>
      <c r="AE179" t="s">
        <v>174</v>
      </c>
      <c r="AN179" s="20">
        <f t="shared" si="38"/>
        <v>54.166666666666664</v>
      </c>
      <c r="AO179">
        <v>15.5</v>
      </c>
      <c r="AP179" t="s">
        <v>354</v>
      </c>
      <c r="AQ179" t="s">
        <v>364</v>
      </c>
      <c r="AR179" t="s">
        <v>356</v>
      </c>
    </row>
    <row r="180" spans="1:44" x14ac:dyDescent="0.25">
      <c r="A180" s="3" t="s">
        <v>39</v>
      </c>
      <c r="B180" s="3">
        <v>0</v>
      </c>
      <c r="C180" s="3">
        <v>1</v>
      </c>
      <c r="D180" s="3">
        <v>1</v>
      </c>
      <c r="E180" s="3" t="s">
        <v>158</v>
      </c>
      <c r="F180" s="11" t="s">
        <v>155</v>
      </c>
      <c r="G180" s="11" t="s">
        <v>176</v>
      </c>
      <c r="I180" s="11" t="s">
        <v>143</v>
      </c>
      <c r="K180" s="11" t="s">
        <v>145</v>
      </c>
      <c r="N180" t="s">
        <v>156</v>
      </c>
      <c r="S180" s="6">
        <v>22.3</v>
      </c>
      <c r="U180" s="32">
        <f t="shared" si="39"/>
        <v>2.2409638554216866</v>
      </c>
      <c r="V180" s="32">
        <f t="shared" si="40"/>
        <v>7.831325301204819</v>
      </c>
      <c r="X180" t="s">
        <v>172</v>
      </c>
      <c r="Y180" t="s">
        <v>164</v>
      </c>
      <c r="Z180">
        <v>2</v>
      </c>
      <c r="AA180" t="s">
        <v>311</v>
      </c>
      <c r="AB180" t="s">
        <v>187</v>
      </c>
      <c r="AC180">
        <v>4</v>
      </c>
      <c r="AD180" s="20">
        <f t="shared" si="41"/>
        <v>36.264615384615389</v>
      </c>
      <c r="AE180" t="s">
        <v>174</v>
      </c>
      <c r="AN180" s="20">
        <f t="shared" si="38"/>
        <v>10.483870967741934</v>
      </c>
      <c r="AO180">
        <v>3</v>
      </c>
      <c r="AP180" t="s">
        <v>354</v>
      </c>
      <c r="AQ180" t="s">
        <v>365</v>
      </c>
      <c r="AR180" t="s">
        <v>356</v>
      </c>
    </row>
    <row r="181" spans="1:44" x14ac:dyDescent="0.25">
      <c r="A181" s="3" t="s">
        <v>39</v>
      </c>
      <c r="B181" s="3">
        <v>0</v>
      </c>
      <c r="C181" s="3">
        <v>1</v>
      </c>
      <c r="D181" s="3">
        <v>1</v>
      </c>
      <c r="E181" s="3" t="s">
        <v>158</v>
      </c>
      <c r="F181" s="11" t="s">
        <v>155</v>
      </c>
      <c r="G181" s="11" t="s">
        <v>176</v>
      </c>
      <c r="I181" s="11" t="s">
        <v>143</v>
      </c>
      <c r="K181" s="11" t="s">
        <v>145</v>
      </c>
      <c r="N181" t="s">
        <v>156</v>
      </c>
      <c r="S181" s="6">
        <v>22.3</v>
      </c>
      <c r="U181" s="32">
        <f t="shared" si="39"/>
        <v>2.2409638554216866</v>
      </c>
      <c r="V181" s="32">
        <f t="shared" si="40"/>
        <v>7.831325301204819</v>
      </c>
      <c r="X181" t="s">
        <v>172</v>
      </c>
      <c r="Y181" t="s">
        <v>164</v>
      </c>
      <c r="Z181">
        <v>2</v>
      </c>
      <c r="AA181" t="s">
        <v>311</v>
      </c>
      <c r="AB181" t="s">
        <v>187</v>
      </c>
      <c r="AC181">
        <v>24</v>
      </c>
      <c r="AD181" s="20">
        <f t="shared" si="41"/>
        <v>36.264615384615389</v>
      </c>
      <c r="AE181" t="s">
        <v>174</v>
      </c>
      <c r="AN181" s="20">
        <f t="shared" si="38"/>
        <v>24.462365591397848</v>
      </c>
      <c r="AO181">
        <v>7</v>
      </c>
      <c r="AP181" t="s">
        <v>354</v>
      </c>
      <c r="AQ181" t="s">
        <v>366</v>
      </c>
      <c r="AR181" t="s">
        <v>356</v>
      </c>
    </row>
    <row r="182" spans="1:44" x14ac:dyDescent="0.25">
      <c r="A182" s="3" t="s">
        <v>39</v>
      </c>
      <c r="B182" s="3">
        <v>0</v>
      </c>
      <c r="C182" s="3">
        <v>0</v>
      </c>
      <c r="D182" s="3">
        <v>1</v>
      </c>
      <c r="E182" s="3" t="s">
        <v>158</v>
      </c>
      <c r="F182" s="11" t="s">
        <v>155</v>
      </c>
      <c r="G182" s="11" t="s">
        <v>176</v>
      </c>
      <c r="I182" s="11" t="s">
        <v>143</v>
      </c>
      <c r="K182" s="11" t="s">
        <v>145</v>
      </c>
      <c r="S182" s="6">
        <v>24.9</v>
      </c>
      <c r="U182" s="32">
        <f>0.4/2.77</f>
        <v>0.1444043321299639</v>
      </c>
      <c r="V182" s="32">
        <f>18.8/2.77</f>
        <v>6.7870036101083038</v>
      </c>
      <c r="X182" t="s">
        <v>172</v>
      </c>
      <c r="Y182" t="s">
        <v>146</v>
      </c>
      <c r="AD182" s="20">
        <f>294/V182</f>
        <v>43.318085106382973</v>
      </c>
      <c r="AE182" t="s">
        <v>174</v>
      </c>
      <c r="AN182" s="20">
        <f t="shared" si="38"/>
        <v>658.00000000000011</v>
      </c>
      <c r="AO182">
        <v>14</v>
      </c>
      <c r="AP182" t="s">
        <v>354</v>
      </c>
      <c r="AQ182" t="s">
        <v>367</v>
      </c>
      <c r="AR182" t="s">
        <v>356</v>
      </c>
    </row>
    <row r="183" spans="1:44" x14ac:dyDescent="0.25">
      <c r="A183" s="3" t="s">
        <v>39</v>
      </c>
      <c r="B183" s="3">
        <v>0</v>
      </c>
      <c r="C183" s="3">
        <v>0</v>
      </c>
      <c r="D183" s="3">
        <v>1</v>
      </c>
      <c r="E183" s="3" t="s">
        <v>158</v>
      </c>
      <c r="F183" s="11" t="s">
        <v>155</v>
      </c>
      <c r="G183" s="11" t="s">
        <v>176</v>
      </c>
      <c r="I183" s="11" t="s">
        <v>143</v>
      </c>
      <c r="K183" s="11" t="s">
        <v>145</v>
      </c>
      <c r="S183" s="6">
        <v>19.600000000000001</v>
      </c>
      <c r="U183" s="32">
        <f>3.6/3.45</f>
        <v>1.0434782608695652</v>
      </c>
      <c r="V183" s="32">
        <f>21.65/3.45</f>
        <v>6.2753623188405792</v>
      </c>
      <c r="X183" t="s">
        <v>172</v>
      </c>
      <c r="Y183" t="s">
        <v>146</v>
      </c>
      <c r="AD183" s="20">
        <f>181/V183</f>
        <v>28.842956120092381</v>
      </c>
      <c r="AE183" t="s">
        <v>153</v>
      </c>
      <c r="AN183" s="20">
        <f t="shared" ref="AN183:AN192" si="42">AO183*V183/U183</f>
        <v>90.208333333333329</v>
      </c>
      <c r="AO183">
        <v>15</v>
      </c>
      <c r="AP183" t="s">
        <v>368</v>
      </c>
      <c r="AQ183" t="s">
        <v>369</v>
      </c>
      <c r="AR183" t="s">
        <v>356</v>
      </c>
    </row>
    <row r="184" spans="1:44" x14ac:dyDescent="0.25">
      <c r="A184" s="3" t="s">
        <v>39</v>
      </c>
      <c r="B184" s="3">
        <v>0</v>
      </c>
      <c r="C184" s="3">
        <v>0</v>
      </c>
      <c r="D184" s="3">
        <v>1</v>
      </c>
      <c r="E184" s="3" t="s">
        <v>158</v>
      </c>
      <c r="F184" s="11" t="s">
        <v>155</v>
      </c>
      <c r="G184" s="11" t="s">
        <v>176</v>
      </c>
      <c r="I184" s="11" t="s">
        <v>143</v>
      </c>
      <c r="K184" s="11" t="s">
        <v>145</v>
      </c>
      <c r="S184" s="6">
        <v>19.7</v>
      </c>
      <c r="U184" s="32">
        <f>1.2/3.24</f>
        <v>0.37037037037037035</v>
      </c>
      <c r="V184" s="32">
        <f>22.2/3.24</f>
        <v>6.8518518518518512</v>
      </c>
      <c r="X184" t="s">
        <v>172</v>
      </c>
      <c r="Y184" t="s">
        <v>146</v>
      </c>
      <c r="AD184" s="20">
        <f>250/V184</f>
        <v>36.486486486486491</v>
      </c>
      <c r="AE184" t="s">
        <v>153</v>
      </c>
      <c r="AN184" s="20">
        <f t="shared" si="42"/>
        <v>407</v>
      </c>
      <c r="AO184">
        <v>22</v>
      </c>
      <c r="AP184" t="s">
        <v>368</v>
      </c>
      <c r="AQ184" t="s">
        <v>370</v>
      </c>
      <c r="AR184" t="s">
        <v>356</v>
      </c>
    </row>
    <row r="185" spans="1:44" x14ac:dyDescent="0.25">
      <c r="A185" s="3" t="s">
        <v>39</v>
      </c>
      <c r="B185" s="3">
        <v>0</v>
      </c>
      <c r="C185" s="3">
        <v>0</v>
      </c>
      <c r="D185" s="3">
        <v>1</v>
      </c>
      <c r="E185" s="3" t="s">
        <v>158</v>
      </c>
      <c r="F185" s="11" t="s">
        <v>155</v>
      </c>
      <c r="G185" s="11" t="s">
        <v>176</v>
      </c>
      <c r="I185" s="11" t="s">
        <v>143</v>
      </c>
      <c r="K185" s="11" t="s">
        <v>145</v>
      </c>
      <c r="S185" s="6">
        <v>20</v>
      </c>
      <c r="U185" s="32">
        <f>7.7/3.98</f>
        <v>1.9346733668341709</v>
      </c>
      <c r="V185" s="32">
        <f>24.3/3.98</f>
        <v>6.1055276381909547</v>
      </c>
      <c r="X185" t="s">
        <v>172</v>
      </c>
      <c r="Y185" t="s">
        <v>146</v>
      </c>
      <c r="AD185" s="20">
        <f>214/V185</f>
        <v>35.050205761316874</v>
      </c>
      <c r="AE185" t="s">
        <v>153</v>
      </c>
      <c r="AN185" s="20">
        <f t="shared" si="42"/>
        <v>63.116883116883116</v>
      </c>
      <c r="AO185">
        <v>20</v>
      </c>
      <c r="AP185" t="s">
        <v>368</v>
      </c>
      <c r="AQ185" t="s">
        <v>371</v>
      </c>
      <c r="AR185" t="s">
        <v>356</v>
      </c>
    </row>
    <row r="186" spans="1:44" x14ac:dyDescent="0.25">
      <c r="A186" s="3" t="s">
        <v>39</v>
      </c>
      <c r="B186" s="3">
        <v>0</v>
      </c>
      <c r="C186" s="3">
        <v>0</v>
      </c>
      <c r="D186" s="3">
        <v>1</v>
      </c>
      <c r="E186" s="3" t="s">
        <v>158</v>
      </c>
      <c r="F186" s="11" t="s">
        <v>155</v>
      </c>
      <c r="G186" s="11" t="s">
        <v>176</v>
      </c>
      <c r="I186" s="11" t="s">
        <v>143</v>
      </c>
      <c r="K186" s="11" t="s">
        <v>145</v>
      </c>
      <c r="S186" s="6">
        <v>22.4</v>
      </c>
      <c r="U186" s="32">
        <f>2.7/3.2</f>
        <v>0.84375</v>
      </c>
      <c r="V186" s="32">
        <f>24.7/3.2</f>
        <v>7.7187499999999991</v>
      </c>
      <c r="X186" t="s">
        <v>172</v>
      </c>
      <c r="Y186" t="s">
        <v>146</v>
      </c>
      <c r="AD186" s="20">
        <f>274/V186</f>
        <v>35.497975708502025</v>
      </c>
      <c r="AE186" t="s">
        <v>153</v>
      </c>
      <c r="AN186" s="20">
        <f t="shared" si="42"/>
        <v>41.166666666666657</v>
      </c>
      <c r="AO186">
        <v>4.5</v>
      </c>
      <c r="AP186" t="s">
        <v>368</v>
      </c>
      <c r="AQ186" t="s">
        <v>372</v>
      </c>
      <c r="AR186" t="s">
        <v>356</v>
      </c>
    </row>
    <row r="187" spans="1:44" x14ac:dyDescent="0.25">
      <c r="A187" s="3" t="s">
        <v>39</v>
      </c>
      <c r="B187" s="3">
        <v>0</v>
      </c>
      <c r="C187" s="3">
        <v>0</v>
      </c>
      <c r="D187" s="3">
        <v>1</v>
      </c>
      <c r="E187" s="3" t="s">
        <v>158</v>
      </c>
      <c r="F187" s="11" t="s">
        <v>155</v>
      </c>
      <c r="G187" s="11" t="s">
        <v>176</v>
      </c>
      <c r="I187" s="11" t="s">
        <v>143</v>
      </c>
      <c r="K187" s="11" t="s">
        <v>145</v>
      </c>
      <c r="S187" s="6">
        <v>23</v>
      </c>
      <c r="U187" s="32">
        <f>0.39*V187</f>
        <v>9.4946428571428569</v>
      </c>
      <c r="V187" s="32">
        <f>40.9/1.68</f>
        <v>24.345238095238095</v>
      </c>
      <c r="X187" t="s">
        <v>172</v>
      </c>
      <c r="Y187" t="s">
        <v>146</v>
      </c>
      <c r="AD187" s="20">
        <f>302/V187</f>
        <v>12.404889975550123</v>
      </c>
      <c r="AE187" t="s">
        <v>153</v>
      </c>
      <c r="AN187" s="20">
        <f t="shared" si="42"/>
        <v>102.56410256410257</v>
      </c>
      <c r="AO187">
        <v>40</v>
      </c>
      <c r="AP187" t="s">
        <v>368</v>
      </c>
      <c r="AQ187" t="s">
        <v>373</v>
      </c>
      <c r="AR187" t="s">
        <v>356</v>
      </c>
    </row>
    <row r="188" spans="1:44" x14ac:dyDescent="0.25">
      <c r="A188" s="3" t="s">
        <v>39</v>
      </c>
      <c r="B188" s="3">
        <v>0</v>
      </c>
      <c r="C188" s="3">
        <v>0</v>
      </c>
      <c r="D188" s="3">
        <v>1</v>
      </c>
      <c r="E188" s="3" t="s">
        <v>158</v>
      </c>
      <c r="F188" s="11" t="s">
        <v>155</v>
      </c>
      <c r="G188" s="11" t="s">
        <v>176</v>
      </c>
      <c r="I188" s="11" t="s">
        <v>143</v>
      </c>
      <c r="K188" s="11" t="s">
        <v>145</v>
      </c>
      <c r="S188" s="6">
        <v>20.399999999999999</v>
      </c>
      <c r="U188" s="32">
        <f>0.4/2.77</f>
        <v>0.1444043321299639</v>
      </c>
      <c r="V188" s="32">
        <f>18.8/2.77</f>
        <v>6.7870036101083038</v>
      </c>
      <c r="X188" t="s">
        <v>172</v>
      </c>
      <c r="Y188" t="s">
        <v>146</v>
      </c>
      <c r="AD188" s="20">
        <f>236/V188</f>
        <v>34.772340425531915</v>
      </c>
      <c r="AE188" t="s">
        <v>174</v>
      </c>
      <c r="AN188" s="20">
        <f t="shared" si="42"/>
        <v>23.500000000000004</v>
      </c>
      <c r="AO188">
        <v>0.5</v>
      </c>
      <c r="AP188" t="s">
        <v>368</v>
      </c>
      <c r="AQ188" t="s">
        <v>374</v>
      </c>
      <c r="AR188" t="s">
        <v>356</v>
      </c>
    </row>
    <row r="189" spans="1:44" x14ac:dyDescent="0.25">
      <c r="A189" s="3" t="s">
        <v>39</v>
      </c>
      <c r="B189" s="3">
        <v>0</v>
      </c>
      <c r="C189" s="3">
        <v>0</v>
      </c>
      <c r="D189" s="3">
        <v>1</v>
      </c>
      <c r="E189" s="3" t="s">
        <v>158</v>
      </c>
      <c r="F189" s="11" t="s">
        <v>155</v>
      </c>
      <c r="G189" s="11" t="s">
        <v>176</v>
      </c>
      <c r="I189" s="11" t="s">
        <v>143</v>
      </c>
      <c r="K189" s="11" t="s">
        <v>145</v>
      </c>
      <c r="S189" s="6">
        <v>20.399999999999999</v>
      </c>
      <c r="U189" s="32">
        <f>0.1/2.57</f>
        <v>3.8910505836575883E-2</v>
      </c>
      <c r="V189" s="32">
        <f>16.1/2.57</f>
        <v>6.2645914396887168</v>
      </c>
      <c r="X189" t="s">
        <v>172</v>
      </c>
      <c r="Y189" t="s">
        <v>146</v>
      </c>
      <c r="AD189" s="20">
        <f>219/V189</f>
        <v>34.958385093167699</v>
      </c>
      <c r="AE189" t="s">
        <v>174</v>
      </c>
      <c r="AN189" s="20">
        <f t="shared" si="42"/>
        <v>0</v>
      </c>
      <c r="AO189">
        <v>0</v>
      </c>
      <c r="AP189" t="s">
        <v>368</v>
      </c>
      <c r="AQ189" t="s">
        <v>375</v>
      </c>
      <c r="AR189" t="s">
        <v>356</v>
      </c>
    </row>
    <row r="190" spans="1:44" x14ac:dyDescent="0.25">
      <c r="A190" s="3" t="s">
        <v>39</v>
      </c>
      <c r="B190" s="3">
        <v>0</v>
      </c>
      <c r="C190" s="3">
        <v>0</v>
      </c>
      <c r="D190" s="3">
        <v>1</v>
      </c>
      <c r="E190" s="3" t="s">
        <v>158</v>
      </c>
      <c r="F190" s="11" t="s">
        <v>155</v>
      </c>
      <c r="G190" s="11" t="s">
        <v>176</v>
      </c>
      <c r="I190" s="11" t="s">
        <v>143</v>
      </c>
      <c r="K190" s="11" t="s">
        <v>145</v>
      </c>
      <c r="S190" s="6">
        <v>19.3</v>
      </c>
      <c r="U190" s="32">
        <f>0.2/3.08</f>
        <v>6.4935064935064943E-2</v>
      </c>
      <c r="V190" s="32">
        <f>20.4/3.08</f>
        <v>6.6233766233766227</v>
      </c>
      <c r="X190" t="s">
        <v>172</v>
      </c>
      <c r="Y190" t="s">
        <v>146</v>
      </c>
      <c r="AD190" s="20">
        <f>237/V190</f>
        <v>35.782352941176477</v>
      </c>
      <c r="AE190" t="s">
        <v>174</v>
      </c>
      <c r="AN190" s="20">
        <f t="shared" si="42"/>
        <v>101.99999999999997</v>
      </c>
      <c r="AO190">
        <v>1</v>
      </c>
      <c r="AP190" t="s">
        <v>368</v>
      </c>
      <c r="AQ190" t="s">
        <v>376</v>
      </c>
      <c r="AR190" t="s">
        <v>356</v>
      </c>
    </row>
    <row r="191" spans="1:44" x14ac:dyDescent="0.25">
      <c r="A191" s="3" t="s">
        <v>39</v>
      </c>
      <c r="B191" s="3">
        <v>0</v>
      </c>
      <c r="C191" s="3">
        <v>0</v>
      </c>
      <c r="D191" s="3">
        <v>1</v>
      </c>
      <c r="E191" s="3" t="s">
        <v>158</v>
      </c>
      <c r="F191" s="11" t="s">
        <v>155</v>
      </c>
      <c r="G191" s="11" t="s">
        <v>176</v>
      </c>
      <c r="I191" s="11" t="s">
        <v>143</v>
      </c>
      <c r="K191" s="11" t="s">
        <v>145</v>
      </c>
      <c r="S191" s="6">
        <v>29.1</v>
      </c>
      <c r="U191" s="32">
        <f>0.2/2.14</f>
        <v>9.3457943925233641E-2</v>
      </c>
      <c r="V191" s="32">
        <f>15.9/2.14</f>
        <v>7.4299065420560746</v>
      </c>
      <c r="X191" t="s">
        <v>172</v>
      </c>
      <c r="Y191" t="s">
        <v>146</v>
      </c>
      <c r="AD191" s="20">
        <f>255/V191</f>
        <v>34.320754716981135</v>
      </c>
      <c r="AE191" t="s">
        <v>174</v>
      </c>
      <c r="AN191" s="20">
        <f t="shared" si="42"/>
        <v>0</v>
      </c>
      <c r="AO191">
        <v>0</v>
      </c>
      <c r="AP191" t="s">
        <v>368</v>
      </c>
      <c r="AQ191" t="s">
        <v>377</v>
      </c>
      <c r="AR191" t="s">
        <v>356</v>
      </c>
    </row>
    <row r="192" spans="1:44" x14ac:dyDescent="0.25">
      <c r="A192" s="3" t="s">
        <v>39</v>
      </c>
      <c r="B192" s="3">
        <v>0</v>
      </c>
      <c r="C192" s="3">
        <v>0</v>
      </c>
      <c r="D192" s="3">
        <v>1</v>
      </c>
      <c r="E192" s="3" t="s">
        <v>158</v>
      </c>
      <c r="F192" s="11" t="s">
        <v>155</v>
      </c>
      <c r="G192" s="11" t="s">
        <v>176</v>
      </c>
      <c r="I192" s="11" t="s">
        <v>143</v>
      </c>
      <c r="K192" s="11" t="s">
        <v>145</v>
      </c>
      <c r="S192" s="6">
        <v>40.5</v>
      </c>
      <c r="U192" s="32">
        <f>0.16*V192</f>
        <v>1.2530120481927711</v>
      </c>
      <c r="V192" s="32">
        <f>32.5/4.15</f>
        <v>7.831325301204819</v>
      </c>
      <c r="X192" t="s">
        <v>172</v>
      </c>
      <c r="Y192" t="s">
        <v>146</v>
      </c>
      <c r="AD192" s="20">
        <f>371/V192</f>
        <v>47.373846153846159</v>
      </c>
      <c r="AE192" t="s">
        <v>174</v>
      </c>
      <c r="AN192" s="20">
        <f t="shared" si="42"/>
        <v>171.875</v>
      </c>
      <c r="AO192">
        <v>27.5</v>
      </c>
      <c r="AP192" t="s">
        <v>368</v>
      </c>
      <c r="AQ192" t="s">
        <v>378</v>
      </c>
      <c r="AR192" t="s">
        <v>356</v>
      </c>
    </row>
    <row r="193" spans="1:44" x14ac:dyDescent="0.25">
      <c r="A193" s="3" t="s">
        <v>39</v>
      </c>
      <c r="B193" s="3">
        <v>0</v>
      </c>
      <c r="C193" s="3">
        <v>1</v>
      </c>
      <c r="D193" s="3">
        <v>0</v>
      </c>
      <c r="E193" s="3" t="s">
        <v>158</v>
      </c>
      <c r="F193" s="11" t="s">
        <v>169</v>
      </c>
      <c r="G193" s="11" t="s">
        <v>379</v>
      </c>
      <c r="I193" s="11" t="s">
        <v>143</v>
      </c>
      <c r="K193" s="11" t="s">
        <v>145</v>
      </c>
      <c r="N193" t="s">
        <v>156</v>
      </c>
      <c r="S193" s="6">
        <v>53.9</v>
      </c>
      <c r="X193" t="s">
        <v>172</v>
      </c>
      <c r="Y193" t="s">
        <v>146</v>
      </c>
      <c r="Z193">
        <v>3</v>
      </c>
      <c r="AE193" t="s">
        <v>174</v>
      </c>
      <c r="AN193" s="20">
        <f>AO193*241/48</f>
        <v>80.333333333333329</v>
      </c>
      <c r="AO193">
        <v>16</v>
      </c>
      <c r="AP193" t="s">
        <v>380</v>
      </c>
      <c r="AQ193" t="s">
        <v>381</v>
      </c>
      <c r="AR193" t="s">
        <v>382</v>
      </c>
    </row>
    <row r="194" spans="1:44" x14ac:dyDescent="0.25">
      <c r="A194" s="3" t="s">
        <v>39</v>
      </c>
      <c r="B194" s="3">
        <v>0</v>
      </c>
      <c r="C194" s="3">
        <v>1</v>
      </c>
      <c r="D194" s="3">
        <v>0</v>
      </c>
      <c r="E194" s="3" t="s">
        <v>158</v>
      </c>
      <c r="F194" s="11" t="s">
        <v>169</v>
      </c>
      <c r="G194" s="11" t="s">
        <v>379</v>
      </c>
      <c r="I194" s="11" t="s">
        <v>143</v>
      </c>
      <c r="K194" s="11" t="s">
        <v>145</v>
      </c>
      <c r="N194" t="s">
        <v>156</v>
      </c>
      <c r="S194" s="6">
        <v>53.9</v>
      </c>
      <c r="X194" t="s">
        <v>172</v>
      </c>
      <c r="Y194" t="s">
        <v>164</v>
      </c>
      <c r="Z194">
        <v>3</v>
      </c>
      <c r="AA194" t="s">
        <v>341</v>
      </c>
      <c r="AB194" t="s">
        <v>166</v>
      </c>
      <c r="AC194">
        <v>4</v>
      </c>
      <c r="AE194" t="s">
        <v>174</v>
      </c>
      <c r="AN194" s="20">
        <f t="shared" ref="AN194:AN197" si="43">AO194*241/48</f>
        <v>7.53125</v>
      </c>
      <c r="AO194">
        <v>1.5</v>
      </c>
      <c r="AP194" t="s">
        <v>380</v>
      </c>
      <c r="AQ194" t="s">
        <v>383</v>
      </c>
      <c r="AR194" t="s">
        <v>382</v>
      </c>
    </row>
    <row r="195" spans="1:44" x14ac:dyDescent="0.25">
      <c r="A195" s="3" t="s">
        <v>39</v>
      </c>
      <c r="B195" s="3">
        <v>0</v>
      </c>
      <c r="C195" s="3">
        <v>1</v>
      </c>
      <c r="D195" s="3">
        <v>0</v>
      </c>
      <c r="E195" s="3" t="s">
        <v>158</v>
      </c>
      <c r="F195" s="11" t="s">
        <v>169</v>
      </c>
      <c r="G195" s="11" t="s">
        <v>379</v>
      </c>
      <c r="I195" s="11" t="s">
        <v>143</v>
      </c>
      <c r="K195" s="11" t="s">
        <v>145</v>
      </c>
      <c r="N195" t="s">
        <v>156</v>
      </c>
      <c r="S195" s="6">
        <v>53.9</v>
      </c>
      <c r="X195" t="s">
        <v>172</v>
      </c>
      <c r="Y195" t="s">
        <v>164</v>
      </c>
      <c r="Z195">
        <v>3</v>
      </c>
      <c r="AA195" t="s">
        <v>341</v>
      </c>
      <c r="AB195" t="s">
        <v>166</v>
      </c>
      <c r="AC195">
        <v>24</v>
      </c>
      <c r="AE195" t="s">
        <v>174</v>
      </c>
      <c r="AN195" s="20">
        <f t="shared" si="43"/>
        <v>85.354166666666671</v>
      </c>
      <c r="AO195">
        <v>17</v>
      </c>
      <c r="AP195" t="s">
        <v>380</v>
      </c>
      <c r="AQ195" t="s">
        <v>384</v>
      </c>
      <c r="AR195" t="s">
        <v>382</v>
      </c>
    </row>
    <row r="196" spans="1:44" x14ac:dyDescent="0.25">
      <c r="A196" s="3" t="s">
        <v>39</v>
      </c>
      <c r="B196" s="3">
        <v>0</v>
      </c>
      <c r="C196" s="3">
        <v>1</v>
      </c>
      <c r="D196" s="3">
        <v>0</v>
      </c>
      <c r="E196" s="3" t="s">
        <v>158</v>
      </c>
      <c r="F196" s="11" t="s">
        <v>169</v>
      </c>
      <c r="G196" s="11" t="s">
        <v>379</v>
      </c>
      <c r="I196" s="11" t="s">
        <v>143</v>
      </c>
      <c r="K196" s="11" t="s">
        <v>145</v>
      </c>
      <c r="N196" t="s">
        <v>156</v>
      </c>
      <c r="S196" s="6">
        <v>53.9</v>
      </c>
      <c r="X196" t="s">
        <v>172</v>
      </c>
      <c r="Y196" t="s">
        <v>164</v>
      </c>
      <c r="Z196">
        <v>3</v>
      </c>
      <c r="AA196" t="s">
        <v>311</v>
      </c>
      <c r="AB196" t="s">
        <v>187</v>
      </c>
      <c r="AC196">
        <v>4</v>
      </c>
      <c r="AE196" t="s">
        <v>174</v>
      </c>
      <c r="AN196" s="20">
        <f t="shared" si="43"/>
        <v>7.53125</v>
      </c>
      <c r="AO196">
        <v>1.5</v>
      </c>
      <c r="AP196" t="s">
        <v>380</v>
      </c>
      <c r="AQ196" t="s">
        <v>385</v>
      </c>
      <c r="AR196" t="s">
        <v>382</v>
      </c>
    </row>
    <row r="197" spans="1:44" x14ac:dyDescent="0.25">
      <c r="A197" s="3" t="s">
        <v>39</v>
      </c>
      <c r="B197" s="3">
        <v>0</v>
      </c>
      <c r="C197" s="3">
        <v>1</v>
      </c>
      <c r="D197" s="3">
        <v>0</v>
      </c>
      <c r="E197" s="3" t="s">
        <v>158</v>
      </c>
      <c r="F197" s="11" t="s">
        <v>169</v>
      </c>
      <c r="G197" s="11" t="s">
        <v>379</v>
      </c>
      <c r="I197" s="11" t="s">
        <v>143</v>
      </c>
      <c r="K197" s="11" t="s">
        <v>145</v>
      </c>
      <c r="N197" t="s">
        <v>156</v>
      </c>
      <c r="S197" s="6">
        <v>53.9</v>
      </c>
      <c r="X197" t="s">
        <v>172</v>
      </c>
      <c r="Y197" t="s">
        <v>164</v>
      </c>
      <c r="Z197">
        <v>3</v>
      </c>
      <c r="AA197" t="s">
        <v>311</v>
      </c>
      <c r="AB197" t="s">
        <v>187</v>
      </c>
      <c r="AC197">
        <v>24</v>
      </c>
      <c r="AE197" t="s">
        <v>174</v>
      </c>
      <c r="AN197" s="20">
        <f t="shared" si="43"/>
        <v>32.635416666666664</v>
      </c>
      <c r="AO197">
        <v>6.5</v>
      </c>
      <c r="AP197" t="s">
        <v>380</v>
      </c>
      <c r="AQ197" t="s">
        <v>386</v>
      </c>
      <c r="AR197" t="s">
        <v>382</v>
      </c>
    </row>
    <row r="198" spans="1:44" x14ac:dyDescent="0.25">
      <c r="AC198" t="s">
        <v>387</v>
      </c>
    </row>
  </sheetData>
  <phoneticPr fontId="6" type="noConversion"/>
  <conditionalFormatting sqref="C116">
    <cfRule type="colorScale" priority="247">
      <colorScale>
        <cfvo type="min"/>
        <cfvo type="percentile" val="50"/>
        <cfvo type="max"/>
        <color rgb="FFF8696B"/>
        <color rgb="FFFFEB84"/>
        <color rgb="FF63BE7B"/>
      </colorScale>
    </cfRule>
  </conditionalFormatting>
  <conditionalFormatting sqref="C115">
    <cfRule type="colorScale" priority="244">
      <colorScale>
        <cfvo type="min"/>
        <cfvo type="percentile" val="50"/>
        <cfvo type="max"/>
        <color rgb="FFF8696B"/>
        <color rgb="FFFFEB84"/>
        <color rgb="FF63BE7B"/>
      </colorScale>
    </cfRule>
  </conditionalFormatting>
  <conditionalFormatting sqref="C115">
    <cfRule type="colorScale" priority="243">
      <colorScale>
        <cfvo type="min"/>
        <cfvo type="percentile" val="50"/>
        <cfvo type="max"/>
        <color rgb="FFF8696B"/>
        <color rgb="FFFFEB84"/>
        <color rgb="FF63BE7B"/>
      </colorScale>
    </cfRule>
  </conditionalFormatting>
  <conditionalFormatting sqref="C118">
    <cfRule type="colorScale" priority="240">
      <colorScale>
        <cfvo type="min"/>
        <cfvo type="percentile" val="50"/>
        <cfvo type="max"/>
        <color rgb="FFF8696B"/>
        <color rgb="FFFFEB84"/>
        <color rgb="FF63BE7B"/>
      </colorScale>
    </cfRule>
  </conditionalFormatting>
  <conditionalFormatting sqref="C118">
    <cfRule type="colorScale" priority="239">
      <colorScale>
        <cfvo type="min"/>
        <cfvo type="percentile" val="50"/>
        <cfvo type="max"/>
        <color rgb="FFF8696B"/>
        <color rgb="FFFFEB84"/>
        <color rgb="FF63BE7B"/>
      </colorScale>
    </cfRule>
  </conditionalFormatting>
  <conditionalFormatting sqref="C117">
    <cfRule type="colorScale" priority="236">
      <colorScale>
        <cfvo type="min"/>
        <cfvo type="percentile" val="50"/>
        <cfvo type="max"/>
        <color rgb="FFF8696B"/>
        <color rgb="FFFFEB84"/>
        <color rgb="FF63BE7B"/>
      </colorScale>
    </cfRule>
  </conditionalFormatting>
  <conditionalFormatting sqref="C117">
    <cfRule type="colorScale" priority="235">
      <colorScale>
        <cfvo type="min"/>
        <cfvo type="percentile" val="50"/>
        <cfvo type="max"/>
        <color rgb="FFF8696B"/>
        <color rgb="FFFFEB84"/>
        <color rgb="FF63BE7B"/>
      </colorScale>
    </cfRule>
  </conditionalFormatting>
  <conditionalFormatting sqref="C119">
    <cfRule type="colorScale" priority="227">
      <colorScale>
        <cfvo type="min"/>
        <cfvo type="percentile" val="50"/>
        <cfvo type="max"/>
        <color rgb="FFF8696B"/>
        <color rgb="FFFFEB84"/>
        <color rgb="FF63BE7B"/>
      </colorScale>
    </cfRule>
  </conditionalFormatting>
  <conditionalFormatting sqref="C119">
    <cfRule type="colorScale" priority="228">
      <colorScale>
        <cfvo type="min"/>
        <cfvo type="percentile" val="50"/>
        <cfvo type="max"/>
        <color rgb="FFF8696B"/>
        <color rgb="FFFFEB84"/>
        <color rgb="FF63BE7B"/>
      </colorScale>
    </cfRule>
  </conditionalFormatting>
  <conditionalFormatting sqref="C120">
    <cfRule type="colorScale" priority="225">
      <colorScale>
        <cfvo type="min"/>
        <cfvo type="percentile" val="50"/>
        <cfvo type="max"/>
        <color rgb="FFF8696B"/>
        <color rgb="FFFFEB84"/>
        <color rgb="FF63BE7B"/>
      </colorScale>
    </cfRule>
  </conditionalFormatting>
  <conditionalFormatting sqref="C120">
    <cfRule type="colorScale" priority="226">
      <colorScale>
        <cfvo type="min"/>
        <cfvo type="percentile" val="50"/>
        <cfvo type="max"/>
        <color rgb="FFF8696B"/>
        <color rgb="FFFFEB84"/>
        <color rgb="FF63BE7B"/>
      </colorScale>
    </cfRule>
  </conditionalFormatting>
  <conditionalFormatting sqref="C121">
    <cfRule type="colorScale" priority="223">
      <colorScale>
        <cfvo type="min"/>
        <cfvo type="percentile" val="50"/>
        <cfvo type="max"/>
        <color rgb="FFF8696B"/>
        <color rgb="FFFFEB84"/>
        <color rgb="FF63BE7B"/>
      </colorScale>
    </cfRule>
  </conditionalFormatting>
  <conditionalFormatting sqref="C121">
    <cfRule type="colorScale" priority="224">
      <colorScale>
        <cfvo type="min"/>
        <cfvo type="percentile" val="50"/>
        <cfvo type="max"/>
        <color rgb="FFF8696B"/>
        <color rgb="FFFFEB84"/>
        <color rgb="FF63BE7B"/>
      </colorScale>
    </cfRule>
  </conditionalFormatting>
  <conditionalFormatting sqref="C122">
    <cfRule type="colorScale" priority="221">
      <colorScale>
        <cfvo type="min"/>
        <cfvo type="percentile" val="50"/>
        <cfvo type="max"/>
        <color rgb="FFF8696B"/>
        <color rgb="FFFFEB84"/>
        <color rgb="FF63BE7B"/>
      </colorScale>
    </cfRule>
  </conditionalFormatting>
  <conditionalFormatting sqref="C122">
    <cfRule type="colorScale" priority="222">
      <colorScale>
        <cfvo type="min"/>
        <cfvo type="percentile" val="50"/>
        <cfvo type="max"/>
        <color rgb="FFF8696B"/>
        <color rgb="FFFFEB84"/>
        <color rgb="FF63BE7B"/>
      </colorScale>
    </cfRule>
  </conditionalFormatting>
  <conditionalFormatting sqref="C116">
    <cfRule type="colorScale" priority="270">
      <colorScale>
        <cfvo type="min"/>
        <cfvo type="percentile" val="50"/>
        <cfvo type="max"/>
        <color rgb="FFF8696B"/>
        <color rgb="FFFFEB84"/>
        <color rgb="FF63BE7B"/>
      </colorScale>
    </cfRule>
  </conditionalFormatting>
  <conditionalFormatting sqref="C126">
    <cfRule type="colorScale" priority="213">
      <colorScale>
        <cfvo type="min"/>
        <cfvo type="percentile" val="50"/>
        <cfvo type="max"/>
        <color rgb="FFF8696B"/>
        <color rgb="FFFFEB84"/>
        <color rgb="FF63BE7B"/>
      </colorScale>
    </cfRule>
  </conditionalFormatting>
  <conditionalFormatting sqref="C126">
    <cfRule type="colorScale" priority="214">
      <colorScale>
        <cfvo type="min"/>
        <cfvo type="percentile" val="50"/>
        <cfvo type="max"/>
        <color rgb="FFF8696B"/>
        <color rgb="FFFFEB84"/>
        <color rgb="FF63BE7B"/>
      </colorScale>
    </cfRule>
  </conditionalFormatting>
  <conditionalFormatting sqref="C125">
    <cfRule type="colorScale" priority="211">
      <colorScale>
        <cfvo type="min"/>
        <cfvo type="percentile" val="50"/>
        <cfvo type="max"/>
        <color rgb="FFF8696B"/>
        <color rgb="FFFFEB84"/>
        <color rgb="FF63BE7B"/>
      </colorScale>
    </cfRule>
  </conditionalFormatting>
  <conditionalFormatting sqref="C125">
    <cfRule type="colorScale" priority="212">
      <colorScale>
        <cfvo type="min"/>
        <cfvo type="percentile" val="50"/>
        <cfvo type="max"/>
        <color rgb="FFF8696B"/>
        <color rgb="FFFFEB84"/>
        <color rgb="FF63BE7B"/>
      </colorScale>
    </cfRule>
  </conditionalFormatting>
  <conditionalFormatting sqref="C124">
    <cfRule type="colorScale" priority="209">
      <colorScale>
        <cfvo type="min"/>
        <cfvo type="percentile" val="50"/>
        <cfvo type="max"/>
        <color rgb="FFF8696B"/>
        <color rgb="FFFFEB84"/>
        <color rgb="FF63BE7B"/>
      </colorScale>
    </cfRule>
  </conditionalFormatting>
  <conditionalFormatting sqref="C124">
    <cfRule type="colorScale" priority="210">
      <colorScale>
        <cfvo type="min"/>
        <cfvo type="percentile" val="50"/>
        <cfvo type="max"/>
        <color rgb="FFF8696B"/>
        <color rgb="FFFFEB84"/>
        <color rgb="FF63BE7B"/>
      </colorScale>
    </cfRule>
  </conditionalFormatting>
  <conditionalFormatting sqref="C123">
    <cfRule type="colorScale" priority="207">
      <colorScale>
        <cfvo type="min"/>
        <cfvo type="percentile" val="50"/>
        <cfvo type="max"/>
        <color rgb="FFF8696B"/>
        <color rgb="FFFFEB84"/>
        <color rgb="FF63BE7B"/>
      </colorScale>
    </cfRule>
  </conditionalFormatting>
  <conditionalFormatting sqref="C123">
    <cfRule type="colorScale" priority="208">
      <colorScale>
        <cfvo type="min"/>
        <cfvo type="percentile" val="50"/>
        <cfvo type="max"/>
        <color rgb="FFF8696B"/>
        <color rgb="FFFFEB84"/>
        <color rgb="FF63BE7B"/>
      </colorScale>
    </cfRule>
  </conditionalFormatting>
  <conditionalFormatting sqref="C128">
    <cfRule type="colorScale" priority="199">
      <colorScale>
        <cfvo type="min"/>
        <cfvo type="percentile" val="50"/>
        <cfvo type="max"/>
        <color rgb="FFF8696B"/>
        <color rgb="FFFFEB84"/>
        <color rgb="FF63BE7B"/>
      </colorScale>
    </cfRule>
  </conditionalFormatting>
  <conditionalFormatting sqref="C128">
    <cfRule type="colorScale" priority="200">
      <colorScale>
        <cfvo type="min"/>
        <cfvo type="percentile" val="50"/>
        <cfvo type="max"/>
        <color rgb="FFF8696B"/>
        <color rgb="FFFFEB84"/>
        <color rgb="FF63BE7B"/>
      </colorScale>
    </cfRule>
  </conditionalFormatting>
  <conditionalFormatting sqref="C127">
    <cfRule type="colorScale" priority="197">
      <colorScale>
        <cfvo type="min"/>
        <cfvo type="percentile" val="50"/>
        <cfvo type="max"/>
        <color rgb="FFF8696B"/>
        <color rgb="FFFFEB84"/>
        <color rgb="FF63BE7B"/>
      </colorScale>
    </cfRule>
  </conditionalFormatting>
  <conditionalFormatting sqref="C127">
    <cfRule type="colorScale" priority="198">
      <colorScale>
        <cfvo type="min"/>
        <cfvo type="percentile" val="50"/>
        <cfvo type="max"/>
        <color rgb="FFF8696B"/>
        <color rgb="FFFFEB84"/>
        <color rgb="FF63BE7B"/>
      </colorScale>
    </cfRule>
  </conditionalFormatting>
  <conditionalFormatting sqref="C130">
    <cfRule type="colorScale" priority="195">
      <colorScale>
        <cfvo type="min"/>
        <cfvo type="percentile" val="50"/>
        <cfvo type="max"/>
        <color rgb="FFF8696B"/>
        <color rgb="FFFFEB84"/>
        <color rgb="FF63BE7B"/>
      </colorScale>
    </cfRule>
  </conditionalFormatting>
  <conditionalFormatting sqref="C130">
    <cfRule type="colorScale" priority="196">
      <colorScale>
        <cfvo type="min"/>
        <cfvo type="percentile" val="50"/>
        <cfvo type="max"/>
        <color rgb="FFF8696B"/>
        <color rgb="FFFFEB84"/>
        <color rgb="FF63BE7B"/>
      </colorScale>
    </cfRule>
  </conditionalFormatting>
  <conditionalFormatting sqref="C129">
    <cfRule type="colorScale" priority="193">
      <colorScale>
        <cfvo type="min"/>
        <cfvo type="percentile" val="50"/>
        <cfvo type="max"/>
        <color rgb="FFF8696B"/>
        <color rgb="FFFFEB84"/>
        <color rgb="FF63BE7B"/>
      </colorScale>
    </cfRule>
  </conditionalFormatting>
  <conditionalFormatting sqref="C129">
    <cfRule type="colorScale" priority="194">
      <colorScale>
        <cfvo type="min"/>
        <cfvo type="percentile" val="50"/>
        <cfvo type="max"/>
        <color rgb="FFF8696B"/>
        <color rgb="FFFFEB84"/>
        <color rgb="FF63BE7B"/>
      </colorScale>
    </cfRule>
  </conditionalFormatting>
  <conditionalFormatting sqref="C133">
    <cfRule type="colorScale" priority="185">
      <colorScale>
        <cfvo type="min"/>
        <cfvo type="percentile" val="50"/>
        <cfvo type="max"/>
        <color rgb="FFF8696B"/>
        <color rgb="FFFFEB84"/>
        <color rgb="FF63BE7B"/>
      </colorScale>
    </cfRule>
  </conditionalFormatting>
  <conditionalFormatting sqref="C133">
    <cfRule type="colorScale" priority="186">
      <colorScale>
        <cfvo type="min"/>
        <cfvo type="percentile" val="50"/>
        <cfvo type="max"/>
        <color rgb="FFF8696B"/>
        <color rgb="FFFFEB84"/>
        <color rgb="FF63BE7B"/>
      </colorScale>
    </cfRule>
  </conditionalFormatting>
  <conditionalFormatting sqref="C134">
    <cfRule type="colorScale" priority="183">
      <colorScale>
        <cfvo type="min"/>
        <cfvo type="percentile" val="50"/>
        <cfvo type="max"/>
        <color rgb="FFF8696B"/>
        <color rgb="FFFFEB84"/>
        <color rgb="FF63BE7B"/>
      </colorScale>
    </cfRule>
  </conditionalFormatting>
  <conditionalFormatting sqref="C134">
    <cfRule type="colorScale" priority="184">
      <colorScale>
        <cfvo type="min"/>
        <cfvo type="percentile" val="50"/>
        <cfvo type="max"/>
        <color rgb="FFF8696B"/>
        <color rgb="FFFFEB84"/>
        <color rgb="FF63BE7B"/>
      </colorScale>
    </cfRule>
  </conditionalFormatting>
  <conditionalFormatting sqref="C131">
    <cfRule type="colorScale" priority="181">
      <colorScale>
        <cfvo type="min"/>
        <cfvo type="percentile" val="50"/>
        <cfvo type="max"/>
        <color rgb="FFF8696B"/>
        <color rgb="FFFFEB84"/>
        <color rgb="FF63BE7B"/>
      </colorScale>
    </cfRule>
  </conditionalFormatting>
  <conditionalFormatting sqref="C131">
    <cfRule type="colorScale" priority="182">
      <colorScale>
        <cfvo type="min"/>
        <cfvo type="percentile" val="50"/>
        <cfvo type="max"/>
        <color rgb="FFF8696B"/>
        <color rgb="FFFFEB84"/>
        <color rgb="FF63BE7B"/>
      </colorScale>
    </cfRule>
  </conditionalFormatting>
  <conditionalFormatting sqref="C132">
    <cfRule type="colorScale" priority="179">
      <colorScale>
        <cfvo type="min"/>
        <cfvo type="percentile" val="50"/>
        <cfvo type="max"/>
        <color rgb="FFF8696B"/>
        <color rgb="FFFFEB84"/>
        <color rgb="FF63BE7B"/>
      </colorScale>
    </cfRule>
  </conditionalFormatting>
  <conditionalFormatting sqref="C132">
    <cfRule type="colorScale" priority="180">
      <colorScale>
        <cfvo type="min"/>
        <cfvo type="percentile" val="50"/>
        <cfvo type="max"/>
        <color rgb="FFF8696B"/>
        <color rgb="FFFFEB84"/>
        <color rgb="FF63BE7B"/>
      </colorScale>
    </cfRule>
  </conditionalFormatting>
  <conditionalFormatting sqref="C138">
    <cfRule type="colorScale" priority="171">
      <colorScale>
        <cfvo type="min"/>
        <cfvo type="percentile" val="50"/>
        <cfvo type="max"/>
        <color rgb="FFF8696B"/>
        <color rgb="FFFFEB84"/>
        <color rgb="FF63BE7B"/>
      </colorScale>
    </cfRule>
  </conditionalFormatting>
  <conditionalFormatting sqref="C138">
    <cfRule type="colorScale" priority="172">
      <colorScale>
        <cfvo type="min"/>
        <cfvo type="percentile" val="50"/>
        <cfvo type="max"/>
        <color rgb="FFF8696B"/>
        <color rgb="FFFFEB84"/>
        <color rgb="FF63BE7B"/>
      </colorScale>
    </cfRule>
  </conditionalFormatting>
  <conditionalFormatting sqref="C137">
    <cfRule type="colorScale" priority="169">
      <colorScale>
        <cfvo type="min"/>
        <cfvo type="percentile" val="50"/>
        <cfvo type="max"/>
        <color rgb="FFF8696B"/>
        <color rgb="FFFFEB84"/>
        <color rgb="FF63BE7B"/>
      </colorScale>
    </cfRule>
  </conditionalFormatting>
  <conditionalFormatting sqref="C137">
    <cfRule type="colorScale" priority="170">
      <colorScale>
        <cfvo type="min"/>
        <cfvo type="percentile" val="50"/>
        <cfvo type="max"/>
        <color rgb="FFF8696B"/>
        <color rgb="FFFFEB84"/>
        <color rgb="FF63BE7B"/>
      </colorScale>
    </cfRule>
  </conditionalFormatting>
  <conditionalFormatting sqref="C136">
    <cfRule type="colorScale" priority="167">
      <colorScale>
        <cfvo type="min"/>
        <cfvo type="percentile" val="50"/>
        <cfvo type="max"/>
        <color rgb="FFF8696B"/>
        <color rgb="FFFFEB84"/>
        <color rgb="FF63BE7B"/>
      </colorScale>
    </cfRule>
  </conditionalFormatting>
  <conditionalFormatting sqref="C136">
    <cfRule type="colorScale" priority="168">
      <colorScale>
        <cfvo type="min"/>
        <cfvo type="percentile" val="50"/>
        <cfvo type="max"/>
        <color rgb="FFF8696B"/>
        <color rgb="FFFFEB84"/>
        <color rgb="FF63BE7B"/>
      </colorScale>
    </cfRule>
  </conditionalFormatting>
  <conditionalFormatting sqref="C135">
    <cfRule type="colorScale" priority="165">
      <colorScale>
        <cfvo type="min"/>
        <cfvo type="percentile" val="50"/>
        <cfvo type="max"/>
        <color rgb="FFF8696B"/>
        <color rgb="FFFFEB84"/>
        <color rgb="FF63BE7B"/>
      </colorScale>
    </cfRule>
  </conditionalFormatting>
  <conditionalFormatting sqref="C135">
    <cfRule type="colorScale" priority="166">
      <colorScale>
        <cfvo type="min"/>
        <cfvo type="percentile" val="50"/>
        <cfvo type="max"/>
        <color rgb="FFF8696B"/>
        <color rgb="FFFFEB84"/>
        <color rgb="FF63BE7B"/>
      </colorScale>
    </cfRule>
  </conditionalFormatting>
  <conditionalFormatting sqref="D115 B115">
    <cfRule type="colorScale" priority="302">
      <colorScale>
        <cfvo type="min"/>
        <cfvo type="percentile" val="50"/>
        <cfvo type="max"/>
        <color rgb="FFF8696B"/>
        <color rgb="FFFFEB84"/>
        <color rgb="FF63BE7B"/>
      </colorScale>
    </cfRule>
  </conditionalFormatting>
  <conditionalFormatting sqref="D115">
    <cfRule type="colorScale" priority="304">
      <colorScale>
        <cfvo type="min"/>
        <cfvo type="percentile" val="50"/>
        <cfvo type="max"/>
        <color rgb="FFF8696B"/>
        <color rgb="FFFFEB84"/>
        <color rgb="FF63BE7B"/>
      </colorScale>
    </cfRule>
  </conditionalFormatting>
  <conditionalFormatting sqref="B118 D118">
    <cfRule type="colorScale" priority="305">
      <colorScale>
        <cfvo type="min"/>
        <cfvo type="percentile" val="50"/>
        <cfvo type="max"/>
        <color rgb="FFF8696B"/>
        <color rgb="FFFFEB84"/>
        <color rgb="FF63BE7B"/>
      </colorScale>
    </cfRule>
  </conditionalFormatting>
  <conditionalFormatting sqref="D118">
    <cfRule type="colorScale" priority="307">
      <colorScale>
        <cfvo type="min"/>
        <cfvo type="percentile" val="50"/>
        <cfvo type="max"/>
        <color rgb="FFF8696B"/>
        <color rgb="FFFFEB84"/>
        <color rgb="FF63BE7B"/>
      </colorScale>
    </cfRule>
  </conditionalFormatting>
  <conditionalFormatting sqref="B117 D117">
    <cfRule type="colorScale" priority="308">
      <colorScale>
        <cfvo type="min"/>
        <cfvo type="percentile" val="50"/>
        <cfvo type="max"/>
        <color rgb="FFF8696B"/>
        <color rgb="FFFFEB84"/>
        <color rgb="FF63BE7B"/>
      </colorScale>
    </cfRule>
  </conditionalFormatting>
  <conditionalFormatting sqref="D117">
    <cfRule type="colorScale" priority="310">
      <colorScale>
        <cfvo type="min"/>
        <cfvo type="percentile" val="50"/>
        <cfvo type="max"/>
        <color rgb="FFF8696B"/>
        <color rgb="FFFFEB84"/>
        <color rgb="FF63BE7B"/>
      </colorScale>
    </cfRule>
  </conditionalFormatting>
  <conditionalFormatting sqref="B120 D120">
    <cfRule type="colorScale" priority="311">
      <colorScale>
        <cfvo type="min"/>
        <cfvo type="percentile" val="50"/>
        <cfvo type="max"/>
        <color rgb="FFF8696B"/>
        <color rgb="FFFFEB84"/>
        <color rgb="FF63BE7B"/>
      </colorScale>
    </cfRule>
  </conditionalFormatting>
  <conditionalFormatting sqref="D120">
    <cfRule type="colorScale" priority="313">
      <colorScale>
        <cfvo type="min"/>
        <cfvo type="percentile" val="50"/>
        <cfvo type="max"/>
        <color rgb="FFF8696B"/>
        <color rgb="FFFFEB84"/>
        <color rgb="FF63BE7B"/>
      </colorScale>
    </cfRule>
  </conditionalFormatting>
  <conditionalFormatting sqref="B121 D121">
    <cfRule type="colorScale" priority="314">
      <colorScale>
        <cfvo type="min"/>
        <cfvo type="percentile" val="50"/>
        <cfvo type="max"/>
        <color rgb="FFF8696B"/>
        <color rgb="FFFFEB84"/>
        <color rgb="FF63BE7B"/>
      </colorScale>
    </cfRule>
  </conditionalFormatting>
  <conditionalFormatting sqref="D121">
    <cfRule type="colorScale" priority="316">
      <colorScale>
        <cfvo type="min"/>
        <cfvo type="percentile" val="50"/>
        <cfvo type="max"/>
        <color rgb="FFF8696B"/>
        <color rgb="FFFFEB84"/>
        <color rgb="FF63BE7B"/>
      </colorScale>
    </cfRule>
  </conditionalFormatting>
  <conditionalFormatting sqref="D122 B122">
    <cfRule type="colorScale" priority="317">
      <colorScale>
        <cfvo type="min"/>
        <cfvo type="percentile" val="50"/>
        <cfvo type="max"/>
        <color rgb="FFF8696B"/>
        <color rgb="FFFFEB84"/>
        <color rgb="FF63BE7B"/>
      </colorScale>
    </cfRule>
  </conditionalFormatting>
  <conditionalFormatting sqref="D122">
    <cfRule type="colorScale" priority="319">
      <colorScale>
        <cfvo type="min"/>
        <cfvo type="percentile" val="50"/>
        <cfvo type="max"/>
        <color rgb="FFF8696B"/>
        <color rgb="FFFFEB84"/>
        <color rgb="FF63BE7B"/>
      </colorScale>
    </cfRule>
  </conditionalFormatting>
  <conditionalFormatting sqref="D116 B116">
    <cfRule type="colorScale" priority="320">
      <colorScale>
        <cfvo type="min"/>
        <cfvo type="percentile" val="50"/>
        <cfvo type="max"/>
        <color rgb="FFF8696B"/>
        <color rgb="FFFFEB84"/>
        <color rgb="FF63BE7B"/>
      </colorScale>
    </cfRule>
  </conditionalFormatting>
  <conditionalFormatting sqref="D116">
    <cfRule type="colorScale" priority="322">
      <colorScale>
        <cfvo type="min"/>
        <cfvo type="percentile" val="50"/>
        <cfvo type="max"/>
        <color rgb="FFF8696B"/>
        <color rgb="FFFFEB84"/>
        <color rgb="FF63BE7B"/>
      </colorScale>
    </cfRule>
  </conditionalFormatting>
  <conditionalFormatting sqref="B125 D125">
    <cfRule type="colorScale" priority="323">
      <colorScale>
        <cfvo type="min"/>
        <cfvo type="percentile" val="50"/>
        <cfvo type="max"/>
        <color rgb="FFF8696B"/>
        <color rgb="FFFFEB84"/>
        <color rgb="FF63BE7B"/>
      </colorScale>
    </cfRule>
  </conditionalFormatting>
  <conditionalFormatting sqref="D125">
    <cfRule type="colorScale" priority="325">
      <colorScale>
        <cfvo type="min"/>
        <cfvo type="percentile" val="50"/>
        <cfvo type="max"/>
        <color rgb="FFF8696B"/>
        <color rgb="FFFFEB84"/>
        <color rgb="FF63BE7B"/>
      </colorScale>
    </cfRule>
  </conditionalFormatting>
  <conditionalFormatting sqref="B124 D124">
    <cfRule type="colorScale" priority="326">
      <colorScale>
        <cfvo type="min"/>
        <cfvo type="percentile" val="50"/>
        <cfvo type="max"/>
        <color rgb="FFF8696B"/>
        <color rgb="FFFFEB84"/>
        <color rgb="FF63BE7B"/>
      </colorScale>
    </cfRule>
  </conditionalFormatting>
  <conditionalFormatting sqref="D124">
    <cfRule type="colorScale" priority="328">
      <colorScale>
        <cfvo type="min"/>
        <cfvo type="percentile" val="50"/>
        <cfvo type="max"/>
        <color rgb="FFF8696B"/>
        <color rgb="FFFFEB84"/>
        <color rgb="FF63BE7B"/>
      </colorScale>
    </cfRule>
  </conditionalFormatting>
  <conditionalFormatting sqref="B123 D123">
    <cfRule type="colorScale" priority="329">
      <colorScale>
        <cfvo type="min"/>
        <cfvo type="percentile" val="50"/>
        <cfvo type="max"/>
        <color rgb="FFF8696B"/>
        <color rgb="FFFFEB84"/>
        <color rgb="FF63BE7B"/>
      </colorScale>
    </cfRule>
  </conditionalFormatting>
  <conditionalFormatting sqref="D123">
    <cfRule type="colorScale" priority="331">
      <colorScale>
        <cfvo type="min"/>
        <cfvo type="percentile" val="50"/>
        <cfvo type="max"/>
        <color rgb="FFF8696B"/>
        <color rgb="FFFFEB84"/>
        <color rgb="FF63BE7B"/>
      </colorScale>
    </cfRule>
  </conditionalFormatting>
  <conditionalFormatting sqref="D127 B127">
    <cfRule type="colorScale" priority="332">
      <colorScale>
        <cfvo type="min"/>
        <cfvo type="percentile" val="50"/>
        <cfvo type="max"/>
        <color rgb="FFF8696B"/>
        <color rgb="FFFFEB84"/>
        <color rgb="FF63BE7B"/>
      </colorScale>
    </cfRule>
  </conditionalFormatting>
  <conditionalFormatting sqref="D127">
    <cfRule type="colorScale" priority="334">
      <colorScale>
        <cfvo type="min"/>
        <cfvo type="percentile" val="50"/>
        <cfvo type="max"/>
        <color rgb="FFF8696B"/>
        <color rgb="FFFFEB84"/>
        <color rgb="FF63BE7B"/>
      </colorScale>
    </cfRule>
  </conditionalFormatting>
  <conditionalFormatting sqref="D130 B130">
    <cfRule type="colorScale" priority="335">
      <colorScale>
        <cfvo type="min"/>
        <cfvo type="percentile" val="50"/>
        <cfvo type="max"/>
        <color rgb="FFF8696B"/>
        <color rgb="FFFFEB84"/>
        <color rgb="FF63BE7B"/>
      </colorScale>
    </cfRule>
  </conditionalFormatting>
  <conditionalFormatting sqref="D130">
    <cfRule type="colorScale" priority="337">
      <colorScale>
        <cfvo type="min"/>
        <cfvo type="percentile" val="50"/>
        <cfvo type="max"/>
        <color rgb="FFF8696B"/>
        <color rgb="FFFFEB84"/>
        <color rgb="FF63BE7B"/>
      </colorScale>
    </cfRule>
  </conditionalFormatting>
  <conditionalFormatting sqref="D129 B129">
    <cfRule type="colorScale" priority="338">
      <colorScale>
        <cfvo type="min"/>
        <cfvo type="percentile" val="50"/>
        <cfvo type="max"/>
        <color rgb="FFF8696B"/>
        <color rgb="FFFFEB84"/>
        <color rgb="FF63BE7B"/>
      </colorScale>
    </cfRule>
  </conditionalFormatting>
  <conditionalFormatting sqref="D129">
    <cfRule type="colorScale" priority="340">
      <colorScale>
        <cfvo type="min"/>
        <cfvo type="percentile" val="50"/>
        <cfvo type="max"/>
        <color rgb="FFF8696B"/>
        <color rgb="FFFFEB84"/>
        <color rgb="FF63BE7B"/>
      </colorScale>
    </cfRule>
  </conditionalFormatting>
  <conditionalFormatting sqref="B134 D134">
    <cfRule type="colorScale" priority="341">
      <colorScale>
        <cfvo type="min"/>
        <cfvo type="percentile" val="50"/>
        <cfvo type="max"/>
        <color rgb="FFF8696B"/>
        <color rgb="FFFFEB84"/>
        <color rgb="FF63BE7B"/>
      </colorScale>
    </cfRule>
  </conditionalFormatting>
  <conditionalFormatting sqref="D134">
    <cfRule type="colorScale" priority="343">
      <colorScale>
        <cfvo type="min"/>
        <cfvo type="percentile" val="50"/>
        <cfvo type="max"/>
        <color rgb="FFF8696B"/>
        <color rgb="FFFFEB84"/>
        <color rgb="FF63BE7B"/>
      </colorScale>
    </cfRule>
  </conditionalFormatting>
  <conditionalFormatting sqref="D131 B131">
    <cfRule type="colorScale" priority="344">
      <colorScale>
        <cfvo type="min"/>
        <cfvo type="percentile" val="50"/>
        <cfvo type="max"/>
        <color rgb="FFF8696B"/>
        <color rgb="FFFFEB84"/>
        <color rgb="FF63BE7B"/>
      </colorScale>
    </cfRule>
  </conditionalFormatting>
  <conditionalFormatting sqref="D131">
    <cfRule type="colorScale" priority="346">
      <colorScale>
        <cfvo type="min"/>
        <cfvo type="percentile" val="50"/>
        <cfvo type="max"/>
        <color rgb="FFF8696B"/>
        <color rgb="FFFFEB84"/>
        <color rgb="FF63BE7B"/>
      </colorScale>
    </cfRule>
  </conditionalFormatting>
  <conditionalFormatting sqref="B132 D132">
    <cfRule type="colorScale" priority="347">
      <colorScale>
        <cfvo type="min"/>
        <cfvo type="percentile" val="50"/>
        <cfvo type="max"/>
        <color rgb="FFF8696B"/>
        <color rgb="FFFFEB84"/>
        <color rgb="FF63BE7B"/>
      </colorScale>
    </cfRule>
  </conditionalFormatting>
  <conditionalFormatting sqref="D132">
    <cfRule type="colorScale" priority="349">
      <colorScale>
        <cfvo type="min"/>
        <cfvo type="percentile" val="50"/>
        <cfvo type="max"/>
        <color rgb="FFF8696B"/>
        <color rgb="FFFFEB84"/>
        <color rgb="FF63BE7B"/>
      </colorScale>
    </cfRule>
  </conditionalFormatting>
  <conditionalFormatting sqref="B137 D137">
    <cfRule type="colorScale" priority="350">
      <colorScale>
        <cfvo type="min"/>
        <cfvo type="percentile" val="50"/>
        <cfvo type="max"/>
        <color rgb="FFF8696B"/>
        <color rgb="FFFFEB84"/>
        <color rgb="FF63BE7B"/>
      </colorScale>
    </cfRule>
  </conditionalFormatting>
  <conditionalFormatting sqref="D137">
    <cfRule type="colorScale" priority="352">
      <colorScale>
        <cfvo type="min"/>
        <cfvo type="percentile" val="50"/>
        <cfvo type="max"/>
        <color rgb="FFF8696B"/>
        <color rgb="FFFFEB84"/>
        <color rgb="FF63BE7B"/>
      </colorScale>
    </cfRule>
  </conditionalFormatting>
  <conditionalFormatting sqref="D136 B136">
    <cfRule type="colorScale" priority="353">
      <colorScale>
        <cfvo type="min"/>
        <cfvo type="percentile" val="50"/>
        <cfvo type="max"/>
        <color rgb="FFF8696B"/>
        <color rgb="FFFFEB84"/>
        <color rgb="FF63BE7B"/>
      </colorScale>
    </cfRule>
  </conditionalFormatting>
  <conditionalFormatting sqref="D136">
    <cfRule type="colorScale" priority="355">
      <colorScale>
        <cfvo type="min"/>
        <cfvo type="percentile" val="50"/>
        <cfvo type="max"/>
        <color rgb="FFF8696B"/>
        <color rgb="FFFFEB84"/>
        <color rgb="FF63BE7B"/>
      </colorScale>
    </cfRule>
  </conditionalFormatting>
  <conditionalFormatting sqref="D135 B135">
    <cfRule type="colorScale" priority="356">
      <colorScale>
        <cfvo type="min"/>
        <cfvo type="percentile" val="50"/>
        <cfvo type="max"/>
        <color rgb="FFF8696B"/>
        <color rgb="FFFFEB84"/>
        <color rgb="FF63BE7B"/>
      </colorScale>
    </cfRule>
  </conditionalFormatting>
  <conditionalFormatting sqref="D135">
    <cfRule type="colorScale" priority="358">
      <colorScale>
        <cfvo type="min"/>
        <cfvo type="percentile" val="50"/>
        <cfvo type="max"/>
        <color rgb="FFF8696B"/>
        <color rgb="FFFFEB84"/>
        <color rgb="FF63BE7B"/>
      </colorScale>
    </cfRule>
  </conditionalFormatting>
  <conditionalFormatting sqref="B141:D141">
    <cfRule type="colorScale" priority="359">
      <colorScale>
        <cfvo type="min"/>
        <cfvo type="percentile" val="50"/>
        <cfvo type="max"/>
        <color rgb="FFF8696B"/>
        <color rgb="FFFFEB84"/>
        <color rgb="FF63BE7B"/>
      </colorScale>
    </cfRule>
  </conditionalFormatting>
  <conditionalFormatting sqref="B140:D140">
    <cfRule type="colorScale" priority="361">
      <colorScale>
        <cfvo type="min"/>
        <cfvo type="percentile" val="50"/>
        <cfvo type="max"/>
        <color rgb="FFF8696B"/>
        <color rgb="FFFFEB84"/>
        <color rgb="FF63BE7B"/>
      </colorScale>
    </cfRule>
  </conditionalFormatting>
  <conditionalFormatting sqref="B139:D139">
    <cfRule type="colorScale" priority="363">
      <colorScale>
        <cfvo type="min"/>
        <cfvo type="percentile" val="50"/>
        <cfvo type="max"/>
        <color rgb="FFF8696B"/>
        <color rgb="FFFFEB84"/>
        <color rgb="FF63BE7B"/>
      </colorScale>
    </cfRule>
  </conditionalFormatting>
  <conditionalFormatting sqref="B145:D145">
    <cfRule type="colorScale" priority="365">
      <colorScale>
        <cfvo type="min"/>
        <cfvo type="percentile" val="50"/>
        <cfvo type="max"/>
        <color rgb="FFF8696B"/>
        <color rgb="FFFFEB84"/>
        <color rgb="FF63BE7B"/>
      </colorScale>
    </cfRule>
  </conditionalFormatting>
  <conditionalFormatting sqref="B144:D144">
    <cfRule type="colorScale" priority="367">
      <colorScale>
        <cfvo type="min"/>
        <cfvo type="percentile" val="50"/>
        <cfvo type="max"/>
        <color rgb="FFF8696B"/>
        <color rgb="FFFFEB84"/>
        <color rgb="FF63BE7B"/>
      </colorScale>
    </cfRule>
  </conditionalFormatting>
  <conditionalFormatting sqref="B143:D143">
    <cfRule type="colorScale" priority="369">
      <colorScale>
        <cfvo type="min"/>
        <cfvo type="percentile" val="50"/>
        <cfvo type="max"/>
        <color rgb="FFF8696B"/>
        <color rgb="FFFFEB84"/>
        <color rgb="FF63BE7B"/>
      </colorScale>
    </cfRule>
  </conditionalFormatting>
  <conditionalFormatting sqref="B149:D149">
    <cfRule type="colorScale" priority="371">
      <colorScale>
        <cfvo type="min"/>
        <cfvo type="percentile" val="50"/>
        <cfvo type="max"/>
        <color rgb="FFF8696B"/>
        <color rgb="FFFFEB84"/>
        <color rgb="FF63BE7B"/>
      </colorScale>
    </cfRule>
  </conditionalFormatting>
  <conditionalFormatting sqref="B148:D148">
    <cfRule type="colorScale" priority="373">
      <colorScale>
        <cfvo type="min"/>
        <cfvo type="percentile" val="50"/>
        <cfvo type="max"/>
        <color rgb="FFF8696B"/>
        <color rgb="FFFFEB84"/>
        <color rgb="FF63BE7B"/>
      </colorScale>
    </cfRule>
  </conditionalFormatting>
  <conditionalFormatting sqref="B147:D147">
    <cfRule type="colorScale" priority="375">
      <colorScale>
        <cfvo type="min"/>
        <cfvo type="percentile" val="50"/>
        <cfvo type="max"/>
        <color rgb="FFF8696B"/>
        <color rgb="FFFFEB84"/>
        <color rgb="FF63BE7B"/>
      </colorScale>
    </cfRule>
  </conditionalFormatting>
  <conditionalFormatting sqref="B153:D153">
    <cfRule type="colorScale" priority="377">
      <colorScale>
        <cfvo type="min"/>
        <cfvo type="percentile" val="50"/>
        <cfvo type="max"/>
        <color rgb="FFF8696B"/>
        <color rgb="FFFFEB84"/>
        <color rgb="FF63BE7B"/>
      </colorScale>
    </cfRule>
  </conditionalFormatting>
  <conditionalFormatting sqref="B152:D152">
    <cfRule type="colorScale" priority="379">
      <colorScale>
        <cfvo type="min"/>
        <cfvo type="percentile" val="50"/>
        <cfvo type="max"/>
        <color rgb="FFF8696B"/>
        <color rgb="FFFFEB84"/>
        <color rgb="FF63BE7B"/>
      </colorScale>
    </cfRule>
  </conditionalFormatting>
  <conditionalFormatting sqref="B151:D151">
    <cfRule type="colorScale" priority="381">
      <colorScale>
        <cfvo type="min"/>
        <cfvo type="percentile" val="50"/>
        <cfvo type="max"/>
        <color rgb="FFF8696B"/>
        <color rgb="FFFFEB84"/>
        <color rgb="FF63BE7B"/>
      </colorScale>
    </cfRule>
  </conditionalFormatting>
  <conditionalFormatting sqref="B157:D157">
    <cfRule type="colorScale" priority="383">
      <colorScale>
        <cfvo type="min"/>
        <cfvo type="percentile" val="50"/>
        <cfvo type="max"/>
        <color rgb="FFF8696B"/>
        <color rgb="FFFFEB84"/>
        <color rgb="FF63BE7B"/>
      </colorScale>
    </cfRule>
  </conditionalFormatting>
  <conditionalFormatting sqref="B156:D156">
    <cfRule type="colorScale" priority="385">
      <colorScale>
        <cfvo type="min"/>
        <cfvo type="percentile" val="50"/>
        <cfvo type="max"/>
        <color rgb="FFF8696B"/>
        <color rgb="FFFFEB84"/>
        <color rgb="FF63BE7B"/>
      </colorScale>
    </cfRule>
  </conditionalFormatting>
  <conditionalFormatting sqref="B155:D155">
    <cfRule type="colorScale" priority="387">
      <colorScale>
        <cfvo type="min"/>
        <cfvo type="percentile" val="50"/>
        <cfvo type="max"/>
        <color rgb="FFF8696B"/>
        <color rgb="FFFFEB84"/>
        <color rgb="FF63BE7B"/>
      </colorScale>
    </cfRule>
  </conditionalFormatting>
  <conditionalFormatting sqref="B161:D161">
    <cfRule type="colorScale" priority="389">
      <colorScale>
        <cfvo type="min"/>
        <cfvo type="percentile" val="50"/>
        <cfvo type="max"/>
        <color rgb="FFF8696B"/>
        <color rgb="FFFFEB84"/>
        <color rgb="FF63BE7B"/>
      </colorScale>
    </cfRule>
  </conditionalFormatting>
  <conditionalFormatting sqref="B160:D160">
    <cfRule type="colorScale" priority="391">
      <colorScale>
        <cfvo type="min"/>
        <cfvo type="percentile" val="50"/>
        <cfvo type="max"/>
        <color rgb="FFF8696B"/>
        <color rgb="FFFFEB84"/>
        <color rgb="FF63BE7B"/>
      </colorScale>
    </cfRule>
  </conditionalFormatting>
  <conditionalFormatting sqref="B159:D159">
    <cfRule type="colorScale" priority="393">
      <colorScale>
        <cfvo type="min"/>
        <cfvo type="percentile" val="50"/>
        <cfvo type="max"/>
        <color rgb="FFF8696B"/>
        <color rgb="FFFFEB84"/>
        <color rgb="FF63BE7B"/>
      </colorScale>
    </cfRule>
  </conditionalFormatting>
  <conditionalFormatting sqref="B158:D158 B154:D154 B150:D150 B146:D146 B142:D142 B119 B128 D119 B126 D126 D128 B133 D133 B138 D138 B1:D114 B162:D1048576">
    <cfRule type="colorScale" priority="395">
      <colorScale>
        <cfvo type="min"/>
        <cfvo type="percentile" val="50"/>
        <cfvo type="max"/>
        <color rgb="FFF8696B"/>
        <color rgb="FFFFEB84"/>
        <color rgb="FF63BE7B"/>
      </colorScale>
    </cfRule>
  </conditionalFormatting>
  <conditionalFormatting sqref="B97:D102">
    <cfRule type="colorScale" priority="412">
      <colorScale>
        <cfvo type="min"/>
        <cfvo type="percentile" val="50"/>
        <cfvo type="max"/>
        <color rgb="FFF8696B"/>
        <color rgb="FFFFEB84"/>
        <color rgb="FF63BE7B"/>
      </colorScale>
    </cfRule>
  </conditionalFormatting>
  <conditionalFormatting sqref="B103:D108">
    <cfRule type="colorScale" priority="413">
      <colorScale>
        <cfvo type="min"/>
        <cfvo type="percentile" val="50"/>
        <cfvo type="max"/>
        <color rgb="FFF8696B"/>
        <color rgb="FFFFEB84"/>
        <color rgb="FF63BE7B"/>
      </colorScale>
    </cfRule>
  </conditionalFormatting>
  <conditionalFormatting sqref="B109:D114">
    <cfRule type="colorScale" priority="414">
      <colorScale>
        <cfvo type="min"/>
        <cfvo type="percentile" val="50"/>
        <cfvo type="max"/>
        <color rgb="FFF8696B"/>
        <color rgb="FFFFEB84"/>
        <color rgb="FF63BE7B"/>
      </colorScale>
    </cfRule>
  </conditionalFormatting>
  <conditionalFormatting sqref="B76:D78">
    <cfRule type="colorScale" priority="415">
      <colorScale>
        <cfvo type="min"/>
        <cfvo type="percentile" val="50"/>
        <cfvo type="max"/>
        <color rgb="FFF8696B"/>
        <color rgb="FFFFEB84"/>
        <color rgb="FF63BE7B"/>
      </colorScale>
    </cfRule>
  </conditionalFormatting>
  <conditionalFormatting sqref="B158:D158 B154:D154 B150:D150 B146:D146 B142:D142 B128 B119 D119 B126 D126 D128 B133 D133 B138 D138 B74:D75 B79:D96 B162:D162 B4:D68">
    <cfRule type="colorScale" priority="416">
      <colorScale>
        <cfvo type="min"/>
        <cfvo type="percentile" val="50"/>
        <cfvo type="max"/>
        <color rgb="FFF8696B"/>
        <color rgb="FFFFEB84"/>
        <color rgb="FF63BE7B"/>
      </colorScale>
    </cfRule>
  </conditionalFormatting>
  <pageMargins left="0.7" right="0.7" top="0.75" bottom="0.75" header="0.3" footer="0.3"/>
  <pageSetup paperSize="8" scale="26" orientation="landscape" r:id="rId1"/>
  <ignoredErrors>
    <ignoredError sqref="U85 AD5 AD66 S66:W6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76242478FFB44EB96A9CD4D908A655" ma:contentTypeVersion="2" ma:contentTypeDescription="Create a new document." ma:contentTypeScope="" ma:versionID="5472ae330882dce2a9b23d08aa780a27">
  <xsd:schema xmlns:xsd="http://www.w3.org/2001/XMLSchema" xmlns:xs="http://www.w3.org/2001/XMLSchema" xmlns:p="http://schemas.microsoft.com/office/2006/metadata/properties" xmlns:ns2="e72d6c91-ab9c-4429-b42c-1c22af7487b3" targetNamespace="http://schemas.microsoft.com/office/2006/metadata/properties" ma:root="true" ma:fieldsID="803386c190e1f46185af004a177fb67e" ns2:_="">
    <xsd:import namespace="e72d6c91-ab9c-4429-b42c-1c22af7487b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2d6c91-ab9c-4429-b42c-1c22af7487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A402CE-7A4B-44ED-A208-3884D1FBDB2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2DF2204-8892-4A94-90A5-6DCDBF4AC498}">
  <ds:schemaRefs>
    <ds:schemaRef ds:uri="http://schemas.microsoft.com/sharepoint/v3/contenttype/forms"/>
  </ds:schemaRefs>
</ds:datastoreItem>
</file>

<file path=customXml/itemProps3.xml><?xml version="1.0" encoding="utf-8"?>
<ds:datastoreItem xmlns:ds="http://schemas.openxmlformats.org/officeDocument/2006/customXml" ds:itemID="{959B6F48-9ED1-4E99-AE51-F276C4A160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emission data</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Hafner</cp:lastModifiedBy>
  <cp:revision/>
  <dcterms:created xsi:type="dcterms:W3CDTF">2021-11-03T07:17:48Z</dcterms:created>
  <dcterms:modified xsi:type="dcterms:W3CDTF">2023-02-20T18:29:59Z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0x0101004B76242478FFB44EB96A9CD4D908A655</vt:lpwstr>
  </property>
</Properties>
</file>