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05"/>
  <workbookPr/>
  <mc:AlternateContent xmlns:mc="http://schemas.openxmlformats.org/markup-compatibility/2006">
    <mc:Choice Requires="x15">
      <x15ac:absPath xmlns:x15ac="http://schemas.microsoft.com/office/spreadsheetml/2010/11/ac" url="C:\Users\au583430\OneDrive - Aarhus Universitet\Dokumenter\Myndighedsbetjening\2021-0313846 Vurdering af separation\shared folder\"/>
    </mc:Choice>
  </mc:AlternateContent>
  <xr:revisionPtr revIDLastSave="3175" documentId="13_ncr:1_{3B150B77-9D6B-4B7E-8519-03CDD6C3F6B7}" xr6:coauthVersionLast="47" xr6:coauthVersionMax="47" xr10:uidLastSave="{796A2826-0943-4F4D-A3C5-0727FFBC982F}"/>
  <bookViews>
    <workbookView xWindow="-38520" yWindow="-3045" windowWidth="38640" windowHeight="21240" firstSheet="1" activeTab="1" xr2:uid="{00000000-000D-0000-FFFF-FFFF00000000}"/>
  </bookViews>
  <sheets>
    <sheet name="papers" sheetId="2" r:id="rId1"/>
    <sheet name="data" sheetId="3" r:id="rId2"/>
    <sheet name="% in liquid fraction" sheetId="5" r:id="rId3"/>
    <sheet name="notes" sheetId="4" r:id="rId4"/>
  </sheets>
  <definedNames>
    <definedName name="solver_eng" localSheetId="2" hidden="1">1</definedName>
    <definedName name="solver_neg" localSheetId="2" hidden="1">1</definedName>
    <definedName name="solver_num" localSheetId="2" hidden="1">0</definedName>
    <definedName name="solver_opt" localSheetId="2" hidden="1">'% in liquid fraction'!$B$7</definedName>
    <definedName name="solver_typ" localSheetId="2" hidden="1">3</definedName>
    <definedName name="solver_val" localSheetId="2" hidden="1">0</definedName>
    <definedName name="solver_ver" localSheetId="2" hidden="1">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T204" i="3" l="1"/>
  <c r="T203" i="3"/>
  <c r="T202" i="3"/>
  <c r="T201" i="3"/>
  <c r="T200" i="3"/>
  <c r="T199" i="3"/>
  <c r="N204" i="3"/>
  <c r="M204" i="3"/>
  <c r="L204" i="3"/>
  <c r="N203" i="3"/>
  <c r="M203" i="3"/>
  <c r="L203" i="3"/>
  <c r="AF45" i="3" l="1"/>
  <c r="AO45" i="3"/>
  <c r="AF53" i="3"/>
  <c r="AO53" i="3" s="1"/>
  <c r="AF52" i="3"/>
  <c r="AO52" i="3" s="1"/>
  <c r="AF51" i="3"/>
  <c r="AO51" i="3" s="1"/>
  <c r="AF50" i="3"/>
  <c r="AO50" i="3" s="1"/>
  <c r="AF49" i="3"/>
  <c r="AO49" i="3" s="1"/>
  <c r="AF48" i="3"/>
  <c r="AO48" i="3" s="1"/>
  <c r="AF47" i="3"/>
  <c r="AO47" i="3" s="1"/>
  <c r="AF46" i="3"/>
  <c r="AO46" i="3" s="1"/>
  <c r="AO7" i="3"/>
  <c r="AO6" i="3"/>
  <c r="AO44" i="3"/>
  <c r="AO43" i="3"/>
  <c r="AO42" i="3"/>
  <c r="AO41" i="3"/>
  <c r="AO40" i="3"/>
  <c r="AO39" i="3"/>
  <c r="AF44" i="3"/>
  <c r="AF43" i="3"/>
  <c r="AF42" i="3"/>
  <c r="AF41" i="3"/>
  <c r="AF40" i="3"/>
  <c r="AF39" i="3"/>
  <c r="AO38" i="3"/>
  <c r="AO37" i="3"/>
  <c r="AO36" i="3"/>
  <c r="AO35" i="3"/>
  <c r="AO34" i="3"/>
  <c r="AO33" i="3"/>
  <c r="AF38" i="3"/>
  <c r="AF35" i="3"/>
  <c r="AF33" i="3"/>
  <c r="L44" i="3"/>
  <c r="L43" i="3"/>
  <c r="L41" i="3"/>
  <c r="L40" i="3"/>
  <c r="M44" i="3"/>
  <c r="M43" i="3"/>
  <c r="M41" i="3"/>
  <c r="M40" i="3"/>
  <c r="T198" i="3" l="1"/>
  <c r="L191" i="3"/>
  <c r="L190" i="3"/>
  <c r="N201" i="3"/>
  <c r="N197" i="3"/>
  <c r="N200" i="3"/>
  <c r="M77" i="3"/>
  <c r="L77" i="3"/>
  <c r="M74" i="3"/>
  <c r="L74" i="3"/>
  <c r="M70" i="3"/>
  <c r="L70" i="3"/>
  <c r="T8" i="3"/>
  <c r="T7" i="3"/>
  <c r="T6" i="3"/>
  <c r="L194" i="3"/>
  <c r="L193" i="3"/>
  <c r="N196" i="3"/>
  <c r="R197" i="3"/>
  <c r="R196" i="3"/>
  <c r="R195" i="3"/>
  <c r="M191" i="3"/>
  <c r="M190" i="3"/>
  <c r="AF116" i="3"/>
  <c r="AF117" i="3"/>
  <c r="AF115" i="3"/>
  <c r="AF114" i="3"/>
  <c r="M200" i="3" l="1"/>
  <c r="L200" i="3"/>
  <c r="M201" i="3"/>
  <c r="L201" i="3"/>
  <c r="T197" i="3"/>
  <c r="T196" i="3"/>
  <c r="T195" i="3"/>
  <c r="AF83" i="3"/>
  <c r="AO83" i="3" s="1"/>
  <c r="AF84" i="3"/>
  <c r="AO84" i="3" s="1"/>
  <c r="AF85" i="3"/>
  <c r="AO85" i="3" s="1"/>
  <c r="AF86" i="3"/>
  <c r="AO86" i="3" s="1"/>
  <c r="AF87" i="3"/>
  <c r="AO87" i="3" s="1"/>
  <c r="AF88" i="3"/>
  <c r="AO88" i="3" s="1"/>
  <c r="AF89" i="3"/>
  <c r="AO89" i="3" s="1"/>
  <c r="AF90" i="3"/>
  <c r="AO90" i="3" s="1"/>
  <c r="AF91" i="3"/>
  <c r="AO91" i="3" s="1"/>
  <c r="AF92" i="3"/>
  <c r="AO92" i="3" s="1"/>
  <c r="AF93" i="3"/>
  <c r="AO93" i="3" s="1"/>
  <c r="AF94" i="3"/>
  <c r="AO94" i="3" s="1"/>
  <c r="AF95" i="3"/>
  <c r="AO95" i="3" s="1"/>
  <c r="AF96" i="3"/>
  <c r="AO96" i="3" s="1"/>
  <c r="AF82" i="3"/>
  <c r="AO82" i="3" s="1"/>
  <c r="AF109" i="3"/>
  <c r="N119" i="3" l="1"/>
  <c r="N121" i="3"/>
  <c r="N5" i="3"/>
  <c r="N77" i="3"/>
  <c r="N76" i="3" s="1"/>
  <c r="N74" i="3"/>
  <c r="N73" i="3" s="1"/>
  <c r="M50" i="3"/>
  <c r="L53" i="3"/>
  <c r="L52" i="3"/>
  <c r="L51" i="3"/>
  <c r="L50" i="3"/>
  <c r="L49" i="3"/>
  <c r="L48" i="3"/>
  <c r="M53" i="3"/>
  <c r="M52" i="3"/>
  <c r="M51" i="3"/>
  <c r="M49" i="3"/>
  <c r="M48" i="3"/>
  <c r="N34" i="3"/>
  <c r="N37" i="3"/>
  <c r="M37" i="3" s="1"/>
  <c r="N7" i="3"/>
  <c r="M7" i="3" s="1"/>
  <c r="L34" i="3" l="1"/>
  <c r="M34" i="3"/>
  <c r="M71" i="3"/>
  <c r="L71" i="3"/>
  <c r="N35" i="3"/>
  <c r="M35" i="3" s="1"/>
  <c r="L37" i="3"/>
  <c r="N8" i="3"/>
  <c r="L7" i="3"/>
  <c r="N38" i="3"/>
  <c r="L35" i="3" l="1"/>
  <c r="M38" i="3"/>
  <c r="L38" i="3"/>
  <c r="L8" i="3"/>
  <c r="M8" i="3"/>
  <c r="AP77" i="3" l="1"/>
  <c r="AP76" i="3"/>
  <c r="AP75" i="3"/>
  <c r="AP74" i="3"/>
  <c r="AP73" i="3"/>
  <c r="AP72" i="3"/>
  <c r="T77" i="3"/>
  <c r="T76" i="3"/>
  <c r="T75" i="3"/>
  <c r="T74" i="3"/>
  <c r="T73" i="3"/>
  <c r="T72" i="3"/>
  <c r="AF76" i="3"/>
  <c r="AF73" i="3"/>
  <c r="AF71" i="3"/>
  <c r="F8" i="5"/>
  <c r="G8" i="5"/>
  <c r="E8" i="5"/>
  <c r="D8" i="5"/>
  <c r="C8" i="5"/>
  <c r="B8" i="5"/>
  <c r="AF37" i="3" l="1"/>
  <c r="AF36" i="3"/>
  <c r="AF34" i="3"/>
  <c r="AF69" i="3" l="1"/>
  <c r="AF152" i="3" l="1"/>
  <c r="AF153" i="3"/>
  <c r="AF154" i="3"/>
  <c r="AF155" i="3"/>
  <c r="AF156" i="3"/>
  <c r="AF157" i="3"/>
  <c r="AF158" i="3"/>
  <c r="AF151" i="3"/>
  <c r="AF77" i="3" l="1"/>
  <c r="AF75" i="3"/>
  <c r="AF74" i="3"/>
  <c r="AF72" i="3"/>
  <c r="AF108" i="3" l="1"/>
  <c r="AC188" i="3" l="1"/>
  <c r="AC187" i="3"/>
  <c r="AC186" i="3"/>
  <c r="AC185"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tc={47AA8C92-E8B6-4931-ADBB-55389F000781}</author>
    <author>Sasha Hafner</author>
    <author>tc={47BFE565-DEC8-408A-9355-B5B6BFB3F755}</author>
    <author>tc={407BD3FB-41FA-4F98-B9E4-B360AA5D893D}</author>
    <author>tc={E765359B-F297-4F67-92E3-C3AF991F5733}</author>
    <author>tc={B35C4509-0BF9-431E-813A-2A31F496D982}</author>
  </authors>
  <commentList>
    <comment ref="H2" authorId="0" shapeId="0" xr:uid="{47AA8C92-E8B6-4931-ADBB-55389F000781}">
      <text>
        <t>[Threaded comment]
Your version of Excel allows you to read this threaded comment; however, any edits to it will get removed if the file is opened in a newer version of Excel. Learn more: https://go.microsoft.com/fwlink/?linkid=870924
Comment:
    We need scale (lab, pilot, full?)
Reply:
    I'll add that for the data I entered.</t>
      </text>
    </comment>
    <comment ref="S2" authorId="1" shapeId="0" xr:uid="{A072415D-C64D-4735-AE26-C5F4FB554F15}">
      <text>
        <r>
          <rPr>
            <b/>
            <sz val="9"/>
            <color indexed="81"/>
            <rFont val="Tahoma"/>
            <family val="2"/>
          </rPr>
          <t>Sasha Hafner:</t>
        </r>
        <r>
          <rPr>
            <sz val="9"/>
            <color indexed="81"/>
            <rFont val="Tahoma"/>
            <family val="2"/>
          </rPr>
          <t xml:space="preserve">
% TAN present at start of measurements, correct?</t>
        </r>
      </text>
    </comment>
    <comment ref="T2" authorId="1" shapeId="0" xr:uid="{D87E037C-BFD2-420B-9CB1-C628B9A454DC}">
      <text>
        <r>
          <rPr>
            <b/>
            <sz val="9"/>
            <color indexed="81"/>
            <rFont val="Tahoma"/>
            <family val="2"/>
          </rPr>
          <t>Sasha Hafner:</t>
        </r>
        <r>
          <rPr>
            <sz val="9"/>
            <color indexed="81"/>
            <rFont val="Tahoma"/>
            <family val="2"/>
          </rPr>
          <t xml:space="preserve">
Include both and calculate missing?</t>
        </r>
      </text>
    </comment>
    <comment ref="W2" authorId="2" shapeId="0" xr:uid="{47BFE565-DEC8-408A-9355-B5B6BFB3F755}">
      <text>
        <t>[Threaded comment]
Your version of Excel allows you to read this threaded comment; however, any edits to it will get removed if the file is opened in a newer version of Excel. Learn more: https://go.microsoft.com/fwlink/?linkid=870924
Comment:
    Added this to make numerical summary easier</t>
      </text>
    </comment>
    <comment ref="Y2" authorId="3" shapeId="0" xr:uid="{407BD3FB-41FA-4F98-B9E4-B360AA5D893D}">
      <text>
        <t>[Threaded comment]
Your version of Excel allows you to read this threaded comment; however, any edits to it will get removed if the file is opened in a newer version of Excel. Learn more: https://go.microsoft.com/fwlink/?linkid=870924
Comment:
    Do we need this column if we have J?
Reply:
    I needed a column where all of the slurries are either raw, liquid or solids for the calculations I made in R. For Sommer et al. (1991) the fraction is described as 'mix' in column J - which is the most correct description.</t>
      </text>
    </comment>
    <comment ref="AO2" authorId="1" shapeId="0" xr:uid="{801CE5BB-5144-4911-84E6-7A1EEDE2B378}">
      <text>
        <r>
          <rPr>
            <b/>
            <sz val="9"/>
            <color indexed="81"/>
            <rFont val="Tahoma"/>
            <family val="2"/>
          </rPr>
          <t>Sasha Hafner:</t>
        </r>
        <r>
          <rPr>
            <sz val="9"/>
            <color indexed="81"/>
            <rFont val="Tahoma"/>
            <family val="2"/>
          </rPr>
          <t xml:space="preserve">
% TAN present at start of measurements, correct?</t>
        </r>
      </text>
    </comment>
    <comment ref="AP2" authorId="1" shapeId="0" xr:uid="{298A8C1C-9192-4026-9CCE-23FEB92BEFCE}">
      <text>
        <r>
          <rPr>
            <b/>
            <sz val="9"/>
            <color indexed="81"/>
            <rFont val="Tahoma"/>
            <family val="2"/>
          </rPr>
          <t>Sasha Hafner:</t>
        </r>
        <r>
          <rPr>
            <sz val="9"/>
            <color indexed="81"/>
            <rFont val="Tahoma"/>
            <family val="2"/>
          </rPr>
          <t xml:space="preserve">
Include both and calculate missing?</t>
        </r>
      </text>
    </comment>
    <comment ref="AS2" authorId="4" shapeId="0" xr:uid="{E765359B-F297-4F67-92E3-C3AF991F5733}">
      <text>
        <t>[Threaded comment]
Your version of Excel allows you to read this threaded comment; however, any edits to it will get removed if the file is opened in a newer version of Excel. Learn more: https://go.microsoft.com/fwlink/?linkid=870924
Comment:
    Added this to make numerical summary easier</t>
      </text>
    </comment>
    <comment ref="AF69" authorId="1" shapeId="0" xr:uid="{6869ED19-75E8-4356-A63E-032CABFB478A}">
      <text>
        <r>
          <rPr>
            <b/>
            <sz val="9"/>
            <color indexed="81"/>
            <rFont val="Tahoma"/>
            <family val="2"/>
          </rPr>
          <t>Sasha Hafner:</t>
        </r>
        <r>
          <rPr>
            <sz val="9"/>
            <color indexed="81"/>
            <rFont val="Tahoma"/>
            <family val="2"/>
          </rPr>
          <t xml:space="preserve">
Correct?</t>
        </r>
      </text>
    </comment>
    <comment ref="L191" authorId="5" shapeId="0" xr:uid="{B35C4509-0BF9-431E-813A-2A31F496D982}">
      <text>
        <t>[Threaded comment]
Your version of Excel allows you to read this threaded comment; however, any edits to it will get removed if the file is opened in a newer version of Excel. Learn more: https://go.microsoft.com/fwlink/?linkid=870924
Comment:
    Clearly reported mass separation makes no sense.</t>
      </text>
    </comment>
  </commentList>
</comments>
</file>

<file path=xl/sharedStrings.xml><?xml version="1.0" encoding="utf-8"?>
<sst xmlns="http://schemas.openxmlformats.org/spreadsheetml/2006/main" count="4354" uniqueCount="521">
  <si>
    <t>paper</t>
  </si>
  <si>
    <t>what</t>
  </si>
  <si>
    <t>title</t>
  </si>
  <si>
    <t>Anderson, in prep</t>
  </si>
  <si>
    <t>manuscript in preparation</t>
  </si>
  <si>
    <t>Ammonia emissions from spreading of cattle slurry – effects of slurry type and application method</t>
  </si>
  <si>
    <t>Amon et al. (2006)</t>
  </si>
  <si>
    <t>peer-review article</t>
  </si>
  <si>
    <t>Methane, nitrous oxide and ammonia emissions during storage and after application of dairy cattle slurry and influence of slurry treatment</t>
  </si>
  <si>
    <t>Bhandral et al. (2009)</t>
  </si>
  <si>
    <t>Enhancing soil infiltration reduces gaseous emissions and improves N uptake from applied dairy slurry</t>
  </si>
  <si>
    <t>Balsari et al. (2008a)</t>
  </si>
  <si>
    <t>Ammonia losses from the land application of raw pig slurry and solid and liquid fractions generated from its mechanical separation</t>
  </si>
  <si>
    <t>Balsari et al. (2008b)</t>
  </si>
  <si>
    <t>Ammonia emissions from rough cattle slurry and from derived solid and liquid fractions applied to alfalfa pasture</t>
  </si>
  <si>
    <t>Chantigny et al. (2007)</t>
  </si>
  <si>
    <t>Gaseous nitrogen emissions and forage nitrogen uptake on soils fertilized with raw and treated swine manure</t>
  </si>
  <si>
    <t>Chantigny et al. (2009)</t>
  </si>
  <si>
    <t>Ammonia volatilization following surface application of raw and treated liquid swine manure</t>
  </si>
  <si>
    <t>Dinuccio et al. (2011)</t>
  </si>
  <si>
    <t>Effects of mechanical separation on GHG and ammonia emissions from cattle slurry under winter conditions</t>
  </si>
  <si>
    <t>Dinuccio et al. (2012)</t>
  </si>
  <si>
    <t>Ammonia losses from the storage and application of raw and chemo-mechanically separated slurry</t>
  </si>
  <si>
    <t>Fangueiro et al. (2015)</t>
  </si>
  <si>
    <t>Effects of cattle-slurry treatment by acidification and separation on nitrogen dynamics and global warming potential after surface application to an acidic soil</t>
  </si>
  <si>
    <t>Fangueiro et al. (2017)</t>
  </si>
  <si>
    <t>Surface application of acidified cattle slurry compared to slurry injection: impact on NH3, N2O, CO2 and CH4 emissions and crop uptake</t>
  </si>
  <si>
    <t>Frost et al. (1990)</t>
  </si>
  <si>
    <t>Effect of separation and acidification of cattle slurry on ammonia volatilization and on the efficiency of slurry nitrogen for herbage production</t>
  </si>
  <si>
    <t>Hjort et al. (2009)</t>
  </si>
  <si>
    <t>Nutrient value, odour emission and energy production of manure as influenced by anaerobic digestion and separation</t>
  </si>
  <si>
    <t>Mattila et al. (2003)</t>
  </si>
  <si>
    <t>Effect of treatment and application technique of cattle slurry on its utilization by ley: I. Slurry properties and ammonia volatilization</t>
  </si>
  <si>
    <t>Monaco et al. (2012)</t>
  </si>
  <si>
    <t>Laboratory assessment of ammonia emission after soil application of treated and untreated manures</t>
  </si>
  <si>
    <t>Nyord et al. (2012)</t>
  </si>
  <si>
    <t>Ammonia volatilisation and crop yield following land application of solid-liquid separated, anaerobically digested, and soil injected animal slurry to winter wheat</t>
  </si>
  <si>
    <t>Nyord et al. (2018)</t>
  </si>
  <si>
    <t>report</t>
  </si>
  <si>
    <t>Ammoniak fordampning ved udbringning af separeret kvæggylle</t>
  </si>
  <si>
    <t>Owusu-Twum et al. (2017)</t>
  </si>
  <si>
    <t>Gaseous emissions and modification of slurry composition during storage and after field application: Effect of slurry additives and mechanical separation</t>
  </si>
  <si>
    <t>Pedersen et al. (2021a)</t>
  </si>
  <si>
    <t>The effect of manure exposed surface area on ammonia emission from untreated, separated, and digested cattle manure</t>
  </si>
  <si>
    <t>Pedersen et al. (2021b)</t>
  </si>
  <si>
    <t>Effect of exposed surface area and enhanced infiltration on ammonia emission from untreated and separated cattle slurry</t>
  </si>
  <si>
    <t>Sommer et al. (1991)</t>
  </si>
  <si>
    <t>Effects of dry matter content and temperature on ammonia loss from surface-applied cattle slurry</t>
  </si>
  <si>
    <t>Sommer et al. (2006)</t>
  </si>
  <si>
    <t>Ammonia volatilization from surface-applied livestock slurry as affected by slurry composition and slurry infiltration depth</t>
  </si>
  <si>
    <t>Stevens et al. (1992)</t>
  </si>
  <si>
    <t>Effects of separation, dilution, washing and acidificatoin on ammonia volatilization from surface-applied cattle slurry</t>
  </si>
  <si>
    <t>Thompson et al. (1990)</t>
  </si>
  <si>
    <t>Ammonia volatilization from cattle slurry following surface application to grassland - I. Influence of mechanical separation, changes in chemical composition during volatilization and the presence of the grass sward</t>
  </si>
  <si>
    <t>Vandre et al. (1997)</t>
  </si>
  <si>
    <t>NH3 and N2O emissions after landspreading of slurry as influenced by application technique and dry matter-reduction. I. NH3 emissions</t>
  </si>
  <si>
    <t>Wagner  et al. (2021)</t>
  </si>
  <si>
    <t>Acidification effects on in situ ammonia emissions and cereal yields depending on slurry type and application method acidification effects on in situ ammonia emissions and cereal yields depending on slurry type and application method</t>
  </si>
  <si>
    <t>Did not include</t>
  </si>
  <si>
    <t>Reason</t>
  </si>
  <si>
    <t>Fanguerio et al. (2008)</t>
  </si>
  <si>
    <t xml:space="preserve">They used static chambers and had an unrealistic low NH3 emission, they assign it to the static chambers. </t>
  </si>
  <si>
    <t>Cattle slurry treatment by screw press separation and chemically enhanced settling: Effect on greenhouse gas emissions after land spreading and grass yield</t>
  </si>
  <si>
    <t>Holly et al. (2007)</t>
  </si>
  <si>
    <t>Does not have amount of TAN in the slurries at application time</t>
  </si>
  <si>
    <t>Greenhouse gas and ammonia emissions from digested and separated dairy manure during storage and after land application</t>
  </si>
  <si>
    <t>general info</t>
  </si>
  <si>
    <t>separation efficiency</t>
  </si>
  <si>
    <t>storage samples</t>
  </si>
  <si>
    <t>storage emission</t>
  </si>
  <si>
    <t>field application samples</t>
  </si>
  <si>
    <t>application</t>
  </si>
  <si>
    <t>soil</t>
  </si>
  <si>
    <t>application emission</t>
  </si>
  <si>
    <t>source</t>
  </si>
  <si>
    <t>fractions studied</t>
  </si>
  <si>
    <t>routes measured</t>
  </si>
  <si>
    <t>storage emission measuring method</t>
  </si>
  <si>
    <t>storage description</t>
  </si>
  <si>
    <t>solids treatment</t>
  </si>
  <si>
    <t>field emission measuring method</t>
  </si>
  <si>
    <t>separation method</t>
  </si>
  <si>
    <t>separation scale</t>
  </si>
  <si>
    <t>slurry source</t>
  </si>
  <si>
    <t>fraction</t>
  </si>
  <si>
    <t>DM separation eff. [%]</t>
  </si>
  <si>
    <t>TAN separation eff. [%]</t>
  </si>
  <si>
    <t>% mass after separation</t>
  </si>
  <si>
    <t>separation efficiency source(s)</t>
  </si>
  <si>
    <t>dry matter [%]</t>
  </si>
  <si>
    <t>pH</t>
  </si>
  <si>
    <t>TAN [g/kg]</t>
  </si>
  <si>
    <t>emission [% TAN at start of storage]</t>
  </si>
  <si>
    <t>emission [% initial raw TAN]</t>
  </si>
  <si>
    <t>emission data source</t>
  </si>
  <si>
    <t>experiment ID</t>
  </si>
  <si>
    <t>overall effect of separation [% raw NH3 emission]</t>
  </si>
  <si>
    <t>overall effect of separation [description]</t>
  </si>
  <si>
    <t>fractionA</t>
  </si>
  <si>
    <t>notes</t>
  </si>
  <si>
    <t>TAN [g/L]</t>
  </si>
  <si>
    <t>set</t>
  </si>
  <si>
    <t>method</t>
  </si>
  <si>
    <t>amount [ton/ha]</t>
  </si>
  <si>
    <t>temperature at application</t>
  </si>
  <si>
    <t>average temperature</t>
  </si>
  <si>
    <t>rain</t>
  </si>
  <si>
    <t>type</t>
  </si>
  <si>
    <t>crop</t>
  </si>
  <si>
    <t>dry bulk density [g/cm3]</t>
  </si>
  <si>
    <t>gravemetric water content [g/g]</t>
  </si>
  <si>
    <t>duration [h]</t>
  </si>
  <si>
    <t>emission [% applied TAN]</t>
  </si>
  <si>
    <t>frac.stud</t>
  </si>
  <si>
    <t>rout.meas</t>
  </si>
  <si>
    <t>S.meas.meth</t>
  </si>
  <si>
    <t>S.description</t>
  </si>
  <si>
    <t>solid.treat</t>
  </si>
  <si>
    <t>A.meas.meth</t>
  </si>
  <si>
    <t>sep.meth</t>
  </si>
  <si>
    <t>sep.scale</t>
  </si>
  <si>
    <t>slurry.source</t>
  </si>
  <si>
    <t>DM.sep.eff</t>
  </si>
  <si>
    <t>TAN.sep.eff</t>
  </si>
  <si>
    <t>Mass.sep.eff</t>
  </si>
  <si>
    <t>S.DM</t>
  </si>
  <si>
    <t>S.pH</t>
  </si>
  <si>
    <t>S.TAN</t>
  </si>
  <si>
    <t>S.emis.perc</t>
  </si>
  <si>
    <t>S.emis.ini</t>
  </si>
  <si>
    <t>S.emis.source</t>
  </si>
  <si>
    <t>S.exp.ID</t>
  </si>
  <si>
    <t>S.effect</t>
  </si>
  <si>
    <t>S.notes</t>
  </si>
  <si>
    <t>A.DM</t>
  </si>
  <si>
    <t>A.pH</t>
  </si>
  <si>
    <t>A.TAN</t>
  </si>
  <si>
    <t>A.app.meth</t>
  </si>
  <si>
    <t>A.amount</t>
  </si>
  <si>
    <t>A.temp.app</t>
  </si>
  <si>
    <t>A.temp.AVG</t>
  </si>
  <si>
    <t>A.rain</t>
  </si>
  <si>
    <t>A.soil.type</t>
  </si>
  <si>
    <t>A.crop</t>
  </si>
  <si>
    <t>A.soil.density</t>
  </si>
  <si>
    <t>A.soil.water</t>
  </si>
  <si>
    <t>A.duration</t>
  </si>
  <si>
    <t>A.emis.perc</t>
  </si>
  <si>
    <t>A.emis.ini</t>
  </si>
  <si>
    <t>A.dat.source</t>
  </si>
  <si>
    <t>A.exp.ID</t>
  </si>
  <si>
    <t>A.effect</t>
  </si>
  <si>
    <t>A.notes</t>
  </si>
  <si>
    <t>Anderson et al, in prep</t>
  </si>
  <si>
    <t>raw, liquid</t>
  </si>
  <si>
    <t>AU WT</t>
  </si>
  <si>
    <t>cattle</t>
  </si>
  <si>
    <t>raw</t>
  </si>
  <si>
    <t>NA</t>
  </si>
  <si>
    <t>trailing hose</t>
  </si>
  <si>
    <t>23.7 (first 4 h)</t>
  </si>
  <si>
    <t>No/NR</t>
  </si>
  <si>
    <t>silty clay, 43% clay</t>
  </si>
  <si>
    <t>grass</t>
  </si>
  <si>
    <t>Karins first draft, Table 3</t>
  </si>
  <si>
    <r>
      <rPr>
        <i/>
        <sz val="11"/>
        <color theme="1"/>
        <rFont val="Calibri"/>
        <family val="2"/>
        <scheme val="minor"/>
      </rPr>
      <t>Experiment 4</t>
    </r>
    <r>
      <rPr>
        <sz val="11"/>
        <color theme="1"/>
        <rFont val="Calibri"/>
        <family val="2"/>
        <scheme val="minor"/>
      </rPr>
      <t xml:space="preserve">: </t>
    </r>
    <r>
      <rPr>
        <i/>
        <sz val="11"/>
        <color theme="1"/>
        <rFont val="Calibri"/>
        <family val="2"/>
        <scheme val="minor"/>
      </rPr>
      <t>Separated</t>
    </r>
    <r>
      <rPr>
        <sz val="11"/>
        <color theme="1"/>
        <rFont val="Calibri"/>
        <family val="2"/>
        <scheme val="minor"/>
      </rPr>
      <t xml:space="preserve"> and </t>
    </r>
    <r>
      <rPr>
        <i/>
        <sz val="11"/>
        <color theme="1"/>
        <rFont val="Calibri"/>
        <family val="2"/>
        <scheme val="minor"/>
      </rPr>
      <t>Untreated</t>
    </r>
  </si>
  <si>
    <t xml:space="preserve">screw press </t>
  </si>
  <si>
    <t>full</t>
  </si>
  <si>
    <t>liquid</t>
  </si>
  <si>
    <t>Calculated</t>
  </si>
  <si>
    <t>Karins first draft, Table 4</t>
  </si>
  <si>
    <t>not sig. red of 20%</t>
  </si>
  <si>
    <t>raw, liquid, solid</t>
  </si>
  <si>
    <t>storage (raw, liquid, solids), application (raw, liquid)</t>
  </si>
  <si>
    <t>Composting, no field application</t>
  </si>
  <si>
    <t>Large 27 m2 dynamic chambers</t>
  </si>
  <si>
    <t>Calculated from values in Tables 2 and 3, assuming "slurry" means raw slurry.</t>
  </si>
  <si>
    <t>Untreated</t>
  </si>
  <si>
    <t>Increase in NH3 emission due to solids composting</t>
  </si>
  <si>
    <t>Units are unclear</t>
  </si>
  <si>
    <t>Own calculation based on Table 2 and 3.</t>
  </si>
  <si>
    <r>
      <rPr>
        <i/>
        <sz val="11"/>
        <color theme="1"/>
        <rFont val="Calibri"/>
        <family val="2"/>
        <scheme val="minor"/>
      </rPr>
      <t>Untreated</t>
    </r>
    <r>
      <rPr>
        <sz val="11"/>
        <color theme="1"/>
        <rFont val="Calibri"/>
        <family val="2"/>
        <scheme val="minor"/>
      </rPr>
      <t xml:space="preserve"> and </t>
    </r>
    <r>
      <rPr>
        <i/>
        <sz val="11"/>
        <color theme="1"/>
        <rFont val="Calibri"/>
        <family val="2"/>
        <scheme val="minor"/>
      </rPr>
      <t>Separated</t>
    </r>
  </si>
  <si>
    <t xml:space="preserve">Unsure if the chambers are ok/usefull. Only measured for 48 h, then they didn't see any more emission. Application at 27 m2 with watering can - time issue? </t>
  </si>
  <si>
    <t>screw sieve press</t>
  </si>
  <si>
    <t>Separated</t>
  </si>
  <si>
    <t>sig red of 57%</t>
  </si>
  <si>
    <t>solid</t>
  </si>
  <si>
    <t>Separated - solid fraction</t>
  </si>
  <si>
    <t>Lockyer WT</t>
  </si>
  <si>
    <t>broadcast</t>
  </si>
  <si>
    <t>Silty to sandy loam</t>
  </si>
  <si>
    <t>none</t>
  </si>
  <si>
    <t>Table 3</t>
  </si>
  <si>
    <t>All experiments</t>
  </si>
  <si>
    <t xml:space="preserve"> Duration is minimum 11 days = 264 h, the longest exp was 15 d.</t>
  </si>
  <si>
    <t>decantation</t>
  </si>
  <si>
    <t>Table 4</t>
  </si>
  <si>
    <t>inc of 5%</t>
  </si>
  <si>
    <t>Table 5</t>
  </si>
  <si>
    <t>Table 6</t>
  </si>
  <si>
    <t>red of 3%</t>
  </si>
  <si>
    <t>Table 7</t>
  </si>
  <si>
    <t>Table 8</t>
  </si>
  <si>
    <t>inc of 39%</t>
  </si>
  <si>
    <t>Table 9</t>
  </si>
  <si>
    <t>Table 10</t>
  </si>
  <si>
    <t>Table 11</t>
  </si>
  <si>
    <t>Table 12</t>
  </si>
  <si>
    <t>red of 58%</t>
  </si>
  <si>
    <t>Table 13</t>
  </si>
  <si>
    <t>Table 14</t>
  </si>
  <si>
    <t>red of 68%</t>
  </si>
  <si>
    <t>band spread on slots</t>
  </si>
  <si>
    <t>Table 15</t>
  </si>
  <si>
    <t>Table 16</t>
  </si>
  <si>
    <t>red of 37%</t>
  </si>
  <si>
    <t>Table 17</t>
  </si>
  <si>
    <t>Table 18</t>
  </si>
  <si>
    <t>red of 26%</t>
  </si>
  <si>
    <t>Table 19</t>
  </si>
  <si>
    <t>Table 20</t>
  </si>
  <si>
    <t>inc of 12%</t>
  </si>
  <si>
    <t>Table 21</t>
  </si>
  <si>
    <t>Table 22</t>
  </si>
  <si>
    <t>inc of 22%</t>
  </si>
  <si>
    <t>Table 23</t>
  </si>
  <si>
    <t>Table 24</t>
  </si>
  <si>
    <t>red of 60%</t>
  </si>
  <si>
    <t>Table 25</t>
  </si>
  <si>
    <t>Table 26</t>
  </si>
  <si>
    <t>red of 71%</t>
  </si>
  <si>
    <t>Schmidt 2002 WT</t>
  </si>
  <si>
    <t>pig</t>
  </si>
  <si>
    <t>18.4 (11.3-27.8)</t>
  </si>
  <si>
    <t>Loamy sand</t>
  </si>
  <si>
    <t>Read of Fig. 2</t>
  </si>
  <si>
    <r>
      <rPr>
        <i/>
        <sz val="11"/>
        <color theme="1"/>
        <rFont val="Calibri"/>
        <family val="2"/>
        <scheme val="minor"/>
      </rPr>
      <t>All three fractions</t>
    </r>
    <r>
      <rPr>
        <sz val="11"/>
        <color theme="1"/>
        <rFont val="Calibri"/>
        <family val="2"/>
        <scheme val="minor"/>
      </rPr>
      <t>, Schmidt tunnels with airflow of 0.6 m/s</t>
    </r>
  </si>
  <si>
    <t xml:space="preserve">Amounts (ton/ha) are calculated based on applicatoin rate of 70 kgN/ha and info in Table 1. Unsure if it should be TAN. Emission is calulated from read of Fig 2. and the TAN/TKN ratio in Table 1. Did not include data with air speed of ~0 m/s as it has been shown that static chambers are not usefull for NH3 measurements. Unknown application method, assumed broadcast. </t>
  </si>
  <si>
    <t>screw press separator</t>
  </si>
  <si>
    <t>red of 33%</t>
  </si>
  <si>
    <t>11.4 (9.1-17.0)</t>
  </si>
  <si>
    <t>red of 48%</t>
  </si>
  <si>
    <t>27.8 (23.1-35.1)</t>
  </si>
  <si>
    <t xml:space="preserve">Amounts (ton/ha) are calculated based on applicatoin rate of 70 kgN/ha and info in Table 2. Unsure if it should be TAN. Emission is calulated from data in Table 3. and the TAN/TKN ratio in Table 2. Did not include data with air speed of ~0 m/s as it has been shown that static chambers are not usefull for NH3 measurements. Unknown application method, assumed broadcast. </t>
  </si>
  <si>
    <t>Table 2 and calculated</t>
  </si>
  <si>
    <t>12.5 (7.0-19.0)</t>
  </si>
  <si>
    <t>15.8-19.1</t>
  </si>
  <si>
    <t>Loam (23% clay) and sandy loam (17% clay)</t>
  </si>
  <si>
    <t>0.13-0.22</t>
  </si>
  <si>
    <t>Calculated from Table 1 and 2 and calculated application rate.</t>
  </si>
  <si>
    <r>
      <rPr>
        <i/>
        <sz val="11"/>
        <color theme="1"/>
        <rFont val="Calibri"/>
        <family val="2"/>
        <scheme val="minor"/>
      </rPr>
      <t>Raw</t>
    </r>
    <r>
      <rPr>
        <sz val="11"/>
        <color theme="1"/>
        <rFont val="Calibri"/>
        <family val="2"/>
        <scheme val="minor"/>
      </rPr>
      <t xml:space="preserve">, </t>
    </r>
    <r>
      <rPr>
        <i/>
        <sz val="11"/>
        <color theme="1"/>
        <rFont val="Calibri"/>
        <family val="2"/>
        <scheme val="minor"/>
      </rPr>
      <t>Decanted,</t>
    </r>
    <r>
      <rPr>
        <sz val="11"/>
        <color theme="1"/>
        <rFont val="Calibri"/>
        <family val="2"/>
        <scheme val="minor"/>
      </rPr>
      <t xml:space="preserve"> and </t>
    </r>
    <r>
      <rPr>
        <i/>
        <sz val="11"/>
        <color theme="1"/>
        <rFont val="Calibri"/>
        <family val="2"/>
        <scheme val="minor"/>
      </rPr>
      <t>Filtered</t>
    </r>
    <r>
      <rPr>
        <sz val="11"/>
        <color theme="1"/>
        <rFont val="Calibri"/>
        <family val="2"/>
        <scheme val="minor"/>
      </rPr>
      <t>.</t>
    </r>
  </si>
  <si>
    <t xml:space="preserve">Filtred: through bed of wood shaving and saw dust. Flocculated: Ca-based coagulant. Did not include 'flocculated' as it has anoter origin than the others. Application rate calculated from Table 1 and Total N content in Table 2. </t>
  </si>
  <si>
    <t>6.0-20.2</t>
  </si>
  <si>
    <t>0.21-0.23</t>
  </si>
  <si>
    <t>12.1-20.6</t>
  </si>
  <si>
    <t>0.25-0.30</t>
  </si>
  <si>
    <t>pilot</t>
  </si>
  <si>
    <t>mass in article (Materials and Method section), DM and TAN calculated</t>
  </si>
  <si>
    <t>red of 31%</t>
  </si>
  <si>
    <t>red of 15%</t>
  </si>
  <si>
    <t>filtered</t>
  </si>
  <si>
    <t>red of 38%</t>
  </si>
  <si>
    <t>red of 34%</t>
  </si>
  <si>
    <t>nothing for the first 50 h</t>
  </si>
  <si>
    <t>Silty clay (27% clay)</t>
  </si>
  <si>
    <r>
      <rPr>
        <i/>
        <sz val="11"/>
        <color theme="1"/>
        <rFont val="Calibri"/>
        <family val="2"/>
        <scheme val="minor"/>
      </rPr>
      <t>Untreated</t>
    </r>
    <r>
      <rPr>
        <sz val="11"/>
        <color theme="1"/>
        <rFont val="Calibri"/>
        <family val="2"/>
        <scheme val="minor"/>
      </rPr>
      <t xml:space="preserve">, </t>
    </r>
    <r>
      <rPr>
        <i/>
        <sz val="11"/>
        <color theme="1"/>
        <rFont val="Calibri"/>
        <family val="2"/>
        <scheme val="minor"/>
      </rPr>
      <t>Decanted</t>
    </r>
    <r>
      <rPr>
        <sz val="11"/>
        <color theme="1"/>
        <rFont val="Calibri"/>
        <family val="2"/>
        <scheme val="minor"/>
      </rPr>
      <t xml:space="preserve">, </t>
    </r>
    <r>
      <rPr>
        <i/>
        <sz val="11"/>
        <color theme="1"/>
        <rFont val="Calibri"/>
        <family val="2"/>
        <scheme val="minor"/>
      </rPr>
      <t>Filtered</t>
    </r>
    <r>
      <rPr>
        <sz val="11"/>
        <color theme="1"/>
        <rFont val="Calibri"/>
        <family val="2"/>
        <scheme val="minor"/>
      </rPr>
      <t xml:space="preserve">, and </t>
    </r>
    <r>
      <rPr>
        <i/>
        <sz val="11"/>
        <color theme="1"/>
        <rFont val="Calibri"/>
        <family val="2"/>
        <scheme val="minor"/>
      </rPr>
      <t>Flocculated</t>
    </r>
  </si>
  <si>
    <t>decanted</t>
  </si>
  <si>
    <t>Mass stated in article (Materials and Methods section)</t>
  </si>
  <si>
    <t>red of 10%</t>
  </si>
  <si>
    <t>unknown</t>
  </si>
  <si>
    <t>inc of 27%</t>
  </si>
  <si>
    <t>flocculated</t>
  </si>
  <si>
    <t>inc of 11%</t>
  </si>
  <si>
    <t>inc of 16%</t>
  </si>
  <si>
    <t>red of 2%</t>
  </si>
  <si>
    <t>red of 55%</t>
  </si>
  <si>
    <t>red of 36%</t>
  </si>
  <si>
    <t>inc of 40%</t>
  </si>
  <si>
    <t>storage, application</t>
  </si>
  <si>
    <t>Lab</t>
  </si>
  <si>
    <t>climate-controlled room, 1.5 L beaker</t>
  </si>
  <si>
    <t>Table 2</t>
  </si>
  <si>
    <t>Loamy sand (2% clay)</t>
  </si>
  <si>
    <r>
      <rPr>
        <i/>
        <sz val="11"/>
        <color theme="1"/>
        <rFont val="Calibri"/>
        <family val="2"/>
        <scheme val="minor"/>
      </rPr>
      <t>Raw slurry</t>
    </r>
    <r>
      <rPr>
        <sz val="11"/>
        <color theme="1"/>
        <rFont val="Calibri"/>
        <family val="2"/>
        <scheme val="minor"/>
      </rPr>
      <t xml:space="preserve"> and </t>
    </r>
    <r>
      <rPr>
        <i/>
        <sz val="11"/>
        <color theme="1"/>
        <rFont val="Calibri"/>
        <family val="2"/>
        <scheme val="minor"/>
      </rPr>
      <t>Liquid fraction</t>
    </r>
  </si>
  <si>
    <t>Lab mechanical</t>
  </si>
  <si>
    <t>lab</t>
  </si>
  <si>
    <t>Total in Section 2, others calculated</t>
  </si>
  <si>
    <t>inr of 61%</t>
  </si>
  <si>
    <r>
      <rPr>
        <i/>
        <sz val="11"/>
        <color rgb="FF000000"/>
        <rFont val="Calibri"/>
        <family val="2"/>
        <scheme val="minor"/>
      </rPr>
      <t>Raw slurry</t>
    </r>
    <r>
      <rPr>
        <sz val="11"/>
        <color rgb="FF000000"/>
        <rFont val="Calibri"/>
        <family val="2"/>
        <scheme val="minor"/>
      </rPr>
      <t xml:space="preserve"> and </t>
    </r>
    <r>
      <rPr>
        <i/>
        <sz val="11"/>
        <color rgb="FF000000"/>
        <rFont val="Calibri"/>
        <family val="2"/>
        <scheme val="minor"/>
      </rPr>
      <t>Liquid fraction</t>
    </r>
  </si>
  <si>
    <t>On farm, raw and liquid in 1600 m3 tanks, solids in 4 t pile</t>
  </si>
  <si>
    <t>Table 2 and Figure 6</t>
  </si>
  <si>
    <t>5.80 (4.20-7.30)</t>
  </si>
  <si>
    <t>loamy sand (3.2% clay)</t>
  </si>
  <si>
    <t>Amounts (ton/ha) calculated from Table 1 tot N and application rate og 70 kgN/ha. Polymers used for separation.</t>
  </si>
  <si>
    <t>chemo-mechanically, see details in paper</t>
  </si>
  <si>
    <t>Calculated for total mass, otherwise reported in Section 3.1</t>
  </si>
  <si>
    <t>not sig red of 23%</t>
  </si>
  <si>
    <t>27.6 (26.9-31.8)</t>
  </si>
  <si>
    <t>not sig red of 15%</t>
  </si>
  <si>
    <t>Lab aerobic incubation and acid traps</t>
  </si>
  <si>
    <t>Haplic Cambisol (sandy texture, 9% clay), sieved</t>
  </si>
  <si>
    <r>
      <t>S-S</t>
    </r>
    <r>
      <rPr>
        <sz val="11"/>
        <color rgb="FF000000"/>
        <rFont val="Calibri"/>
        <family val="2"/>
        <scheme val="minor"/>
      </rPr>
      <t xml:space="preserve"> and </t>
    </r>
    <r>
      <rPr>
        <i/>
        <sz val="11"/>
        <color rgb="FF000000"/>
        <rFont val="Calibri"/>
        <family val="2"/>
        <scheme val="minor"/>
      </rPr>
      <t>LF-S</t>
    </r>
  </si>
  <si>
    <t>sig red of 96 %</t>
  </si>
  <si>
    <t>Not representative of real conditoins with centrifugation and very high DM removal.</t>
  </si>
  <si>
    <t>centrifugation</t>
  </si>
  <si>
    <r>
      <t>S-S</t>
    </r>
    <r>
      <rPr>
        <sz val="11"/>
        <color theme="1"/>
        <rFont val="Calibri"/>
        <family val="2"/>
        <scheme val="minor"/>
      </rPr>
      <t xml:space="preserve"> and </t>
    </r>
    <r>
      <rPr>
        <i/>
        <sz val="11"/>
        <color theme="1"/>
        <rFont val="Calibri"/>
        <family val="2"/>
        <scheme val="minor"/>
      </rPr>
      <t>LF-S</t>
    </r>
  </si>
  <si>
    <t>broadcast and incorporated</t>
  </si>
  <si>
    <t>Cambic Arenosol (3% clay)</t>
  </si>
  <si>
    <r>
      <rPr>
        <i/>
        <sz val="11"/>
        <color theme="1"/>
        <rFont val="Calibri"/>
        <family val="2"/>
        <scheme val="minor"/>
      </rPr>
      <t>S-tillage</t>
    </r>
    <r>
      <rPr>
        <sz val="11"/>
        <color theme="1"/>
        <rFont val="Calibri"/>
        <family val="2"/>
        <scheme val="minor"/>
      </rPr>
      <t xml:space="preserve">  and </t>
    </r>
    <r>
      <rPr>
        <i/>
        <sz val="11"/>
        <color theme="1"/>
        <rFont val="Calibri"/>
        <family val="2"/>
        <scheme val="minor"/>
      </rPr>
      <t>LF-tillage</t>
    </r>
  </si>
  <si>
    <t>inc of 18%</t>
  </si>
  <si>
    <t>ventilated chambers from Stevens et al. (1989)</t>
  </si>
  <si>
    <t>clay loam</t>
  </si>
  <si>
    <t>Own calculation based on Table 2, Table 1 and the application rate</t>
  </si>
  <si>
    <r>
      <t xml:space="preserve">Application 1, 2 and 3, </t>
    </r>
    <r>
      <rPr>
        <i/>
        <sz val="11"/>
        <color theme="1"/>
        <rFont val="Calibri"/>
        <family val="2"/>
        <scheme val="minor"/>
      </rPr>
      <t>S</t>
    </r>
    <r>
      <rPr>
        <i/>
        <vertAlign val="subscript"/>
        <sz val="11"/>
        <color theme="1"/>
        <rFont val="Calibri"/>
        <family val="2"/>
        <scheme val="minor"/>
      </rPr>
      <t>1</t>
    </r>
    <r>
      <rPr>
        <sz val="11"/>
        <color theme="1"/>
        <rFont val="Calibri"/>
        <family val="2"/>
        <scheme val="minor"/>
      </rPr>
      <t xml:space="preserve">, </t>
    </r>
    <r>
      <rPr>
        <i/>
        <sz val="11"/>
        <color theme="1"/>
        <rFont val="Calibri"/>
        <family val="2"/>
        <scheme val="minor"/>
      </rPr>
      <t>S</t>
    </r>
    <r>
      <rPr>
        <i/>
        <vertAlign val="subscript"/>
        <sz val="11"/>
        <color theme="1"/>
        <rFont val="Calibri"/>
        <family val="2"/>
        <scheme val="minor"/>
      </rPr>
      <t>2</t>
    </r>
    <r>
      <rPr>
        <sz val="11"/>
        <color theme="1"/>
        <rFont val="Calibri"/>
        <family val="2"/>
        <scheme val="minor"/>
      </rPr>
      <t xml:space="preserve">, </t>
    </r>
    <r>
      <rPr>
        <i/>
        <sz val="11"/>
        <color theme="1"/>
        <rFont val="Calibri"/>
        <family val="2"/>
        <scheme val="minor"/>
      </rPr>
      <t>S</t>
    </r>
    <r>
      <rPr>
        <i/>
        <vertAlign val="subscript"/>
        <sz val="11"/>
        <color theme="1"/>
        <rFont val="Calibri"/>
        <family val="2"/>
        <scheme val="minor"/>
      </rPr>
      <t>3</t>
    </r>
    <r>
      <rPr>
        <sz val="11"/>
        <color theme="1"/>
        <rFont val="Calibri"/>
        <family val="2"/>
        <scheme val="minor"/>
      </rPr>
      <t xml:space="preserve">, </t>
    </r>
    <r>
      <rPr>
        <i/>
        <sz val="11"/>
        <color theme="1"/>
        <rFont val="Calibri"/>
        <family val="2"/>
        <scheme val="minor"/>
      </rPr>
      <t>S</t>
    </r>
    <r>
      <rPr>
        <i/>
        <vertAlign val="subscript"/>
        <sz val="11"/>
        <color theme="1"/>
        <rFont val="Calibri"/>
        <family val="2"/>
        <scheme val="minor"/>
      </rPr>
      <t>4</t>
    </r>
    <r>
      <rPr>
        <sz val="11"/>
        <color theme="1"/>
        <rFont val="Calibri"/>
        <family val="2"/>
        <scheme val="minor"/>
      </rPr>
      <t xml:space="preserve">, and </t>
    </r>
    <r>
      <rPr>
        <i/>
        <sz val="11"/>
        <color theme="1"/>
        <rFont val="Calibri"/>
        <family val="2"/>
        <scheme val="minor"/>
      </rPr>
      <t>S</t>
    </r>
    <r>
      <rPr>
        <i/>
        <vertAlign val="subscript"/>
        <sz val="11"/>
        <color theme="1"/>
        <rFont val="Calibri"/>
        <family val="2"/>
        <scheme val="minor"/>
      </rPr>
      <t>5</t>
    </r>
  </si>
  <si>
    <t>Splash plate application and sieving. But good for showing how a reduction in particle size and DM reduces emissions.</t>
  </si>
  <si>
    <t>sieving</t>
  </si>
  <si>
    <t>Own calculation based on Table 2 and the application rate</t>
  </si>
  <si>
    <t>red of 32%</t>
  </si>
  <si>
    <t>red of 47%</t>
  </si>
  <si>
    <t>red of 63%</t>
  </si>
  <si>
    <t>inc of 2.8%</t>
  </si>
  <si>
    <t>red of 4%</t>
  </si>
  <si>
    <t>red of 35%</t>
  </si>
  <si>
    <t>red of 39%</t>
  </si>
  <si>
    <t>red og 46%</t>
  </si>
  <si>
    <t>red of 46%</t>
  </si>
  <si>
    <t>red of 69%</t>
  </si>
  <si>
    <t>red of 92%</t>
  </si>
  <si>
    <t>Hjorth et al. (2009)</t>
  </si>
  <si>
    <t>lab dynamic chambers</t>
  </si>
  <si>
    <t>sandy soil (6% clay)</t>
  </si>
  <si>
    <t>All DM, TAN, pH and NH3 data is from raw data Tavs send.</t>
  </si>
  <si>
    <t>All data</t>
  </si>
  <si>
    <t>belt</t>
  </si>
  <si>
    <t>red of 25%</t>
  </si>
  <si>
    <t>belt + coagulant</t>
  </si>
  <si>
    <t>red of 83%</t>
  </si>
  <si>
    <t>digested pig</t>
  </si>
  <si>
    <t>red of 9%</t>
  </si>
  <si>
    <t>red of 45%</t>
  </si>
  <si>
    <t>mechanical separation</t>
  </si>
  <si>
    <t>There is a total of six experiments and good climatic and soil data, but they average the emisisons over all 6 experiments. The main author has promised to look at the data and send it in email from 211202</t>
  </si>
  <si>
    <t>chambers in laboratory</t>
  </si>
  <si>
    <t>NR</t>
  </si>
  <si>
    <t>loam and silty-loam. Dried and sieved.</t>
  </si>
  <si>
    <t>1.34 and 1.45</t>
  </si>
  <si>
    <r>
      <t xml:space="preserve">Untreated slurry </t>
    </r>
    <r>
      <rPr>
        <sz val="11"/>
        <color theme="1"/>
        <rFont val="Calibri"/>
        <family val="2"/>
        <scheme val="minor"/>
      </rPr>
      <t xml:space="preserve">and </t>
    </r>
    <r>
      <rPr>
        <i/>
        <sz val="11"/>
        <color theme="1"/>
        <rFont val="Calibri"/>
        <family val="2"/>
        <scheme val="minor"/>
      </rPr>
      <t>Untreated slurry liqudi</t>
    </r>
    <r>
      <rPr>
        <sz val="11"/>
        <color theme="1"/>
        <rFont val="Calibri"/>
        <family val="2"/>
        <scheme val="minor"/>
      </rPr>
      <t xml:space="preserve"> </t>
    </r>
  </si>
  <si>
    <t>Not representative for real conditions, but shows concept.</t>
  </si>
  <si>
    <t>loboratory centrifuge</t>
  </si>
  <si>
    <t>1.34 and 1.46</t>
  </si>
  <si>
    <t>sig red of 50%</t>
  </si>
  <si>
    <t>0 mm day 1 0.7 mm total</t>
  </si>
  <si>
    <t>winter wheat</t>
  </si>
  <si>
    <r>
      <t xml:space="preserve">Emission 2008, </t>
    </r>
    <r>
      <rPr>
        <i/>
        <sz val="11"/>
        <color theme="1"/>
        <rFont val="Calibri"/>
        <family val="2"/>
        <scheme val="minor"/>
      </rPr>
      <t>Untreated</t>
    </r>
    <r>
      <rPr>
        <sz val="11"/>
        <color theme="1"/>
        <rFont val="Calibri"/>
        <family val="2"/>
        <scheme val="minor"/>
      </rPr>
      <t xml:space="preserve"> and </t>
    </r>
    <r>
      <rPr>
        <i/>
        <sz val="11"/>
        <color theme="1"/>
        <rFont val="Calibri"/>
        <family val="2"/>
        <scheme val="minor"/>
      </rPr>
      <t>Separated</t>
    </r>
  </si>
  <si>
    <t xml:space="preserve">Danish conditions but extreem variation in data. </t>
  </si>
  <si>
    <t>experimental belt separator with addition of polymer</t>
  </si>
  <si>
    <t>1 mm day 1 0.7 mm total</t>
  </si>
  <si>
    <t>red of 74%, no stat</t>
  </si>
  <si>
    <t>Nyord (2018)</t>
  </si>
  <si>
    <t>Leuning samplers</t>
  </si>
  <si>
    <t>first day: 0; shole period: 12.8 mm</t>
  </si>
  <si>
    <t>5% clay</t>
  </si>
  <si>
    <t>Raw data from Tavs</t>
  </si>
  <si>
    <t xml:space="preserve">Very big variation in data and only single measurement for separated during second trial. Emission measurements between 48 and 65 hours. </t>
  </si>
  <si>
    <t>screw press</t>
  </si>
  <si>
    <t>red of 42%, no stat</t>
  </si>
  <si>
    <t>first day: 1.1 mm, whole period: 15.9 mm</t>
  </si>
  <si>
    <t>red of 27%, no stat</t>
  </si>
  <si>
    <t>WT</t>
  </si>
  <si>
    <t>Dystric cambisol 12% clay</t>
  </si>
  <si>
    <t>Red of Fig 1</t>
  </si>
  <si>
    <r>
      <t>WS</t>
    </r>
    <r>
      <rPr>
        <sz val="11"/>
        <color theme="1"/>
        <rFont val="Calibri"/>
        <family val="2"/>
        <scheme val="minor"/>
      </rPr>
      <t xml:space="preserve">, </t>
    </r>
    <r>
      <rPr>
        <i/>
        <sz val="11"/>
        <color theme="1"/>
        <rFont val="Calibri"/>
        <family val="2"/>
        <scheme val="minor"/>
      </rPr>
      <t>LF</t>
    </r>
    <r>
      <rPr>
        <sz val="11"/>
        <color theme="1"/>
        <rFont val="Calibri"/>
        <family val="2"/>
        <scheme val="minor"/>
      </rPr>
      <t xml:space="preserve">, </t>
    </r>
    <r>
      <rPr>
        <i/>
        <sz val="11"/>
        <color theme="1"/>
        <rFont val="Calibri"/>
        <family val="2"/>
        <scheme val="minor"/>
      </rPr>
      <t xml:space="preserve">LFB, </t>
    </r>
    <r>
      <rPr>
        <sz val="11"/>
        <color theme="1"/>
        <rFont val="Calibri"/>
        <family val="2"/>
        <scheme val="minor"/>
      </rPr>
      <t xml:space="preserve">and </t>
    </r>
    <r>
      <rPr>
        <i/>
        <sz val="11"/>
        <color theme="1"/>
        <rFont val="Calibri"/>
        <family val="2"/>
        <scheme val="minor"/>
      </rPr>
      <t>LFJ</t>
    </r>
  </si>
  <si>
    <t>Application rate calculated from tot N and application rate of 130 kgN/ha</t>
  </si>
  <si>
    <t>red of 59%</t>
  </si>
  <si>
    <t>screw press + biological additives</t>
  </si>
  <si>
    <t>red of 56%</t>
  </si>
  <si>
    <t>red of 64%</t>
  </si>
  <si>
    <t>spring oat stubble</t>
  </si>
  <si>
    <t>Fig 4. and own data</t>
  </si>
  <si>
    <r>
      <t xml:space="preserve">Both experiments, </t>
    </r>
    <r>
      <rPr>
        <i/>
        <sz val="11"/>
        <color theme="1"/>
        <rFont val="Calibri"/>
        <family val="2"/>
        <scheme val="minor"/>
      </rPr>
      <t>Untreated</t>
    </r>
    <r>
      <rPr>
        <sz val="11"/>
        <color theme="1"/>
        <rFont val="Calibri"/>
        <family val="2"/>
        <scheme val="minor"/>
      </rPr>
      <t xml:space="preserve"> and </t>
    </r>
    <r>
      <rPr>
        <i/>
        <sz val="11"/>
        <color theme="1"/>
        <rFont val="Calibri"/>
        <family val="2"/>
        <scheme val="minor"/>
      </rPr>
      <t>Separated</t>
    </r>
  </si>
  <si>
    <t>High ESA. Liquid volume% as in Anderson et al., in preparation</t>
  </si>
  <si>
    <t>sig red of 26%</t>
  </si>
  <si>
    <t>sandy loam (14% clay)</t>
  </si>
  <si>
    <t>sig inc of 20%</t>
  </si>
  <si>
    <t>silty loam</t>
  </si>
  <si>
    <t>Own data</t>
  </si>
  <si>
    <r>
      <t xml:space="preserve">Untreated broadcast </t>
    </r>
    <r>
      <rPr>
        <sz val="11"/>
        <color theme="1"/>
        <rFont val="Calibri"/>
        <family val="2"/>
        <scheme val="minor"/>
      </rPr>
      <t xml:space="preserve">and </t>
    </r>
    <r>
      <rPr>
        <i/>
        <sz val="11"/>
        <color theme="1"/>
        <rFont val="Calibri"/>
        <family val="2"/>
        <scheme val="minor"/>
      </rPr>
      <t xml:space="preserve">Separated broadcast </t>
    </r>
    <r>
      <rPr>
        <sz val="11"/>
        <color theme="1"/>
        <rFont val="Calibri"/>
        <family val="2"/>
        <scheme val="minor"/>
      </rPr>
      <t xml:space="preserve">from exeriment A and C, </t>
    </r>
    <r>
      <rPr>
        <i/>
        <sz val="11"/>
        <color theme="1"/>
        <rFont val="Calibri"/>
        <family val="2"/>
        <scheme val="minor"/>
      </rPr>
      <t>Untreated narrow banded,</t>
    </r>
    <r>
      <rPr>
        <sz val="11"/>
        <color theme="1"/>
        <rFont val="Calibri"/>
        <family val="2"/>
        <scheme val="minor"/>
      </rPr>
      <t xml:space="preserve"> </t>
    </r>
    <r>
      <rPr>
        <i/>
        <sz val="11"/>
        <color theme="1"/>
        <rFont val="Calibri"/>
        <family val="2"/>
        <scheme val="minor"/>
      </rPr>
      <t xml:space="preserve">Separated narrow banded, </t>
    </r>
    <r>
      <rPr>
        <sz val="11"/>
        <color theme="1"/>
        <rFont val="Calibri"/>
        <family val="2"/>
        <scheme val="minor"/>
      </rPr>
      <t>Untreated SSD</t>
    </r>
    <r>
      <rPr>
        <i/>
        <sz val="11"/>
        <color theme="1"/>
        <rFont val="Calibri"/>
        <family val="2"/>
        <scheme val="minor"/>
      </rPr>
      <t xml:space="preserve">, </t>
    </r>
    <r>
      <rPr>
        <sz val="11"/>
        <color theme="1"/>
        <rFont val="Calibri"/>
        <family val="2"/>
        <scheme val="minor"/>
      </rPr>
      <t xml:space="preserve">and </t>
    </r>
    <r>
      <rPr>
        <i/>
        <sz val="11"/>
        <color theme="1"/>
        <rFont val="Calibri"/>
        <family val="2"/>
        <scheme val="minor"/>
      </rPr>
      <t>Separated SSD</t>
    </r>
    <r>
      <rPr>
        <sz val="11"/>
        <color theme="1"/>
        <rFont val="Calibri"/>
        <family val="2"/>
        <scheme val="minor"/>
      </rPr>
      <t xml:space="preserve"> from experiment B and D.</t>
    </r>
  </si>
  <si>
    <t xml:space="preserve">Raw data numbers for each experiment, e.g. not the numbers that is in the article. </t>
  </si>
  <si>
    <t>settling in tank and decantation</t>
  </si>
  <si>
    <t>red of 65%</t>
  </si>
  <si>
    <t>red of 61%</t>
  </si>
  <si>
    <t>red of 341%</t>
  </si>
  <si>
    <t>mixtures</t>
  </si>
  <si>
    <t>mechanical separation and then mixed in different ratio</t>
  </si>
  <si>
    <t>mix</t>
  </si>
  <si>
    <t>19.6 (6 h avg)</t>
  </si>
  <si>
    <t>sandy loam (10% clay)</t>
  </si>
  <si>
    <r>
      <t xml:space="preserve">Exp no. 3, 6, and 7 all data, Exp no. 4 and 5 DM 2.8% and 8.2%.  </t>
    </r>
    <r>
      <rPr>
        <i/>
        <sz val="11"/>
        <color theme="1"/>
        <rFont val="Calibri"/>
        <family val="2"/>
        <scheme val="minor"/>
      </rPr>
      <t>Accum. NH</t>
    </r>
    <r>
      <rPr>
        <i/>
        <vertAlign val="subscript"/>
        <sz val="11"/>
        <color theme="1"/>
        <rFont val="Calibri"/>
        <family val="2"/>
        <scheme val="minor"/>
      </rPr>
      <t>3</t>
    </r>
    <r>
      <rPr>
        <i/>
        <sz val="11"/>
        <color theme="1"/>
        <rFont val="Calibri"/>
        <family val="2"/>
        <scheme val="minor"/>
      </rPr>
      <t xml:space="preserve"> loss 6 d</t>
    </r>
    <r>
      <rPr>
        <sz val="11"/>
        <color theme="1"/>
        <rFont val="Calibri"/>
        <family val="2"/>
        <scheme val="minor"/>
      </rPr>
      <t>.</t>
    </r>
  </si>
  <si>
    <t xml:space="preserve">Drawback: only single measurement (one WT pr. treatment). Extreemly high emissions, due to the correction they make or high wind speed in WT? Don't trust cumulative emission but relative should still be ok. Omitted data with 22% - not within the realistic range. </t>
  </si>
  <si>
    <t>11.7 (6 h avg)</t>
  </si>
  <si>
    <t>10.3 (6 h avg)</t>
  </si>
  <si>
    <t>7.9 (6 h avg)</t>
  </si>
  <si>
    <t>red of 49%</t>
  </si>
  <si>
    <t>1.9 (6 h avg)</t>
  </si>
  <si>
    <t>red of 43%</t>
  </si>
  <si>
    <t>sandy (4.1% clay)</t>
  </si>
  <si>
    <t>0.17-0.18</t>
  </si>
  <si>
    <t>Red of Fig. 2</t>
  </si>
  <si>
    <r>
      <rPr>
        <i/>
        <sz val="11"/>
        <color theme="1"/>
        <rFont val="Calibri"/>
        <family val="2"/>
        <scheme val="minor"/>
      </rPr>
      <t>Digested pig slurry/sandy-loam</t>
    </r>
    <r>
      <rPr>
        <sz val="11"/>
        <color theme="1"/>
        <rFont val="Calibri"/>
        <family val="2"/>
        <scheme val="minor"/>
      </rPr>
      <t xml:space="preserve">, </t>
    </r>
    <r>
      <rPr>
        <i/>
        <sz val="11"/>
        <color theme="1"/>
        <rFont val="Calibri"/>
        <family val="2"/>
        <scheme val="minor"/>
      </rPr>
      <t>Digested separated pig slurry/sandy-loam</t>
    </r>
    <r>
      <rPr>
        <sz val="11"/>
        <color theme="1"/>
        <rFont val="Calibri"/>
        <family val="2"/>
        <scheme val="minor"/>
      </rPr>
      <t xml:space="preserve">, </t>
    </r>
    <r>
      <rPr>
        <i/>
        <sz val="11"/>
        <color theme="1"/>
        <rFont val="Calibri"/>
        <family val="2"/>
        <scheme val="minor"/>
      </rPr>
      <t>Digested pig slurry/sandy soil</t>
    </r>
    <r>
      <rPr>
        <sz val="11"/>
        <color theme="1"/>
        <rFont val="Calibri"/>
        <family val="2"/>
        <scheme val="minor"/>
      </rPr>
      <t xml:space="preserve">, and </t>
    </r>
    <r>
      <rPr>
        <i/>
        <sz val="11"/>
        <color theme="1"/>
        <rFont val="Calibri"/>
        <family val="2"/>
        <scheme val="minor"/>
      </rPr>
      <t>Digested separated pig slurry/sandy soil.</t>
    </r>
  </si>
  <si>
    <t>decanter centrifuge</t>
  </si>
  <si>
    <t>Red of Fig. 3</t>
  </si>
  <si>
    <t>red of 20%</t>
  </si>
  <si>
    <t>sandy loam (19% clay)</t>
  </si>
  <si>
    <t>Red of Fig. 4</t>
  </si>
  <si>
    <t>Red of Fig. 5</t>
  </si>
  <si>
    <t>16% clay</t>
  </si>
  <si>
    <t>Fig 1</t>
  </si>
  <si>
    <t>Experiment 1, all data.</t>
  </si>
  <si>
    <t>Showing good effect, smaller mesh =&gt; higher reduction. Variation unknown as data from many experiments is pooled.</t>
  </si>
  <si>
    <t>belt press with different mesh size</t>
  </si>
  <si>
    <t>red of 14%</t>
  </si>
  <si>
    <t>red of 28%</t>
  </si>
  <si>
    <t>red of 41%</t>
  </si>
  <si>
    <t>sandy loam (10.4% clay)</t>
  </si>
  <si>
    <t xml:space="preserve">Data in Table 2 does not mach with text in 'Results and Discussion - Experiment 1 where they write that the emissions were 38 and 35%. </t>
  </si>
  <si>
    <t>red of 8%</t>
  </si>
  <si>
    <t>indirect open measurement technique</t>
  </si>
  <si>
    <t>~8</t>
  </si>
  <si>
    <t>yes, right after application</t>
  </si>
  <si>
    <r>
      <t>Untreated slurry</t>
    </r>
    <r>
      <rPr>
        <sz val="11"/>
        <color theme="1"/>
        <rFont val="Calibri"/>
        <family val="2"/>
        <scheme val="minor"/>
      </rPr>
      <t xml:space="preserve"> and </t>
    </r>
    <r>
      <rPr>
        <i/>
        <sz val="11"/>
        <color theme="1"/>
        <rFont val="Calibri"/>
        <family val="2"/>
        <scheme val="minor"/>
      </rPr>
      <t>Separated slurry</t>
    </r>
    <r>
      <rPr>
        <sz val="11"/>
        <color theme="1"/>
        <rFont val="Calibri"/>
        <family val="2"/>
        <scheme val="minor"/>
      </rPr>
      <t>, b.c. (broadcast)</t>
    </r>
    <r>
      <rPr>
        <i/>
        <sz val="11"/>
        <color theme="1"/>
        <rFont val="Calibri"/>
        <family val="2"/>
        <scheme val="minor"/>
      </rPr>
      <t xml:space="preserve">, </t>
    </r>
    <r>
      <rPr>
        <sz val="11"/>
        <color theme="1"/>
        <rFont val="Calibri"/>
        <family val="2"/>
        <scheme val="minor"/>
      </rPr>
      <t xml:space="preserve">inj. </t>
    </r>
    <r>
      <rPr>
        <i/>
        <sz val="11"/>
        <color theme="1"/>
        <rFont val="Calibri"/>
        <family val="2"/>
        <scheme val="minor"/>
      </rPr>
      <t xml:space="preserve">(injected), </t>
    </r>
    <r>
      <rPr>
        <sz val="11"/>
        <color theme="1"/>
        <rFont val="Calibri"/>
        <family val="2"/>
        <scheme val="minor"/>
      </rPr>
      <t>and harr</t>
    </r>
    <r>
      <rPr>
        <i/>
        <sz val="11"/>
        <color theme="1"/>
        <rFont val="Calibri"/>
        <family val="2"/>
        <scheme val="minor"/>
      </rPr>
      <t>. (harrowing)</t>
    </r>
  </si>
  <si>
    <t>Does not discuss the increases with broadcast. Injection: banded slurry application into slits in the soil made by metal hooks. Harrowing: banded slurry application followed by narrow tillage using a flexible harrrow.</t>
  </si>
  <si>
    <t>forcing slurry through coarse textile</t>
  </si>
  <si>
    <t>~22</t>
  </si>
  <si>
    <t>no</t>
  </si>
  <si>
    <t>Red of Fig. 6</t>
  </si>
  <si>
    <t>red of 67%</t>
  </si>
  <si>
    <t>~19</t>
  </si>
  <si>
    <t>Red of Fig. 7</t>
  </si>
  <si>
    <t>Red of Fig. 8</t>
  </si>
  <si>
    <t>inc of 21%</t>
  </si>
  <si>
    <t>~15</t>
  </si>
  <si>
    <t>Red of Fig. 9</t>
  </si>
  <si>
    <t>Red of Fig. 10</t>
  </si>
  <si>
    <t>inc of 60%</t>
  </si>
  <si>
    <t>open slot injection</t>
  </si>
  <si>
    <t>Red of Fig. 11</t>
  </si>
  <si>
    <t>Red of Fig. 12</t>
  </si>
  <si>
    <t>Red of Fig. 13</t>
  </si>
  <si>
    <t>Red of Fig. 14</t>
  </si>
  <si>
    <t>red of 7%</t>
  </si>
  <si>
    <t>Red of Fig. 15</t>
  </si>
  <si>
    <t>Red of Fig. 16</t>
  </si>
  <si>
    <t>red of 54%</t>
  </si>
  <si>
    <t>Red of Fig. 17</t>
  </si>
  <si>
    <t>Red of Fig. 18</t>
  </si>
  <si>
    <t>red of 40%</t>
  </si>
  <si>
    <t>trailing hose + harrowing</t>
  </si>
  <si>
    <t>Red of Fig. 19</t>
  </si>
  <si>
    <t>Red of Fig. 20</t>
  </si>
  <si>
    <t>red of 13%</t>
  </si>
  <si>
    <t>Red of Fig. 21</t>
  </si>
  <si>
    <t>Red of Fig. 22</t>
  </si>
  <si>
    <t>Red of Fig. 23</t>
  </si>
  <si>
    <t>Red of Fig. 24</t>
  </si>
  <si>
    <t>Red of Fig. 25</t>
  </si>
  <si>
    <t>Red of Fig. 26</t>
  </si>
  <si>
    <t>red of 53%</t>
  </si>
  <si>
    <t>Wagner et al. (2021)</t>
  </si>
  <si>
    <t>DTM</t>
  </si>
  <si>
    <t>digestate</t>
  </si>
  <si>
    <t>range 4.2-10.1</t>
  </si>
  <si>
    <t>on-setting rainy periods on the third day</t>
  </si>
  <si>
    <t>loamy sand, 6.9% clay</t>
  </si>
  <si>
    <t>Fig. 4 and mail from Andreas Pacholski</t>
  </si>
  <si>
    <r>
      <rPr>
        <i/>
        <sz val="11"/>
        <color theme="1"/>
        <rFont val="Calibri"/>
        <family val="2"/>
        <scheme val="minor"/>
      </rPr>
      <t>First winter wheat trial</t>
    </r>
    <r>
      <rPr>
        <sz val="11"/>
        <color theme="1"/>
        <rFont val="Calibri"/>
        <family val="2"/>
        <scheme val="minor"/>
      </rPr>
      <t xml:space="preserve"> and </t>
    </r>
    <r>
      <rPr>
        <i/>
        <sz val="11"/>
        <color theme="1"/>
        <rFont val="Calibri"/>
        <family val="2"/>
        <scheme val="minor"/>
      </rPr>
      <t>Second winter wheat trial</t>
    </r>
    <r>
      <rPr>
        <sz val="11"/>
        <color theme="1"/>
        <rFont val="Calibri"/>
        <family val="2"/>
        <scheme val="minor"/>
      </rPr>
      <t xml:space="preserve">, </t>
    </r>
    <r>
      <rPr>
        <i/>
        <sz val="11"/>
        <color theme="1"/>
        <rFont val="Calibri"/>
        <family val="2"/>
        <scheme val="minor"/>
      </rPr>
      <t>AD</t>
    </r>
    <r>
      <rPr>
        <sz val="11"/>
        <color theme="1"/>
        <rFont val="Calibri"/>
        <family val="2"/>
        <scheme val="minor"/>
      </rPr>
      <t xml:space="preserve"> and </t>
    </r>
    <r>
      <rPr>
        <i/>
        <sz val="11"/>
        <color theme="1"/>
        <rFont val="Calibri"/>
        <family val="2"/>
        <scheme val="minor"/>
      </rPr>
      <t>AS.</t>
    </r>
  </si>
  <si>
    <t>Emission data from Andreas Pacholski, see mail from 25-11-2021. Same data as in Ramiran2015 abstract. Low TAN in the digeste. Unexplaned differences between the two experiments. Duration varied between 72 and 96 h.</t>
  </si>
  <si>
    <t>mechanical, possibly dekanter centrifuge (PS and TN guess)</t>
  </si>
  <si>
    <t>not sig red of 50%</t>
  </si>
  <si>
    <t>range 9.4-16.2</t>
  </si>
  <si>
    <t>not sig red of 54%</t>
  </si>
  <si>
    <t>Perazzolo et al. (2016)</t>
  </si>
  <si>
    <t>storage</t>
  </si>
  <si>
    <t>mass balance</t>
  </si>
  <si>
    <t>0.8 m3 tank</t>
  </si>
  <si>
    <t>Field experiments period 1</t>
  </si>
  <si>
    <t>2% increase</t>
  </si>
  <si>
    <t>roller press</t>
  </si>
  <si>
    <t>250 kg pile</t>
  </si>
  <si>
    <t>Field experiments period 2</t>
  </si>
  <si>
    <t>Maffia et al. (2016)</t>
  </si>
  <si>
    <t>lab dynamic chamber</t>
  </si>
  <si>
    <t>1.5 kg in 5 L jar</t>
  </si>
  <si>
    <t>Figure 3</t>
  </si>
  <si>
    <t>Control treatment</t>
  </si>
  <si>
    <t>roughly 8% increase from Fig. 2</t>
  </si>
  <si>
    <t>Email message from J. Maffia 14 Dec 2021 to sasha.hafner@au.dk.</t>
  </si>
  <si>
    <t>800 g in 5 L jar</t>
  </si>
  <si>
    <t>Holly et al. (2017)</t>
  </si>
  <si>
    <t>raw, liquid, solid, digestate</t>
  </si>
  <si>
    <t>closed loop chamber</t>
  </si>
  <si>
    <t>210 L barrels with 185 L material</t>
  </si>
  <si>
    <t>closed loop chamber?</t>
  </si>
  <si>
    <t>Figure 1 and calculations</t>
  </si>
  <si>
    <t>Emission very low and in figure only</t>
  </si>
  <si>
    <t>cattle digestate</t>
  </si>
  <si>
    <t>Calculated from values in Table 1</t>
  </si>
  <si>
    <t>Hansen (2021)</t>
  </si>
  <si>
    <t>screw press + decanting centrifuge</t>
  </si>
  <si>
    <t>NE Videbæk</t>
  </si>
  <si>
    <t>DM%</t>
  </si>
  <si>
    <t>Anderson, in preparation</t>
  </si>
  <si>
    <t>Balsari et al. (2008)</t>
  </si>
  <si>
    <t>winter</t>
  </si>
  <si>
    <t>summer</t>
  </si>
  <si>
    <t>% of liquid fraction</t>
  </si>
  <si>
    <t>Notes</t>
  </si>
  <si>
    <t>Taken as 'start' values in table 2, therefore DM is different than in 'data' sheet where we use 'end' values</t>
  </si>
  <si>
    <t xml:space="preserve">Values from 'storage' as this was later used for application </t>
  </si>
  <si>
    <t>Hvad er normal effekt af de seperations metoder vi bruger I DK? Skal tages højde for ift. hvilken artikler der er relevante at se på.</t>
  </si>
  <si>
    <t xml:space="preserve">I tilfælde hvor separation ikke giver en hurtigere infiltration kan det være 'dobbelt negativt' med både større overfladeareal og højere pH? Men hvor ofte er det tilfældet? </t>
  </si>
  <si>
    <t xml:space="preserve">Hvad er 'mesh size' på commercial separators i DK? Diskussion fra Stevens1992, for lille mesh er nødvendig for at få 'høje' NH3 reduktioner.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</si>
</sst>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20">
    <font>
      <sz val="11"/>
      <color theme="1"/>
      <name val="Calibri"/>
      <family val="2"/>
      <scheme val="minor"/>
    </font>
    <font>
      <b/>
      <sz val="11"/>
      <color theme="1"/>
      <name val="Calibri"/>
      <family val="2"/>
      <scheme val="minor"/>
    </font>
    <font>
      <b/>
      <sz val="12"/>
      <color theme="1"/>
      <name val="Calibri"/>
      <family val="2"/>
      <scheme val="minor"/>
    </font>
    <font>
      <sz val="11"/>
      <color rgb="FFFF0000"/>
      <name val="Calibri"/>
      <family val="2"/>
      <scheme val="minor"/>
    </font>
    <font>
      <sz val="11"/>
      <name val="Calibri"/>
      <family val="2"/>
      <scheme val="minor"/>
    </font>
    <font>
      <i/>
      <sz val="11"/>
      <color theme="1"/>
      <name val="Calibri"/>
      <family val="2"/>
      <scheme val="minor"/>
    </font>
    <font>
      <i/>
      <vertAlign val="subscript"/>
      <sz val="11"/>
      <color theme="1"/>
      <name val="Calibri"/>
      <family val="2"/>
      <scheme val="minor"/>
    </font>
    <font>
      <sz val="11"/>
      <color theme="0" tint="-0.499984740745262"/>
      <name val="Calibri"/>
      <family val="2"/>
      <scheme val="minor"/>
    </font>
    <font>
      <b/>
      <sz val="12"/>
      <color theme="0" tint="-0.499984740745262"/>
      <name val="Calibri"/>
      <family val="2"/>
      <scheme val="minor"/>
    </font>
    <font>
      <sz val="9"/>
      <color indexed="81"/>
      <name val="Tahoma"/>
      <family val="2"/>
    </font>
    <font>
      <b/>
      <sz val="9"/>
      <color indexed="81"/>
      <name val="Tahoma"/>
      <family val="2"/>
    </font>
    <font>
      <sz val="11"/>
      <color theme="1"/>
      <name val="Calibri"/>
      <family val="2"/>
    </font>
    <font>
      <b/>
      <sz val="11"/>
      <color rgb="FFFA7D00"/>
      <name val="Calibri"/>
      <family val="2"/>
      <scheme val="minor"/>
    </font>
    <font>
      <b/>
      <sz val="11"/>
      <color rgb="FF000000"/>
      <name val="Calibri"/>
      <family val="2"/>
      <scheme val="minor"/>
    </font>
    <font>
      <sz val="11"/>
      <color rgb="FF000000"/>
      <name val="Calibri"/>
      <family val="2"/>
      <scheme val="minor"/>
    </font>
    <font>
      <b/>
      <sz val="12"/>
      <color rgb="FF000000"/>
      <name val="Calibri"/>
      <family val="2"/>
      <scheme val="minor"/>
    </font>
    <font>
      <i/>
      <sz val="11"/>
      <color rgb="FF000000"/>
      <name val="Calibri"/>
      <family val="2"/>
      <scheme val="minor"/>
    </font>
    <font>
      <sz val="8"/>
      <name val="Calibri"/>
      <family val="2"/>
      <scheme val="minor"/>
    </font>
    <font>
      <sz val="11"/>
      <color rgb="FF000000"/>
      <name val="Calibri"/>
      <family val="2"/>
    </font>
    <font>
      <sz val="11"/>
      <color rgb="FFFA7D00"/>
      <name val="Calibri"/>
      <family val="2"/>
      <scheme val="minor"/>
    </font>
  </fonts>
  <fills count="8">
    <fill>
      <patternFill patternType="none"/>
    </fill>
    <fill>
      <patternFill patternType="gray125"/>
    </fill>
    <fill>
      <patternFill patternType="solid">
        <fgColor theme="5"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5" tint="-0.249977111117893"/>
        <bgColor indexed="64"/>
      </patternFill>
    </fill>
    <fill>
      <patternFill patternType="solid">
        <fgColor rgb="FFF2F2F2"/>
      </patternFill>
    </fill>
    <fill>
      <patternFill patternType="solid">
        <fgColor rgb="FFFFFF00"/>
        <bgColor indexed="64"/>
      </patternFill>
    </fill>
  </fills>
  <borders count="4">
    <border>
      <left/>
      <right/>
      <top/>
      <bottom/>
      <diagonal/>
    </border>
    <border>
      <left style="thin">
        <color indexed="64"/>
      </left>
      <right/>
      <top/>
      <bottom/>
      <diagonal/>
    </border>
    <border>
      <left/>
      <right style="thin">
        <color indexed="64"/>
      </right>
      <top style="thin">
        <color indexed="64"/>
      </top>
      <bottom/>
      <diagonal/>
    </border>
    <border>
      <left style="thin">
        <color rgb="FF7F7F7F"/>
      </left>
      <right style="thin">
        <color rgb="FF7F7F7F"/>
      </right>
      <top style="thin">
        <color rgb="FF7F7F7F"/>
      </top>
      <bottom style="thin">
        <color rgb="FF7F7F7F"/>
      </bottom>
      <diagonal/>
    </border>
  </borders>
  <cellStyleXfs count="2">
    <xf numFmtId="0" fontId="0" fillId="0" borderId="0"/>
    <xf numFmtId="0" fontId="12" fillId="6" borderId="3" applyNumberFormat="0" applyAlignment="0" applyProtection="0"/>
  </cellStyleXfs>
  <cellXfs count="82">
    <xf numFmtId="0" fontId="0" fillId="0" borderId="0" xfId="0"/>
    <xf numFmtId="0" fontId="1" fillId="0" borderId="0" xfId="0" applyFont="1"/>
    <xf numFmtId="164" fontId="0" fillId="0" borderId="0" xfId="0" applyNumberFormat="1"/>
    <xf numFmtId="0" fontId="0" fillId="0" borderId="0" xfId="0" applyAlignment="1">
      <alignment wrapText="1"/>
    </xf>
    <xf numFmtId="0" fontId="2" fillId="0" borderId="0" xfId="0" applyFont="1"/>
    <xf numFmtId="0" fontId="0" fillId="0" borderId="0" xfId="0" applyAlignment="1">
      <alignment vertical="center"/>
    </xf>
    <xf numFmtId="0" fontId="0" fillId="0" borderId="0" xfId="0" applyAlignment="1">
      <alignment horizontal="center" wrapText="1"/>
    </xf>
    <xf numFmtId="0" fontId="0" fillId="0" borderId="0" xfId="0" applyAlignment="1">
      <alignment horizontal="center"/>
    </xf>
    <xf numFmtId="0" fontId="0" fillId="0" borderId="0" xfId="0" applyAlignment="1">
      <alignment horizontal="left"/>
    </xf>
    <xf numFmtId="0" fontId="0" fillId="0" borderId="1" xfId="0" applyBorder="1" applyAlignment="1">
      <alignment horizontal="left" wrapText="1"/>
    </xf>
    <xf numFmtId="0" fontId="0" fillId="0" borderId="0" xfId="0" applyAlignment="1">
      <alignment horizontal="left" wrapText="1"/>
    </xf>
    <xf numFmtId="0" fontId="2" fillId="0" borderId="2" xfId="0" applyFont="1" applyBorder="1" applyAlignment="1">
      <alignment wrapText="1"/>
    </xf>
    <xf numFmtId="0" fontId="1" fillId="0" borderId="0" xfId="0" applyFont="1" applyAlignment="1">
      <alignment wrapText="1"/>
    </xf>
    <xf numFmtId="2" fontId="0" fillId="0" borderId="0" xfId="0" applyNumberFormat="1"/>
    <xf numFmtId="0" fontId="3" fillId="0" borderId="0" xfId="0" applyFont="1" applyAlignment="1">
      <alignment horizontal="center" wrapText="1"/>
    </xf>
    <xf numFmtId="0" fontId="7" fillId="0" borderId="0" xfId="0" applyFont="1" applyAlignment="1">
      <alignment wrapText="1"/>
    </xf>
    <xf numFmtId="0" fontId="7" fillId="0" borderId="0" xfId="0" applyFont="1"/>
    <xf numFmtId="0" fontId="7" fillId="0" borderId="0" xfId="0" applyFont="1" applyAlignment="1">
      <alignment horizontal="center"/>
    </xf>
    <xf numFmtId="0" fontId="14" fillId="0" borderId="0" xfId="0" applyFont="1" applyAlignment="1">
      <alignment wrapText="1"/>
    </xf>
    <xf numFmtId="0" fontId="14" fillId="0" borderId="0" xfId="0" applyFont="1"/>
    <xf numFmtId="0" fontId="14" fillId="0" borderId="0" xfId="0" applyFont="1" applyAlignment="1">
      <alignment horizontal="center"/>
    </xf>
    <xf numFmtId="0" fontId="3" fillId="0" borderId="0" xfId="0" applyFont="1" applyAlignment="1">
      <alignment wrapText="1"/>
    </xf>
    <xf numFmtId="0" fontId="4" fillId="0" borderId="0" xfId="0" applyFont="1" applyAlignment="1">
      <alignment wrapText="1"/>
    </xf>
    <xf numFmtId="0" fontId="15" fillId="0" borderId="0" xfId="0" applyFont="1" applyAlignment="1">
      <alignment horizontal="center"/>
    </xf>
    <xf numFmtId="0" fontId="2" fillId="0" borderId="0" xfId="0" applyFont="1" applyAlignment="1">
      <alignment horizontal="left"/>
    </xf>
    <xf numFmtId="0" fontId="13" fillId="0" borderId="0" xfId="0" applyFont="1" applyAlignment="1">
      <alignment wrapText="1"/>
    </xf>
    <xf numFmtId="0" fontId="13" fillId="0" borderId="0" xfId="0" applyFont="1"/>
    <xf numFmtId="0" fontId="13" fillId="0" borderId="0" xfId="0" applyFont="1" applyAlignment="1">
      <alignment horizontal="center"/>
    </xf>
    <xf numFmtId="0" fontId="13" fillId="0" borderId="0" xfId="0" applyFont="1" applyAlignment="1">
      <alignment horizontal="center" wrapText="1"/>
    </xf>
    <xf numFmtId="0" fontId="1" fillId="0" borderId="0" xfId="0" applyFont="1" applyAlignment="1">
      <alignment horizontal="center" wrapText="1"/>
    </xf>
    <xf numFmtId="1" fontId="12" fillId="6" borderId="0" xfId="1" applyNumberFormat="1" applyBorder="1" applyAlignment="1">
      <alignment wrapText="1"/>
    </xf>
    <xf numFmtId="0" fontId="0" fillId="3" borderId="0" xfId="0" applyFill="1"/>
    <xf numFmtId="0" fontId="12" fillId="6" borderId="0" xfId="1" applyBorder="1"/>
    <xf numFmtId="1" fontId="12" fillId="6" borderId="0" xfId="1" applyNumberFormat="1" applyBorder="1" applyAlignment="1"/>
    <xf numFmtId="1" fontId="12" fillId="6" borderId="0" xfId="1" applyNumberFormat="1" applyBorder="1"/>
    <xf numFmtId="0" fontId="0" fillId="2" borderId="0" xfId="0" applyFill="1"/>
    <xf numFmtId="1" fontId="12" fillId="6" borderId="0" xfId="1" applyNumberFormat="1" applyBorder="1" applyAlignment="1">
      <alignment horizontal="center"/>
    </xf>
    <xf numFmtId="2" fontId="14" fillId="0" borderId="0" xfId="0" applyNumberFormat="1" applyFont="1" applyAlignment="1">
      <alignment horizontal="center"/>
    </xf>
    <xf numFmtId="2" fontId="12" fillId="6" borderId="0" xfId="1" applyNumberFormat="1" applyBorder="1"/>
    <xf numFmtId="1" fontId="14" fillId="0" borderId="0" xfId="0" applyNumberFormat="1" applyFont="1" applyAlignment="1">
      <alignment horizontal="center"/>
    </xf>
    <xf numFmtId="1" fontId="0" fillId="4" borderId="0" xfId="0" applyNumberFormat="1" applyFill="1" applyAlignment="1">
      <alignment horizontal="center"/>
    </xf>
    <xf numFmtId="1" fontId="0" fillId="3" borderId="0" xfId="0" applyNumberFormat="1" applyFill="1" applyAlignment="1">
      <alignment horizontal="center"/>
    </xf>
    <xf numFmtId="164" fontId="14" fillId="0" borderId="0" xfId="0" applyNumberFormat="1" applyFont="1" applyAlignment="1">
      <alignment horizontal="center"/>
    </xf>
    <xf numFmtId="1" fontId="0" fillId="0" borderId="0" xfId="0" applyNumberFormat="1"/>
    <xf numFmtId="1" fontId="0" fillId="0" borderId="0" xfId="0" applyNumberFormat="1" applyAlignment="1">
      <alignment horizontal="center"/>
    </xf>
    <xf numFmtId="1" fontId="0" fillId="2" borderId="0" xfId="0" applyNumberFormat="1" applyFill="1" applyAlignment="1">
      <alignment horizontal="center"/>
    </xf>
    <xf numFmtId="1" fontId="7" fillId="0" borderId="0" xfId="0" applyNumberFormat="1" applyFont="1"/>
    <xf numFmtId="0" fontId="16" fillId="0" borderId="0" xfId="0" applyFont="1"/>
    <xf numFmtId="0" fontId="5" fillId="0" borderId="0" xfId="0" applyFont="1"/>
    <xf numFmtId="0" fontId="0" fillId="3" borderId="0" xfId="0" applyFill="1" applyAlignment="1">
      <alignment horizontal="center"/>
    </xf>
    <xf numFmtId="0" fontId="14" fillId="0" borderId="0" xfId="0" applyFont="1" applyAlignment="1">
      <alignment horizontal="center" wrapText="1"/>
    </xf>
    <xf numFmtId="0" fontId="0" fillId="2" borderId="0" xfId="0" applyFill="1" applyAlignment="1">
      <alignment horizontal="center"/>
    </xf>
    <xf numFmtId="164" fontId="0" fillId="0" borderId="0" xfId="0" applyNumberFormat="1" applyAlignment="1">
      <alignment horizontal="center"/>
    </xf>
    <xf numFmtId="0" fontId="14" fillId="5" borderId="0" xfId="0" applyFont="1" applyFill="1" applyAlignment="1">
      <alignment horizontal="center" wrapText="1"/>
    </xf>
    <xf numFmtId="0" fontId="14" fillId="5" borderId="0" xfId="0" applyFont="1" applyFill="1" applyAlignment="1">
      <alignment horizontal="center"/>
    </xf>
    <xf numFmtId="0" fontId="0" fillId="5" borderId="0" xfId="0" applyFill="1" applyAlignment="1">
      <alignment horizontal="center"/>
    </xf>
    <xf numFmtId="0" fontId="0" fillId="5" borderId="0" xfId="0" applyFill="1"/>
    <xf numFmtId="0" fontId="7" fillId="5" borderId="0" xfId="0" applyFont="1" applyFill="1" applyAlignment="1">
      <alignment horizontal="center"/>
    </xf>
    <xf numFmtId="164" fontId="14" fillId="0" borderId="0" xfId="0" applyNumberFormat="1" applyFont="1"/>
    <xf numFmtId="164" fontId="0" fillId="3" borderId="0" xfId="0" applyNumberFormat="1" applyFill="1"/>
    <xf numFmtId="164" fontId="0" fillId="3" borderId="0" xfId="0" applyNumberFormat="1" applyFill="1" applyAlignment="1">
      <alignment horizontal="center"/>
    </xf>
    <xf numFmtId="0" fontId="0" fillId="3" borderId="0" xfId="0" applyFill="1" applyAlignment="1">
      <alignment wrapText="1"/>
    </xf>
    <xf numFmtId="0" fontId="0" fillId="2" borderId="0" xfId="0" applyFill="1" applyAlignment="1">
      <alignment wrapText="1"/>
    </xf>
    <xf numFmtId="0" fontId="11" fillId="0" borderId="0" xfId="0" applyFont="1" applyAlignment="1">
      <alignment vertical="center"/>
    </xf>
    <xf numFmtId="0" fontId="14" fillId="0" borderId="0" xfId="0" quotePrefix="1" applyFont="1"/>
    <xf numFmtId="0" fontId="8" fillId="0" borderId="0" xfId="0" applyFont="1" applyAlignment="1">
      <alignment horizontal="center"/>
    </xf>
    <xf numFmtId="0" fontId="0" fillId="5" borderId="0" xfId="0" applyFill="1" applyAlignment="1">
      <alignment wrapText="1"/>
    </xf>
    <xf numFmtId="0" fontId="14" fillId="5" borderId="0" xfId="0" applyFont="1" applyFill="1"/>
    <xf numFmtId="0" fontId="18" fillId="0" borderId="0" xfId="0" applyFont="1" applyAlignment="1">
      <alignment vertical="center"/>
    </xf>
    <xf numFmtId="165" fontId="12" fillId="6" borderId="0" xfId="1" applyNumberFormat="1" applyBorder="1"/>
    <xf numFmtId="9" fontId="14" fillId="0" borderId="0" xfId="0" applyNumberFormat="1" applyFont="1"/>
    <xf numFmtId="164" fontId="12" fillId="6" borderId="0" xfId="1" applyNumberFormat="1" applyBorder="1" applyAlignment="1"/>
    <xf numFmtId="1" fontId="13" fillId="6" borderId="0" xfId="1" applyNumberFormat="1" applyFont="1" applyBorder="1" applyAlignment="1">
      <alignment wrapText="1"/>
    </xf>
    <xf numFmtId="0" fontId="13" fillId="7" borderId="0" xfId="0" applyFont="1" applyFill="1" applyAlignment="1">
      <alignment horizontal="center" wrapText="1"/>
    </xf>
    <xf numFmtId="1" fontId="19" fillId="6" borderId="0" xfId="1" applyNumberFormat="1" applyFont="1" applyBorder="1" applyAlignment="1"/>
    <xf numFmtId="0" fontId="2" fillId="0" borderId="0" xfId="0" applyFont="1" applyAlignment="1">
      <alignment horizontal="center"/>
    </xf>
    <xf numFmtId="0" fontId="15" fillId="0" borderId="0" xfId="0" applyFont="1"/>
    <xf numFmtId="0" fontId="0" fillId="0" borderId="0" xfId="0" applyAlignment="1">
      <alignment horizontal="center"/>
    </xf>
    <xf numFmtId="0" fontId="2" fillId="0" borderId="0" xfId="0" applyFont="1" applyAlignment="1">
      <alignment horizontal="left"/>
    </xf>
    <xf numFmtId="0" fontId="15" fillId="0" borderId="0" xfId="0" applyFont="1" applyAlignment="1">
      <alignment horizontal="left"/>
    </xf>
    <xf numFmtId="0" fontId="2" fillId="0" borderId="0" xfId="0" applyFont="1" applyAlignment="1">
      <alignment horizontal="center"/>
    </xf>
    <xf numFmtId="0" fontId="15" fillId="0" borderId="0" xfId="0" applyFont="1" applyAlignment="1">
      <alignment horizontal="center"/>
    </xf>
  </cellXfs>
  <cellStyles count="2">
    <cellStyle name="Beregning" xfId="1" builtinId="22"/>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2.xml"/><Relationship Id="rId5" Type="http://schemas.openxmlformats.org/officeDocument/2006/relationships/theme" Target="theme/theme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Johanna Pedersen" id="{366DD1D9-57C3-478A-8A89-1C499F8903FF}" userId="S::au583430@uni.au.dk::71571920-b495-4049-9e88-42b8ad2f91e5" providerId="AD"/>
  <person displayName="Sasha D. Hafner" id="{714ADAE5-F298-4D39-A57A-98E6765477FB}" userId="S::au594831@uni.au.dk::0b4de143-cdcb-4fc8-ad6b-f7b5ef0a59f5"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H2" dT="2022-01-04T15:19:16.97" personId="{714ADAE5-F298-4D39-A57A-98E6765477FB}" id="{47AA8C92-E8B6-4931-ADBB-55389F000781}">
    <text>We need scale (lab, pilot, full?)</text>
  </threadedComment>
  <threadedComment ref="H2" dT="2022-01-06T13:18:22.82" personId="{366DD1D9-57C3-478A-8A89-1C499F8903FF}" id="{E63D8EA6-5C9B-48C6-841D-97AC7F5BB71C}" parentId="{47AA8C92-E8B6-4931-ADBB-55389F000781}">
    <text>I'll add that for the data I entered.</text>
  </threadedComment>
  <threadedComment ref="W2" dT="2022-01-03T16:27:37.16" personId="{714ADAE5-F298-4D39-A57A-98E6765477FB}" id="{47BFE565-DEC8-408A-9355-B5B6BFB3F755}">
    <text>Added this to make numerical summary easier</text>
  </threadedComment>
  <threadedComment ref="Y2" dT="2022-01-03T12:03:15.23" personId="{714ADAE5-F298-4D39-A57A-98E6765477FB}" id="{407BD3FB-41FA-4F98-B9E4-B360AA5D893D}">
    <text>Do we need this column if we have J?</text>
  </threadedComment>
  <threadedComment ref="Y2" dT="2022-01-06T13:17:46.40" personId="{366DD1D9-57C3-478A-8A89-1C499F8903FF}" id="{084CAC2E-D11C-4799-A2F7-536FD080D5B6}" parentId="{407BD3FB-41FA-4F98-B9E4-B360AA5D893D}">
    <text>I needed a column where all of the slurries are either raw, liquid or solids for the calculations I made in R. For Sommer et al. (1991) the fraction is described as 'mix' in column J - which is the most correct description.</text>
  </threadedComment>
  <threadedComment ref="AS2" dT="2022-01-03T16:27:37.16" personId="{714ADAE5-F298-4D39-A57A-98E6765477FB}" id="{E765359B-F297-4F67-92E3-C3AF991F5733}">
    <text>Added this to make numerical summary easier</text>
  </threadedComment>
  <threadedComment ref="L191" dT="2021-12-23T12:34:05.27" personId="{714ADAE5-F298-4D39-A57A-98E6765477FB}" id="{B35C4509-0BF9-431E-813A-2A31F496D982}">
    <text>Clearly reported mass separation makes no sense.</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EC626B-2C02-4697-901E-5E9121AD1987}">
  <dimension ref="A1:C34"/>
  <sheetViews>
    <sheetView zoomScaleNormal="100" workbookViewId="0">
      <selection activeCell="C14" sqref="C14"/>
    </sheetView>
  </sheetViews>
  <sheetFormatPr defaultRowHeight="15"/>
  <cols>
    <col min="1" max="1" width="23" bestFit="1" customWidth="1"/>
    <col min="2" max="2" width="23" customWidth="1"/>
    <col min="3" max="3" width="215.28515625" bestFit="1" customWidth="1"/>
  </cols>
  <sheetData>
    <row r="1" spans="1:3">
      <c r="A1" s="1" t="s">
        <v>0</v>
      </c>
      <c r="B1" s="1" t="s">
        <v>1</v>
      </c>
      <c r="C1" s="1" t="s">
        <v>2</v>
      </c>
    </row>
    <row r="2" spans="1:3">
      <c r="A2" s="8" t="s">
        <v>3</v>
      </c>
      <c r="B2" s="8" t="s">
        <v>4</v>
      </c>
      <c r="C2" s="5" t="s">
        <v>5</v>
      </c>
    </row>
    <row r="3" spans="1:3">
      <c r="A3" s="8" t="s">
        <v>6</v>
      </c>
      <c r="B3" s="8" t="s">
        <v>7</v>
      </c>
      <c r="C3" t="s">
        <v>8</v>
      </c>
    </row>
    <row r="4" spans="1:3">
      <c r="A4" s="8" t="s">
        <v>9</v>
      </c>
      <c r="B4" s="8" t="s">
        <v>7</v>
      </c>
      <c r="C4" t="s">
        <v>10</v>
      </c>
    </row>
    <row r="5" spans="1:3">
      <c r="A5" s="8" t="s">
        <v>11</v>
      </c>
      <c r="B5" s="8" t="s">
        <v>7</v>
      </c>
      <c r="C5" t="s">
        <v>12</v>
      </c>
    </row>
    <row r="6" spans="1:3">
      <c r="A6" s="8" t="s">
        <v>13</v>
      </c>
      <c r="B6" s="8" t="s">
        <v>7</v>
      </c>
      <c r="C6" t="s">
        <v>14</v>
      </c>
    </row>
    <row r="7" spans="1:3">
      <c r="A7" s="9" t="s">
        <v>15</v>
      </c>
      <c r="B7" s="8" t="s">
        <v>7</v>
      </c>
      <c r="C7" t="s">
        <v>16</v>
      </c>
    </row>
    <row r="8" spans="1:3">
      <c r="A8" s="9" t="s">
        <v>17</v>
      </c>
      <c r="B8" s="8" t="s">
        <v>7</v>
      </c>
      <c r="C8" t="s">
        <v>18</v>
      </c>
    </row>
    <row r="9" spans="1:3">
      <c r="A9" s="10" t="s">
        <v>19</v>
      </c>
      <c r="B9" s="8" t="s">
        <v>7</v>
      </c>
      <c r="C9" t="s">
        <v>20</v>
      </c>
    </row>
    <row r="10" spans="1:3">
      <c r="A10" s="8" t="s">
        <v>21</v>
      </c>
      <c r="B10" s="8" t="s">
        <v>7</v>
      </c>
      <c r="C10" t="s">
        <v>22</v>
      </c>
    </row>
    <row r="11" spans="1:3">
      <c r="A11" s="8" t="s">
        <v>23</v>
      </c>
      <c r="B11" s="8" t="s">
        <v>7</v>
      </c>
      <c r="C11" t="s">
        <v>24</v>
      </c>
    </row>
    <row r="12" spans="1:3">
      <c r="A12" t="s">
        <v>25</v>
      </c>
      <c r="B12" s="8" t="s">
        <v>7</v>
      </c>
      <c r="C12" t="s">
        <v>26</v>
      </c>
    </row>
    <row r="13" spans="1:3">
      <c r="A13" s="8" t="s">
        <v>27</v>
      </c>
      <c r="B13" s="8" t="s">
        <v>7</v>
      </c>
      <c r="C13" t="s">
        <v>28</v>
      </c>
    </row>
    <row r="14" spans="1:3">
      <c r="A14" s="8" t="s">
        <v>29</v>
      </c>
      <c r="B14" s="8" t="s">
        <v>7</v>
      </c>
      <c r="C14" t="s">
        <v>30</v>
      </c>
    </row>
    <row r="15" spans="1:3" s="6" customFormat="1">
      <c r="A15" s="10" t="s">
        <v>31</v>
      </c>
      <c r="B15" s="8" t="s">
        <v>7</v>
      </c>
      <c r="C15" t="s">
        <v>32</v>
      </c>
    </row>
    <row r="16" spans="1:3">
      <c r="A16" s="8" t="s">
        <v>33</v>
      </c>
      <c r="B16" s="8" t="s">
        <v>7</v>
      </c>
      <c r="C16" t="s">
        <v>34</v>
      </c>
    </row>
    <row r="17" spans="1:3">
      <c r="A17" s="8" t="s">
        <v>35</v>
      </c>
      <c r="B17" s="8" t="s">
        <v>7</v>
      </c>
      <c r="C17" t="s">
        <v>36</v>
      </c>
    </row>
    <row r="18" spans="1:3">
      <c r="A18" s="8" t="s">
        <v>37</v>
      </c>
      <c r="B18" s="8" t="s">
        <v>38</v>
      </c>
      <c r="C18" t="s">
        <v>39</v>
      </c>
    </row>
    <row r="19" spans="1:3">
      <c r="A19" t="s">
        <v>40</v>
      </c>
      <c r="B19" s="8" t="s">
        <v>7</v>
      </c>
      <c r="C19" t="s">
        <v>41</v>
      </c>
    </row>
    <row r="20" spans="1:3">
      <c r="A20" s="8" t="s">
        <v>42</v>
      </c>
      <c r="B20" s="8" t="s">
        <v>7</v>
      </c>
      <c r="C20" t="s">
        <v>43</v>
      </c>
    </row>
    <row r="21" spans="1:3">
      <c r="A21" s="8" t="s">
        <v>44</v>
      </c>
      <c r="B21" s="8" t="s">
        <v>7</v>
      </c>
      <c r="C21" t="s">
        <v>45</v>
      </c>
    </row>
    <row r="22" spans="1:3">
      <c r="A22" s="8" t="s">
        <v>46</v>
      </c>
      <c r="B22" s="8" t="s">
        <v>7</v>
      </c>
      <c r="C22" t="s">
        <v>47</v>
      </c>
    </row>
    <row r="23" spans="1:3">
      <c r="A23" s="8" t="s">
        <v>48</v>
      </c>
      <c r="B23" s="8" t="s">
        <v>7</v>
      </c>
      <c r="C23" t="s">
        <v>49</v>
      </c>
    </row>
    <row r="24" spans="1:3">
      <c r="A24" s="8" t="s">
        <v>50</v>
      </c>
      <c r="B24" s="8" t="s">
        <v>7</v>
      </c>
      <c r="C24" t="s">
        <v>51</v>
      </c>
    </row>
    <row r="25" spans="1:3">
      <c r="A25" s="8" t="s">
        <v>52</v>
      </c>
      <c r="B25" s="8" t="s">
        <v>7</v>
      </c>
      <c r="C25" t="s">
        <v>53</v>
      </c>
    </row>
    <row r="26" spans="1:3">
      <c r="A26" s="8" t="s">
        <v>54</v>
      </c>
      <c r="B26" s="8" t="s">
        <v>7</v>
      </c>
      <c r="C26" t="s">
        <v>55</v>
      </c>
    </row>
    <row r="27" spans="1:3">
      <c r="A27" s="8" t="s">
        <v>56</v>
      </c>
      <c r="B27" s="8" t="s">
        <v>7</v>
      </c>
      <c r="C27" t="s">
        <v>57</v>
      </c>
    </row>
    <row r="32" spans="1:3">
      <c r="A32" t="s">
        <v>58</v>
      </c>
      <c r="B32" t="s">
        <v>59</v>
      </c>
    </row>
    <row r="33" spans="1:3">
      <c r="A33" t="s">
        <v>60</v>
      </c>
      <c r="B33" t="s">
        <v>61</v>
      </c>
      <c r="C33" t="s">
        <v>62</v>
      </c>
    </row>
    <row r="34" spans="1:3">
      <c r="A34" t="s">
        <v>63</v>
      </c>
      <c r="B34" t="s">
        <v>64</v>
      </c>
      <c r="C34" t="s">
        <v>65</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B50F8D-5629-46D0-81CA-B7F069B33563}">
  <sheetPr>
    <pageSetUpPr fitToPage="1"/>
  </sheetPr>
  <dimension ref="A1:BF211"/>
  <sheetViews>
    <sheetView tabSelected="1" zoomScale="85" zoomScaleNormal="85" workbookViewId="0">
      <pane xSplit="11" ySplit="3" topLeftCell="W192" activePane="bottomRight" state="frozen"/>
      <selection pane="bottomRight" activeCell="AD207" sqref="AD207"/>
      <selection pane="bottomLeft" activeCell="A4" sqref="A4"/>
      <selection pane="topRight" activeCell="K1" sqref="K1"/>
    </sheetView>
  </sheetViews>
  <sheetFormatPr defaultRowHeight="15"/>
  <cols>
    <col min="1" max="1" width="34.7109375" style="3" customWidth="1"/>
    <col min="2" max="2" width="23.85546875" style="18" customWidth="1"/>
    <col min="3" max="3" width="9.85546875" style="19" customWidth="1"/>
    <col min="4" max="4" width="15.140625" style="18" customWidth="1"/>
    <col min="5" max="5" width="12.28515625" style="19" customWidth="1"/>
    <col min="6" max="6" width="14.7109375" style="19" customWidth="1"/>
    <col min="7" max="7" width="13.5703125" customWidth="1"/>
    <col min="8" max="9" width="12" customWidth="1"/>
    <col min="10" max="10" width="13.7109375" style="19" bestFit="1" customWidth="1"/>
    <col min="11" max="11" width="10.42578125" style="20" bestFit="1" customWidth="1"/>
    <col min="12" max="13" width="18" style="16" customWidth="1"/>
    <col min="14" max="14" width="18" customWidth="1"/>
    <col min="15" max="15" width="18" style="19" customWidth="1"/>
    <col min="16" max="16" width="10.7109375" style="20" bestFit="1" customWidth="1"/>
    <col min="17" max="18" width="9.140625" style="20"/>
    <col min="19" max="19" width="17.5703125" style="20" bestFit="1" customWidth="1"/>
    <col min="20" max="20" width="17.5703125" style="20" customWidth="1"/>
    <col min="21" max="21" width="12.5703125" style="19" customWidth="1"/>
    <col min="22" max="22" width="13.42578125" style="19" customWidth="1"/>
    <col min="23" max="23" width="11.28515625" style="19" customWidth="1"/>
    <col min="24" max="24" width="12.28515625" style="19" customWidth="1"/>
    <col min="25" max="25" width="10.42578125" style="20" bestFit="1" customWidth="1"/>
    <col min="26" max="26" width="25.7109375" style="18" customWidth="1"/>
    <col min="27" max="27" width="10.7109375" style="20" bestFit="1" customWidth="1"/>
    <col min="28" max="29" width="9.140625" style="20"/>
    <col min="30" max="30" width="9.140625" style="7"/>
    <col min="31" max="31" width="21.28515625" customWidth="1"/>
    <col min="33" max="33" width="13" customWidth="1"/>
    <col min="34" max="34" width="12.28515625" customWidth="1"/>
    <col min="35" max="35" width="14.140625" customWidth="1"/>
    <col min="38" max="38" width="11.140625" customWidth="1"/>
    <col min="39" max="40" width="13" customWidth="1"/>
    <col min="41" max="41" width="17.5703125" bestFit="1" customWidth="1"/>
    <col min="42" max="45" width="17.5703125" customWidth="1"/>
    <col min="46" max="46" width="19.7109375" bestFit="1" customWidth="1"/>
    <col min="47" max="47" width="25.7109375" customWidth="1"/>
    <col min="48" max="48" width="27.28515625" style="3" customWidth="1"/>
    <col min="49" max="49" width="9.5703125" bestFit="1" customWidth="1"/>
  </cols>
  <sheetData>
    <row r="1" spans="1:48" s="4" customFormat="1" ht="15.75">
      <c r="A1" s="80" t="s">
        <v>66</v>
      </c>
      <c r="B1" s="80"/>
      <c r="C1" s="80"/>
      <c r="D1" s="80"/>
      <c r="E1" s="80"/>
      <c r="F1" s="80"/>
      <c r="G1" s="80"/>
      <c r="H1" s="80"/>
      <c r="I1" s="75"/>
      <c r="J1" s="76"/>
      <c r="K1" s="23"/>
      <c r="L1" s="80" t="s">
        <v>67</v>
      </c>
      <c r="M1" s="80"/>
      <c r="N1" s="80"/>
      <c r="O1" s="80"/>
      <c r="P1" s="81" t="s">
        <v>68</v>
      </c>
      <c r="Q1" s="81"/>
      <c r="R1" s="81"/>
      <c r="S1" s="79" t="s">
        <v>69</v>
      </c>
      <c r="T1" s="79"/>
      <c r="U1" s="79"/>
      <c r="V1" s="79"/>
      <c r="W1" s="79"/>
      <c r="X1" s="79"/>
      <c r="Y1" s="79"/>
      <c r="Z1" s="79"/>
      <c r="AA1" s="81" t="s">
        <v>70</v>
      </c>
      <c r="AB1" s="81"/>
      <c r="AC1" s="81"/>
      <c r="AD1" s="65"/>
      <c r="AE1" s="4" t="s">
        <v>71</v>
      </c>
      <c r="AJ1" s="78" t="s">
        <v>72</v>
      </c>
      <c r="AK1" s="78"/>
      <c r="AL1" s="78"/>
      <c r="AM1" s="78"/>
      <c r="AN1" s="24"/>
      <c r="AO1" s="79" t="s">
        <v>73</v>
      </c>
      <c r="AP1" s="79"/>
      <c r="AQ1" s="79"/>
      <c r="AR1" s="79"/>
      <c r="AS1" s="79"/>
      <c r="AT1" s="79"/>
      <c r="AU1" s="79"/>
      <c r="AV1" s="11"/>
    </row>
    <row r="2" spans="1:48" s="12" customFormat="1" ht="75">
      <c r="A2" s="12" t="s">
        <v>74</v>
      </c>
      <c r="B2" s="25" t="s">
        <v>75</v>
      </c>
      <c r="C2" s="25" t="s">
        <v>76</v>
      </c>
      <c r="D2" s="25" t="s">
        <v>77</v>
      </c>
      <c r="E2" s="25" t="s">
        <v>78</v>
      </c>
      <c r="F2" s="25" t="s">
        <v>79</v>
      </c>
      <c r="G2" s="25" t="s">
        <v>80</v>
      </c>
      <c r="H2" s="12" t="s">
        <v>81</v>
      </c>
      <c r="I2" s="12" t="s">
        <v>82</v>
      </c>
      <c r="J2" s="25" t="s">
        <v>83</v>
      </c>
      <c r="K2" s="28" t="s">
        <v>84</v>
      </c>
      <c r="L2" s="25" t="s">
        <v>85</v>
      </c>
      <c r="M2" s="25" t="s">
        <v>86</v>
      </c>
      <c r="N2" s="12" t="s">
        <v>87</v>
      </c>
      <c r="O2" s="25" t="s">
        <v>88</v>
      </c>
      <c r="P2" s="28" t="s">
        <v>89</v>
      </c>
      <c r="Q2" s="28" t="s">
        <v>90</v>
      </c>
      <c r="R2" s="28" t="s">
        <v>91</v>
      </c>
      <c r="S2" s="28" t="s">
        <v>92</v>
      </c>
      <c r="T2" s="28" t="s">
        <v>93</v>
      </c>
      <c r="U2" s="25" t="s">
        <v>94</v>
      </c>
      <c r="V2" s="25" t="s">
        <v>95</v>
      </c>
      <c r="W2" s="25" t="s">
        <v>96</v>
      </c>
      <c r="X2" s="25" t="s">
        <v>97</v>
      </c>
      <c r="Y2" s="73" t="s">
        <v>98</v>
      </c>
      <c r="Z2" s="25" t="s">
        <v>99</v>
      </c>
      <c r="AA2" s="28" t="s">
        <v>89</v>
      </c>
      <c r="AB2" s="28" t="s">
        <v>90</v>
      </c>
      <c r="AC2" s="28" t="s">
        <v>100</v>
      </c>
      <c r="AD2" s="29" t="s">
        <v>101</v>
      </c>
      <c r="AE2" s="12" t="s">
        <v>102</v>
      </c>
      <c r="AF2" s="12" t="s">
        <v>103</v>
      </c>
      <c r="AG2" s="12" t="s">
        <v>104</v>
      </c>
      <c r="AH2" s="12" t="s">
        <v>105</v>
      </c>
      <c r="AI2" s="12" t="s">
        <v>106</v>
      </c>
      <c r="AJ2" s="12" t="s">
        <v>107</v>
      </c>
      <c r="AK2" s="12" t="s">
        <v>108</v>
      </c>
      <c r="AL2" s="12" t="s">
        <v>109</v>
      </c>
      <c r="AM2" s="12" t="s">
        <v>110</v>
      </c>
      <c r="AN2" s="12" t="s">
        <v>111</v>
      </c>
      <c r="AO2" s="28" t="s">
        <v>112</v>
      </c>
      <c r="AP2" s="28" t="s">
        <v>93</v>
      </c>
      <c r="AQ2" s="25" t="s">
        <v>74</v>
      </c>
      <c r="AR2" s="25" t="s">
        <v>95</v>
      </c>
      <c r="AS2" s="25" t="s">
        <v>96</v>
      </c>
      <c r="AT2" s="25" t="s">
        <v>97</v>
      </c>
      <c r="AU2" s="25" t="s">
        <v>99</v>
      </c>
    </row>
    <row r="3" spans="1:48" s="1" customFormat="1" ht="30">
      <c r="A3" s="12" t="s">
        <v>74</v>
      </c>
      <c r="B3" s="25" t="s">
        <v>113</v>
      </c>
      <c r="C3" s="26" t="s">
        <v>114</v>
      </c>
      <c r="D3" s="25" t="s">
        <v>115</v>
      </c>
      <c r="E3" s="26" t="s">
        <v>116</v>
      </c>
      <c r="F3" s="26" t="s">
        <v>117</v>
      </c>
      <c r="G3" s="26" t="s">
        <v>118</v>
      </c>
      <c r="H3" s="1" t="s">
        <v>119</v>
      </c>
      <c r="I3" s="1" t="s">
        <v>120</v>
      </c>
      <c r="J3" s="26" t="s">
        <v>121</v>
      </c>
      <c r="K3" s="27" t="s">
        <v>84</v>
      </c>
      <c r="L3" s="25" t="s">
        <v>122</v>
      </c>
      <c r="M3" s="25" t="s">
        <v>123</v>
      </c>
      <c r="N3" s="12" t="s">
        <v>124</v>
      </c>
      <c r="O3" s="25"/>
      <c r="P3" s="28" t="s">
        <v>125</v>
      </c>
      <c r="Q3" s="27" t="s">
        <v>126</v>
      </c>
      <c r="R3" s="28" t="s">
        <v>127</v>
      </c>
      <c r="S3" s="28" t="s">
        <v>128</v>
      </c>
      <c r="T3" s="28" t="s">
        <v>129</v>
      </c>
      <c r="U3" s="26" t="s">
        <v>130</v>
      </c>
      <c r="V3" s="26" t="s">
        <v>131</v>
      </c>
      <c r="W3" s="26"/>
      <c r="X3" s="26" t="s">
        <v>132</v>
      </c>
      <c r="Y3" s="27" t="s">
        <v>98</v>
      </c>
      <c r="Z3" s="25" t="s">
        <v>133</v>
      </c>
      <c r="AA3" s="28" t="s">
        <v>134</v>
      </c>
      <c r="AB3" s="27" t="s">
        <v>135</v>
      </c>
      <c r="AC3" s="28" t="s">
        <v>136</v>
      </c>
      <c r="AD3" s="29" t="s">
        <v>101</v>
      </c>
      <c r="AE3" s="1" t="s">
        <v>137</v>
      </c>
      <c r="AF3" s="12" t="s">
        <v>138</v>
      </c>
      <c r="AG3" s="1" t="s">
        <v>139</v>
      </c>
      <c r="AH3" s="1" t="s">
        <v>140</v>
      </c>
      <c r="AI3" s="1" t="s">
        <v>141</v>
      </c>
      <c r="AJ3" s="1" t="s">
        <v>142</v>
      </c>
      <c r="AK3" s="1" t="s">
        <v>143</v>
      </c>
      <c r="AL3" s="12" t="s">
        <v>144</v>
      </c>
      <c r="AM3" s="12" t="s">
        <v>145</v>
      </c>
      <c r="AN3" s="12" t="s">
        <v>146</v>
      </c>
      <c r="AO3" s="28" t="s">
        <v>147</v>
      </c>
      <c r="AP3" s="28" t="s">
        <v>148</v>
      </c>
      <c r="AQ3" s="26" t="s">
        <v>149</v>
      </c>
      <c r="AR3" s="26" t="s">
        <v>150</v>
      </c>
      <c r="AS3" s="26"/>
      <c r="AT3" s="26" t="s">
        <v>151</v>
      </c>
      <c r="AU3" s="26" t="s">
        <v>152</v>
      </c>
      <c r="AV3" s="12"/>
    </row>
    <row r="4" spans="1:48" ht="15" customHeight="1">
      <c r="A4" s="3" t="s">
        <v>153</v>
      </c>
      <c r="B4" s="18" t="s">
        <v>154</v>
      </c>
      <c r="C4" s="19" t="s">
        <v>71</v>
      </c>
      <c r="G4" t="s">
        <v>155</v>
      </c>
      <c r="J4" s="19" t="s">
        <v>156</v>
      </c>
      <c r="K4" s="20" t="s">
        <v>157</v>
      </c>
      <c r="L4" s="15" t="s">
        <v>158</v>
      </c>
      <c r="M4" s="15" t="s">
        <v>158</v>
      </c>
      <c r="N4" s="15" t="s">
        <v>158</v>
      </c>
      <c r="O4" s="18"/>
      <c r="Y4" s="20" t="s">
        <v>157</v>
      </c>
      <c r="AA4" s="20">
        <v>9</v>
      </c>
      <c r="AB4" s="20">
        <v>6.8</v>
      </c>
      <c r="AC4" s="20">
        <v>1.9</v>
      </c>
      <c r="AD4" s="7">
        <v>1</v>
      </c>
      <c r="AE4" t="s">
        <v>159</v>
      </c>
      <c r="AF4">
        <v>35</v>
      </c>
      <c r="AG4" t="s">
        <v>160</v>
      </c>
      <c r="AH4">
        <v>19.100000000000001</v>
      </c>
      <c r="AI4" t="s">
        <v>161</v>
      </c>
      <c r="AJ4" t="s">
        <v>162</v>
      </c>
      <c r="AK4" t="s">
        <v>163</v>
      </c>
      <c r="AL4">
        <v>1.05</v>
      </c>
      <c r="AM4" t="s">
        <v>158</v>
      </c>
      <c r="AN4">
        <v>70</v>
      </c>
      <c r="AO4">
        <v>28.7</v>
      </c>
      <c r="AQ4" t="s">
        <v>164</v>
      </c>
      <c r="AR4" t="s">
        <v>165</v>
      </c>
    </row>
    <row r="5" spans="1:48">
      <c r="A5" s="3" t="s">
        <v>153</v>
      </c>
      <c r="B5" s="18" t="s">
        <v>154</v>
      </c>
      <c r="C5" s="19" t="s">
        <v>71</v>
      </c>
      <c r="G5" t="s">
        <v>155</v>
      </c>
      <c r="H5" t="s">
        <v>166</v>
      </c>
      <c r="I5" t="s">
        <v>167</v>
      </c>
      <c r="J5" s="19" t="s">
        <v>156</v>
      </c>
      <c r="K5" s="20" t="s">
        <v>168</v>
      </c>
      <c r="L5" s="15" t="s">
        <v>158</v>
      </c>
      <c r="M5" s="15" t="s">
        <v>158</v>
      </c>
      <c r="N5" s="30">
        <f>(AA4-35)/(AA5-35)*100</f>
        <v>85.526315789473685</v>
      </c>
      <c r="O5" s="18" t="s">
        <v>169</v>
      </c>
      <c r="Y5" s="20" t="s">
        <v>168</v>
      </c>
      <c r="AA5" s="20">
        <v>4.5999999999999996</v>
      </c>
      <c r="AB5" s="20">
        <v>7.1</v>
      </c>
      <c r="AC5" s="20">
        <v>2</v>
      </c>
      <c r="AD5" s="7">
        <v>1</v>
      </c>
      <c r="AE5" t="s">
        <v>159</v>
      </c>
      <c r="AF5">
        <v>35</v>
      </c>
      <c r="AG5" t="s">
        <v>160</v>
      </c>
      <c r="AH5">
        <v>20.100000000000001</v>
      </c>
      <c r="AI5" t="s">
        <v>161</v>
      </c>
      <c r="AJ5" t="s">
        <v>162</v>
      </c>
      <c r="AK5" t="s">
        <v>163</v>
      </c>
      <c r="AL5">
        <v>1.05</v>
      </c>
      <c r="AM5" t="s">
        <v>158</v>
      </c>
      <c r="AN5">
        <v>70</v>
      </c>
      <c r="AO5">
        <v>23.1</v>
      </c>
      <c r="AQ5" t="s">
        <v>170</v>
      </c>
      <c r="AR5" t="s">
        <v>165</v>
      </c>
      <c r="AT5" s="31" t="s">
        <v>171</v>
      </c>
    </row>
    <row r="6" spans="1:48">
      <c r="A6" s="3" t="s">
        <v>6</v>
      </c>
      <c r="B6" s="18" t="s">
        <v>172</v>
      </c>
      <c r="C6" s="19" t="s">
        <v>173</v>
      </c>
      <c r="F6" s="19" t="s">
        <v>174</v>
      </c>
      <c r="G6" t="s">
        <v>175</v>
      </c>
      <c r="J6" s="19" t="s">
        <v>156</v>
      </c>
      <c r="K6" s="20" t="s">
        <v>157</v>
      </c>
      <c r="L6" s="15" t="s">
        <v>158</v>
      </c>
      <c r="M6" s="15" t="s">
        <v>158</v>
      </c>
      <c r="N6" s="15" t="s">
        <v>158</v>
      </c>
      <c r="O6" s="18"/>
      <c r="P6" s="20">
        <v>9.24</v>
      </c>
      <c r="R6" s="20">
        <v>1.57</v>
      </c>
      <c r="S6" s="71"/>
      <c r="T6" s="71">
        <f>100*41.5/(1000*1.57)</f>
        <v>2.6433121019108281</v>
      </c>
      <c r="U6" s="19" t="s">
        <v>176</v>
      </c>
      <c r="V6" s="19" t="s">
        <v>177</v>
      </c>
      <c r="W6" s="19" t="s">
        <v>158</v>
      </c>
      <c r="X6" s="19" t="s">
        <v>178</v>
      </c>
      <c r="Y6" s="20" t="s">
        <v>157</v>
      </c>
      <c r="Z6" s="18" t="s">
        <v>179</v>
      </c>
      <c r="AA6" s="20">
        <v>5.7</v>
      </c>
      <c r="AB6" s="20">
        <v>7.8</v>
      </c>
      <c r="AC6" s="20">
        <v>1.82</v>
      </c>
      <c r="AD6" s="7">
        <v>1</v>
      </c>
      <c r="AE6" t="s">
        <v>159</v>
      </c>
      <c r="AF6">
        <v>40</v>
      </c>
      <c r="AG6" t="s">
        <v>158</v>
      </c>
      <c r="AH6" t="s">
        <v>158</v>
      </c>
      <c r="AI6" t="s">
        <v>158</v>
      </c>
      <c r="AJ6" t="s">
        <v>158</v>
      </c>
      <c r="AK6" t="s">
        <v>163</v>
      </c>
      <c r="AL6" t="s">
        <v>158</v>
      </c>
      <c r="AM6" t="s">
        <v>158</v>
      </c>
      <c r="AN6">
        <v>48</v>
      </c>
      <c r="AO6" s="34">
        <f>(185.8/1000)/1.82*100</f>
        <v>10.20879120879121</v>
      </c>
      <c r="AQ6" t="s">
        <v>180</v>
      </c>
      <c r="AR6" t="s">
        <v>181</v>
      </c>
      <c r="AU6" t="s">
        <v>182</v>
      </c>
    </row>
    <row r="7" spans="1:48">
      <c r="A7" s="3" t="s">
        <v>6</v>
      </c>
      <c r="B7" s="18" t="s">
        <v>172</v>
      </c>
      <c r="C7" s="19" t="s">
        <v>173</v>
      </c>
      <c r="F7" s="19" t="s">
        <v>174</v>
      </c>
      <c r="G7" t="s">
        <v>175</v>
      </c>
      <c r="H7" t="s">
        <v>183</v>
      </c>
      <c r="I7" t="s">
        <v>167</v>
      </c>
      <c r="J7" s="19" t="s">
        <v>156</v>
      </c>
      <c r="K7" s="20" t="s">
        <v>168</v>
      </c>
      <c r="L7" s="34">
        <f>(P7*N7)/P6</f>
        <v>50.497098092288468</v>
      </c>
      <c r="M7" s="30">
        <f>(R7*N7)/R6</f>
        <v>73.676014449280714</v>
      </c>
      <c r="N7" s="33">
        <f>(P6-P8)/(P7-P8)*100</f>
        <v>78.156312625250493</v>
      </c>
      <c r="O7" s="18" t="s">
        <v>169</v>
      </c>
      <c r="P7" s="20">
        <v>5.97</v>
      </c>
      <c r="R7" s="20">
        <v>1.48</v>
      </c>
      <c r="S7" s="71"/>
      <c r="T7" s="71">
        <f>100*39.3/(1000*1.57)</f>
        <v>2.5031847133757958</v>
      </c>
      <c r="U7" s="19" t="s">
        <v>176</v>
      </c>
      <c r="V7" s="19" t="s">
        <v>184</v>
      </c>
      <c r="W7" s="19" t="s">
        <v>158</v>
      </c>
      <c r="X7" s="19" t="s">
        <v>178</v>
      </c>
      <c r="Y7" s="20" t="s">
        <v>168</v>
      </c>
      <c r="Z7" s="18" t="s">
        <v>179</v>
      </c>
      <c r="AA7" s="20">
        <v>4.0999999999999996</v>
      </c>
      <c r="AB7" s="20">
        <v>7.88</v>
      </c>
      <c r="AC7" s="20">
        <v>1.73</v>
      </c>
      <c r="AD7" s="7">
        <v>1</v>
      </c>
      <c r="AE7" t="s">
        <v>159</v>
      </c>
      <c r="AF7">
        <v>40</v>
      </c>
      <c r="AG7" t="s">
        <v>158</v>
      </c>
      <c r="AH7" t="s">
        <v>158</v>
      </c>
      <c r="AI7" t="s">
        <v>158</v>
      </c>
      <c r="AJ7" t="s">
        <v>158</v>
      </c>
      <c r="AK7" t="s">
        <v>163</v>
      </c>
      <c r="AL7" t="s">
        <v>158</v>
      </c>
      <c r="AM7" t="s">
        <v>158</v>
      </c>
      <c r="AN7">
        <v>48</v>
      </c>
      <c r="AO7" s="34">
        <f>(75.8/1000)/1.73*100</f>
        <v>4.3815028901734099</v>
      </c>
      <c r="AQ7" t="s">
        <v>180</v>
      </c>
      <c r="AR7" t="s">
        <v>181</v>
      </c>
      <c r="AT7" s="31" t="s">
        <v>185</v>
      </c>
      <c r="AU7" t="s">
        <v>182</v>
      </c>
    </row>
    <row r="8" spans="1:48">
      <c r="A8" s="3" t="s">
        <v>6</v>
      </c>
      <c r="B8" s="18" t="s">
        <v>172</v>
      </c>
      <c r="C8" s="19" t="s">
        <v>173</v>
      </c>
      <c r="F8" s="19" t="s">
        <v>174</v>
      </c>
      <c r="G8" t="s">
        <v>175</v>
      </c>
      <c r="H8" t="s">
        <v>183</v>
      </c>
      <c r="I8" t="s">
        <v>167</v>
      </c>
      <c r="J8" s="19" t="s">
        <v>156</v>
      </c>
      <c r="K8" s="20" t="s">
        <v>186</v>
      </c>
      <c r="L8" s="33">
        <f>(P8*N8)/P6</f>
        <v>49.502901907711546</v>
      </c>
      <c r="M8" s="33">
        <f>(R8*N8)/R6</f>
        <v>12.939254304787926</v>
      </c>
      <c r="N8" s="34">
        <f>100-N7</f>
        <v>21.843687374749507</v>
      </c>
      <c r="O8" s="18" t="s">
        <v>169</v>
      </c>
      <c r="P8" s="20">
        <v>20.94</v>
      </c>
      <c r="R8" s="20">
        <v>0.93</v>
      </c>
      <c r="S8" s="71"/>
      <c r="T8" s="71">
        <f>100*287.5/(1000*1.57)</f>
        <v>18.312101910828027</v>
      </c>
      <c r="U8" s="19" t="s">
        <v>176</v>
      </c>
      <c r="V8" s="19" t="s">
        <v>187</v>
      </c>
      <c r="W8" s="19" t="s">
        <v>158</v>
      </c>
      <c r="X8" s="19" t="s">
        <v>178</v>
      </c>
      <c r="Y8" s="20" t="s">
        <v>186</v>
      </c>
      <c r="Z8" s="18" t="s">
        <v>179</v>
      </c>
      <c r="AD8" s="7">
        <v>1</v>
      </c>
      <c r="AO8" s="32"/>
    </row>
    <row r="9" spans="1:48" ht="15" customHeight="1">
      <c r="A9" s="3" t="s">
        <v>9</v>
      </c>
      <c r="B9" s="18" t="s">
        <v>154</v>
      </c>
      <c r="C9" s="19" t="s">
        <v>71</v>
      </c>
      <c r="G9" t="s">
        <v>188</v>
      </c>
      <c r="J9" s="19" t="s">
        <v>156</v>
      </c>
      <c r="K9" s="20" t="s">
        <v>157</v>
      </c>
      <c r="L9" s="15" t="s">
        <v>158</v>
      </c>
      <c r="M9" s="15" t="s">
        <v>158</v>
      </c>
      <c r="N9" s="15" t="s">
        <v>158</v>
      </c>
      <c r="O9" s="18"/>
      <c r="Y9" s="20" t="s">
        <v>157</v>
      </c>
      <c r="AA9" s="20">
        <v>6.8</v>
      </c>
      <c r="AB9" s="20">
        <v>6.8</v>
      </c>
      <c r="AC9" s="20">
        <v>1.3</v>
      </c>
      <c r="AD9" s="7">
        <v>1</v>
      </c>
      <c r="AE9" t="s">
        <v>189</v>
      </c>
      <c r="AF9" s="7">
        <v>100</v>
      </c>
      <c r="AG9" t="s">
        <v>158</v>
      </c>
      <c r="AH9" t="s">
        <v>158</v>
      </c>
      <c r="AI9" t="s">
        <v>158</v>
      </c>
      <c r="AJ9" t="s">
        <v>190</v>
      </c>
      <c r="AK9" t="s">
        <v>191</v>
      </c>
      <c r="AL9">
        <v>1.0900000000000001</v>
      </c>
      <c r="AM9">
        <v>0.31</v>
      </c>
      <c r="AN9">
        <v>264</v>
      </c>
      <c r="AO9">
        <v>37.5</v>
      </c>
      <c r="AQ9" t="s">
        <v>192</v>
      </c>
      <c r="AR9" t="s">
        <v>193</v>
      </c>
      <c r="AU9" t="s">
        <v>194</v>
      </c>
    </row>
    <row r="10" spans="1:48">
      <c r="A10" s="3" t="s">
        <v>9</v>
      </c>
      <c r="B10" s="18" t="s">
        <v>154</v>
      </c>
      <c r="C10" s="19" t="s">
        <v>71</v>
      </c>
      <c r="G10" t="s">
        <v>188</v>
      </c>
      <c r="H10" t="s">
        <v>195</v>
      </c>
      <c r="I10" t="s">
        <v>167</v>
      </c>
      <c r="J10" s="19" t="s">
        <v>156</v>
      </c>
      <c r="K10" s="20" t="s">
        <v>168</v>
      </c>
      <c r="L10" s="15" t="s">
        <v>158</v>
      </c>
      <c r="M10" s="15" t="s">
        <v>158</v>
      </c>
      <c r="N10" s="15" t="s">
        <v>158</v>
      </c>
      <c r="O10" s="18"/>
      <c r="Y10" s="20" t="s">
        <v>168</v>
      </c>
      <c r="AA10" s="20">
        <v>2.8</v>
      </c>
      <c r="AB10" s="20">
        <v>7</v>
      </c>
      <c r="AC10" s="20">
        <v>1.2</v>
      </c>
      <c r="AD10" s="7">
        <v>1</v>
      </c>
      <c r="AE10" t="s">
        <v>189</v>
      </c>
      <c r="AF10" s="7">
        <v>120</v>
      </c>
      <c r="AG10" t="s">
        <v>158</v>
      </c>
      <c r="AH10" t="s">
        <v>158</v>
      </c>
      <c r="AI10" t="s">
        <v>158</v>
      </c>
      <c r="AJ10" t="s">
        <v>190</v>
      </c>
      <c r="AK10" t="s">
        <v>191</v>
      </c>
      <c r="AL10">
        <v>1.0900000000000001</v>
      </c>
      <c r="AN10">
        <v>264</v>
      </c>
      <c r="AO10">
        <v>39.200000000000003</v>
      </c>
      <c r="AQ10" t="s">
        <v>196</v>
      </c>
      <c r="AR10" t="s">
        <v>193</v>
      </c>
      <c r="AT10" s="35" t="s">
        <v>197</v>
      </c>
      <c r="AU10" t="s">
        <v>194</v>
      </c>
    </row>
    <row r="11" spans="1:48">
      <c r="A11" s="3" t="s">
        <v>9</v>
      </c>
      <c r="B11" s="18" t="s">
        <v>154</v>
      </c>
      <c r="C11" s="19" t="s">
        <v>71</v>
      </c>
      <c r="G11" t="s">
        <v>188</v>
      </c>
      <c r="J11" s="19" t="s">
        <v>156</v>
      </c>
      <c r="K11" s="20" t="s">
        <v>157</v>
      </c>
      <c r="L11" s="15" t="s">
        <v>158</v>
      </c>
      <c r="M11" s="15" t="s">
        <v>158</v>
      </c>
      <c r="N11" s="15" t="s">
        <v>158</v>
      </c>
      <c r="O11" s="18"/>
      <c r="Y11" s="20" t="s">
        <v>157</v>
      </c>
      <c r="AA11" s="20">
        <v>7.2</v>
      </c>
      <c r="AB11" s="20">
        <v>6.8</v>
      </c>
      <c r="AC11" s="20">
        <v>1.2</v>
      </c>
      <c r="AD11" s="7">
        <v>2</v>
      </c>
      <c r="AE11" t="s">
        <v>189</v>
      </c>
      <c r="AF11" s="7">
        <v>104</v>
      </c>
      <c r="AG11" t="s">
        <v>158</v>
      </c>
      <c r="AH11" t="s">
        <v>158</v>
      </c>
      <c r="AI11" t="s">
        <v>158</v>
      </c>
      <c r="AJ11" t="s">
        <v>190</v>
      </c>
      <c r="AK11" t="s">
        <v>191</v>
      </c>
      <c r="AL11">
        <v>1.0900000000000001</v>
      </c>
      <c r="AM11">
        <v>0.36</v>
      </c>
      <c r="AN11">
        <v>264</v>
      </c>
      <c r="AO11">
        <v>39.299999999999997</v>
      </c>
      <c r="AQ11" t="s">
        <v>198</v>
      </c>
      <c r="AR11" t="s">
        <v>193</v>
      </c>
      <c r="AU11" t="s">
        <v>194</v>
      </c>
    </row>
    <row r="12" spans="1:48">
      <c r="A12" s="3" t="s">
        <v>9</v>
      </c>
      <c r="B12" s="18" t="s">
        <v>154</v>
      </c>
      <c r="C12" s="19" t="s">
        <v>71</v>
      </c>
      <c r="G12" t="s">
        <v>188</v>
      </c>
      <c r="H12" t="s">
        <v>195</v>
      </c>
      <c r="I12" t="s">
        <v>167</v>
      </c>
      <c r="J12" s="19" t="s">
        <v>156</v>
      </c>
      <c r="K12" s="20" t="s">
        <v>168</v>
      </c>
      <c r="L12" s="15" t="s">
        <v>158</v>
      </c>
      <c r="M12" s="15" t="s">
        <v>158</v>
      </c>
      <c r="N12" s="15" t="s">
        <v>158</v>
      </c>
      <c r="O12" s="18"/>
      <c r="Y12" s="20" t="s">
        <v>168</v>
      </c>
      <c r="AA12" s="20">
        <v>2.2000000000000002</v>
      </c>
      <c r="AB12" s="20">
        <v>7.4</v>
      </c>
      <c r="AC12" s="20">
        <v>1.1000000000000001</v>
      </c>
      <c r="AD12" s="7">
        <v>2</v>
      </c>
      <c r="AE12" t="s">
        <v>189</v>
      </c>
      <c r="AF12" s="7">
        <v>126</v>
      </c>
      <c r="AG12" t="s">
        <v>158</v>
      </c>
      <c r="AH12" t="s">
        <v>158</v>
      </c>
      <c r="AI12" t="s">
        <v>158</v>
      </c>
      <c r="AJ12" t="s">
        <v>190</v>
      </c>
      <c r="AK12" t="s">
        <v>191</v>
      </c>
      <c r="AL12">
        <v>1.0900000000000001</v>
      </c>
      <c r="AN12">
        <v>264</v>
      </c>
      <c r="AO12">
        <v>38</v>
      </c>
      <c r="AQ12" t="s">
        <v>199</v>
      </c>
      <c r="AR12" t="s">
        <v>193</v>
      </c>
      <c r="AT12" s="31" t="s">
        <v>200</v>
      </c>
      <c r="AU12" t="s">
        <v>194</v>
      </c>
    </row>
    <row r="13" spans="1:48">
      <c r="A13" s="3" t="s">
        <v>9</v>
      </c>
      <c r="B13" s="18" t="s">
        <v>154</v>
      </c>
      <c r="C13" s="19" t="s">
        <v>71</v>
      </c>
      <c r="G13" t="s">
        <v>188</v>
      </c>
      <c r="J13" s="19" t="s">
        <v>156</v>
      </c>
      <c r="K13" s="20" t="s">
        <v>157</v>
      </c>
      <c r="L13" s="15" t="s">
        <v>158</v>
      </c>
      <c r="M13" s="15" t="s">
        <v>158</v>
      </c>
      <c r="N13" s="15" t="s">
        <v>158</v>
      </c>
      <c r="O13" s="18"/>
      <c r="Y13" s="20" t="s">
        <v>157</v>
      </c>
      <c r="AA13" s="20">
        <v>7</v>
      </c>
      <c r="AB13" s="20">
        <v>7.5</v>
      </c>
      <c r="AC13" s="20">
        <v>1.1000000000000001</v>
      </c>
      <c r="AD13" s="7">
        <v>3</v>
      </c>
      <c r="AE13" t="s">
        <v>189</v>
      </c>
      <c r="AF13" s="7">
        <v>109</v>
      </c>
      <c r="AG13" t="s">
        <v>158</v>
      </c>
      <c r="AH13" t="s">
        <v>158</v>
      </c>
      <c r="AI13" t="s">
        <v>158</v>
      </c>
      <c r="AJ13" t="s">
        <v>190</v>
      </c>
      <c r="AK13" t="s">
        <v>191</v>
      </c>
      <c r="AL13">
        <v>1.0900000000000001</v>
      </c>
      <c r="AM13">
        <v>0.33</v>
      </c>
      <c r="AN13">
        <v>264</v>
      </c>
      <c r="AO13">
        <v>36.700000000000003</v>
      </c>
      <c r="AQ13" t="s">
        <v>201</v>
      </c>
      <c r="AR13" t="s">
        <v>193</v>
      </c>
      <c r="AU13" t="s">
        <v>194</v>
      </c>
    </row>
    <row r="14" spans="1:48">
      <c r="A14" s="3" t="s">
        <v>9</v>
      </c>
      <c r="B14" s="18" t="s">
        <v>154</v>
      </c>
      <c r="C14" s="19" t="s">
        <v>71</v>
      </c>
      <c r="G14" t="s">
        <v>188</v>
      </c>
      <c r="H14" t="s">
        <v>195</v>
      </c>
      <c r="I14" t="s">
        <v>167</v>
      </c>
      <c r="J14" s="19" t="s">
        <v>156</v>
      </c>
      <c r="K14" s="20" t="s">
        <v>168</v>
      </c>
      <c r="L14" s="15" t="s">
        <v>158</v>
      </c>
      <c r="M14" s="15" t="s">
        <v>158</v>
      </c>
      <c r="N14" s="15" t="s">
        <v>158</v>
      </c>
      <c r="O14" s="18"/>
      <c r="Y14" s="20" t="s">
        <v>168</v>
      </c>
      <c r="AA14" s="20">
        <v>1.3</v>
      </c>
      <c r="AB14" s="20">
        <v>8.1</v>
      </c>
      <c r="AC14" s="20">
        <v>1</v>
      </c>
      <c r="AD14" s="7">
        <v>3</v>
      </c>
      <c r="AE14" t="s">
        <v>189</v>
      </c>
      <c r="AF14" s="7">
        <v>133</v>
      </c>
      <c r="AG14" t="s">
        <v>158</v>
      </c>
      <c r="AH14" t="s">
        <v>158</v>
      </c>
      <c r="AI14" t="s">
        <v>158</v>
      </c>
      <c r="AJ14" t="s">
        <v>190</v>
      </c>
      <c r="AK14" t="s">
        <v>191</v>
      </c>
      <c r="AL14">
        <v>1.0900000000000001</v>
      </c>
      <c r="AN14">
        <v>264</v>
      </c>
      <c r="AO14">
        <v>51</v>
      </c>
      <c r="AQ14" t="s">
        <v>202</v>
      </c>
      <c r="AR14" t="s">
        <v>193</v>
      </c>
      <c r="AT14" s="35" t="s">
        <v>203</v>
      </c>
      <c r="AU14" t="s">
        <v>194</v>
      </c>
    </row>
    <row r="15" spans="1:48">
      <c r="A15" s="3" t="s">
        <v>9</v>
      </c>
      <c r="B15" s="18" t="s">
        <v>154</v>
      </c>
      <c r="C15" s="19" t="s">
        <v>71</v>
      </c>
      <c r="G15" t="s">
        <v>188</v>
      </c>
      <c r="J15" s="19" t="s">
        <v>156</v>
      </c>
      <c r="K15" s="20" t="s">
        <v>157</v>
      </c>
      <c r="L15" s="15" t="s">
        <v>158</v>
      </c>
      <c r="M15" s="15" t="s">
        <v>158</v>
      </c>
      <c r="N15" s="15" t="s">
        <v>158</v>
      </c>
      <c r="O15" s="18"/>
      <c r="Q15" s="19"/>
      <c r="Y15" s="20" t="s">
        <v>157</v>
      </c>
      <c r="AA15" s="20">
        <v>6</v>
      </c>
      <c r="AB15" s="19" t="s">
        <v>158</v>
      </c>
      <c r="AC15" s="20">
        <v>1</v>
      </c>
      <c r="AD15" s="7">
        <v>4</v>
      </c>
      <c r="AE15" t="s">
        <v>189</v>
      </c>
      <c r="AF15" s="7">
        <v>115</v>
      </c>
      <c r="AG15" t="s">
        <v>158</v>
      </c>
      <c r="AH15" t="s">
        <v>158</v>
      </c>
      <c r="AI15" t="s">
        <v>158</v>
      </c>
      <c r="AJ15" t="s">
        <v>190</v>
      </c>
      <c r="AK15" t="s">
        <v>191</v>
      </c>
      <c r="AL15">
        <v>1.0900000000000001</v>
      </c>
      <c r="AM15">
        <v>0.26</v>
      </c>
      <c r="AN15">
        <v>264</v>
      </c>
      <c r="AO15">
        <v>37.4</v>
      </c>
      <c r="AQ15" t="s">
        <v>204</v>
      </c>
      <c r="AR15" t="s">
        <v>193</v>
      </c>
      <c r="AU15" t="s">
        <v>194</v>
      </c>
    </row>
    <row r="16" spans="1:48">
      <c r="A16" s="3" t="s">
        <v>9</v>
      </c>
      <c r="B16" s="18" t="s">
        <v>154</v>
      </c>
      <c r="C16" s="19" t="s">
        <v>71</v>
      </c>
      <c r="G16" t="s">
        <v>188</v>
      </c>
      <c r="H16" t="s">
        <v>195</v>
      </c>
      <c r="I16" t="s">
        <v>167</v>
      </c>
      <c r="J16" s="19" t="s">
        <v>156</v>
      </c>
      <c r="K16" s="20" t="s">
        <v>168</v>
      </c>
      <c r="L16" s="15" t="s">
        <v>158</v>
      </c>
      <c r="M16" s="15" t="s">
        <v>158</v>
      </c>
      <c r="N16" s="15" t="s">
        <v>158</v>
      </c>
      <c r="O16" s="18"/>
      <c r="Q16" s="19"/>
      <c r="Y16" s="20" t="s">
        <v>168</v>
      </c>
      <c r="AA16" s="20">
        <v>2.8</v>
      </c>
      <c r="AB16" s="19" t="s">
        <v>158</v>
      </c>
      <c r="AC16" s="20">
        <v>0.9</v>
      </c>
      <c r="AD16" s="7">
        <v>4</v>
      </c>
      <c r="AE16" t="s">
        <v>189</v>
      </c>
      <c r="AF16" s="7">
        <v>124</v>
      </c>
      <c r="AG16" t="s">
        <v>158</v>
      </c>
      <c r="AH16" t="s">
        <v>158</v>
      </c>
      <c r="AI16" t="s">
        <v>158</v>
      </c>
      <c r="AJ16" t="s">
        <v>190</v>
      </c>
      <c r="AK16" t="s">
        <v>191</v>
      </c>
      <c r="AL16">
        <v>1.0900000000000001</v>
      </c>
      <c r="AN16">
        <v>264</v>
      </c>
      <c r="AO16">
        <v>39.1</v>
      </c>
      <c r="AQ16" t="s">
        <v>205</v>
      </c>
      <c r="AR16" t="s">
        <v>193</v>
      </c>
      <c r="AT16" s="35" t="s">
        <v>197</v>
      </c>
      <c r="AU16" t="s">
        <v>194</v>
      </c>
    </row>
    <row r="17" spans="1:47">
      <c r="A17" s="3" t="s">
        <v>9</v>
      </c>
      <c r="B17" s="18" t="s">
        <v>154</v>
      </c>
      <c r="C17" s="19" t="s">
        <v>71</v>
      </c>
      <c r="G17" t="s">
        <v>188</v>
      </c>
      <c r="J17" s="19" t="s">
        <v>156</v>
      </c>
      <c r="K17" s="20" t="s">
        <v>157</v>
      </c>
      <c r="L17" s="15" t="s">
        <v>158</v>
      </c>
      <c r="M17" s="15" t="s">
        <v>158</v>
      </c>
      <c r="N17" s="15" t="s">
        <v>158</v>
      </c>
      <c r="O17" s="18"/>
      <c r="Q17" s="19"/>
      <c r="Y17" s="20" t="s">
        <v>157</v>
      </c>
      <c r="AA17" s="20">
        <v>5.7</v>
      </c>
      <c r="AB17" s="19" t="s">
        <v>158</v>
      </c>
      <c r="AC17" s="20">
        <v>1</v>
      </c>
      <c r="AD17" s="7">
        <v>5</v>
      </c>
      <c r="AE17" t="s">
        <v>189</v>
      </c>
      <c r="AF17" s="7">
        <v>120</v>
      </c>
      <c r="AG17" t="s">
        <v>158</v>
      </c>
      <c r="AH17" t="s">
        <v>158</v>
      </c>
      <c r="AI17" t="s">
        <v>158</v>
      </c>
      <c r="AJ17" t="s">
        <v>190</v>
      </c>
      <c r="AK17" t="s">
        <v>191</v>
      </c>
      <c r="AL17">
        <v>1.0900000000000001</v>
      </c>
      <c r="AM17">
        <v>0.37</v>
      </c>
      <c r="AN17">
        <v>264</v>
      </c>
      <c r="AO17">
        <v>39.1</v>
      </c>
      <c r="AQ17" t="s">
        <v>206</v>
      </c>
      <c r="AR17" t="s">
        <v>193</v>
      </c>
      <c r="AU17" t="s">
        <v>194</v>
      </c>
    </row>
    <row r="18" spans="1:47">
      <c r="A18" s="3" t="s">
        <v>9</v>
      </c>
      <c r="B18" s="18" t="s">
        <v>154</v>
      </c>
      <c r="C18" s="19" t="s">
        <v>71</v>
      </c>
      <c r="G18" t="s">
        <v>188</v>
      </c>
      <c r="H18" t="s">
        <v>195</v>
      </c>
      <c r="I18" t="s">
        <v>167</v>
      </c>
      <c r="J18" s="19" t="s">
        <v>156</v>
      </c>
      <c r="K18" s="20" t="s">
        <v>168</v>
      </c>
      <c r="L18" s="15" t="s">
        <v>158</v>
      </c>
      <c r="M18" s="15" t="s">
        <v>158</v>
      </c>
      <c r="N18" s="15" t="s">
        <v>158</v>
      </c>
      <c r="O18" s="18"/>
      <c r="Q18" s="19"/>
      <c r="Y18" s="20" t="s">
        <v>168</v>
      </c>
      <c r="AA18" s="20">
        <v>2</v>
      </c>
      <c r="AB18" s="19" t="s">
        <v>158</v>
      </c>
      <c r="AC18" s="20">
        <v>0.9</v>
      </c>
      <c r="AD18" s="7">
        <v>5</v>
      </c>
      <c r="AE18" t="s">
        <v>189</v>
      </c>
      <c r="AF18" s="7">
        <v>141</v>
      </c>
      <c r="AG18" t="s">
        <v>158</v>
      </c>
      <c r="AH18" t="s">
        <v>158</v>
      </c>
      <c r="AI18" t="s">
        <v>158</v>
      </c>
      <c r="AJ18" t="s">
        <v>190</v>
      </c>
      <c r="AK18" t="s">
        <v>191</v>
      </c>
      <c r="AL18">
        <v>1.0900000000000001</v>
      </c>
      <c r="AN18">
        <v>264</v>
      </c>
      <c r="AO18">
        <v>16.3</v>
      </c>
      <c r="AQ18" t="s">
        <v>207</v>
      </c>
      <c r="AR18" t="s">
        <v>193</v>
      </c>
      <c r="AT18" s="31" t="s">
        <v>208</v>
      </c>
      <c r="AU18" t="s">
        <v>194</v>
      </c>
    </row>
    <row r="19" spans="1:47">
      <c r="A19" s="3" t="s">
        <v>9</v>
      </c>
      <c r="B19" s="18" t="s">
        <v>154</v>
      </c>
      <c r="C19" s="19" t="s">
        <v>71</v>
      </c>
      <c r="G19" t="s">
        <v>188</v>
      </c>
      <c r="J19" s="19" t="s">
        <v>156</v>
      </c>
      <c r="K19" s="20" t="s">
        <v>157</v>
      </c>
      <c r="L19" s="15" t="s">
        <v>158</v>
      </c>
      <c r="M19" s="15" t="s">
        <v>158</v>
      </c>
      <c r="N19" s="15" t="s">
        <v>158</v>
      </c>
      <c r="O19" s="18"/>
      <c r="Q19" s="19"/>
      <c r="Y19" s="20" t="s">
        <v>157</v>
      </c>
      <c r="AA19" s="20">
        <v>4.5999999999999996</v>
      </c>
      <c r="AB19" s="19" t="s">
        <v>158</v>
      </c>
      <c r="AC19" s="20">
        <v>1</v>
      </c>
      <c r="AD19" s="7">
        <v>6</v>
      </c>
      <c r="AE19" t="s">
        <v>189</v>
      </c>
      <c r="AF19" s="7">
        <v>70</v>
      </c>
      <c r="AG19" t="s">
        <v>158</v>
      </c>
      <c r="AH19" t="s">
        <v>158</v>
      </c>
      <c r="AI19" t="s">
        <v>158</v>
      </c>
      <c r="AJ19" t="s">
        <v>190</v>
      </c>
      <c r="AK19" t="s">
        <v>191</v>
      </c>
      <c r="AL19">
        <v>1.0900000000000001</v>
      </c>
      <c r="AM19">
        <v>0.33</v>
      </c>
      <c r="AN19">
        <v>264</v>
      </c>
      <c r="AO19">
        <v>41.9</v>
      </c>
      <c r="AQ19" t="s">
        <v>209</v>
      </c>
      <c r="AR19" t="s">
        <v>193</v>
      </c>
      <c r="AU19" t="s">
        <v>194</v>
      </c>
    </row>
    <row r="20" spans="1:47">
      <c r="A20" s="3" t="s">
        <v>9</v>
      </c>
      <c r="B20" s="18" t="s">
        <v>154</v>
      </c>
      <c r="C20" s="19" t="s">
        <v>71</v>
      </c>
      <c r="G20" t="s">
        <v>188</v>
      </c>
      <c r="H20" t="s">
        <v>195</v>
      </c>
      <c r="I20" t="s">
        <v>167</v>
      </c>
      <c r="J20" s="19" t="s">
        <v>156</v>
      </c>
      <c r="K20" s="20" t="s">
        <v>168</v>
      </c>
      <c r="L20" s="15" t="s">
        <v>158</v>
      </c>
      <c r="M20" s="15" t="s">
        <v>158</v>
      </c>
      <c r="N20" s="15" t="s">
        <v>158</v>
      </c>
      <c r="O20" s="18"/>
      <c r="Q20" s="19"/>
      <c r="Y20" s="20" t="s">
        <v>168</v>
      </c>
      <c r="AA20" s="20">
        <v>1.3</v>
      </c>
      <c r="AB20" s="19" t="s">
        <v>158</v>
      </c>
      <c r="AC20" s="20">
        <v>0.6</v>
      </c>
      <c r="AD20" s="7">
        <v>6</v>
      </c>
      <c r="AE20" t="s">
        <v>189</v>
      </c>
      <c r="AF20" s="7">
        <v>127</v>
      </c>
      <c r="AG20" t="s">
        <v>158</v>
      </c>
      <c r="AH20" t="s">
        <v>158</v>
      </c>
      <c r="AI20" t="s">
        <v>158</v>
      </c>
      <c r="AJ20" t="s">
        <v>190</v>
      </c>
      <c r="AK20" t="s">
        <v>191</v>
      </c>
      <c r="AL20">
        <v>1.0900000000000001</v>
      </c>
      <c r="AN20">
        <v>264</v>
      </c>
      <c r="AO20">
        <v>13.4</v>
      </c>
      <c r="AQ20" t="s">
        <v>210</v>
      </c>
      <c r="AR20" t="s">
        <v>193</v>
      </c>
      <c r="AT20" s="31" t="s">
        <v>211</v>
      </c>
      <c r="AU20" t="s">
        <v>194</v>
      </c>
    </row>
    <row r="21" spans="1:47">
      <c r="A21" s="3" t="s">
        <v>9</v>
      </c>
      <c r="B21" s="18" t="s">
        <v>154</v>
      </c>
      <c r="C21" s="19" t="s">
        <v>71</v>
      </c>
      <c r="G21" t="s">
        <v>188</v>
      </c>
      <c r="J21" s="19" t="s">
        <v>156</v>
      </c>
      <c r="K21" s="20" t="s">
        <v>157</v>
      </c>
      <c r="L21" s="15" t="s">
        <v>158</v>
      </c>
      <c r="M21" s="15" t="s">
        <v>158</v>
      </c>
      <c r="N21" s="15" t="s">
        <v>158</v>
      </c>
      <c r="O21" s="18"/>
      <c r="Y21" s="20" t="s">
        <v>157</v>
      </c>
      <c r="AA21" s="20">
        <v>6.8</v>
      </c>
      <c r="AB21" s="20">
        <v>6.8</v>
      </c>
      <c r="AC21" s="20">
        <v>1.3</v>
      </c>
      <c r="AD21" s="7">
        <v>1</v>
      </c>
      <c r="AE21" t="s">
        <v>212</v>
      </c>
      <c r="AF21" s="7">
        <v>100</v>
      </c>
      <c r="AG21" t="s">
        <v>158</v>
      </c>
      <c r="AH21" t="s">
        <v>158</v>
      </c>
      <c r="AI21" t="s">
        <v>158</v>
      </c>
      <c r="AJ21" t="s">
        <v>190</v>
      </c>
      <c r="AK21" t="s">
        <v>191</v>
      </c>
      <c r="AL21">
        <v>1.0900000000000001</v>
      </c>
      <c r="AM21">
        <v>0.31</v>
      </c>
      <c r="AN21">
        <v>264</v>
      </c>
      <c r="AO21">
        <v>24.6</v>
      </c>
      <c r="AQ21" t="s">
        <v>213</v>
      </c>
      <c r="AR21" t="s">
        <v>193</v>
      </c>
      <c r="AU21" t="s">
        <v>194</v>
      </c>
    </row>
    <row r="22" spans="1:47">
      <c r="A22" s="3" t="s">
        <v>9</v>
      </c>
      <c r="B22" s="18" t="s">
        <v>154</v>
      </c>
      <c r="C22" s="19" t="s">
        <v>71</v>
      </c>
      <c r="G22" t="s">
        <v>188</v>
      </c>
      <c r="H22" t="s">
        <v>195</v>
      </c>
      <c r="I22" t="s">
        <v>167</v>
      </c>
      <c r="J22" s="19" t="s">
        <v>156</v>
      </c>
      <c r="K22" s="20" t="s">
        <v>168</v>
      </c>
      <c r="L22" s="15" t="s">
        <v>158</v>
      </c>
      <c r="M22" s="15" t="s">
        <v>158</v>
      </c>
      <c r="N22" s="15" t="s">
        <v>158</v>
      </c>
      <c r="O22" s="18"/>
      <c r="Y22" s="20" t="s">
        <v>168</v>
      </c>
      <c r="AA22" s="20">
        <v>2.8</v>
      </c>
      <c r="AB22" s="20">
        <v>7</v>
      </c>
      <c r="AC22" s="20">
        <v>1.2</v>
      </c>
      <c r="AD22" s="7">
        <v>1</v>
      </c>
      <c r="AE22" t="s">
        <v>212</v>
      </c>
      <c r="AF22" s="7">
        <v>120</v>
      </c>
      <c r="AG22" t="s">
        <v>158</v>
      </c>
      <c r="AH22" t="s">
        <v>158</v>
      </c>
      <c r="AI22" t="s">
        <v>158</v>
      </c>
      <c r="AJ22" t="s">
        <v>190</v>
      </c>
      <c r="AK22" t="s">
        <v>191</v>
      </c>
      <c r="AL22">
        <v>1.0900000000000001</v>
      </c>
      <c r="AM22">
        <v>0.31</v>
      </c>
      <c r="AN22">
        <v>264</v>
      </c>
      <c r="AO22">
        <v>14.9</v>
      </c>
      <c r="AQ22" t="s">
        <v>214</v>
      </c>
      <c r="AR22" t="s">
        <v>193</v>
      </c>
      <c r="AT22" s="31" t="s">
        <v>215</v>
      </c>
      <c r="AU22" t="s">
        <v>194</v>
      </c>
    </row>
    <row r="23" spans="1:47">
      <c r="A23" s="3" t="s">
        <v>9</v>
      </c>
      <c r="B23" s="18" t="s">
        <v>154</v>
      </c>
      <c r="C23" s="19" t="s">
        <v>71</v>
      </c>
      <c r="G23" t="s">
        <v>188</v>
      </c>
      <c r="J23" s="19" t="s">
        <v>156</v>
      </c>
      <c r="K23" s="20" t="s">
        <v>157</v>
      </c>
      <c r="L23" s="15" t="s">
        <v>158</v>
      </c>
      <c r="M23" s="15" t="s">
        <v>158</v>
      </c>
      <c r="N23" s="15" t="s">
        <v>158</v>
      </c>
      <c r="O23" s="18"/>
      <c r="Y23" s="20" t="s">
        <v>157</v>
      </c>
      <c r="AA23" s="20">
        <v>7.2</v>
      </c>
      <c r="AB23" s="20">
        <v>6.8</v>
      </c>
      <c r="AC23" s="20">
        <v>1.2</v>
      </c>
      <c r="AD23" s="7">
        <v>2</v>
      </c>
      <c r="AE23" t="s">
        <v>212</v>
      </c>
      <c r="AF23" s="7">
        <v>104</v>
      </c>
      <c r="AG23" t="s">
        <v>158</v>
      </c>
      <c r="AH23" t="s">
        <v>158</v>
      </c>
      <c r="AI23" t="s">
        <v>158</v>
      </c>
      <c r="AJ23" t="s">
        <v>190</v>
      </c>
      <c r="AK23" t="s">
        <v>191</v>
      </c>
      <c r="AL23">
        <v>1.0900000000000001</v>
      </c>
      <c r="AM23">
        <v>0.36</v>
      </c>
      <c r="AN23">
        <v>264</v>
      </c>
      <c r="AO23">
        <v>24.1</v>
      </c>
      <c r="AQ23" t="s">
        <v>216</v>
      </c>
      <c r="AR23" t="s">
        <v>193</v>
      </c>
      <c r="AU23" t="s">
        <v>194</v>
      </c>
    </row>
    <row r="24" spans="1:47">
      <c r="A24" s="3" t="s">
        <v>9</v>
      </c>
      <c r="B24" s="18" t="s">
        <v>154</v>
      </c>
      <c r="C24" s="19" t="s">
        <v>71</v>
      </c>
      <c r="G24" t="s">
        <v>188</v>
      </c>
      <c r="H24" t="s">
        <v>195</v>
      </c>
      <c r="I24" t="s">
        <v>167</v>
      </c>
      <c r="J24" s="19" t="s">
        <v>156</v>
      </c>
      <c r="K24" s="20" t="s">
        <v>168</v>
      </c>
      <c r="L24" s="15" t="s">
        <v>158</v>
      </c>
      <c r="M24" s="15" t="s">
        <v>158</v>
      </c>
      <c r="N24" s="15" t="s">
        <v>158</v>
      </c>
      <c r="O24" s="18"/>
      <c r="Y24" s="20" t="s">
        <v>168</v>
      </c>
      <c r="AA24" s="20">
        <v>2.2000000000000002</v>
      </c>
      <c r="AB24" s="20">
        <v>7.4</v>
      </c>
      <c r="AC24" s="20">
        <v>1.1000000000000001</v>
      </c>
      <c r="AD24" s="7">
        <v>2</v>
      </c>
      <c r="AE24" t="s">
        <v>212</v>
      </c>
      <c r="AF24" s="7">
        <v>126</v>
      </c>
      <c r="AG24" t="s">
        <v>158</v>
      </c>
      <c r="AH24" t="s">
        <v>158</v>
      </c>
      <c r="AI24" t="s">
        <v>158</v>
      </c>
      <c r="AJ24" t="s">
        <v>190</v>
      </c>
      <c r="AK24" t="s">
        <v>191</v>
      </c>
      <c r="AL24">
        <v>1.0900000000000001</v>
      </c>
      <c r="AM24">
        <v>0.36</v>
      </c>
      <c r="AN24">
        <v>264</v>
      </c>
      <c r="AO24">
        <v>17.899999999999999</v>
      </c>
      <c r="AQ24" t="s">
        <v>217</v>
      </c>
      <c r="AR24" t="s">
        <v>193</v>
      </c>
      <c r="AT24" s="31" t="s">
        <v>218</v>
      </c>
      <c r="AU24" t="s">
        <v>194</v>
      </c>
    </row>
    <row r="25" spans="1:47">
      <c r="A25" s="3" t="s">
        <v>9</v>
      </c>
      <c r="B25" s="18" t="s">
        <v>154</v>
      </c>
      <c r="C25" s="19" t="s">
        <v>71</v>
      </c>
      <c r="G25" t="s">
        <v>188</v>
      </c>
      <c r="J25" s="19" t="s">
        <v>156</v>
      </c>
      <c r="K25" s="20" t="s">
        <v>157</v>
      </c>
      <c r="L25" s="15" t="s">
        <v>158</v>
      </c>
      <c r="M25" s="15" t="s">
        <v>158</v>
      </c>
      <c r="N25" s="15" t="s">
        <v>158</v>
      </c>
      <c r="O25" s="18"/>
      <c r="Y25" s="20" t="s">
        <v>157</v>
      </c>
      <c r="AA25" s="20">
        <v>7</v>
      </c>
      <c r="AB25" s="20">
        <v>7.5</v>
      </c>
      <c r="AC25" s="20">
        <v>1.1000000000000001</v>
      </c>
      <c r="AD25" s="7">
        <v>3</v>
      </c>
      <c r="AE25" t="s">
        <v>212</v>
      </c>
      <c r="AF25" s="7">
        <v>109</v>
      </c>
      <c r="AG25" t="s">
        <v>158</v>
      </c>
      <c r="AH25" t="s">
        <v>158</v>
      </c>
      <c r="AI25" t="s">
        <v>158</v>
      </c>
      <c r="AJ25" t="s">
        <v>190</v>
      </c>
      <c r="AK25" t="s">
        <v>191</v>
      </c>
      <c r="AL25">
        <v>1.0900000000000001</v>
      </c>
      <c r="AM25">
        <v>0.33</v>
      </c>
      <c r="AN25">
        <v>264</v>
      </c>
      <c r="AO25">
        <v>25.1</v>
      </c>
      <c r="AQ25" t="s">
        <v>219</v>
      </c>
      <c r="AR25" t="s">
        <v>193</v>
      </c>
      <c r="AU25" t="s">
        <v>194</v>
      </c>
    </row>
    <row r="26" spans="1:47">
      <c r="A26" s="3" t="s">
        <v>9</v>
      </c>
      <c r="B26" s="18" t="s">
        <v>154</v>
      </c>
      <c r="C26" s="19" t="s">
        <v>71</v>
      </c>
      <c r="G26" t="s">
        <v>188</v>
      </c>
      <c r="H26" t="s">
        <v>195</v>
      </c>
      <c r="I26" t="s">
        <v>167</v>
      </c>
      <c r="J26" s="19" t="s">
        <v>156</v>
      </c>
      <c r="K26" s="20" t="s">
        <v>168</v>
      </c>
      <c r="L26" s="15" t="s">
        <v>158</v>
      </c>
      <c r="M26" s="15" t="s">
        <v>158</v>
      </c>
      <c r="N26" s="15" t="s">
        <v>158</v>
      </c>
      <c r="O26" s="18"/>
      <c r="Y26" s="20" t="s">
        <v>168</v>
      </c>
      <c r="AA26" s="20">
        <v>1.3</v>
      </c>
      <c r="AB26" s="20">
        <v>8.1</v>
      </c>
      <c r="AC26" s="20">
        <v>1</v>
      </c>
      <c r="AD26" s="7">
        <v>3</v>
      </c>
      <c r="AE26" t="s">
        <v>212</v>
      </c>
      <c r="AF26" s="7">
        <v>133</v>
      </c>
      <c r="AG26" t="s">
        <v>158</v>
      </c>
      <c r="AH26" t="s">
        <v>158</v>
      </c>
      <c r="AI26" t="s">
        <v>158</v>
      </c>
      <c r="AJ26" t="s">
        <v>190</v>
      </c>
      <c r="AK26" t="s">
        <v>191</v>
      </c>
      <c r="AL26">
        <v>1.0900000000000001</v>
      </c>
      <c r="AM26">
        <v>0.33</v>
      </c>
      <c r="AN26">
        <v>264</v>
      </c>
      <c r="AO26">
        <v>28.2</v>
      </c>
      <c r="AQ26" t="s">
        <v>220</v>
      </c>
      <c r="AR26" t="s">
        <v>193</v>
      </c>
      <c r="AT26" s="35" t="s">
        <v>221</v>
      </c>
      <c r="AU26" t="s">
        <v>194</v>
      </c>
    </row>
    <row r="27" spans="1:47">
      <c r="A27" s="3" t="s">
        <v>9</v>
      </c>
      <c r="B27" s="18" t="s">
        <v>154</v>
      </c>
      <c r="C27" s="19" t="s">
        <v>71</v>
      </c>
      <c r="G27" t="s">
        <v>188</v>
      </c>
      <c r="J27" s="19" t="s">
        <v>156</v>
      </c>
      <c r="K27" s="20" t="s">
        <v>157</v>
      </c>
      <c r="L27" s="15" t="s">
        <v>158</v>
      </c>
      <c r="M27" s="15" t="s">
        <v>158</v>
      </c>
      <c r="N27" s="15" t="s">
        <v>158</v>
      </c>
      <c r="O27" s="18"/>
      <c r="Q27" s="19"/>
      <c r="Y27" s="20" t="s">
        <v>157</v>
      </c>
      <c r="AA27" s="20">
        <v>6</v>
      </c>
      <c r="AB27" s="19" t="s">
        <v>158</v>
      </c>
      <c r="AC27" s="20">
        <v>1</v>
      </c>
      <c r="AD27" s="7">
        <v>4</v>
      </c>
      <c r="AE27" t="s">
        <v>212</v>
      </c>
      <c r="AF27" s="7">
        <v>115</v>
      </c>
      <c r="AG27" t="s">
        <v>158</v>
      </c>
      <c r="AH27" t="s">
        <v>158</v>
      </c>
      <c r="AI27" t="s">
        <v>158</v>
      </c>
      <c r="AJ27" t="s">
        <v>190</v>
      </c>
      <c r="AK27" t="s">
        <v>191</v>
      </c>
      <c r="AL27">
        <v>1.0900000000000001</v>
      </c>
      <c r="AM27">
        <v>0.26</v>
      </c>
      <c r="AN27">
        <v>264</v>
      </c>
      <c r="AO27">
        <v>23.5</v>
      </c>
      <c r="AQ27" t="s">
        <v>222</v>
      </c>
      <c r="AR27" t="s">
        <v>193</v>
      </c>
      <c r="AU27" t="s">
        <v>194</v>
      </c>
    </row>
    <row r="28" spans="1:47">
      <c r="A28" s="3" t="s">
        <v>9</v>
      </c>
      <c r="B28" s="18" t="s">
        <v>154</v>
      </c>
      <c r="C28" s="19" t="s">
        <v>71</v>
      </c>
      <c r="G28" t="s">
        <v>188</v>
      </c>
      <c r="H28" t="s">
        <v>195</v>
      </c>
      <c r="I28" t="s">
        <v>167</v>
      </c>
      <c r="J28" s="19" t="s">
        <v>156</v>
      </c>
      <c r="K28" s="20" t="s">
        <v>168</v>
      </c>
      <c r="L28" s="15" t="s">
        <v>158</v>
      </c>
      <c r="M28" s="15" t="s">
        <v>158</v>
      </c>
      <c r="N28" s="15" t="s">
        <v>158</v>
      </c>
      <c r="O28" s="18"/>
      <c r="Q28" s="19"/>
      <c r="Y28" s="20" t="s">
        <v>168</v>
      </c>
      <c r="AA28" s="20">
        <v>2.8</v>
      </c>
      <c r="AB28" s="19" t="s">
        <v>158</v>
      </c>
      <c r="AC28" s="20">
        <v>0.9</v>
      </c>
      <c r="AD28" s="7">
        <v>4</v>
      </c>
      <c r="AE28" t="s">
        <v>212</v>
      </c>
      <c r="AF28" s="7">
        <v>124</v>
      </c>
      <c r="AG28" t="s">
        <v>158</v>
      </c>
      <c r="AH28" t="s">
        <v>158</v>
      </c>
      <c r="AI28" t="s">
        <v>158</v>
      </c>
      <c r="AJ28" t="s">
        <v>190</v>
      </c>
      <c r="AK28" t="s">
        <v>191</v>
      </c>
      <c r="AL28">
        <v>1.0900000000000001</v>
      </c>
      <c r="AM28">
        <v>0.26</v>
      </c>
      <c r="AN28">
        <v>264</v>
      </c>
      <c r="AO28">
        <v>28.6</v>
      </c>
      <c r="AQ28" t="s">
        <v>223</v>
      </c>
      <c r="AR28" t="s">
        <v>193</v>
      </c>
      <c r="AT28" s="35" t="s">
        <v>224</v>
      </c>
      <c r="AU28" t="s">
        <v>194</v>
      </c>
    </row>
    <row r="29" spans="1:47">
      <c r="A29" s="3" t="s">
        <v>9</v>
      </c>
      <c r="B29" s="18" t="s">
        <v>154</v>
      </c>
      <c r="C29" s="19" t="s">
        <v>71</v>
      </c>
      <c r="G29" t="s">
        <v>188</v>
      </c>
      <c r="J29" s="19" t="s">
        <v>156</v>
      </c>
      <c r="K29" s="20" t="s">
        <v>157</v>
      </c>
      <c r="L29" s="15" t="s">
        <v>158</v>
      </c>
      <c r="M29" s="15" t="s">
        <v>158</v>
      </c>
      <c r="N29" s="15" t="s">
        <v>158</v>
      </c>
      <c r="O29" s="18"/>
      <c r="Q29" s="19"/>
      <c r="Y29" s="20" t="s">
        <v>157</v>
      </c>
      <c r="AA29" s="20">
        <v>5.7</v>
      </c>
      <c r="AB29" s="19" t="s">
        <v>158</v>
      </c>
      <c r="AC29" s="20">
        <v>1</v>
      </c>
      <c r="AD29" s="7">
        <v>5</v>
      </c>
      <c r="AE29" t="s">
        <v>212</v>
      </c>
      <c r="AF29" s="7">
        <v>120</v>
      </c>
      <c r="AG29" t="s">
        <v>158</v>
      </c>
      <c r="AH29" t="s">
        <v>158</v>
      </c>
      <c r="AI29" t="s">
        <v>158</v>
      </c>
      <c r="AJ29" t="s">
        <v>190</v>
      </c>
      <c r="AK29" t="s">
        <v>191</v>
      </c>
      <c r="AL29">
        <v>1.0900000000000001</v>
      </c>
      <c r="AM29">
        <v>0.37</v>
      </c>
      <c r="AN29">
        <v>264</v>
      </c>
      <c r="AO29">
        <v>25.4</v>
      </c>
      <c r="AQ29" t="s">
        <v>225</v>
      </c>
      <c r="AR29" t="s">
        <v>193</v>
      </c>
      <c r="AU29" t="s">
        <v>194</v>
      </c>
    </row>
    <row r="30" spans="1:47">
      <c r="A30" s="3" t="s">
        <v>9</v>
      </c>
      <c r="B30" s="18" t="s">
        <v>154</v>
      </c>
      <c r="C30" s="19" t="s">
        <v>71</v>
      </c>
      <c r="G30" t="s">
        <v>188</v>
      </c>
      <c r="H30" t="s">
        <v>195</v>
      </c>
      <c r="I30" t="s">
        <v>167</v>
      </c>
      <c r="J30" s="19" t="s">
        <v>156</v>
      </c>
      <c r="K30" s="20" t="s">
        <v>168</v>
      </c>
      <c r="L30" s="15" t="s">
        <v>158</v>
      </c>
      <c r="M30" s="15" t="s">
        <v>158</v>
      </c>
      <c r="N30" s="15" t="s">
        <v>158</v>
      </c>
      <c r="O30" s="18"/>
      <c r="Q30" s="19"/>
      <c r="Y30" s="20" t="s">
        <v>168</v>
      </c>
      <c r="AA30" s="20">
        <v>2</v>
      </c>
      <c r="AB30" s="19" t="s">
        <v>158</v>
      </c>
      <c r="AC30" s="20">
        <v>0.9</v>
      </c>
      <c r="AD30" s="7">
        <v>5</v>
      </c>
      <c r="AE30" t="s">
        <v>212</v>
      </c>
      <c r="AF30" s="7">
        <v>141</v>
      </c>
      <c r="AG30" t="s">
        <v>158</v>
      </c>
      <c r="AH30" t="s">
        <v>158</v>
      </c>
      <c r="AI30" t="s">
        <v>158</v>
      </c>
      <c r="AJ30" t="s">
        <v>190</v>
      </c>
      <c r="AK30" t="s">
        <v>191</v>
      </c>
      <c r="AL30">
        <v>1.0900000000000001</v>
      </c>
      <c r="AM30">
        <v>0.37</v>
      </c>
      <c r="AN30">
        <v>264</v>
      </c>
      <c r="AO30">
        <v>10</v>
      </c>
      <c r="AQ30" t="s">
        <v>226</v>
      </c>
      <c r="AR30" t="s">
        <v>193</v>
      </c>
      <c r="AT30" s="31" t="s">
        <v>227</v>
      </c>
      <c r="AU30" t="s">
        <v>194</v>
      </c>
    </row>
    <row r="31" spans="1:47">
      <c r="A31" s="3" t="s">
        <v>9</v>
      </c>
      <c r="B31" s="18" t="s">
        <v>154</v>
      </c>
      <c r="C31" s="19" t="s">
        <v>71</v>
      </c>
      <c r="G31" t="s">
        <v>188</v>
      </c>
      <c r="J31" s="19" t="s">
        <v>156</v>
      </c>
      <c r="K31" s="20" t="s">
        <v>157</v>
      </c>
      <c r="L31" s="15" t="s">
        <v>158</v>
      </c>
      <c r="M31" s="15" t="s">
        <v>158</v>
      </c>
      <c r="N31" s="15" t="s">
        <v>158</v>
      </c>
      <c r="O31" s="18"/>
      <c r="Q31" s="19"/>
      <c r="Y31" s="20" t="s">
        <v>157</v>
      </c>
      <c r="AA31" s="20">
        <v>4.5999999999999996</v>
      </c>
      <c r="AB31" s="19" t="s">
        <v>158</v>
      </c>
      <c r="AC31" s="20">
        <v>1</v>
      </c>
      <c r="AD31" s="7">
        <v>6</v>
      </c>
      <c r="AE31" t="s">
        <v>212</v>
      </c>
      <c r="AF31" s="7">
        <v>70</v>
      </c>
      <c r="AG31" t="s">
        <v>158</v>
      </c>
      <c r="AH31" t="s">
        <v>158</v>
      </c>
      <c r="AI31" t="s">
        <v>158</v>
      </c>
      <c r="AJ31" t="s">
        <v>190</v>
      </c>
      <c r="AK31" t="s">
        <v>191</v>
      </c>
      <c r="AL31">
        <v>1.0900000000000001</v>
      </c>
      <c r="AM31">
        <v>0.33</v>
      </c>
      <c r="AN31">
        <v>264</v>
      </c>
      <c r="AO31">
        <v>14.7</v>
      </c>
      <c r="AQ31" t="s">
        <v>228</v>
      </c>
      <c r="AR31" t="s">
        <v>193</v>
      </c>
      <c r="AU31" t="s">
        <v>194</v>
      </c>
    </row>
    <row r="32" spans="1:47">
      <c r="A32" s="3" t="s">
        <v>9</v>
      </c>
      <c r="B32" s="18" t="s">
        <v>154</v>
      </c>
      <c r="C32" s="19" t="s">
        <v>71</v>
      </c>
      <c r="G32" t="s">
        <v>188</v>
      </c>
      <c r="H32" t="s">
        <v>195</v>
      </c>
      <c r="I32" t="s">
        <v>167</v>
      </c>
      <c r="J32" s="19" t="s">
        <v>156</v>
      </c>
      <c r="K32" s="20" t="s">
        <v>168</v>
      </c>
      <c r="L32" s="15" t="s">
        <v>158</v>
      </c>
      <c r="M32" s="15" t="s">
        <v>158</v>
      </c>
      <c r="N32" s="15" t="s">
        <v>158</v>
      </c>
      <c r="O32" s="18"/>
      <c r="Q32" s="19"/>
      <c r="Y32" s="20" t="s">
        <v>168</v>
      </c>
      <c r="AA32" s="20">
        <v>1.3</v>
      </c>
      <c r="AB32" s="19" t="s">
        <v>158</v>
      </c>
      <c r="AC32" s="20">
        <v>0.6</v>
      </c>
      <c r="AD32" s="7">
        <v>6</v>
      </c>
      <c r="AE32" t="s">
        <v>212</v>
      </c>
      <c r="AF32" s="7">
        <v>127</v>
      </c>
      <c r="AG32" t="s">
        <v>158</v>
      </c>
      <c r="AH32" t="s">
        <v>158</v>
      </c>
      <c r="AI32" t="s">
        <v>158</v>
      </c>
      <c r="AJ32" t="s">
        <v>190</v>
      </c>
      <c r="AK32" t="s">
        <v>191</v>
      </c>
      <c r="AL32">
        <v>1.0900000000000001</v>
      </c>
      <c r="AM32">
        <v>0.33</v>
      </c>
      <c r="AN32">
        <v>264</v>
      </c>
      <c r="AO32">
        <v>4.3</v>
      </c>
      <c r="AQ32" t="s">
        <v>229</v>
      </c>
      <c r="AR32" t="s">
        <v>193</v>
      </c>
      <c r="AT32" s="31" t="s">
        <v>230</v>
      </c>
      <c r="AU32" t="s">
        <v>194</v>
      </c>
    </row>
    <row r="33" spans="1:48" ht="15" customHeight="1">
      <c r="A33" s="3" t="s">
        <v>11</v>
      </c>
      <c r="B33" s="18" t="s">
        <v>172</v>
      </c>
      <c r="C33" s="19" t="s">
        <v>71</v>
      </c>
      <c r="G33" t="s">
        <v>231</v>
      </c>
      <c r="J33" s="19" t="s">
        <v>232</v>
      </c>
      <c r="K33" s="20" t="s">
        <v>157</v>
      </c>
      <c r="L33" s="15" t="s">
        <v>158</v>
      </c>
      <c r="M33" s="15" t="s">
        <v>158</v>
      </c>
      <c r="N33" s="15" t="s">
        <v>158</v>
      </c>
      <c r="O33" s="18"/>
      <c r="Y33" s="20" t="s">
        <v>157</v>
      </c>
      <c r="AA33" s="20">
        <v>3.5</v>
      </c>
      <c r="AB33" s="20">
        <v>7.8</v>
      </c>
      <c r="AC33" s="20">
        <v>3</v>
      </c>
      <c r="AD33" s="7">
        <v>1</v>
      </c>
      <c r="AE33" t="s">
        <v>189</v>
      </c>
      <c r="AF33" s="36">
        <f>70/4.3</f>
        <v>16.279069767441861</v>
      </c>
      <c r="AG33" t="s">
        <v>158</v>
      </c>
      <c r="AH33" t="s">
        <v>233</v>
      </c>
      <c r="AI33" t="s">
        <v>158</v>
      </c>
      <c r="AJ33" t="s">
        <v>234</v>
      </c>
      <c r="AK33" t="s">
        <v>163</v>
      </c>
      <c r="AL33" t="s">
        <v>158</v>
      </c>
      <c r="AM33" t="s">
        <v>158</v>
      </c>
      <c r="AN33">
        <v>120</v>
      </c>
      <c r="AO33" s="34">
        <f>21/0.7</f>
        <v>30.000000000000004</v>
      </c>
      <c r="AQ33" t="s">
        <v>235</v>
      </c>
      <c r="AR33" t="s">
        <v>236</v>
      </c>
      <c r="AU33" t="s">
        <v>237</v>
      </c>
    </row>
    <row r="34" spans="1:48">
      <c r="A34" s="3" t="s">
        <v>11</v>
      </c>
      <c r="B34" s="18" t="s">
        <v>172</v>
      </c>
      <c r="C34" s="19" t="s">
        <v>71</v>
      </c>
      <c r="G34" t="s">
        <v>231</v>
      </c>
      <c r="H34" t="s">
        <v>238</v>
      </c>
      <c r="I34" t="s">
        <v>167</v>
      </c>
      <c r="J34" s="19" t="s">
        <v>232</v>
      </c>
      <c r="K34" s="20" t="s">
        <v>168</v>
      </c>
      <c r="L34" s="33">
        <f>(AA34*N34)/AA33</f>
        <v>64.945054945054935</v>
      </c>
      <c r="M34" s="33">
        <f>(AC34*N34)/AC33</f>
        <v>94.711538461538453</v>
      </c>
      <c r="N34" s="33">
        <f>(AA33-AA35)/(AA34-AA35)*100</f>
        <v>94.711538461538453</v>
      </c>
      <c r="O34" s="18" t="s">
        <v>169</v>
      </c>
      <c r="Y34" s="20" t="s">
        <v>168</v>
      </c>
      <c r="AA34" s="20">
        <v>2.4</v>
      </c>
      <c r="AB34" s="20">
        <v>8</v>
      </c>
      <c r="AC34" s="20">
        <v>3</v>
      </c>
      <c r="AD34" s="7">
        <v>1</v>
      </c>
      <c r="AE34" t="s">
        <v>189</v>
      </c>
      <c r="AF34" s="36">
        <f>70/4</f>
        <v>17.5</v>
      </c>
      <c r="AG34" t="s">
        <v>158</v>
      </c>
      <c r="AH34" t="s">
        <v>233</v>
      </c>
      <c r="AI34" t="s">
        <v>158</v>
      </c>
      <c r="AJ34" t="s">
        <v>234</v>
      </c>
      <c r="AK34" t="s">
        <v>163</v>
      </c>
      <c r="AL34" t="s">
        <v>158</v>
      </c>
      <c r="AM34" t="s">
        <v>158</v>
      </c>
      <c r="AN34">
        <v>120</v>
      </c>
      <c r="AO34" s="34">
        <f>14/0.75</f>
        <v>18.666666666666668</v>
      </c>
      <c r="AQ34" t="s">
        <v>235</v>
      </c>
      <c r="AR34" t="s">
        <v>236</v>
      </c>
      <c r="AT34" s="31" t="s">
        <v>239</v>
      </c>
      <c r="AU34" t="s">
        <v>237</v>
      </c>
    </row>
    <row r="35" spans="1:48">
      <c r="A35" s="3" t="s">
        <v>11</v>
      </c>
      <c r="B35" s="18" t="s">
        <v>172</v>
      </c>
      <c r="C35" s="19" t="s">
        <v>71</v>
      </c>
      <c r="G35" t="s">
        <v>231</v>
      </c>
      <c r="H35" t="s">
        <v>238</v>
      </c>
      <c r="I35" t="s">
        <v>167</v>
      </c>
      <c r="J35" s="19" t="s">
        <v>232</v>
      </c>
      <c r="K35" s="20" t="s">
        <v>186</v>
      </c>
      <c r="L35" s="33">
        <f>(AA35*N35)/AA33</f>
        <v>35.054945054945115</v>
      </c>
      <c r="M35" s="33">
        <f>(AC35*N35)/AC33</f>
        <v>5.8173076923077014</v>
      </c>
      <c r="N35" s="30">
        <f>100-N34</f>
        <v>5.2884615384615472</v>
      </c>
      <c r="O35" s="18" t="s">
        <v>169</v>
      </c>
      <c r="Y35" s="20" t="s">
        <v>186</v>
      </c>
      <c r="AA35" s="20">
        <v>23.2</v>
      </c>
      <c r="AB35" s="20">
        <v>8.4</v>
      </c>
      <c r="AC35" s="20">
        <v>3.3</v>
      </c>
      <c r="AD35" s="7">
        <v>1</v>
      </c>
      <c r="AE35" t="s">
        <v>189</v>
      </c>
      <c r="AF35" s="34">
        <f>70/7.2</f>
        <v>9.7222222222222214</v>
      </c>
      <c r="AG35" t="s">
        <v>158</v>
      </c>
      <c r="AH35" t="s">
        <v>233</v>
      </c>
      <c r="AI35" t="s">
        <v>158</v>
      </c>
      <c r="AJ35" t="s">
        <v>234</v>
      </c>
      <c r="AK35" t="s">
        <v>163</v>
      </c>
      <c r="AL35" t="s">
        <v>158</v>
      </c>
      <c r="AM35" t="s">
        <v>158</v>
      </c>
      <c r="AN35">
        <v>120</v>
      </c>
      <c r="AO35" s="34">
        <f>19/0.45</f>
        <v>42.222222222222221</v>
      </c>
      <c r="AQ35" t="s">
        <v>235</v>
      </c>
      <c r="AR35" t="s">
        <v>236</v>
      </c>
      <c r="AU35" t="s">
        <v>237</v>
      </c>
    </row>
    <row r="36" spans="1:48" ht="15" customHeight="1">
      <c r="A36" s="3" t="s">
        <v>11</v>
      </c>
      <c r="B36" s="18" t="s">
        <v>172</v>
      </c>
      <c r="C36" s="19" t="s">
        <v>71</v>
      </c>
      <c r="G36" t="s">
        <v>231</v>
      </c>
      <c r="J36" s="19" t="s">
        <v>232</v>
      </c>
      <c r="K36" s="20" t="s">
        <v>157</v>
      </c>
      <c r="L36" s="15" t="s">
        <v>158</v>
      </c>
      <c r="M36" s="15" t="s">
        <v>158</v>
      </c>
      <c r="N36" s="15" t="s">
        <v>158</v>
      </c>
      <c r="O36" s="18"/>
      <c r="Y36" s="20" t="s">
        <v>157</v>
      </c>
      <c r="AA36" s="20">
        <v>3.5</v>
      </c>
      <c r="AB36" s="20">
        <v>7.8</v>
      </c>
      <c r="AC36" s="20">
        <v>2</v>
      </c>
      <c r="AD36" s="7">
        <v>2</v>
      </c>
      <c r="AE36" t="s">
        <v>189</v>
      </c>
      <c r="AF36" s="36">
        <f>70/3.6</f>
        <v>19.444444444444443</v>
      </c>
      <c r="AG36" t="s">
        <v>158</v>
      </c>
      <c r="AH36" t="s">
        <v>240</v>
      </c>
      <c r="AI36" t="s">
        <v>158</v>
      </c>
      <c r="AJ36" t="s">
        <v>234</v>
      </c>
      <c r="AK36" t="s">
        <v>163</v>
      </c>
      <c r="AL36" t="s">
        <v>158</v>
      </c>
      <c r="AM36" t="s">
        <v>158</v>
      </c>
      <c r="AN36">
        <v>120</v>
      </c>
      <c r="AO36" s="34">
        <f>23/0.56</f>
        <v>41.071428571428569</v>
      </c>
      <c r="AQ36" t="s">
        <v>235</v>
      </c>
      <c r="AR36" t="s">
        <v>236</v>
      </c>
      <c r="AU36" t="s">
        <v>237</v>
      </c>
    </row>
    <row r="37" spans="1:48">
      <c r="A37" s="3" t="s">
        <v>11</v>
      </c>
      <c r="B37" s="18" t="s">
        <v>172</v>
      </c>
      <c r="C37" s="19" t="s">
        <v>71</v>
      </c>
      <c r="G37" t="s">
        <v>231</v>
      </c>
      <c r="H37" t="s">
        <v>238</v>
      </c>
      <c r="I37" t="s">
        <v>167</v>
      </c>
      <c r="J37" s="19" t="s">
        <v>232</v>
      </c>
      <c r="K37" s="20" t="s">
        <v>168</v>
      </c>
      <c r="L37" s="33">
        <f>(AA37*N37)/AA36</f>
        <v>56.865671641791053</v>
      </c>
      <c r="M37" s="33">
        <f>(AC37*N37)/AC36</f>
        <v>99.514925373134346</v>
      </c>
      <c r="N37" s="33">
        <f>(AA36-AA38)/(AA37-AA38)*100</f>
        <v>94.776119402985088</v>
      </c>
      <c r="O37" s="18" t="s">
        <v>169</v>
      </c>
      <c r="Y37" s="20" t="s">
        <v>168</v>
      </c>
      <c r="AA37" s="20">
        <v>2.1</v>
      </c>
      <c r="AB37" s="20">
        <v>7.8</v>
      </c>
      <c r="AC37" s="20">
        <v>2.1</v>
      </c>
      <c r="AD37" s="7">
        <v>2</v>
      </c>
      <c r="AE37" t="s">
        <v>189</v>
      </c>
      <c r="AF37" s="36">
        <f>70/3.2</f>
        <v>21.875</v>
      </c>
      <c r="AG37" t="s">
        <v>158</v>
      </c>
      <c r="AH37" t="s">
        <v>240</v>
      </c>
      <c r="AI37" t="s">
        <v>158</v>
      </c>
      <c r="AJ37" t="s">
        <v>234</v>
      </c>
      <c r="AK37" t="s">
        <v>163</v>
      </c>
      <c r="AL37" t="s">
        <v>158</v>
      </c>
      <c r="AM37" t="s">
        <v>158</v>
      </c>
      <c r="AN37">
        <v>120</v>
      </c>
      <c r="AO37" s="34">
        <f>12/0.66</f>
        <v>18.18181818181818</v>
      </c>
      <c r="AQ37" t="s">
        <v>235</v>
      </c>
      <c r="AR37" t="s">
        <v>236</v>
      </c>
      <c r="AT37" s="31" t="s">
        <v>241</v>
      </c>
      <c r="AU37" t="s">
        <v>237</v>
      </c>
    </row>
    <row r="38" spans="1:48">
      <c r="A38" s="3" t="s">
        <v>11</v>
      </c>
      <c r="B38" s="18" t="s">
        <v>172</v>
      </c>
      <c r="C38" s="19" t="s">
        <v>71</v>
      </c>
      <c r="G38" t="s">
        <v>231</v>
      </c>
      <c r="H38" t="s">
        <v>238</v>
      </c>
      <c r="I38" t="s">
        <v>167</v>
      </c>
      <c r="J38" s="19" t="s">
        <v>232</v>
      </c>
      <c r="K38" s="20" t="s">
        <v>186</v>
      </c>
      <c r="L38" s="33">
        <f>(AA38*N38)/AA36</f>
        <v>43.13432835820884</v>
      </c>
      <c r="M38" s="33">
        <f>(AC38*N38)/AC36</f>
        <v>6.5298507462686395</v>
      </c>
      <c r="N38" s="34">
        <f>100-N37</f>
        <v>5.2238805970149116</v>
      </c>
      <c r="O38" s="18" t="s">
        <v>169</v>
      </c>
      <c r="Y38" s="20" t="s">
        <v>186</v>
      </c>
      <c r="AA38" s="20">
        <v>28.9</v>
      </c>
      <c r="AB38" s="20">
        <v>8.1999999999999993</v>
      </c>
      <c r="AC38" s="20">
        <v>2.5</v>
      </c>
      <c r="AD38" s="7">
        <v>2</v>
      </c>
      <c r="AE38" t="s">
        <v>189</v>
      </c>
      <c r="AF38" s="34">
        <f>70/6.8</f>
        <v>10.294117647058824</v>
      </c>
      <c r="AG38" t="s">
        <v>158</v>
      </c>
      <c r="AH38" t="s">
        <v>240</v>
      </c>
      <c r="AI38" t="s">
        <v>158</v>
      </c>
      <c r="AJ38" t="s">
        <v>234</v>
      </c>
      <c r="AK38" t="s">
        <v>163</v>
      </c>
      <c r="AL38" t="s">
        <v>158</v>
      </c>
      <c r="AM38" t="s">
        <v>158</v>
      </c>
      <c r="AN38">
        <v>120</v>
      </c>
      <c r="AO38" s="34">
        <f>18/0.37</f>
        <v>48.648648648648653</v>
      </c>
      <c r="AQ38" t="s">
        <v>235</v>
      </c>
      <c r="AR38" t="s">
        <v>236</v>
      </c>
      <c r="AU38" t="s">
        <v>237</v>
      </c>
    </row>
    <row r="39" spans="1:48">
      <c r="A39" s="3" t="s">
        <v>13</v>
      </c>
      <c r="B39" s="18" t="s">
        <v>172</v>
      </c>
      <c r="C39" s="19" t="s">
        <v>71</v>
      </c>
      <c r="G39" t="s">
        <v>231</v>
      </c>
      <c r="J39" s="19" t="s">
        <v>156</v>
      </c>
      <c r="K39" s="20" t="s">
        <v>157</v>
      </c>
      <c r="L39" t="s">
        <v>158</v>
      </c>
      <c r="M39" t="s">
        <v>158</v>
      </c>
      <c r="N39" t="s">
        <v>158</v>
      </c>
      <c r="O39" s="18"/>
      <c r="Y39" s="20" t="s">
        <v>157</v>
      </c>
      <c r="AA39" s="20">
        <v>5.7</v>
      </c>
      <c r="AB39" s="20">
        <v>7.6</v>
      </c>
      <c r="AC39" s="20">
        <v>2.1</v>
      </c>
      <c r="AD39" s="7">
        <v>1</v>
      </c>
      <c r="AE39" t="s">
        <v>189</v>
      </c>
      <c r="AF39" s="34">
        <f>70/3.5</f>
        <v>20</v>
      </c>
      <c r="AG39" t="s">
        <v>158</v>
      </c>
      <c r="AH39" t="s">
        <v>242</v>
      </c>
      <c r="AI39" t="s">
        <v>158</v>
      </c>
      <c r="AJ39" t="s">
        <v>234</v>
      </c>
      <c r="AK39" t="s">
        <v>163</v>
      </c>
      <c r="AL39" t="s">
        <v>158</v>
      </c>
      <c r="AM39" t="s">
        <v>158</v>
      </c>
      <c r="AN39">
        <v>120</v>
      </c>
      <c r="AO39" s="34">
        <f>35.2/0.6</f>
        <v>58.666666666666671</v>
      </c>
      <c r="AQ39" t="s">
        <v>192</v>
      </c>
      <c r="AR39" t="s">
        <v>236</v>
      </c>
      <c r="AU39" t="s">
        <v>243</v>
      </c>
    </row>
    <row r="40" spans="1:48">
      <c r="A40" s="3" t="s">
        <v>13</v>
      </c>
      <c r="B40" s="18" t="s">
        <v>172</v>
      </c>
      <c r="C40" s="19" t="s">
        <v>71</v>
      </c>
      <c r="G40" t="s">
        <v>231</v>
      </c>
      <c r="H40" t="s">
        <v>238</v>
      </c>
      <c r="I40" t="s">
        <v>167</v>
      </c>
      <c r="J40" s="19" t="s">
        <v>156</v>
      </c>
      <c r="K40" s="20" t="s">
        <v>168</v>
      </c>
      <c r="L40" s="34">
        <f>(AA40*N40)/AA39</f>
        <v>71.017543859649123</v>
      </c>
      <c r="M40" s="34">
        <f>(AC40*N40)/AC39</f>
        <v>92</v>
      </c>
      <c r="N40">
        <v>92</v>
      </c>
      <c r="O40" s="19" t="s">
        <v>244</v>
      </c>
      <c r="Y40" s="20" t="s">
        <v>168</v>
      </c>
      <c r="AA40" s="20">
        <v>4.4000000000000004</v>
      </c>
      <c r="AB40" s="20">
        <v>7.8</v>
      </c>
      <c r="AC40" s="20">
        <v>2.1</v>
      </c>
      <c r="AD40" s="7">
        <v>1</v>
      </c>
      <c r="AE40" t="s">
        <v>189</v>
      </c>
      <c r="AF40" s="34">
        <f>70/3.3</f>
        <v>21.212121212121215</v>
      </c>
      <c r="AG40" t="s">
        <v>158</v>
      </c>
      <c r="AH40" t="s">
        <v>242</v>
      </c>
      <c r="AI40" t="s">
        <v>158</v>
      </c>
      <c r="AJ40" t="s">
        <v>234</v>
      </c>
      <c r="AK40" t="s">
        <v>163</v>
      </c>
      <c r="AL40" t="s">
        <v>158</v>
      </c>
      <c r="AM40" t="s">
        <v>158</v>
      </c>
      <c r="AN40">
        <v>120</v>
      </c>
      <c r="AO40" s="34">
        <f>32.3/0.64</f>
        <v>50.468749999999993</v>
      </c>
      <c r="AQ40" t="s">
        <v>192</v>
      </c>
      <c r="AR40" t="s">
        <v>236</v>
      </c>
      <c r="AU40" t="s">
        <v>243</v>
      </c>
    </row>
    <row r="41" spans="1:48">
      <c r="A41" s="3" t="s">
        <v>13</v>
      </c>
      <c r="B41" s="18" t="s">
        <v>172</v>
      </c>
      <c r="C41" s="19" t="s">
        <v>71</v>
      </c>
      <c r="G41" t="s">
        <v>231</v>
      </c>
      <c r="H41" t="s">
        <v>238</v>
      </c>
      <c r="I41" t="s">
        <v>167</v>
      </c>
      <c r="J41" s="19" t="s">
        <v>156</v>
      </c>
      <c r="K41" s="20" t="s">
        <v>186</v>
      </c>
      <c r="L41" s="34">
        <f>(AA41*N41)/AA39</f>
        <v>32</v>
      </c>
      <c r="M41" s="34">
        <f>(AC41*N41)/AC39</f>
        <v>6.8571428571428568</v>
      </c>
      <c r="N41">
        <v>8</v>
      </c>
      <c r="O41" s="19" t="s">
        <v>244</v>
      </c>
      <c r="Y41" s="20" t="s">
        <v>186</v>
      </c>
      <c r="AA41" s="20">
        <v>22.8</v>
      </c>
      <c r="AB41" s="20">
        <v>8.6999999999999993</v>
      </c>
      <c r="AC41" s="20">
        <v>1.8</v>
      </c>
      <c r="AD41" s="7">
        <v>1</v>
      </c>
      <c r="AE41" t="s">
        <v>189</v>
      </c>
      <c r="AF41" s="34">
        <f>70/5.1</f>
        <v>13.725490196078432</v>
      </c>
      <c r="AG41" t="s">
        <v>158</v>
      </c>
      <c r="AH41" t="s">
        <v>242</v>
      </c>
      <c r="AI41" t="s">
        <v>158</v>
      </c>
      <c r="AJ41" t="s">
        <v>234</v>
      </c>
      <c r="AK41" t="s">
        <v>163</v>
      </c>
      <c r="AL41" t="s">
        <v>158</v>
      </c>
      <c r="AM41" t="s">
        <v>158</v>
      </c>
      <c r="AN41">
        <v>120</v>
      </c>
      <c r="AO41" s="34">
        <f>16.9/0.36</f>
        <v>46.944444444444443</v>
      </c>
      <c r="AQ41" t="s">
        <v>192</v>
      </c>
      <c r="AR41" t="s">
        <v>236</v>
      </c>
      <c r="AU41" t="s">
        <v>243</v>
      </c>
    </row>
    <row r="42" spans="1:48">
      <c r="A42" s="3" t="s">
        <v>13</v>
      </c>
      <c r="B42" s="18" t="s">
        <v>172</v>
      </c>
      <c r="C42" s="19" t="s">
        <v>71</v>
      </c>
      <c r="G42" t="s">
        <v>231</v>
      </c>
      <c r="J42" s="19" t="s">
        <v>156</v>
      </c>
      <c r="K42" s="20" t="s">
        <v>157</v>
      </c>
      <c r="L42" t="s">
        <v>158</v>
      </c>
      <c r="M42" t="s">
        <v>158</v>
      </c>
      <c r="N42" t="s">
        <v>158</v>
      </c>
      <c r="Y42" s="20" t="s">
        <v>157</v>
      </c>
      <c r="AA42" s="20">
        <v>7.1</v>
      </c>
      <c r="AB42" s="20">
        <v>7.5</v>
      </c>
      <c r="AC42" s="20">
        <v>1.5</v>
      </c>
      <c r="AD42" s="7">
        <v>2</v>
      </c>
      <c r="AE42" t="s">
        <v>189</v>
      </c>
      <c r="AF42" s="34">
        <f>70/3.4</f>
        <v>20.588235294117649</v>
      </c>
      <c r="AG42" t="s">
        <v>158</v>
      </c>
      <c r="AH42" t="s">
        <v>245</v>
      </c>
      <c r="AI42" t="s">
        <v>158</v>
      </c>
      <c r="AJ42" t="s">
        <v>234</v>
      </c>
      <c r="AK42" t="s">
        <v>163</v>
      </c>
      <c r="AL42" t="s">
        <v>158</v>
      </c>
      <c r="AM42" t="s">
        <v>158</v>
      </c>
      <c r="AN42">
        <v>120</v>
      </c>
      <c r="AO42" s="34">
        <f>23.2/0.44</f>
        <v>52.727272727272727</v>
      </c>
      <c r="AQ42" t="s">
        <v>192</v>
      </c>
      <c r="AR42" t="s">
        <v>236</v>
      </c>
      <c r="AU42" t="s">
        <v>243</v>
      </c>
    </row>
    <row r="43" spans="1:48">
      <c r="A43" s="3" t="s">
        <v>13</v>
      </c>
      <c r="B43" s="18" t="s">
        <v>172</v>
      </c>
      <c r="C43" s="19" t="s">
        <v>71</v>
      </c>
      <c r="G43" t="s">
        <v>231</v>
      </c>
      <c r="H43" t="s">
        <v>238</v>
      </c>
      <c r="I43" t="s">
        <v>167</v>
      </c>
      <c r="J43" s="19" t="s">
        <v>156</v>
      </c>
      <c r="K43" s="20" t="s">
        <v>168</v>
      </c>
      <c r="L43" s="34">
        <f>(AA43*N43)/AA42</f>
        <v>53.295774647887335</v>
      </c>
      <c r="M43" s="34">
        <f>(AC43*N43)/AC42</f>
        <v>97.466666666666654</v>
      </c>
      <c r="N43">
        <v>86</v>
      </c>
      <c r="O43" s="19" t="s">
        <v>244</v>
      </c>
      <c r="Y43" s="20" t="s">
        <v>168</v>
      </c>
      <c r="AA43" s="20">
        <v>4.4000000000000004</v>
      </c>
      <c r="AB43" s="20">
        <v>7.8</v>
      </c>
      <c r="AC43" s="20">
        <v>1.7</v>
      </c>
      <c r="AD43" s="7">
        <v>2</v>
      </c>
      <c r="AE43" t="s">
        <v>189</v>
      </c>
      <c r="AF43" s="34">
        <f>70/3.2</f>
        <v>21.875</v>
      </c>
      <c r="AG43" t="s">
        <v>158</v>
      </c>
      <c r="AH43" t="s">
        <v>245</v>
      </c>
      <c r="AI43" t="s">
        <v>158</v>
      </c>
      <c r="AJ43" t="s">
        <v>234</v>
      </c>
      <c r="AK43" t="s">
        <v>163</v>
      </c>
      <c r="AL43" t="s">
        <v>158</v>
      </c>
      <c r="AM43" t="s">
        <v>158</v>
      </c>
      <c r="AN43">
        <v>120</v>
      </c>
      <c r="AO43" s="34">
        <f>17.5/0.53</f>
        <v>33.018867924528301</v>
      </c>
      <c r="AQ43" t="s">
        <v>192</v>
      </c>
      <c r="AR43" t="s">
        <v>236</v>
      </c>
      <c r="AU43" t="s">
        <v>243</v>
      </c>
    </row>
    <row r="44" spans="1:48">
      <c r="A44" s="3" t="s">
        <v>13</v>
      </c>
      <c r="B44" s="18" t="s">
        <v>172</v>
      </c>
      <c r="C44" s="19" t="s">
        <v>71</v>
      </c>
      <c r="G44" t="s">
        <v>231</v>
      </c>
      <c r="H44" t="s">
        <v>238</v>
      </c>
      <c r="I44" t="s">
        <v>167</v>
      </c>
      <c r="J44" s="19" t="s">
        <v>156</v>
      </c>
      <c r="K44" s="20" t="s">
        <v>186</v>
      </c>
      <c r="L44" s="34">
        <f>(AA44*N44)/AA42</f>
        <v>41.2112676056338</v>
      </c>
      <c r="M44" s="34">
        <f>(AC44*N44)/AC42</f>
        <v>13.066666666666665</v>
      </c>
      <c r="N44">
        <v>14</v>
      </c>
      <c r="O44" s="19" t="s">
        <v>244</v>
      </c>
      <c r="Y44" s="20" t="s">
        <v>186</v>
      </c>
      <c r="AA44" s="20">
        <v>20.9</v>
      </c>
      <c r="AB44" s="20">
        <v>8.1999999999999993</v>
      </c>
      <c r="AC44" s="20">
        <v>1.4</v>
      </c>
      <c r="AD44" s="7">
        <v>2</v>
      </c>
      <c r="AE44" t="s">
        <v>189</v>
      </c>
      <c r="AF44" s="34">
        <f>70/4.7</f>
        <v>14.893617021276595</v>
      </c>
      <c r="AG44" t="s">
        <v>158</v>
      </c>
      <c r="AH44" t="s">
        <v>245</v>
      </c>
      <c r="AI44" t="s">
        <v>158</v>
      </c>
      <c r="AJ44" t="s">
        <v>234</v>
      </c>
      <c r="AK44" t="s">
        <v>163</v>
      </c>
      <c r="AL44" t="s">
        <v>158</v>
      </c>
      <c r="AM44" t="s">
        <v>158</v>
      </c>
      <c r="AN44">
        <v>120</v>
      </c>
      <c r="AO44" s="34">
        <f>13.7/0.3</f>
        <v>45.666666666666664</v>
      </c>
      <c r="AQ44" t="s">
        <v>192</v>
      </c>
      <c r="AR44" t="s">
        <v>236</v>
      </c>
      <c r="AU44" t="s">
        <v>243</v>
      </c>
    </row>
    <row r="45" spans="1:48" ht="15" customHeight="1">
      <c r="A45" s="3" t="s">
        <v>15</v>
      </c>
      <c r="B45" s="18" t="s">
        <v>154</v>
      </c>
      <c r="C45" s="19" t="s">
        <v>71</v>
      </c>
      <c r="G45" t="s">
        <v>188</v>
      </c>
      <c r="J45" s="19" t="s">
        <v>232</v>
      </c>
      <c r="K45" s="19" t="s">
        <v>157</v>
      </c>
      <c r="L45" s="15" t="s">
        <v>158</v>
      </c>
      <c r="M45" s="15" t="s">
        <v>158</v>
      </c>
      <c r="N45" s="15" t="s">
        <v>158</v>
      </c>
      <c r="O45" s="18"/>
      <c r="P45" s="19"/>
      <c r="Q45" s="19"/>
      <c r="R45" s="19"/>
      <c r="S45" s="37"/>
      <c r="T45" s="37"/>
      <c r="X45" s="20"/>
      <c r="Y45" s="19" t="s">
        <v>157</v>
      </c>
      <c r="AA45" s="19">
        <v>4.58</v>
      </c>
      <c r="AB45" s="19">
        <v>7.4</v>
      </c>
      <c r="AC45" s="19">
        <v>3.76</v>
      </c>
      <c r="AD45" s="7">
        <v>1</v>
      </c>
      <c r="AE45" t="s">
        <v>189</v>
      </c>
      <c r="AF45" s="34">
        <f>145.3/5.46</f>
        <v>26.611721611721613</v>
      </c>
      <c r="AG45" s="7" t="s">
        <v>246</v>
      </c>
      <c r="AH45" t="s">
        <v>158</v>
      </c>
      <c r="AI45" t="s">
        <v>158</v>
      </c>
      <c r="AJ45" t="s">
        <v>247</v>
      </c>
      <c r="AK45" t="s">
        <v>163</v>
      </c>
      <c r="AL45" s="3" t="s">
        <v>158</v>
      </c>
      <c r="AM45" s="7" t="s">
        <v>248</v>
      </c>
      <c r="AN45">
        <v>192</v>
      </c>
      <c r="AO45" s="34">
        <f>13.5/(AF45*AC45)*100</f>
        <v>13.491894978840552</v>
      </c>
      <c r="AQ45" t="s">
        <v>249</v>
      </c>
      <c r="AR45" t="s">
        <v>250</v>
      </c>
      <c r="AT45" s="7"/>
      <c r="AU45" t="s">
        <v>251</v>
      </c>
      <c r="AV45" s="6"/>
    </row>
    <row r="46" spans="1:48">
      <c r="A46" s="3" t="s">
        <v>15</v>
      </c>
      <c r="B46" s="18" t="s">
        <v>154</v>
      </c>
      <c r="C46" s="19" t="s">
        <v>71</v>
      </c>
      <c r="G46" t="s">
        <v>188</v>
      </c>
      <c r="J46" s="19" t="s">
        <v>232</v>
      </c>
      <c r="K46" s="19" t="s">
        <v>157</v>
      </c>
      <c r="L46" s="15" t="s">
        <v>158</v>
      </c>
      <c r="M46" s="15" t="s">
        <v>158</v>
      </c>
      <c r="N46" s="15" t="s">
        <v>158</v>
      </c>
      <c r="O46" s="18"/>
      <c r="P46" s="19"/>
      <c r="Q46" s="19"/>
      <c r="R46" s="19"/>
      <c r="S46" s="37"/>
      <c r="T46" s="37"/>
      <c r="X46" s="20"/>
      <c r="Y46" s="19" t="s">
        <v>157</v>
      </c>
      <c r="AA46" s="19">
        <v>4.58</v>
      </c>
      <c r="AB46" s="19">
        <v>7.4</v>
      </c>
      <c r="AC46" s="19">
        <v>3.76</v>
      </c>
      <c r="AD46" s="7">
        <v>2</v>
      </c>
      <c r="AE46" t="s">
        <v>189</v>
      </c>
      <c r="AF46" s="34">
        <f>145.3/5.46</f>
        <v>26.611721611721613</v>
      </c>
      <c r="AG46" s="7" t="s">
        <v>252</v>
      </c>
      <c r="AH46" t="s">
        <v>158</v>
      </c>
      <c r="AI46" t="s">
        <v>158</v>
      </c>
      <c r="AJ46" t="s">
        <v>247</v>
      </c>
      <c r="AK46" t="s">
        <v>163</v>
      </c>
      <c r="AL46" s="3" t="s">
        <v>158</v>
      </c>
      <c r="AM46" s="7" t="s">
        <v>253</v>
      </c>
      <c r="AN46">
        <v>192</v>
      </c>
      <c r="AO46" s="34">
        <f>19.6/(AF46*AC46)*100</f>
        <v>19.588232710020357</v>
      </c>
      <c r="AQ46" t="s">
        <v>249</v>
      </c>
      <c r="AR46" t="s">
        <v>250</v>
      </c>
      <c r="AT46" s="7"/>
      <c r="AU46" t="s">
        <v>251</v>
      </c>
      <c r="AV46" s="6"/>
    </row>
    <row r="47" spans="1:48">
      <c r="A47" s="3" t="s">
        <v>15</v>
      </c>
      <c r="B47" s="18" t="s">
        <v>154</v>
      </c>
      <c r="C47" s="19" t="s">
        <v>71</v>
      </c>
      <c r="G47" t="s">
        <v>188</v>
      </c>
      <c r="J47" s="19" t="s">
        <v>232</v>
      </c>
      <c r="K47" s="19" t="s">
        <v>157</v>
      </c>
      <c r="L47" s="15" t="s">
        <v>158</v>
      </c>
      <c r="M47" s="15" t="s">
        <v>158</v>
      </c>
      <c r="N47" s="15" t="s">
        <v>158</v>
      </c>
      <c r="O47" s="18"/>
      <c r="P47" s="19"/>
      <c r="Q47" s="19"/>
      <c r="R47" s="19"/>
      <c r="S47" s="37"/>
      <c r="T47" s="37"/>
      <c r="X47" s="20"/>
      <c r="Y47" s="19" t="s">
        <v>157</v>
      </c>
      <c r="AA47" s="19">
        <v>4.58</v>
      </c>
      <c r="AB47" s="19">
        <v>7.4</v>
      </c>
      <c r="AC47" s="19">
        <v>3.76</v>
      </c>
      <c r="AD47" s="7">
        <v>3</v>
      </c>
      <c r="AE47" t="s">
        <v>189</v>
      </c>
      <c r="AF47" s="34">
        <f>145.3/5.46</f>
        <v>26.611721611721613</v>
      </c>
      <c r="AG47" s="7" t="s">
        <v>254</v>
      </c>
      <c r="AH47" t="s">
        <v>158</v>
      </c>
      <c r="AI47" t="s">
        <v>158</v>
      </c>
      <c r="AJ47" t="s">
        <v>247</v>
      </c>
      <c r="AK47" t="s">
        <v>163</v>
      </c>
      <c r="AL47" s="3" t="s">
        <v>158</v>
      </c>
      <c r="AM47" s="7" t="s">
        <v>255</v>
      </c>
      <c r="AN47">
        <v>192</v>
      </c>
      <c r="AO47" s="34">
        <f>32.7/(AF47*AC47)*100</f>
        <v>32.680367837636005</v>
      </c>
      <c r="AQ47" t="s">
        <v>249</v>
      </c>
      <c r="AR47" t="s">
        <v>250</v>
      </c>
      <c r="AT47" s="7"/>
      <c r="AU47" t="s">
        <v>251</v>
      </c>
      <c r="AV47" s="6"/>
    </row>
    <row r="48" spans="1:48">
      <c r="A48" s="3" t="s">
        <v>15</v>
      </c>
      <c r="B48" s="18" t="s">
        <v>154</v>
      </c>
      <c r="C48" s="19" t="s">
        <v>71</v>
      </c>
      <c r="G48" t="s">
        <v>188</v>
      </c>
      <c r="H48" t="s">
        <v>195</v>
      </c>
      <c r="I48" t="s">
        <v>256</v>
      </c>
      <c r="J48" s="19" t="s">
        <v>232</v>
      </c>
      <c r="K48" s="19" t="s">
        <v>168</v>
      </c>
      <c r="L48" s="33">
        <f>(AA48*N48)/AA45</f>
        <v>28.275109170305676</v>
      </c>
      <c r="M48" s="33">
        <f>(AC48*N48)/AC45</f>
        <v>46.808510638297875</v>
      </c>
      <c r="N48">
        <v>50</v>
      </c>
      <c r="O48" s="19" t="s">
        <v>257</v>
      </c>
      <c r="P48" s="19"/>
      <c r="Q48" s="19"/>
      <c r="R48" s="19"/>
      <c r="S48" s="37"/>
      <c r="T48" s="37"/>
      <c r="X48" s="39"/>
      <c r="Y48" s="19" t="s">
        <v>168</v>
      </c>
      <c r="AA48" s="19">
        <v>2.59</v>
      </c>
      <c r="AB48" s="19">
        <v>7.6</v>
      </c>
      <c r="AC48" s="19">
        <v>3.52</v>
      </c>
      <c r="AD48" s="7">
        <v>1</v>
      </c>
      <c r="AE48" t="s">
        <v>189</v>
      </c>
      <c r="AF48" s="34">
        <f>141.9/5.09</f>
        <v>27.878192534381142</v>
      </c>
      <c r="AG48" s="7" t="s">
        <v>246</v>
      </c>
      <c r="AH48" t="s">
        <v>158</v>
      </c>
      <c r="AI48" t="s">
        <v>158</v>
      </c>
      <c r="AJ48" t="s">
        <v>247</v>
      </c>
      <c r="AK48" t="s">
        <v>163</v>
      </c>
      <c r="AL48" s="3" t="s">
        <v>158</v>
      </c>
      <c r="AM48" s="7" t="s">
        <v>248</v>
      </c>
      <c r="AN48">
        <v>192</v>
      </c>
      <c r="AO48" s="34">
        <f>13.2/(AF48*AC48)*100</f>
        <v>13.451374207188158</v>
      </c>
      <c r="AQ48" t="s">
        <v>249</v>
      </c>
      <c r="AR48" t="s">
        <v>250</v>
      </c>
      <c r="AT48" s="40" t="s">
        <v>191</v>
      </c>
      <c r="AU48" t="s">
        <v>251</v>
      </c>
      <c r="AV48" s="6"/>
    </row>
    <row r="49" spans="1:48">
      <c r="A49" s="3" t="s">
        <v>15</v>
      </c>
      <c r="B49" s="18" t="s">
        <v>154</v>
      </c>
      <c r="C49" s="19" t="s">
        <v>71</v>
      </c>
      <c r="G49" t="s">
        <v>188</v>
      </c>
      <c r="H49" t="s">
        <v>195</v>
      </c>
      <c r="I49" t="s">
        <v>256</v>
      </c>
      <c r="J49" s="19" t="s">
        <v>232</v>
      </c>
      <c r="K49" s="19" t="s">
        <v>168</v>
      </c>
      <c r="L49" s="33">
        <f>(AA48*N48)/AA45</f>
        <v>28.275109170305676</v>
      </c>
      <c r="M49" s="33">
        <f>(AC48*N48)/AC45</f>
        <v>46.808510638297875</v>
      </c>
      <c r="N49">
        <v>50</v>
      </c>
      <c r="O49" s="19" t="s">
        <v>257</v>
      </c>
      <c r="P49" s="19"/>
      <c r="Q49" s="19"/>
      <c r="R49" s="19"/>
      <c r="S49" s="37"/>
      <c r="T49" s="37"/>
      <c r="X49" s="39"/>
      <c r="Y49" s="19" t="s">
        <v>168</v>
      </c>
      <c r="AA49" s="19">
        <v>2.59</v>
      </c>
      <c r="AB49" s="19">
        <v>7.6</v>
      </c>
      <c r="AC49" s="19">
        <v>3.52</v>
      </c>
      <c r="AD49" s="7">
        <v>2</v>
      </c>
      <c r="AE49" t="s">
        <v>189</v>
      </c>
      <c r="AF49" s="34">
        <f>141.9/5.09</f>
        <v>27.878192534381142</v>
      </c>
      <c r="AG49" s="7" t="s">
        <v>252</v>
      </c>
      <c r="AH49" t="s">
        <v>158</v>
      </c>
      <c r="AI49" t="s">
        <v>158</v>
      </c>
      <c r="AJ49" t="s">
        <v>247</v>
      </c>
      <c r="AK49" t="s">
        <v>163</v>
      </c>
      <c r="AL49" s="3" t="s">
        <v>158</v>
      </c>
      <c r="AM49" s="7" t="s">
        <v>253</v>
      </c>
      <c r="AN49">
        <v>192</v>
      </c>
      <c r="AO49" s="34">
        <f>13.4/(AF49*AC49)*100</f>
        <v>13.655182907297073</v>
      </c>
      <c r="AQ49" t="s">
        <v>249</v>
      </c>
      <c r="AR49" t="s">
        <v>250</v>
      </c>
      <c r="AT49" s="41" t="s">
        <v>258</v>
      </c>
      <c r="AU49" t="s">
        <v>251</v>
      </c>
      <c r="AV49" s="6"/>
    </row>
    <row r="50" spans="1:48">
      <c r="A50" s="3" t="s">
        <v>15</v>
      </c>
      <c r="B50" s="18" t="s">
        <v>154</v>
      </c>
      <c r="C50" s="19" t="s">
        <v>71</v>
      </c>
      <c r="G50" t="s">
        <v>188</v>
      </c>
      <c r="H50" t="s">
        <v>195</v>
      </c>
      <c r="I50" t="s">
        <v>256</v>
      </c>
      <c r="J50" s="19" t="s">
        <v>232</v>
      </c>
      <c r="K50" s="19" t="s">
        <v>168</v>
      </c>
      <c r="L50" s="33">
        <f>(AA48*N48)/AA45</f>
        <v>28.275109170305676</v>
      </c>
      <c r="M50" s="33">
        <f>(AC50*N50)/AC45</f>
        <v>46.808510638297875</v>
      </c>
      <c r="N50">
        <v>50</v>
      </c>
      <c r="O50" s="19" t="s">
        <v>257</v>
      </c>
      <c r="P50" s="19"/>
      <c r="Q50" s="19"/>
      <c r="R50" s="19"/>
      <c r="S50" s="37"/>
      <c r="T50" s="37"/>
      <c r="X50" s="39"/>
      <c r="Y50" s="19" t="s">
        <v>168</v>
      </c>
      <c r="AA50" s="19">
        <v>2.59</v>
      </c>
      <c r="AB50" s="19">
        <v>7.6</v>
      </c>
      <c r="AC50" s="19">
        <v>3.52</v>
      </c>
      <c r="AD50" s="7">
        <v>3</v>
      </c>
      <c r="AE50" t="s">
        <v>189</v>
      </c>
      <c r="AF50" s="34">
        <f>141.9/5.09</f>
        <v>27.878192534381142</v>
      </c>
      <c r="AG50" s="7" t="s">
        <v>254</v>
      </c>
      <c r="AH50" t="s">
        <v>158</v>
      </c>
      <c r="AI50" t="s">
        <v>158</v>
      </c>
      <c r="AJ50" t="s">
        <v>247</v>
      </c>
      <c r="AK50" t="s">
        <v>163</v>
      </c>
      <c r="AL50" s="3" t="s">
        <v>158</v>
      </c>
      <c r="AM50" s="7" t="s">
        <v>255</v>
      </c>
      <c r="AN50">
        <v>192</v>
      </c>
      <c r="AO50" s="34">
        <f>26.7/(AF50*AC50)*100</f>
        <v>27.208461464539685</v>
      </c>
      <c r="AQ50" t="s">
        <v>249</v>
      </c>
      <c r="AR50" t="s">
        <v>250</v>
      </c>
      <c r="AT50" s="41" t="s">
        <v>259</v>
      </c>
      <c r="AU50" t="s">
        <v>251</v>
      </c>
      <c r="AV50" s="6"/>
    </row>
    <row r="51" spans="1:48">
      <c r="A51" s="3" t="s">
        <v>15</v>
      </c>
      <c r="B51" s="18" t="s">
        <v>154</v>
      </c>
      <c r="C51" s="19" t="s">
        <v>71</v>
      </c>
      <c r="G51" t="s">
        <v>188</v>
      </c>
      <c r="H51" t="s">
        <v>260</v>
      </c>
      <c r="I51" t="s">
        <v>256</v>
      </c>
      <c r="J51" s="19" t="s">
        <v>232</v>
      </c>
      <c r="K51" s="19" t="s">
        <v>168</v>
      </c>
      <c r="L51" s="33">
        <f>(AA51*N51)/AA45</f>
        <v>53.624454148471614</v>
      </c>
      <c r="M51" s="33">
        <f>(AC51*N51)/AC45</f>
        <v>67.021276595744681</v>
      </c>
      <c r="N51">
        <v>80</v>
      </c>
      <c r="O51" s="19" t="s">
        <v>257</v>
      </c>
      <c r="P51" s="19"/>
      <c r="Q51" s="19"/>
      <c r="R51" s="19"/>
      <c r="S51" s="37"/>
      <c r="T51" s="37"/>
      <c r="X51" s="39"/>
      <c r="Y51" s="19" t="s">
        <v>168</v>
      </c>
      <c r="AA51" s="19">
        <v>3.07</v>
      </c>
      <c r="AB51" s="19">
        <v>7.7</v>
      </c>
      <c r="AC51" s="19">
        <v>3.15</v>
      </c>
      <c r="AD51" s="7">
        <v>1</v>
      </c>
      <c r="AE51" t="s">
        <v>189</v>
      </c>
      <c r="AF51" s="34">
        <f>148.7/4.93</f>
        <v>30.162271805273832</v>
      </c>
      <c r="AG51" s="7" t="s">
        <v>246</v>
      </c>
      <c r="AH51" t="s">
        <v>158</v>
      </c>
      <c r="AI51" t="s">
        <v>158</v>
      </c>
      <c r="AJ51" t="s">
        <v>247</v>
      </c>
      <c r="AK51" t="s">
        <v>163</v>
      </c>
      <c r="AL51" s="3" t="s">
        <v>158</v>
      </c>
      <c r="AM51" s="7" t="s">
        <v>248</v>
      </c>
      <c r="AN51">
        <v>192</v>
      </c>
      <c r="AO51" s="34">
        <f>8.6/(AF51*AC51)*100</f>
        <v>9.0515686211718496</v>
      </c>
      <c r="AQ51" t="s">
        <v>249</v>
      </c>
      <c r="AR51" t="s">
        <v>250</v>
      </c>
      <c r="AT51" s="41" t="s">
        <v>261</v>
      </c>
      <c r="AU51" t="s">
        <v>251</v>
      </c>
      <c r="AV51" s="6"/>
    </row>
    <row r="52" spans="1:48">
      <c r="A52" s="3" t="s">
        <v>15</v>
      </c>
      <c r="B52" s="18" t="s">
        <v>154</v>
      </c>
      <c r="C52" s="19" t="s">
        <v>71</v>
      </c>
      <c r="G52" t="s">
        <v>188</v>
      </c>
      <c r="H52" t="s">
        <v>260</v>
      </c>
      <c r="I52" t="s">
        <v>256</v>
      </c>
      <c r="J52" s="19" t="s">
        <v>232</v>
      </c>
      <c r="K52" s="19" t="s">
        <v>168</v>
      </c>
      <c r="L52" s="33">
        <f>(AA51*N51)/AA45</f>
        <v>53.624454148471614</v>
      </c>
      <c r="M52" s="33">
        <f>(AC51*N51)/AC45</f>
        <v>67.021276595744681</v>
      </c>
      <c r="N52">
        <v>80</v>
      </c>
      <c r="O52" s="19" t="s">
        <v>257</v>
      </c>
      <c r="P52" s="19"/>
      <c r="Q52" s="19"/>
      <c r="R52" s="19"/>
      <c r="S52" s="37"/>
      <c r="T52" s="37"/>
      <c r="X52" s="39"/>
      <c r="Y52" s="19" t="s">
        <v>168</v>
      </c>
      <c r="AA52" s="19">
        <v>3.07</v>
      </c>
      <c r="AB52" s="19">
        <v>7.7</v>
      </c>
      <c r="AC52" s="19">
        <v>3.15</v>
      </c>
      <c r="AD52" s="7">
        <v>2</v>
      </c>
      <c r="AE52" t="s">
        <v>189</v>
      </c>
      <c r="AF52" s="34">
        <f>148.7/4.93</f>
        <v>30.162271805273832</v>
      </c>
      <c r="AG52" s="7" t="s">
        <v>252</v>
      </c>
      <c r="AH52" t="s">
        <v>158</v>
      </c>
      <c r="AI52" t="s">
        <v>158</v>
      </c>
      <c r="AJ52" t="s">
        <v>247</v>
      </c>
      <c r="AK52" t="s">
        <v>163</v>
      </c>
      <c r="AL52" s="3" t="s">
        <v>158</v>
      </c>
      <c r="AM52" s="7" t="s">
        <v>253</v>
      </c>
      <c r="AN52">
        <v>192</v>
      </c>
      <c r="AO52" s="34">
        <f>12.9/(AF52*AC52)*100</f>
        <v>13.577352931757774</v>
      </c>
      <c r="AQ52" t="s">
        <v>249</v>
      </c>
      <c r="AR52" t="s">
        <v>250</v>
      </c>
      <c r="AT52" s="41" t="s">
        <v>239</v>
      </c>
      <c r="AU52" t="s">
        <v>251</v>
      </c>
      <c r="AV52" s="6"/>
    </row>
    <row r="53" spans="1:48">
      <c r="A53" s="3" t="s">
        <v>15</v>
      </c>
      <c r="B53" s="18" t="s">
        <v>154</v>
      </c>
      <c r="C53" s="19" t="s">
        <v>71</v>
      </c>
      <c r="G53" t="s">
        <v>188</v>
      </c>
      <c r="H53" t="s">
        <v>260</v>
      </c>
      <c r="I53" t="s">
        <v>256</v>
      </c>
      <c r="J53" s="19" t="s">
        <v>232</v>
      </c>
      <c r="K53" s="19" t="s">
        <v>168</v>
      </c>
      <c r="L53" s="33">
        <f>(AA51*N51)/AA45</f>
        <v>53.624454148471614</v>
      </c>
      <c r="M53" s="33">
        <f>(AC51*N51)/AC45</f>
        <v>67.021276595744681</v>
      </c>
      <c r="N53">
        <v>80</v>
      </c>
      <c r="O53" s="19" t="s">
        <v>257</v>
      </c>
      <c r="P53" s="19"/>
      <c r="Q53" s="19"/>
      <c r="R53" s="19"/>
      <c r="S53" s="37"/>
      <c r="T53" s="37"/>
      <c r="X53" s="39"/>
      <c r="Y53" s="19" t="s">
        <v>168</v>
      </c>
      <c r="AA53" s="19">
        <v>3.07</v>
      </c>
      <c r="AB53" s="19">
        <v>7.7</v>
      </c>
      <c r="AC53" s="19">
        <v>3.15</v>
      </c>
      <c r="AD53" s="7">
        <v>3</v>
      </c>
      <c r="AE53" t="s">
        <v>189</v>
      </c>
      <c r="AF53" s="34">
        <f>148.7/4.93</f>
        <v>30.162271805273832</v>
      </c>
      <c r="AG53" s="7" t="s">
        <v>254</v>
      </c>
      <c r="AH53" t="s">
        <v>158</v>
      </c>
      <c r="AI53" t="s">
        <v>158</v>
      </c>
      <c r="AJ53" t="s">
        <v>247</v>
      </c>
      <c r="AK53" t="s">
        <v>163</v>
      </c>
      <c r="AL53" s="3" t="s">
        <v>158</v>
      </c>
      <c r="AM53" s="7" t="s">
        <v>255</v>
      </c>
      <c r="AN53">
        <v>192</v>
      </c>
      <c r="AO53" s="34">
        <f>20.6/(AF53*AC53)*100</f>
        <v>21.681664371644199</v>
      </c>
      <c r="AQ53" t="s">
        <v>249</v>
      </c>
      <c r="AR53" t="s">
        <v>250</v>
      </c>
      <c r="AT53" s="41" t="s">
        <v>262</v>
      </c>
      <c r="AU53" t="s">
        <v>251</v>
      </c>
      <c r="AV53" s="6"/>
    </row>
    <row r="54" spans="1:48" ht="15" customHeight="1">
      <c r="A54" s="3" t="s">
        <v>17</v>
      </c>
      <c r="B54" s="18" t="s">
        <v>154</v>
      </c>
      <c r="C54" s="19" t="s">
        <v>71</v>
      </c>
      <c r="G54" t="s">
        <v>188</v>
      </c>
      <c r="J54" s="19" t="s">
        <v>232</v>
      </c>
      <c r="K54" s="20" t="s">
        <v>157</v>
      </c>
      <c r="L54" s="17" t="s">
        <v>158</v>
      </c>
      <c r="M54" s="17" t="s">
        <v>158</v>
      </c>
      <c r="N54" s="7" t="s">
        <v>158</v>
      </c>
      <c r="O54" s="20"/>
      <c r="S54" s="42"/>
      <c r="T54" s="42"/>
      <c r="X54" s="39"/>
      <c r="Y54" s="20" t="s">
        <v>157</v>
      </c>
      <c r="AA54" s="20">
        <v>5.2</v>
      </c>
      <c r="AB54" s="20">
        <v>7.4</v>
      </c>
      <c r="AC54" s="20">
        <v>3.5</v>
      </c>
      <c r="AD54" s="7">
        <v>1</v>
      </c>
      <c r="AE54" t="s">
        <v>189</v>
      </c>
      <c r="AF54" s="43">
        <v>14</v>
      </c>
      <c r="AG54" t="s">
        <v>158</v>
      </c>
      <c r="AH54" t="s">
        <v>158</v>
      </c>
      <c r="AI54" t="s">
        <v>263</v>
      </c>
      <c r="AJ54" t="s">
        <v>264</v>
      </c>
      <c r="AK54" t="s">
        <v>191</v>
      </c>
      <c r="AL54" t="s">
        <v>158</v>
      </c>
      <c r="AM54">
        <v>0.3</v>
      </c>
      <c r="AN54">
        <v>240</v>
      </c>
      <c r="AO54" s="2">
        <v>22.7</v>
      </c>
      <c r="AP54" s="2"/>
      <c r="AQ54" t="s">
        <v>196</v>
      </c>
      <c r="AR54" t="s">
        <v>265</v>
      </c>
      <c r="AT54" s="44"/>
    </row>
    <row r="55" spans="1:48">
      <c r="A55" s="3" t="s">
        <v>17</v>
      </c>
      <c r="B55" s="18" t="s">
        <v>154</v>
      </c>
      <c r="C55" s="19" t="s">
        <v>71</v>
      </c>
      <c r="G55" t="s">
        <v>188</v>
      </c>
      <c r="H55" s="7" t="s">
        <v>266</v>
      </c>
      <c r="I55" s="7" t="s">
        <v>256</v>
      </c>
      <c r="J55" s="19" t="s">
        <v>232</v>
      </c>
      <c r="K55" s="20" t="s">
        <v>168</v>
      </c>
      <c r="L55" s="17" t="s">
        <v>158</v>
      </c>
      <c r="M55" s="17" t="s">
        <v>158</v>
      </c>
      <c r="N55" s="7">
        <v>50</v>
      </c>
      <c r="O55" s="20" t="s">
        <v>267</v>
      </c>
      <c r="S55" s="42"/>
      <c r="T55" s="42"/>
      <c r="X55" s="39"/>
      <c r="Y55" s="20" t="s">
        <v>168</v>
      </c>
      <c r="AA55" s="20">
        <v>2.8</v>
      </c>
      <c r="AB55" s="20">
        <v>7.7</v>
      </c>
      <c r="AC55" s="20">
        <v>3.7</v>
      </c>
      <c r="AD55" s="7">
        <v>1</v>
      </c>
      <c r="AE55" t="s">
        <v>189</v>
      </c>
      <c r="AF55" s="43">
        <v>16</v>
      </c>
      <c r="AG55" t="s">
        <v>158</v>
      </c>
      <c r="AH55" t="s">
        <v>158</v>
      </c>
      <c r="AI55" t="s">
        <v>263</v>
      </c>
      <c r="AJ55" t="s">
        <v>264</v>
      </c>
      <c r="AK55" t="s">
        <v>191</v>
      </c>
      <c r="AL55" t="s">
        <v>158</v>
      </c>
      <c r="AM55">
        <v>0.3</v>
      </c>
      <c r="AN55">
        <v>240</v>
      </c>
      <c r="AO55" s="2">
        <v>20.5</v>
      </c>
      <c r="AP55" s="2"/>
      <c r="AQ55" t="s">
        <v>196</v>
      </c>
      <c r="AR55" t="s">
        <v>265</v>
      </c>
      <c r="AT55" s="41" t="s">
        <v>268</v>
      </c>
    </row>
    <row r="56" spans="1:48">
      <c r="A56" s="3" t="s">
        <v>17</v>
      </c>
      <c r="B56" s="18" t="s">
        <v>154</v>
      </c>
      <c r="C56" s="19" t="s">
        <v>71</v>
      </c>
      <c r="G56" t="s">
        <v>188</v>
      </c>
      <c r="H56" s="7" t="s">
        <v>260</v>
      </c>
      <c r="I56" s="7" t="s">
        <v>269</v>
      </c>
      <c r="J56" s="19" t="s">
        <v>232</v>
      </c>
      <c r="K56" s="20" t="s">
        <v>168</v>
      </c>
      <c r="L56" s="17" t="s">
        <v>158</v>
      </c>
      <c r="M56" s="17" t="s">
        <v>158</v>
      </c>
      <c r="N56" s="7" t="s">
        <v>158</v>
      </c>
      <c r="O56" s="20"/>
      <c r="S56" s="42"/>
      <c r="T56" s="42"/>
      <c r="X56" s="39"/>
      <c r="Y56" s="20" t="s">
        <v>168</v>
      </c>
      <c r="AA56" s="20">
        <v>1.6</v>
      </c>
      <c r="AB56" s="20">
        <v>8.1</v>
      </c>
      <c r="AC56" s="20">
        <v>3.2</v>
      </c>
      <c r="AD56" s="7">
        <v>1</v>
      </c>
      <c r="AE56" t="s">
        <v>189</v>
      </c>
      <c r="AF56" s="43">
        <v>34</v>
      </c>
      <c r="AG56" t="s">
        <v>158</v>
      </c>
      <c r="AH56" t="s">
        <v>158</v>
      </c>
      <c r="AI56" t="s">
        <v>263</v>
      </c>
      <c r="AJ56" t="s">
        <v>264</v>
      </c>
      <c r="AK56" t="s">
        <v>191</v>
      </c>
      <c r="AL56" t="s">
        <v>158</v>
      </c>
      <c r="AM56">
        <v>0.3</v>
      </c>
      <c r="AN56">
        <v>240</v>
      </c>
      <c r="AO56" s="2">
        <v>28.9</v>
      </c>
      <c r="AP56" s="2"/>
      <c r="AQ56" t="s">
        <v>196</v>
      </c>
      <c r="AR56" t="s">
        <v>265</v>
      </c>
      <c r="AT56" s="45" t="s">
        <v>270</v>
      </c>
    </row>
    <row r="57" spans="1:48" ht="15" customHeight="1">
      <c r="A57" s="3" t="s">
        <v>17</v>
      </c>
      <c r="B57" s="18" t="s">
        <v>154</v>
      </c>
      <c r="C57" s="19" t="s">
        <v>71</v>
      </c>
      <c r="G57" t="s">
        <v>188</v>
      </c>
      <c r="H57" s="7"/>
      <c r="I57" s="7"/>
      <c r="J57" s="19" t="s">
        <v>232</v>
      </c>
      <c r="K57" s="20" t="s">
        <v>157</v>
      </c>
      <c r="L57" s="17" t="s">
        <v>158</v>
      </c>
      <c r="M57" s="17" t="s">
        <v>158</v>
      </c>
      <c r="N57" s="7" t="s">
        <v>158</v>
      </c>
      <c r="O57" s="20"/>
      <c r="S57" s="42"/>
      <c r="T57" s="42"/>
      <c r="X57" s="39"/>
      <c r="Y57" s="20" t="s">
        <v>157</v>
      </c>
      <c r="AA57" s="20">
        <v>2.6</v>
      </c>
      <c r="AB57" s="20">
        <v>8</v>
      </c>
      <c r="AC57" s="20">
        <v>3.7</v>
      </c>
      <c r="AD57" s="7">
        <v>2</v>
      </c>
      <c r="AE57" t="s">
        <v>189</v>
      </c>
      <c r="AF57" s="43">
        <v>16</v>
      </c>
      <c r="AG57" t="s">
        <v>158</v>
      </c>
      <c r="AH57" t="s">
        <v>158</v>
      </c>
      <c r="AI57" t="s">
        <v>263</v>
      </c>
      <c r="AJ57" t="s">
        <v>264</v>
      </c>
      <c r="AK57" t="s">
        <v>191</v>
      </c>
      <c r="AL57" t="s">
        <v>158</v>
      </c>
      <c r="AM57">
        <v>0.3</v>
      </c>
      <c r="AN57">
        <v>240</v>
      </c>
      <c r="AO57" s="2">
        <v>22.1</v>
      </c>
      <c r="AP57" s="2"/>
      <c r="AQ57" t="s">
        <v>196</v>
      </c>
      <c r="AR57" t="s">
        <v>265</v>
      </c>
      <c r="AT57" s="44"/>
    </row>
    <row r="58" spans="1:48">
      <c r="A58" s="3" t="s">
        <v>17</v>
      </c>
      <c r="B58" s="18" t="s">
        <v>154</v>
      </c>
      <c r="C58" s="19" t="s">
        <v>71</v>
      </c>
      <c r="G58" t="s">
        <v>188</v>
      </c>
      <c r="H58" s="7" t="s">
        <v>271</v>
      </c>
      <c r="I58" s="7" t="s">
        <v>269</v>
      </c>
      <c r="J58" s="19" t="s">
        <v>232</v>
      </c>
      <c r="K58" s="20" t="s">
        <v>168</v>
      </c>
      <c r="L58" s="17" t="s">
        <v>158</v>
      </c>
      <c r="M58" s="17" t="s">
        <v>158</v>
      </c>
      <c r="N58" s="7" t="s">
        <v>158</v>
      </c>
      <c r="O58" s="20"/>
      <c r="S58" s="42"/>
      <c r="T58" s="42"/>
      <c r="X58" s="39"/>
      <c r="Y58" s="20" t="s">
        <v>168</v>
      </c>
      <c r="AA58" s="20">
        <v>1</v>
      </c>
      <c r="AB58" s="20">
        <v>8.3000000000000007</v>
      </c>
      <c r="AC58" s="20">
        <v>2.8</v>
      </c>
      <c r="AD58" s="7">
        <v>2</v>
      </c>
      <c r="AE58" t="s">
        <v>189</v>
      </c>
      <c r="AF58" s="43">
        <v>25</v>
      </c>
      <c r="AG58" t="s">
        <v>158</v>
      </c>
      <c r="AH58" t="s">
        <v>158</v>
      </c>
      <c r="AI58" t="s">
        <v>263</v>
      </c>
      <c r="AJ58" t="s">
        <v>264</v>
      </c>
      <c r="AK58" t="s">
        <v>191</v>
      </c>
      <c r="AL58" t="s">
        <v>158</v>
      </c>
      <c r="AM58">
        <v>0.3</v>
      </c>
      <c r="AN58">
        <v>240</v>
      </c>
      <c r="AO58" s="2">
        <v>22.1</v>
      </c>
      <c r="AP58" s="2"/>
      <c r="AQ58" t="s">
        <v>196</v>
      </c>
      <c r="AR58" t="s">
        <v>265</v>
      </c>
      <c r="AT58" s="40" t="s">
        <v>191</v>
      </c>
    </row>
    <row r="59" spans="1:48" ht="15" customHeight="1">
      <c r="A59" s="3" t="s">
        <v>17</v>
      </c>
      <c r="B59" s="18" t="s">
        <v>154</v>
      </c>
      <c r="C59" s="19" t="s">
        <v>71</v>
      </c>
      <c r="G59" t="s">
        <v>188</v>
      </c>
      <c r="H59" s="7"/>
      <c r="I59" s="7"/>
      <c r="J59" s="19" t="s">
        <v>232</v>
      </c>
      <c r="K59" s="20" t="s">
        <v>157</v>
      </c>
      <c r="L59" s="17" t="s">
        <v>158</v>
      </c>
      <c r="M59" s="17" t="s">
        <v>158</v>
      </c>
      <c r="N59" s="7" t="s">
        <v>158</v>
      </c>
      <c r="O59" s="20"/>
      <c r="S59" s="42"/>
      <c r="T59" s="42"/>
      <c r="X59" s="39"/>
      <c r="Y59" s="20" t="s">
        <v>157</v>
      </c>
      <c r="AA59" s="20">
        <v>7.6</v>
      </c>
      <c r="AB59" s="20">
        <v>7.5</v>
      </c>
      <c r="AC59" s="20">
        <v>5.3</v>
      </c>
      <c r="AD59" s="7">
        <v>3</v>
      </c>
      <c r="AE59" t="s">
        <v>189</v>
      </c>
      <c r="AF59" s="43">
        <v>21</v>
      </c>
      <c r="AG59" t="s">
        <v>158</v>
      </c>
      <c r="AH59" t="s">
        <v>158</v>
      </c>
      <c r="AI59" t="s">
        <v>263</v>
      </c>
      <c r="AJ59" t="s">
        <v>264</v>
      </c>
      <c r="AK59" t="s">
        <v>191</v>
      </c>
      <c r="AL59" t="s">
        <v>158</v>
      </c>
      <c r="AM59">
        <v>0.3</v>
      </c>
      <c r="AN59">
        <v>240</v>
      </c>
      <c r="AO59" s="2">
        <v>25</v>
      </c>
      <c r="AP59" s="2"/>
      <c r="AQ59" t="s">
        <v>196</v>
      </c>
      <c r="AR59" t="s">
        <v>265</v>
      </c>
      <c r="AT59" s="44"/>
    </row>
    <row r="60" spans="1:48">
      <c r="A60" s="3" t="s">
        <v>17</v>
      </c>
      <c r="B60" s="18" t="s">
        <v>154</v>
      </c>
      <c r="C60" s="19" t="s">
        <v>71</v>
      </c>
      <c r="G60" t="s">
        <v>188</v>
      </c>
      <c r="H60" s="7" t="s">
        <v>266</v>
      </c>
      <c r="I60" s="7" t="s">
        <v>256</v>
      </c>
      <c r="J60" s="19" t="s">
        <v>232</v>
      </c>
      <c r="K60" s="20" t="s">
        <v>168</v>
      </c>
      <c r="L60" s="17" t="s">
        <v>158</v>
      </c>
      <c r="M60" s="17" t="s">
        <v>158</v>
      </c>
      <c r="N60" s="7">
        <v>50</v>
      </c>
      <c r="O60" s="20" t="s">
        <v>267</v>
      </c>
      <c r="S60" s="42"/>
      <c r="T60" s="42"/>
      <c r="X60" s="39"/>
      <c r="Y60" s="20" t="s">
        <v>168</v>
      </c>
      <c r="AA60" s="20">
        <v>4.0999999999999996</v>
      </c>
      <c r="AB60" s="20">
        <v>7.8</v>
      </c>
      <c r="AC60" s="20">
        <v>5.0999999999999996</v>
      </c>
      <c r="AD60" s="7">
        <v>3</v>
      </c>
      <c r="AE60" t="s">
        <v>189</v>
      </c>
      <c r="AF60" s="43">
        <v>24</v>
      </c>
      <c r="AG60" t="s">
        <v>158</v>
      </c>
      <c r="AH60" t="s">
        <v>158</v>
      </c>
      <c r="AI60" t="s">
        <v>263</v>
      </c>
      <c r="AJ60" t="s">
        <v>264</v>
      </c>
      <c r="AK60" t="s">
        <v>191</v>
      </c>
      <c r="AL60" t="s">
        <v>158</v>
      </c>
      <c r="AM60">
        <v>0.3</v>
      </c>
      <c r="AN60">
        <v>240</v>
      </c>
      <c r="AO60" s="2">
        <v>27.8</v>
      </c>
      <c r="AP60" s="2"/>
      <c r="AQ60" t="s">
        <v>196</v>
      </c>
      <c r="AR60" t="s">
        <v>265</v>
      </c>
      <c r="AT60" s="45" t="s">
        <v>272</v>
      </c>
    </row>
    <row r="61" spans="1:48">
      <c r="A61" s="3" t="s">
        <v>17</v>
      </c>
      <c r="B61" s="18" t="s">
        <v>154</v>
      </c>
      <c r="C61" s="19" t="s">
        <v>71</v>
      </c>
      <c r="G61" t="s">
        <v>188</v>
      </c>
      <c r="H61" s="7" t="s">
        <v>260</v>
      </c>
      <c r="I61" s="7" t="s">
        <v>269</v>
      </c>
      <c r="J61" s="19" t="s">
        <v>232</v>
      </c>
      <c r="K61" s="20" t="s">
        <v>168</v>
      </c>
      <c r="L61" s="17" t="s">
        <v>158</v>
      </c>
      <c r="M61" s="17" t="s">
        <v>158</v>
      </c>
      <c r="N61" s="7" t="s">
        <v>158</v>
      </c>
      <c r="O61" s="20"/>
      <c r="S61" s="42"/>
      <c r="T61" s="42"/>
      <c r="X61" s="39"/>
      <c r="Y61" s="20" t="s">
        <v>168</v>
      </c>
      <c r="AA61" s="20">
        <v>3.2</v>
      </c>
      <c r="AB61" s="20">
        <v>8.1</v>
      </c>
      <c r="AC61" s="20">
        <v>3.5</v>
      </c>
      <c r="AD61" s="7">
        <v>3</v>
      </c>
      <c r="AE61" t="s">
        <v>189</v>
      </c>
      <c r="AF61" s="43">
        <v>34</v>
      </c>
      <c r="AG61" t="s">
        <v>158</v>
      </c>
      <c r="AH61" t="s">
        <v>158</v>
      </c>
      <c r="AI61" t="s">
        <v>263</v>
      </c>
      <c r="AJ61" t="s">
        <v>264</v>
      </c>
      <c r="AK61" t="s">
        <v>191</v>
      </c>
      <c r="AL61" t="s">
        <v>158</v>
      </c>
      <c r="AM61">
        <v>0.3</v>
      </c>
      <c r="AN61">
        <v>240</v>
      </c>
      <c r="AO61" s="2">
        <v>29</v>
      </c>
      <c r="AP61" s="2"/>
      <c r="AQ61" t="s">
        <v>196</v>
      </c>
      <c r="AR61" t="s">
        <v>265</v>
      </c>
      <c r="AT61" s="45" t="s">
        <v>273</v>
      </c>
    </row>
    <row r="62" spans="1:48" ht="15" customHeight="1">
      <c r="A62" s="3" t="s">
        <v>17</v>
      </c>
      <c r="B62" s="18" t="s">
        <v>154</v>
      </c>
      <c r="C62" s="19" t="s">
        <v>71</v>
      </c>
      <c r="G62" t="s">
        <v>188</v>
      </c>
      <c r="H62" s="7"/>
      <c r="I62" s="7"/>
      <c r="J62" s="19" t="s">
        <v>232</v>
      </c>
      <c r="K62" s="20" t="s">
        <v>157</v>
      </c>
      <c r="L62" s="17" t="s">
        <v>158</v>
      </c>
      <c r="M62" s="17" t="s">
        <v>158</v>
      </c>
      <c r="N62" s="7" t="s">
        <v>158</v>
      </c>
      <c r="O62" s="20"/>
      <c r="S62" s="42"/>
      <c r="T62" s="42"/>
      <c r="X62" s="39"/>
      <c r="Y62" s="20" t="s">
        <v>157</v>
      </c>
      <c r="AA62" s="20">
        <v>4.8</v>
      </c>
      <c r="AB62" s="20">
        <v>8.3000000000000007</v>
      </c>
      <c r="AC62" s="20">
        <v>4.9000000000000004</v>
      </c>
      <c r="AD62" s="7">
        <v>4</v>
      </c>
      <c r="AE62" t="s">
        <v>189</v>
      </c>
      <c r="AF62" s="43">
        <v>23</v>
      </c>
      <c r="AG62" t="s">
        <v>158</v>
      </c>
      <c r="AH62" t="s">
        <v>158</v>
      </c>
      <c r="AI62" t="s">
        <v>263</v>
      </c>
      <c r="AJ62" t="s">
        <v>264</v>
      </c>
      <c r="AK62" t="s">
        <v>191</v>
      </c>
      <c r="AL62" t="s">
        <v>158</v>
      </c>
      <c r="AM62">
        <v>0.3</v>
      </c>
      <c r="AN62">
        <v>240</v>
      </c>
      <c r="AO62" s="2">
        <v>19.600000000000001</v>
      </c>
      <c r="AP62" s="2"/>
      <c r="AQ62" t="s">
        <v>196</v>
      </c>
      <c r="AR62" t="s">
        <v>265</v>
      </c>
      <c r="AT62" s="44"/>
    </row>
    <row r="63" spans="1:48">
      <c r="A63" s="3" t="s">
        <v>17</v>
      </c>
      <c r="B63" s="18" t="s">
        <v>154</v>
      </c>
      <c r="C63" s="19" t="s">
        <v>71</v>
      </c>
      <c r="G63" t="s">
        <v>188</v>
      </c>
      <c r="H63" s="7" t="s">
        <v>271</v>
      </c>
      <c r="I63" s="7" t="s">
        <v>269</v>
      </c>
      <c r="J63" s="19" t="s">
        <v>232</v>
      </c>
      <c r="K63" s="20" t="s">
        <v>168</v>
      </c>
      <c r="L63" s="17" t="s">
        <v>158</v>
      </c>
      <c r="M63" s="17" t="s">
        <v>158</v>
      </c>
      <c r="N63" s="7" t="s">
        <v>158</v>
      </c>
      <c r="O63" s="20"/>
      <c r="S63" s="42"/>
      <c r="T63" s="42"/>
      <c r="X63" s="39"/>
      <c r="Y63" s="20" t="s">
        <v>168</v>
      </c>
      <c r="AA63" s="20">
        <v>2.7</v>
      </c>
      <c r="AB63" s="20">
        <v>8.3000000000000007</v>
      </c>
      <c r="AC63" s="20">
        <v>4.4000000000000004</v>
      </c>
      <c r="AD63" s="7">
        <v>4</v>
      </c>
      <c r="AE63" t="s">
        <v>189</v>
      </c>
      <c r="AF63" s="43">
        <v>28</v>
      </c>
      <c r="AG63" t="s">
        <v>158</v>
      </c>
      <c r="AH63" t="s">
        <v>158</v>
      </c>
      <c r="AI63" t="s">
        <v>263</v>
      </c>
      <c r="AJ63" t="s">
        <v>264</v>
      </c>
      <c r="AK63" t="s">
        <v>191</v>
      </c>
      <c r="AL63" t="s">
        <v>158</v>
      </c>
      <c r="AM63">
        <v>0.3</v>
      </c>
      <c r="AN63">
        <v>240</v>
      </c>
      <c r="AO63" s="2">
        <v>19.3</v>
      </c>
      <c r="AP63" s="2"/>
      <c r="AQ63" t="s">
        <v>196</v>
      </c>
      <c r="AR63" t="s">
        <v>265</v>
      </c>
      <c r="AT63" s="41" t="s">
        <v>274</v>
      </c>
    </row>
    <row r="64" spans="1:48" ht="15" customHeight="1">
      <c r="A64" s="3" t="s">
        <v>17</v>
      </c>
      <c r="B64" s="18" t="s">
        <v>154</v>
      </c>
      <c r="C64" s="19" t="s">
        <v>71</v>
      </c>
      <c r="G64" t="s">
        <v>188</v>
      </c>
      <c r="H64" s="7"/>
      <c r="I64" s="7"/>
      <c r="J64" s="19" t="s">
        <v>232</v>
      </c>
      <c r="K64" s="20" t="s">
        <v>157</v>
      </c>
      <c r="L64" s="17" t="s">
        <v>158</v>
      </c>
      <c r="M64" s="17" t="s">
        <v>158</v>
      </c>
      <c r="N64" s="7" t="s">
        <v>158</v>
      </c>
      <c r="O64" s="20"/>
      <c r="S64" s="42"/>
      <c r="T64" s="42"/>
      <c r="X64" s="39"/>
      <c r="Y64" s="20" t="s">
        <v>157</v>
      </c>
      <c r="AA64" s="20">
        <v>5</v>
      </c>
      <c r="AB64" s="20">
        <v>8.6999999999999993</v>
      </c>
      <c r="AC64" s="20">
        <v>5.4</v>
      </c>
      <c r="AD64" s="7">
        <v>5</v>
      </c>
      <c r="AE64" t="s">
        <v>189</v>
      </c>
      <c r="AF64" s="43">
        <v>21</v>
      </c>
      <c r="AG64" t="s">
        <v>158</v>
      </c>
      <c r="AH64" t="s">
        <v>158</v>
      </c>
      <c r="AI64" t="s">
        <v>263</v>
      </c>
      <c r="AJ64" t="s">
        <v>264</v>
      </c>
      <c r="AK64" t="s">
        <v>191</v>
      </c>
      <c r="AL64" t="s">
        <v>158</v>
      </c>
      <c r="AM64">
        <v>0.22</v>
      </c>
      <c r="AN64">
        <v>240</v>
      </c>
      <c r="AO64" s="2">
        <v>19.3</v>
      </c>
      <c r="AP64" s="2"/>
      <c r="AQ64" t="s">
        <v>196</v>
      </c>
      <c r="AR64" t="s">
        <v>265</v>
      </c>
      <c r="AT64" s="44"/>
    </row>
    <row r="65" spans="1:48">
      <c r="A65" s="3" t="s">
        <v>17</v>
      </c>
      <c r="B65" s="18" t="s">
        <v>154</v>
      </c>
      <c r="C65" s="19" t="s">
        <v>71</v>
      </c>
      <c r="G65" t="s">
        <v>188</v>
      </c>
      <c r="H65" s="7" t="s">
        <v>266</v>
      </c>
      <c r="I65" s="7" t="s">
        <v>256</v>
      </c>
      <c r="J65" s="19" t="s">
        <v>232</v>
      </c>
      <c r="K65" s="20" t="s">
        <v>168</v>
      </c>
      <c r="L65" s="17" t="s">
        <v>158</v>
      </c>
      <c r="M65" s="17" t="s">
        <v>158</v>
      </c>
      <c r="N65" s="7">
        <v>50</v>
      </c>
      <c r="O65" s="20" t="s">
        <v>267</v>
      </c>
      <c r="S65" s="42"/>
      <c r="T65" s="42"/>
      <c r="X65" s="39"/>
      <c r="Y65" s="20" t="s">
        <v>168</v>
      </c>
      <c r="AA65" s="20">
        <v>1.2</v>
      </c>
      <c r="AB65" s="20">
        <v>8.1999999999999993</v>
      </c>
      <c r="AC65" s="20">
        <v>3.4</v>
      </c>
      <c r="AD65" s="7">
        <v>5</v>
      </c>
      <c r="AE65" t="s">
        <v>189</v>
      </c>
      <c r="AF65" s="43">
        <v>24</v>
      </c>
      <c r="AG65" t="s">
        <v>158</v>
      </c>
      <c r="AH65" t="s">
        <v>158</v>
      </c>
      <c r="AI65" t="s">
        <v>263</v>
      </c>
      <c r="AJ65" t="s">
        <v>264</v>
      </c>
      <c r="AK65" t="s">
        <v>191</v>
      </c>
      <c r="AL65" t="s">
        <v>158</v>
      </c>
      <c r="AM65">
        <v>0.22</v>
      </c>
      <c r="AN65">
        <v>240</v>
      </c>
      <c r="AO65" s="2">
        <v>8.6999999999999993</v>
      </c>
      <c r="AP65" s="2"/>
      <c r="AQ65" t="s">
        <v>196</v>
      </c>
      <c r="AR65" t="s">
        <v>265</v>
      </c>
      <c r="AT65" s="41" t="s">
        <v>275</v>
      </c>
    </row>
    <row r="66" spans="1:48">
      <c r="A66" s="3" t="s">
        <v>17</v>
      </c>
      <c r="B66" s="18" t="s">
        <v>154</v>
      </c>
      <c r="C66" s="19" t="s">
        <v>71</v>
      </c>
      <c r="G66" t="s">
        <v>188</v>
      </c>
      <c r="H66" s="7" t="s">
        <v>260</v>
      </c>
      <c r="I66" s="7" t="s">
        <v>269</v>
      </c>
      <c r="J66" s="19" t="s">
        <v>232</v>
      </c>
      <c r="K66" s="20" t="s">
        <v>168</v>
      </c>
      <c r="L66" s="17" t="s">
        <v>158</v>
      </c>
      <c r="M66" s="17" t="s">
        <v>158</v>
      </c>
      <c r="N66" s="7" t="s">
        <v>158</v>
      </c>
      <c r="O66" s="20"/>
      <c r="S66" s="42"/>
      <c r="T66" s="42"/>
      <c r="X66" s="39"/>
      <c r="Y66" s="20" t="s">
        <v>168</v>
      </c>
      <c r="AA66" s="20">
        <v>1.3</v>
      </c>
      <c r="AB66" s="20">
        <v>8.4</v>
      </c>
      <c r="AC66" s="20">
        <v>3.5</v>
      </c>
      <c r="AD66" s="7">
        <v>5</v>
      </c>
      <c r="AE66" t="s">
        <v>189</v>
      </c>
      <c r="AF66" s="43">
        <v>34</v>
      </c>
      <c r="AG66" t="s">
        <v>158</v>
      </c>
      <c r="AH66" t="s">
        <v>158</v>
      </c>
      <c r="AI66" t="s">
        <v>263</v>
      </c>
      <c r="AJ66" t="s">
        <v>264</v>
      </c>
      <c r="AK66" t="s">
        <v>191</v>
      </c>
      <c r="AL66" t="s">
        <v>158</v>
      </c>
      <c r="AM66">
        <v>0.22</v>
      </c>
      <c r="AN66">
        <v>240</v>
      </c>
      <c r="AO66" s="2">
        <v>12.4</v>
      </c>
      <c r="AP66" s="2"/>
      <c r="AQ66" t="s">
        <v>196</v>
      </c>
      <c r="AR66" t="s">
        <v>265</v>
      </c>
      <c r="AT66" s="41" t="s">
        <v>276</v>
      </c>
    </row>
    <row r="67" spans="1:48" ht="15" customHeight="1">
      <c r="A67" s="3" t="s">
        <v>17</v>
      </c>
      <c r="B67" s="18" t="s">
        <v>154</v>
      </c>
      <c r="C67" s="19" t="s">
        <v>71</v>
      </c>
      <c r="G67" t="s">
        <v>188</v>
      </c>
      <c r="H67" s="7"/>
      <c r="I67" s="7"/>
      <c r="J67" s="19" t="s">
        <v>232</v>
      </c>
      <c r="K67" s="20" t="s">
        <v>157</v>
      </c>
      <c r="L67" s="17" t="s">
        <v>158</v>
      </c>
      <c r="M67" s="17" t="s">
        <v>158</v>
      </c>
      <c r="N67" s="7" t="s">
        <v>158</v>
      </c>
      <c r="O67" s="20"/>
      <c r="S67" s="42"/>
      <c r="T67" s="42"/>
      <c r="X67" s="39"/>
      <c r="Y67" s="20" t="s">
        <v>157</v>
      </c>
      <c r="AA67" s="20">
        <v>2.6</v>
      </c>
      <c r="AB67" s="20">
        <v>8.8000000000000007</v>
      </c>
      <c r="AC67" s="20">
        <v>5.6</v>
      </c>
      <c r="AD67" s="7">
        <v>6</v>
      </c>
      <c r="AE67" t="s">
        <v>189</v>
      </c>
      <c r="AF67" s="43">
        <v>24</v>
      </c>
      <c r="AG67" t="s">
        <v>158</v>
      </c>
      <c r="AH67" t="s">
        <v>158</v>
      </c>
      <c r="AI67" t="s">
        <v>263</v>
      </c>
      <c r="AJ67" t="s">
        <v>264</v>
      </c>
      <c r="AK67" t="s">
        <v>191</v>
      </c>
      <c r="AL67" t="s">
        <v>158</v>
      </c>
      <c r="AM67">
        <v>0.22</v>
      </c>
      <c r="AN67">
        <v>240</v>
      </c>
      <c r="AO67" s="2">
        <v>12.6</v>
      </c>
      <c r="AP67" s="2"/>
      <c r="AQ67" t="s">
        <v>196</v>
      </c>
      <c r="AR67" t="s">
        <v>265</v>
      </c>
      <c r="AT67" s="44"/>
    </row>
    <row r="68" spans="1:48">
      <c r="A68" s="3" t="s">
        <v>17</v>
      </c>
      <c r="B68" s="18" t="s">
        <v>154</v>
      </c>
      <c r="C68" s="19" t="s">
        <v>71</v>
      </c>
      <c r="G68" t="s">
        <v>188</v>
      </c>
      <c r="H68" s="7" t="s">
        <v>271</v>
      </c>
      <c r="I68" s="7" t="s">
        <v>269</v>
      </c>
      <c r="J68" s="19" t="s">
        <v>232</v>
      </c>
      <c r="K68" s="20" t="s">
        <v>168</v>
      </c>
      <c r="L68" s="17" t="s">
        <v>158</v>
      </c>
      <c r="M68" s="17" t="s">
        <v>158</v>
      </c>
      <c r="N68" s="7" t="s">
        <v>158</v>
      </c>
      <c r="O68" s="20"/>
      <c r="S68" s="42"/>
      <c r="T68" s="42"/>
      <c r="X68" s="39"/>
      <c r="Y68" s="20" t="s">
        <v>168</v>
      </c>
      <c r="AA68" s="20">
        <v>1.2</v>
      </c>
      <c r="AB68" s="20">
        <v>9</v>
      </c>
      <c r="AC68" s="20">
        <v>4.7</v>
      </c>
      <c r="AD68" s="7">
        <v>6</v>
      </c>
      <c r="AE68" t="s">
        <v>189</v>
      </c>
      <c r="AF68" s="43">
        <v>30</v>
      </c>
      <c r="AG68" t="s">
        <v>158</v>
      </c>
      <c r="AH68" t="s">
        <v>158</v>
      </c>
      <c r="AI68" t="s">
        <v>263</v>
      </c>
      <c r="AJ68" t="s">
        <v>264</v>
      </c>
      <c r="AK68" t="s">
        <v>191</v>
      </c>
      <c r="AL68" t="s">
        <v>158</v>
      </c>
      <c r="AM68">
        <v>0.22</v>
      </c>
      <c r="AN68">
        <v>240</v>
      </c>
      <c r="AO68" s="2">
        <v>17.600000000000001</v>
      </c>
      <c r="AP68" s="2"/>
      <c r="AQ68" t="s">
        <v>196</v>
      </c>
      <c r="AR68" t="s">
        <v>265</v>
      </c>
      <c r="AT68" s="45" t="s">
        <v>277</v>
      </c>
    </row>
    <row r="69" spans="1:48">
      <c r="A69" s="3" t="s">
        <v>19</v>
      </c>
      <c r="B69" s="18" t="s">
        <v>172</v>
      </c>
      <c r="C69" s="19" t="s">
        <v>278</v>
      </c>
      <c r="D69" s="18" t="s">
        <v>279</v>
      </c>
      <c r="E69" s="19" t="s">
        <v>280</v>
      </c>
      <c r="F69" s="19" t="s">
        <v>191</v>
      </c>
      <c r="G69" t="s">
        <v>279</v>
      </c>
      <c r="J69" s="19" t="s">
        <v>156</v>
      </c>
      <c r="K69" s="20" t="s">
        <v>157</v>
      </c>
      <c r="L69" s="17" t="s">
        <v>158</v>
      </c>
      <c r="M69" s="16" t="s">
        <v>158</v>
      </c>
      <c r="N69" s="7" t="s">
        <v>158</v>
      </c>
      <c r="O69" s="20"/>
      <c r="P69" s="20">
        <v>7.46</v>
      </c>
      <c r="Q69" s="20">
        <v>7.1</v>
      </c>
      <c r="R69" s="20">
        <v>1.47</v>
      </c>
      <c r="S69" s="42">
        <v>10.199999999999999</v>
      </c>
      <c r="T69" s="42"/>
      <c r="U69" s="19" t="s">
        <v>281</v>
      </c>
      <c r="W69" s="19">
        <v>37</v>
      </c>
      <c r="X69" s="39"/>
      <c r="Y69" s="20" t="s">
        <v>157</v>
      </c>
      <c r="Z69" s="50" t="s">
        <v>179</v>
      </c>
      <c r="AA69" s="20">
        <v>7.7</v>
      </c>
      <c r="AB69" s="20">
        <v>6.8</v>
      </c>
      <c r="AC69" s="20">
        <v>1.4</v>
      </c>
      <c r="AD69" s="7">
        <v>1</v>
      </c>
      <c r="AE69" t="s">
        <v>189</v>
      </c>
      <c r="AF69" s="43">
        <f>70/1.4</f>
        <v>50</v>
      </c>
      <c r="AG69">
        <v>10</v>
      </c>
      <c r="AH69">
        <v>10</v>
      </c>
      <c r="AI69" t="s">
        <v>161</v>
      </c>
      <c r="AJ69" t="s">
        <v>282</v>
      </c>
      <c r="AK69" t="s">
        <v>191</v>
      </c>
      <c r="AL69">
        <v>1.1599999999999999</v>
      </c>
      <c r="AM69">
        <v>0.1</v>
      </c>
      <c r="AN69">
        <v>168</v>
      </c>
      <c r="AO69" s="2">
        <v>14</v>
      </c>
      <c r="AP69" s="2"/>
      <c r="AQ69" t="s">
        <v>281</v>
      </c>
      <c r="AR69" t="s">
        <v>283</v>
      </c>
      <c r="AS69">
        <v>48</v>
      </c>
      <c r="AT69" s="44"/>
      <c r="AU69" s="7"/>
      <c r="AV69" s="6"/>
    </row>
    <row r="70" spans="1:48">
      <c r="A70" s="3" t="s">
        <v>19</v>
      </c>
      <c r="B70" s="18" t="s">
        <v>172</v>
      </c>
      <c r="C70" s="19" t="s">
        <v>278</v>
      </c>
      <c r="D70" s="18" t="s">
        <v>279</v>
      </c>
      <c r="E70" s="19" t="s">
        <v>280</v>
      </c>
      <c r="F70" s="19" t="s">
        <v>191</v>
      </c>
      <c r="G70" t="s">
        <v>279</v>
      </c>
      <c r="H70" t="s">
        <v>284</v>
      </c>
      <c r="I70" s="7" t="s">
        <v>285</v>
      </c>
      <c r="J70" s="19" t="s">
        <v>156</v>
      </c>
      <c r="K70" s="20" t="s">
        <v>168</v>
      </c>
      <c r="L70" s="33">
        <f>P70*N70/P$69</f>
        <v>56.278820375335123</v>
      </c>
      <c r="M70" s="33">
        <f>(R70*N70)/R$69</f>
        <v>83.115646258503403</v>
      </c>
      <c r="N70" s="20">
        <v>82</v>
      </c>
      <c r="O70" s="20" t="s">
        <v>286</v>
      </c>
      <c r="P70" s="20">
        <v>5.12</v>
      </c>
      <c r="Q70" s="20">
        <v>7.1</v>
      </c>
      <c r="R70" s="20">
        <v>1.49</v>
      </c>
      <c r="S70" s="42">
        <v>12.8</v>
      </c>
      <c r="T70" s="42"/>
      <c r="U70" s="19" t="s">
        <v>281</v>
      </c>
      <c r="W70" s="19">
        <v>37</v>
      </c>
      <c r="X70" s="39"/>
      <c r="Y70" s="20" t="s">
        <v>168</v>
      </c>
      <c r="Z70" s="50" t="s">
        <v>179</v>
      </c>
      <c r="AA70" s="20">
        <v>5</v>
      </c>
      <c r="AB70" s="20">
        <v>7</v>
      </c>
      <c r="AC70" s="20">
        <v>1.4</v>
      </c>
      <c r="AD70" s="7">
        <v>1</v>
      </c>
      <c r="AE70" t="s">
        <v>189</v>
      </c>
      <c r="AF70" s="43">
        <v>50</v>
      </c>
      <c r="AG70">
        <v>10</v>
      </c>
      <c r="AH70">
        <v>10</v>
      </c>
      <c r="AI70" t="s">
        <v>161</v>
      </c>
      <c r="AJ70" t="s">
        <v>282</v>
      </c>
      <c r="AK70" t="s">
        <v>191</v>
      </c>
      <c r="AL70">
        <v>1.1599999999999999</v>
      </c>
      <c r="AM70">
        <v>0.1</v>
      </c>
      <c r="AN70">
        <v>168</v>
      </c>
      <c r="AO70" s="2">
        <v>22.5</v>
      </c>
      <c r="AP70" s="2"/>
      <c r="AQ70" t="s">
        <v>281</v>
      </c>
      <c r="AR70" t="s">
        <v>283</v>
      </c>
      <c r="AS70">
        <v>48</v>
      </c>
      <c r="AT70" s="45" t="s">
        <v>287</v>
      </c>
      <c r="AU70" s="7"/>
      <c r="AV70" s="6"/>
    </row>
    <row r="71" spans="1:48">
      <c r="A71" s="3" t="s">
        <v>19</v>
      </c>
      <c r="B71" s="18" t="s">
        <v>172</v>
      </c>
      <c r="C71" s="19" t="s">
        <v>278</v>
      </c>
      <c r="D71" s="18" t="s">
        <v>279</v>
      </c>
      <c r="E71" s="19" t="s">
        <v>280</v>
      </c>
      <c r="F71" s="19" t="s">
        <v>191</v>
      </c>
      <c r="G71" t="s">
        <v>279</v>
      </c>
      <c r="H71" t="s">
        <v>284</v>
      </c>
      <c r="I71" s="7" t="s">
        <v>285</v>
      </c>
      <c r="J71" s="19" t="s">
        <v>156</v>
      </c>
      <c r="K71" s="20" t="s">
        <v>186</v>
      </c>
      <c r="L71" s="33">
        <f>P71*N71/P$69</f>
        <v>46.327077747989271</v>
      </c>
      <c r="M71" s="33">
        <f>(R71*N71)/R$69</f>
        <v>14.204081632653061</v>
      </c>
      <c r="N71" s="20">
        <v>18</v>
      </c>
      <c r="O71" s="20" t="s">
        <v>286</v>
      </c>
      <c r="P71" s="20">
        <v>19.2</v>
      </c>
      <c r="Q71" s="20">
        <v>8.3000000000000007</v>
      </c>
      <c r="R71" s="20">
        <v>1.1599999999999999</v>
      </c>
      <c r="S71" s="42">
        <v>12.3</v>
      </c>
      <c r="T71" s="42"/>
      <c r="U71" s="19" t="s">
        <v>281</v>
      </c>
      <c r="W71" s="19">
        <v>37</v>
      </c>
      <c r="X71" s="39"/>
      <c r="Y71" s="20" t="s">
        <v>186</v>
      </c>
      <c r="Z71" s="50" t="s">
        <v>179</v>
      </c>
      <c r="AA71" s="20">
        <v>18.600000000000001</v>
      </c>
      <c r="AB71" s="20">
        <v>8.5</v>
      </c>
      <c r="AC71" s="20">
        <v>0.2</v>
      </c>
      <c r="AD71" s="17">
        <v>1</v>
      </c>
      <c r="AE71" t="s">
        <v>189</v>
      </c>
      <c r="AF71" s="46">
        <f>70/3.57</f>
        <v>19.607843137254903</v>
      </c>
      <c r="AG71">
        <v>10</v>
      </c>
      <c r="AH71">
        <v>10</v>
      </c>
      <c r="AI71" t="s">
        <v>161</v>
      </c>
      <c r="AJ71" t="s">
        <v>282</v>
      </c>
      <c r="AK71" t="s">
        <v>191</v>
      </c>
      <c r="AL71">
        <v>1.1599999999999999</v>
      </c>
      <c r="AM71">
        <v>0.1</v>
      </c>
      <c r="AN71">
        <v>168</v>
      </c>
      <c r="AO71" s="58">
        <v>68.099999999999994</v>
      </c>
      <c r="AP71" s="58"/>
      <c r="AQ71" s="19" t="s">
        <v>281</v>
      </c>
      <c r="AR71" s="19" t="s">
        <v>288</v>
      </c>
      <c r="AS71" s="19">
        <v>48</v>
      </c>
      <c r="AT71" s="44"/>
      <c r="AU71" s="7"/>
      <c r="AV71" s="6"/>
    </row>
    <row r="72" spans="1:48" ht="15" customHeight="1">
      <c r="A72" s="3" t="s">
        <v>21</v>
      </c>
      <c r="B72" s="18" t="s">
        <v>172</v>
      </c>
      <c r="C72" s="19" t="s">
        <v>278</v>
      </c>
      <c r="D72" s="18" t="s">
        <v>231</v>
      </c>
      <c r="E72" s="19" t="s">
        <v>289</v>
      </c>
      <c r="F72" s="19" t="s">
        <v>191</v>
      </c>
      <c r="G72" t="s">
        <v>231</v>
      </c>
      <c r="J72" s="19" t="s">
        <v>232</v>
      </c>
      <c r="K72" s="20" t="s">
        <v>157</v>
      </c>
      <c r="L72" t="s">
        <v>158</v>
      </c>
      <c r="M72" t="s">
        <v>158</v>
      </c>
      <c r="N72" t="s">
        <v>158</v>
      </c>
      <c r="O72" s="20"/>
      <c r="P72" s="20">
        <v>3.6</v>
      </c>
      <c r="Q72" s="20">
        <v>7.74</v>
      </c>
      <c r="R72" s="20">
        <v>2.1</v>
      </c>
      <c r="S72" s="20">
        <v>1.9</v>
      </c>
      <c r="T72" s="42">
        <f>31.1/2100*100</f>
        <v>1.480952380952381</v>
      </c>
      <c r="U72" s="19" t="s">
        <v>290</v>
      </c>
      <c r="Y72" s="20" t="s">
        <v>157</v>
      </c>
      <c r="AA72" s="20">
        <v>3.03</v>
      </c>
      <c r="AB72" s="20">
        <v>7.94</v>
      </c>
      <c r="AC72" s="20">
        <v>2.1</v>
      </c>
      <c r="AD72" s="7">
        <v>1</v>
      </c>
      <c r="AE72" t="s">
        <v>189</v>
      </c>
      <c r="AF72" s="36">
        <f>70/3</f>
        <v>23.333333333333332</v>
      </c>
      <c r="AG72" t="s">
        <v>158</v>
      </c>
      <c r="AH72" t="s">
        <v>291</v>
      </c>
      <c r="AI72" t="s">
        <v>161</v>
      </c>
      <c r="AJ72" t="s">
        <v>292</v>
      </c>
      <c r="AK72" t="s">
        <v>163</v>
      </c>
      <c r="AL72" t="s">
        <v>158</v>
      </c>
      <c r="AM72" t="s">
        <v>158</v>
      </c>
      <c r="AN72">
        <v>96</v>
      </c>
      <c r="AO72" s="19">
        <v>11.4</v>
      </c>
      <c r="AP72" s="58">
        <f>206/2100*100</f>
        <v>9.8095238095238102</v>
      </c>
      <c r="AQ72" s="19" t="s">
        <v>290</v>
      </c>
      <c r="AR72" s="19" t="s">
        <v>288</v>
      </c>
      <c r="AS72" s="19"/>
      <c r="AU72" t="s">
        <v>293</v>
      </c>
    </row>
    <row r="73" spans="1:48" s="16" customFormat="1">
      <c r="A73" s="3" t="s">
        <v>21</v>
      </c>
      <c r="B73" s="18" t="s">
        <v>172</v>
      </c>
      <c r="C73" s="19" t="s">
        <v>278</v>
      </c>
      <c r="D73" s="19" t="s">
        <v>231</v>
      </c>
      <c r="E73" s="19" t="s">
        <v>289</v>
      </c>
      <c r="F73" s="19" t="s">
        <v>191</v>
      </c>
      <c r="G73" t="s">
        <v>231</v>
      </c>
      <c r="H73" t="s">
        <v>294</v>
      </c>
      <c r="I73" s="7" t="s">
        <v>167</v>
      </c>
      <c r="J73" s="19" t="s">
        <v>232</v>
      </c>
      <c r="K73" s="20" t="s">
        <v>186</v>
      </c>
      <c r="L73" s="20">
        <v>66.2</v>
      </c>
      <c r="M73" s="20">
        <v>16.600000000000001</v>
      </c>
      <c r="N73" s="33">
        <f>100-N74</f>
        <v>12.38670694864048</v>
      </c>
      <c r="O73" s="20" t="s">
        <v>295</v>
      </c>
      <c r="P73" s="20">
        <v>18.100000000000001</v>
      </c>
      <c r="Q73" s="20">
        <v>8.06</v>
      </c>
      <c r="R73" s="20">
        <v>2</v>
      </c>
      <c r="S73" s="20">
        <v>15.7</v>
      </c>
      <c r="T73" s="42">
        <f>22.1/2100*100</f>
        <v>1.0523809523809524</v>
      </c>
      <c r="U73" s="19" t="s">
        <v>290</v>
      </c>
      <c r="V73" s="19"/>
      <c r="W73" s="19"/>
      <c r="X73" s="19"/>
      <c r="Y73" s="20" t="s">
        <v>186</v>
      </c>
      <c r="Z73" s="18"/>
      <c r="AA73" s="20">
        <v>23.1</v>
      </c>
      <c r="AB73" s="20">
        <v>8.26</v>
      </c>
      <c r="AC73" s="20">
        <v>2.5</v>
      </c>
      <c r="AD73" s="17">
        <v>1</v>
      </c>
      <c r="AE73" t="s">
        <v>189</v>
      </c>
      <c r="AF73" s="36">
        <f>70/6.6</f>
        <v>10.606060606060607</v>
      </c>
      <c r="AG73" t="s">
        <v>158</v>
      </c>
      <c r="AH73" t="s">
        <v>291</v>
      </c>
      <c r="AI73" t="s">
        <v>161</v>
      </c>
      <c r="AJ73" t="s">
        <v>292</v>
      </c>
      <c r="AK73" t="s">
        <v>163</v>
      </c>
      <c r="AL73" t="s">
        <v>158</v>
      </c>
      <c r="AM73" t="s">
        <v>158</v>
      </c>
      <c r="AN73">
        <v>96</v>
      </c>
      <c r="AO73" s="19">
        <v>56.7</v>
      </c>
      <c r="AP73" s="58">
        <f>80.3/2100*100</f>
        <v>3.8238095238095235</v>
      </c>
      <c r="AQ73" s="19" t="s">
        <v>290</v>
      </c>
      <c r="AR73" s="19" t="s">
        <v>288</v>
      </c>
      <c r="AS73" s="19"/>
      <c r="AU73" t="s">
        <v>293</v>
      </c>
      <c r="AV73" s="15"/>
    </row>
    <row r="74" spans="1:48">
      <c r="A74" s="3" t="s">
        <v>21</v>
      </c>
      <c r="B74" s="18" t="s">
        <v>172</v>
      </c>
      <c r="C74" s="19" t="s">
        <v>278</v>
      </c>
      <c r="D74" s="19" t="s">
        <v>231</v>
      </c>
      <c r="E74" s="19" t="s">
        <v>289</v>
      </c>
      <c r="F74" s="19" t="s">
        <v>191</v>
      </c>
      <c r="G74" t="s">
        <v>231</v>
      </c>
      <c r="H74" t="s">
        <v>294</v>
      </c>
      <c r="I74" s="7" t="s">
        <v>167</v>
      </c>
      <c r="J74" s="19" t="s">
        <v>232</v>
      </c>
      <c r="K74" s="20" t="s">
        <v>168</v>
      </c>
      <c r="L74" s="33">
        <f>100-L73</f>
        <v>33.799999999999997</v>
      </c>
      <c r="M74" s="33">
        <f>100-M73</f>
        <v>83.4</v>
      </c>
      <c r="N74" s="33">
        <f>(P72-P73)/(P74-P73)*100</f>
        <v>87.61329305135952</v>
      </c>
      <c r="O74" s="20" t="s">
        <v>295</v>
      </c>
      <c r="P74" s="20">
        <v>1.55</v>
      </c>
      <c r="Q74" s="20">
        <v>7.89</v>
      </c>
      <c r="R74" s="20">
        <v>1.6</v>
      </c>
      <c r="S74" s="20">
        <v>2.36</v>
      </c>
      <c r="T74" s="42">
        <f>29/2100*100</f>
        <v>1.3809523809523809</v>
      </c>
      <c r="U74" s="19" t="s">
        <v>290</v>
      </c>
      <c r="Y74" s="20" t="s">
        <v>168</v>
      </c>
      <c r="AA74" s="20">
        <v>1.0900000000000001</v>
      </c>
      <c r="AB74" s="20">
        <v>8.0500000000000007</v>
      </c>
      <c r="AC74" s="20">
        <v>1.5</v>
      </c>
      <c r="AD74" s="7">
        <v>1</v>
      </c>
      <c r="AE74" t="s">
        <v>189</v>
      </c>
      <c r="AF74" s="36">
        <f>70/1.8</f>
        <v>38.888888888888886</v>
      </c>
      <c r="AG74" t="s">
        <v>158</v>
      </c>
      <c r="AH74" t="s">
        <v>291</v>
      </c>
      <c r="AI74" t="s">
        <v>161</v>
      </c>
      <c r="AJ74" t="s">
        <v>292</v>
      </c>
      <c r="AK74" t="s">
        <v>163</v>
      </c>
      <c r="AL74" t="s">
        <v>158</v>
      </c>
      <c r="AM74" t="s">
        <v>158</v>
      </c>
      <c r="AN74">
        <v>96</v>
      </c>
      <c r="AO74" s="19">
        <v>8.7899999999999991</v>
      </c>
      <c r="AP74" s="58">
        <f>101/2100*100</f>
        <v>4.8095238095238093</v>
      </c>
      <c r="AQ74" s="19" t="s">
        <v>290</v>
      </c>
      <c r="AR74" s="19" t="s">
        <v>288</v>
      </c>
      <c r="AS74" s="19"/>
      <c r="AT74" s="31" t="s">
        <v>296</v>
      </c>
      <c r="AU74" t="s">
        <v>293</v>
      </c>
    </row>
    <row r="75" spans="1:48">
      <c r="A75" s="3" t="s">
        <v>21</v>
      </c>
      <c r="B75" s="18" t="s">
        <v>172</v>
      </c>
      <c r="C75" s="19" t="s">
        <v>278</v>
      </c>
      <c r="D75" s="19" t="s">
        <v>231</v>
      </c>
      <c r="E75" s="19" t="s">
        <v>289</v>
      </c>
      <c r="F75" s="19" t="s">
        <v>191</v>
      </c>
      <c r="G75" t="s">
        <v>231</v>
      </c>
      <c r="J75" s="19" t="s">
        <v>232</v>
      </c>
      <c r="K75" s="20" t="s">
        <v>157</v>
      </c>
      <c r="L75" s="16" t="s">
        <v>158</v>
      </c>
      <c r="M75" s="16" t="s">
        <v>158</v>
      </c>
      <c r="N75" t="s">
        <v>158</v>
      </c>
      <c r="O75" s="20"/>
      <c r="P75" s="20">
        <v>5.18</v>
      </c>
      <c r="Q75" s="20">
        <v>7.54</v>
      </c>
      <c r="R75" s="20">
        <v>2.9</v>
      </c>
      <c r="S75" s="20">
        <v>5.49</v>
      </c>
      <c r="T75" s="42">
        <f>124/2900*100</f>
        <v>4.2758620689655169</v>
      </c>
      <c r="U75" s="19" t="s">
        <v>290</v>
      </c>
      <c r="Y75" s="20" t="s">
        <v>157</v>
      </c>
      <c r="AA75" s="20">
        <v>4.0199999999999996</v>
      </c>
      <c r="AB75" s="20">
        <v>7.77</v>
      </c>
      <c r="AC75" s="20">
        <v>2.6</v>
      </c>
      <c r="AD75" s="7">
        <v>2</v>
      </c>
      <c r="AE75" t="s">
        <v>189</v>
      </c>
      <c r="AF75" s="36">
        <f>70/3.6</f>
        <v>19.444444444444443</v>
      </c>
      <c r="AG75" t="s">
        <v>158</v>
      </c>
      <c r="AH75" t="s">
        <v>297</v>
      </c>
      <c r="AI75" t="s">
        <v>161</v>
      </c>
      <c r="AJ75" t="s">
        <v>292</v>
      </c>
      <c r="AK75" t="s">
        <v>163</v>
      </c>
      <c r="AL75" t="s">
        <v>158</v>
      </c>
      <c r="AM75" t="s">
        <v>158</v>
      </c>
      <c r="AN75">
        <v>96</v>
      </c>
      <c r="AO75" s="19">
        <v>28</v>
      </c>
      <c r="AP75" s="58">
        <f>564/2900*100</f>
        <v>19.448275862068964</v>
      </c>
      <c r="AQ75" s="19" t="s">
        <v>290</v>
      </c>
      <c r="AR75" s="19" t="s">
        <v>288</v>
      </c>
      <c r="AS75" s="19"/>
      <c r="AU75" t="s">
        <v>293</v>
      </c>
    </row>
    <row r="76" spans="1:48" s="16" customFormat="1">
      <c r="A76" s="3" t="s">
        <v>21</v>
      </c>
      <c r="B76" s="18" t="s">
        <v>172</v>
      </c>
      <c r="C76" s="19" t="s">
        <v>278</v>
      </c>
      <c r="D76" s="19" t="s">
        <v>231</v>
      </c>
      <c r="E76" s="19" t="s">
        <v>289</v>
      </c>
      <c r="F76" s="19" t="s">
        <v>191</v>
      </c>
      <c r="G76" t="s">
        <v>231</v>
      </c>
      <c r="H76" t="s">
        <v>294</v>
      </c>
      <c r="I76" s="7" t="s">
        <v>167</v>
      </c>
      <c r="J76" s="19" t="s">
        <v>232</v>
      </c>
      <c r="K76" s="20" t="s">
        <v>186</v>
      </c>
      <c r="L76" s="20">
        <v>66.2</v>
      </c>
      <c r="M76" s="20">
        <v>16.600000000000001</v>
      </c>
      <c r="N76" s="74">
        <f>100-N77</f>
        <v>20.229226361031522</v>
      </c>
      <c r="O76" s="20" t="s">
        <v>295</v>
      </c>
      <c r="P76" s="20">
        <v>19.100000000000001</v>
      </c>
      <c r="Q76" s="20">
        <v>8.07</v>
      </c>
      <c r="R76" s="20">
        <v>3</v>
      </c>
      <c r="S76" s="20">
        <v>11.7</v>
      </c>
      <c r="T76" s="42">
        <f>68.2/2900*100</f>
        <v>2.3517241379310345</v>
      </c>
      <c r="U76" s="19" t="s">
        <v>290</v>
      </c>
      <c r="V76" s="19"/>
      <c r="W76" s="19"/>
      <c r="X76" s="19"/>
      <c r="Y76" s="20" t="s">
        <v>186</v>
      </c>
      <c r="Z76" s="18"/>
      <c r="AA76" s="20">
        <v>22.9</v>
      </c>
      <c r="AB76" s="20">
        <v>8.3000000000000007</v>
      </c>
      <c r="AC76" s="20">
        <v>1.9</v>
      </c>
      <c r="AD76" s="17">
        <v>2</v>
      </c>
      <c r="AE76" t="s">
        <v>189</v>
      </c>
      <c r="AF76" s="36">
        <f>70/5.3</f>
        <v>13.20754716981132</v>
      </c>
      <c r="AG76" t="s">
        <v>158</v>
      </c>
      <c r="AH76" t="s">
        <v>297</v>
      </c>
      <c r="AI76" t="s">
        <v>161</v>
      </c>
      <c r="AJ76" t="s">
        <v>292</v>
      </c>
      <c r="AK76" t="s">
        <v>163</v>
      </c>
      <c r="AL76" t="s">
        <v>158</v>
      </c>
      <c r="AM76" t="s">
        <v>158</v>
      </c>
      <c r="AN76">
        <v>96</v>
      </c>
      <c r="AO76" s="19">
        <v>96.3</v>
      </c>
      <c r="AP76" s="58">
        <f>300/2900*100</f>
        <v>10.344827586206897</v>
      </c>
      <c r="AQ76" s="19" t="s">
        <v>290</v>
      </c>
      <c r="AR76" s="19" t="s">
        <v>288</v>
      </c>
      <c r="AS76" s="19"/>
      <c r="AU76" t="s">
        <v>293</v>
      </c>
      <c r="AV76" s="15"/>
    </row>
    <row r="77" spans="1:48">
      <c r="A77" s="3" t="s">
        <v>21</v>
      </c>
      <c r="B77" s="18" t="s">
        <v>172</v>
      </c>
      <c r="C77" s="19" t="s">
        <v>278</v>
      </c>
      <c r="D77" s="19" t="s">
        <v>231</v>
      </c>
      <c r="E77" s="19" t="s">
        <v>289</v>
      </c>
      <c r="F77" s="19" t="s">
        <v>191</v>
      </c>
      <c r="G77" t="s">
        <v>231</v>
      </c>
      <c r="H77" t="s">
        <v>294</v>
      </c>
      <c r="I77" s="7" t="s">
        <v>167</v>
      </c>
      <c r="J77" s="19" t="s">
        <v>232</v>
      </c>
      <c r="K77" s="20" t="s">
        <v>168</v>
      </c>
      <c r="L77" s="33">
        <f>100-L76</f>
        <v>33.799999999999997</v>
      </c>
      <c r="M77" s="33">
        <f>100-M76</f>
        <v>83.4</v>
      </c>
      <c r="N77" s="33">
        <f>(P75-P76)/(P77-P76)*100</f>
        <v>79.770773638968478</v>
      </c>
      <c r="O77" s="20" t="s">
        <v>295</v>
      </c>
      <c r="P77" s="20">
        <v>1.65</v>
      </c>
      <c r="Q77" s="20">
        <v>7.88</v>
      </c>
      <c r="R77" s="20">
        <v>2</v>
      </c>
      <c r="S77" s="20">
        <v>6.22</v>
      </c>
      <c r="T77" s="42">
        <f>93.9/2900*100</f>
        <v>3.237931034482759</v>
      </c>
      <c r="U77" s="19" t="s">
        <v>290</v>
      </c>
      <c r="Y77" s="20" t="s">
        <v>168</v>
      </c>
      <c r="AA77" s="20">
        <v>1.25</v>
      </c>
      <c r="AB77" s="20">
        <v>8.07</v>
      </c>
      <c r="AC77" s="20">
        <v>1.9</v>
      </c>
      <c r="AD77" s="7">
        <v>2</v>
      </c>
      <c r="AE77" t="s">
        <v>189</v>
      </c>
      <c r="AF77" s="36">
        <f>70/1.9</f>
        <v>36.842105263157897</v>
      </c>
      <c r="AG77" t="s">
        <v>158</v>
      </c>
      <c r="AH77" t="s">
        <v>297</v>
      </c>
      <c r="AI77" t="s">
        <v>161</v>
      </c>
      <c r="AJ77" t="s">
        <v>292</v>
      </c>
      <c r="AK77" t="s">
        <v>163</v>
      </c>
      <c r="AL77" t="s">
        <v>158</v>
      </c>
      <c r="AM77" t="s">
        <v>158</v>
      </c>
      <c r="AN77">
        <v>96</v>
      </c>
      <c r="AO77" s="19">
        <v>23.8</v>
      </c>
      <c r="AP77" s="58">
        <f>339/2900*100</f>
        <v>11.689655172413794</v>
      </c>
      <c r="AQ77" s="19" t="s">
        <v>290</v>
      </c>
      <c r="AR77" s="19" t="s">
        <v>288</v>
      </c>
      <c r="AS77" s="19"/>
      <c r="AT77" s="31" t="s">
        <v>298</v>
      </c>
      <c r="AU77" t="s">
        <v>293</v>
      </c>
    </row>
    <row r="78" spans="1:48" ht="15" customHeight="1">
      <c r="A78" s="3" t="s">
        <v>23</v>
      </c>
      <c r="B78" s="18" t="s">
        <v>154</v>
      </c>
      <c r="G78" t="s">
        <v>299</v>
      </c>
      <c r="J78" s="19" t="s">
        <v>156</v>
      </c>
      <c r="K78" s="20" t="s">
        <v>157</v>
      </c>
      <c r="L78" t="s">
        <v>158</v>
      </c>
      <c r="M78" t="s">
        <v>158</v>
      </c>
      <c r="N78" t="s">
        <v>158</v>
      </c>
      <c r="V78" s="47"/>
      <c r="W78" s="47"/>
      <c r="X78" s="20"/>
      <c r="Y78" s="20" t="s">
        <v>157</v>
      </c>
      <c r="AA78" s="20">
        <v>11.3</v>
      </c>
      <c r="AB78" s="20">
        <v>7.2</v>
      </c>
      <c r="AC78" s="20">
        <v>1.3</v>
      </c>
      <c r="AD78" s="7">
        <v>1</v>
      </c>
      <c r="AE78" t="s">
        <v>159</v>
      </c>
      <c r="AF78" s="43"/>
      <c r="AG78">
        <v>25</v>
      </c>
      <c r="AH78">
        <v>25</v>
      </c>
      <c r="AI78" t="s">
        <v>191</v>
      </c>
      <c r="AJ78" t="s">
        <v>300</v>
      </c>
      <c r="AK78" t="s">
        <v>191</v>
      </c>
      <c r="AL78">
        <v>1.52</v>
      </c>
      <c r="AM78" t="s">
        <v>158</v>
      </c>
      <c r="AN78">
        <v>333</v>
      </c>
      <c r="AO78" s="19">
        <v>5.2</v>
      </c>
      <c r="AP78" s="19"/>
      <c r="AQ78" s="19" t="s">
        <v>192</v>
      </c>
      <c r="AR78" s="47" t="s">
        <v>301</v>
      </c>
      <c r="AS78" s="47"/>
      <c r="AT78" s="49" t="s">
        <v>302</v>
      </c>
      <c r="AU78" t="s">
        <v>303</v>
      </c>
    </row>
    <row r="79" spans="1:48">
      <c r="A79" s="3" t="s">
        <v>23</v>
      </c>
      <c r="B79" s="18" t="s">
        <v>154</v>
      </c>
      <c r="G79" t="s">
        <v>299</v>
      </c>
      <c r="H79" t="s">
        <v>304</v>
      </c>
      <c r="I79" s="7" t="s">
        <v>285</v>
      </c>
      <c r="J79" s="19" t="s">
        <v>156</v>
      </c>
      <c r="K79" s="20" t="s">
        <v>168</v>
      </c>
      <c r="L79" t="s">
        <v>158</v>
      </c>
      <c r="M79" t="s">
        <v>158</v>
      </c>
      <c r="N79" t="s">
        <v>158</v>
      </c>
      <c r="V79" s="47"/>
      <c r="W79" s="47"/>
      <c r="X79" s="20"/>
      <c r="Y79" s="20" t="s">
        <v>168</v>
      </c>
      <c r="AA79" s="20">
        <v>2.1</v>
      </c>
      <c r="AB79" s="20">
        <v>7.2</v>
      </c>
      <c r="AC79" s="20">
        <v>1.2</v>
      </c>
      <c r="AD79" s="7">
        <v>1</v>
      </c>
      <c r="AE79" t="s">
        <v>159</v>
      </c>
      <c r="AF79" s="43"/>
      <c r="AG79">
        <v>25</v>
      </c>
      <c r="AH79">
        <v>25</v>
      </c>
      <c r="AI79" t="s">
        <v>191</v>
      </c>
      <c r="AJ79" t="s">
        <v>300</v>
      </c>
      <c r="AK79" t="s">
        <v>191</v>
      </c>
      <c r="AL79">
        <v>1.52</v>
      </c>
      <c r="AM79" t="s">
        <v>158</v>
      </c>
      <c r="AN79">
        <v>333</v>
      </c>
      <c r="AO79">
        <v>0.2</v>
      </c>
      <c r="AQ79" t="s">
        <v>192</v>
      </c>
      <c r="AR79" s="48" t="s">
        <v>305</v>
      </c>
      <c r="AS79" s="48"/>
      <c r="AT79" s="49"/>
      <c r="AU79" t="s">
        <v>303</v>
      </c>
    </row>
    <row r="80" spans="1:48">
      <c r="A80" s="3" t="s">
        <v>25</v>
      </c>
      <c r="B80" s="18" t="s">
        <v>154</v>
      </c>
      <c r="G80" t="s">
        <v>279</v>
      </c>
      <c r="J80" s="19" t="s">
        <v>156</v>
      </c>
      <c r="K80" s="50" t="s">
        <v>157</v>
      </c>
      <c r="L80" s="3" t="s">
        <v>158</v>
      </c>
      <c r="M80" s="3" t="s">
        <v>158</v>
      </c>
      <c r="N80" s="3" t="s">
        <v>158</v>
      </c>
      <c r="O80" s="18"/>
      <c r="X80" s="20"/>
      <c r="Y80" s="50" t="s">
        <v>157</v>
      </c>
      <c r="Z80" s="50"/>
      <c r="AA80" s="20">
        <v>4.3</v>
      </c>
      <c r="AB80" s="20">
        <v>7.4</v>
      </c>
      <c r="AC80" s="20">
        <v>1.3</v>
      </c>
      <c r="AD80" s="7">
        <v>1</v>
      </c>
      <c r="AE80" t="s">
        <v>306</v>
      </c>
      <c r="AF80" s="43" t="s">
        <v>158</v>
      </c>
      <c r="AG80" t="s">
        <v>158</v>
      </c>
      <c r="AH80" t="s">
        <v>158</v>
      </c>
      <c r="AI80" t="s">
        <v>158</v>
      </c>
      <c r="AJ80" t="s">
        <v>307</v>
      </c>
      <c r="AK80" t="s">
        <v>191</v>
      </c>
      <c r="AL80" t="s">
        <v>158</v>
      </c>
      <c r="AM80" t="s">
        <v>158</v>
      </c>
      <c r="AN80">
        <v>168</v>
      </c>
      <c r="AO80">
        <v>11.3</v>
      </c>
      <c r="AQ80" t="s">
        <v>196</v>
      </c>
      <c r="AR80" t="s">
        <v>308</v>
      </c>
      <c r="AT80" s="7"/>
      <c r="AU80" s="7"/>
    </row>
    <row r="81" spans="1:58">
      <c r="A81" s="3" t="s">
        <v>25</v>
      </c>
      <c r="B81" s="18" t="s">
        <v>154</v>
      </c>
      <c r="G81" t="s">
        <v>279</v>
      </c>
      <c r="H81" t="s">
        <v>304</v>
      </c>
      <c r="I81" s="7" t="s">
        <v>285</v>
      </c>
      <c r="J81" s="19" t="s">
        <v>156</v>
      </c>
      <c r="K81" s="20" t="s">
        <v>168</v>
      </c>
      <c r="L81" s="3" t="s">
        <v>158</v>
      </c>
      <c r="M81" s="3" t="s">
        <v>158</v>
      </c>
      <c r="N81" s="3" t="s">
        <v>158</v>
      </c>
      <c r="O81" s="18"/>
      <c r="X81" s="20"/>
      <c r="Y81" s="20" t="s">
        <v>168</v>
      </c>
      <c r="Z81" s="50"/>
      <c r="AA81" s="20">
        <v>2.1</v>
      </c>
      <c r="AB81" s="20">
        <v>7.3</v>
      </c>
      <c r="AC81" s="20">
        <v>1.1000000000000001</v>
      </c>
      <c r="AD81" s="7">
        <v>1</v>
      </c>
      <c r="AE81" t="s">
        <v>306</v>
      </c>
      <c r="AF81" s="43"/>
      <c r="AG81" t="s">
        <v>158</v>
      </c>
      <c r="AH81" t="s">
        <v>158</v>
      </c>
      <c r="AI81" t="s">
        <v>158</v>
      </c>
      <c r="AJ81" t="s">
        <v>307</v>
      </c>
      <c r="AK81" t="s">
        <v>191</v>
      </c>
      <c r="AL81" t="s">
        <v>158</v>
      </c>
      <c r="AM81" t="s">
        <v>158</v>
      </c>
      <c r="AN81">
        <v>169</v>
      </c>
      <c r="AO81">
        <v>13.3</v>
      </c>
      <c r="AQ81" t="s">
        <v>196</v>
      </c>
      <c r="AR81" t="s">
        <v>308</v>
      </c>
      <c r="AT81" s="51" t="s">
        <v>309</v>
      </c>
      <c r="AU81" s="7"/>
    </row>
    <row r="82" spans="1:58" ht="15" customHeight="1">
      <c r="A82" s="3" t="s">
        <v>27</v>
      </c>
      <c r="B82" s="18" t="s">
        <v>154</v>
      </c>
      <c r="G82" t="s">
        <v>310</v>
      </c>
      <c r="H82" s="7"/>
      <c r="I82" s="7"/>
      <c r="J82" s="19" t="s">
        <v>156</v>
      </c>
      <c r="K82" s="20" t="s">
        <v>157</v>
      </c>
      <c r="L82" t="s">
        <v>158</v>
      </c>
      <c r="M82" t="s">
        <v>158</v>
      </c>
      <c r="N82" t="s">
        <v>158</v>
      </c>
      <c r="S82" s="37"/>
      <c r="T82" s="37"/>
      <c r="X82" s="20"/>
      <c r="Y82" s="20" t="s">
        <v>157</v>
      </c>
      <c r="AA82" s="20">
        <v>8.6999999999999993</v>
      </c>
      <c r="AB82" s="20">
        <v>7.6</v>
      </c>
      <c r="AC82" s="20">
        <v>3.5</v>
      </c>
      <c r="AD82" s="7">
        <v>1</v>
      </c>
      <c r="AE82" t="s">
        <v>189</v>
      </c>
      <c r="AF82" s="34">
        <f>75/AC82</f>
        <v>21.428571428571427</v>
      </c>
      <c r="AG82" t="s">
        <v>158</v>
      </c>
      <c r="AH82" t="s">
        <v>158</v>
      </c>
      <c r="AI82" t="s">
        <v>158</v>
      </c>
      <c r="AJ82" t="s">
        <v>311</v>
      </c>
      <c r="AK82" t="s">
        <v>163</v>
      </c>
      <c r="AL82" t="s">
        <v>158</v>
      </c>
      <c r="AM82" t="s">
        <v>158</v>
      </c>
      <c r="AN82">
        <v>101</v>
      </c>
      <c r="AO82" s="38">
        <f>14.34/(AF82*AC82)*100</f>
        <v>19.12</v>
      </c>
      <c r="AQ82" t="s">
        <v>312</v>
      </c>
      <c r="AR82" t="s">
        <v>313</v>
      </c>
      <c r="AT82" s="7"/>
      <c r="AU82" t="s">
        <v>314</v>
      </c>
      <c r="AW82" s="13"/>
      <c r="AY82" s="2"/>
      <c r="AZ82" s="2"/>
      <c r="BA82" s="2"/>
      <c r="BC82" s="2"/>
      <c r="BD82" s="2"/>
      <c r="BE82" s="2"/>
      <c r="BF82" s="2"/>
    </row>
    <row r="83" spans="1:58">
      <c r="A83" s="3" t="s">
        <v>27</v>
      </c>
      <c r="B83" s="18" t="s">
        <v>154</v>
      </c>
      <c r="G83" t="s">
        <v>310</v>
      </c>
      <c r="H83" s="7" t="s">
        <v>315</v>
      </c>
      <c r="I83" s="7" t="s">
        <v>285</v>
      </c>
      <c r="J83" s="19" t="s">
        <v>156</v>
      </c>
      <c r="K83" s="20" t="s">
        <v>168</v>
      </c>
      <c r="L83" t="s">
        <v>158</v>
      </c>
      <c r="M83" t="s">
        <v>158</v>
      </c>
      <c r="N83" t="s">
        <v>158</v>
      </c>
      <c r="S83" s="37"/>
      <c r="T83" s="37"/>
      <c r="X83" s="20"/>
      <c r="Y83" s="20" t="s">
        <v>168</v>
      </c>
      <c r="AA83" s="20">
        <v>8.1</v>
      </c>
      <c r="AB83" s="20">
        <v>7.6</v>
      </c>
      <c r="AC83" s="20">
        <v>3.6</v>
      </c>
      <c r="AD83" s="7">
        <v>1</v>
      </c>
      <c r="AE83" t="s">
        <v>189</v>
      </c>
      <c r="AF83" s="34">
        <f t="shared" ref="AF83:AF96" si="0">75/AC83</f>
        <v>20.833333333333332</v>
      </c>
      <c r="AG83" t="s">
        <v>158</v>
      </c>
      <c r="AH83" t="s">
        <v>158</v>
      </c>
      <c r="AI83" t="s">
        <v>158</v>
      </c>
      <c r="AJ83" t="s">
        <v>311</v>
      </c>
      <c r="AK83" t="s">
        <v>163</v>
      </c>
      <c r="AL83" t="s">
        <v>158</v>
      </c>
      <c r="AM83" t="s">
        <v>158</v>
      </c>
      <c r="AN83">
        <v>101</v>
      </c>
      <c r="AO83" s="38">
        <f>10.05/(AF83*AC83)*100</f>
        <v>13.4</v>
      </c>
      <c r="AQ83" t="s">
        <v>316</v>
      </c>
      <c r="AR83" t="s">
        <v>313</v>
      </c>
      <c r="AT83" s="49" t="s">
        <v>317</v>
      </c>
      <c r="AU83" t="s">
        <v>314</v>
      </c>
      <c r="AW83" s="13"/>
      <c r="AY83" s="2"/>
      <c r="AZ83" s="2"/>
      <c r="BA83" s="2"/>
      <c r="BC83" s="2"/>
      <c r="BD83" s="2"/>
      <c r="BE83" s="2"/>
      <c r="BF83" s="2"/>
    </row>
    <row r="84" spans="1:58">
      <c r="A84" s="3" t="s">
        <v>27</v>
      </c>
      <c r="B84" s="18" t="s">
        <v>154</v>
      </c>
      <c r="G84" t="s">
        <v>310</v>
      </c>
      <c r="H84" s="7" t="s">
        <v>315</v>
      </c>
      <c r="I84" s="7" t="s">
        <v>285</v>
      </c>
      <c r="J84" s="19" t="s">
        <v>156</v>
      </c>
      <c r="K84" s="20" t="s">
        <v>168</v>
      </c>
      <c r="L84" t="s">
        <v>158</v>
      </c>
      <c r="M84" t="s">
        <v>158</v>
      </c>
      <c r="N84" t="s">
        <v>158</v>
      </c>
      <c r="S84" s="37"/>
      <c r="T84" s="37"/>
      <c r="X84" s="20"/>
      <c r="Y84" s="20" t="s">
        <v>168</v>
      </c>
      <c r="AA84" s="20">
        <v>7.8</v>
      </c>
      <c r="AB84" s="20">
        <v>7.6</v>
      </c>
      <c r="AC84" s="20">
        <v>3.6</v>
      </c>
      <c r="AD84" s="7">
        <v>1</v>
      </c>
      <c r="AE84" t="s">
        <v>189</v>
      </c>
      <c r="AF84" s="34">
        <f t="shared" si="0"/>
        <v>20.833333333333332</v>
      </c>
      <c r="AG84" t="s">
        <v>158</v>
      </c>
      <c r="AH84" t="s">
        <v>158</v>
      </c>
      <c r="AI84" t="s">
        <v>158</v>
      </c>
      <c r="AJ84" t="s">
        <v>311</v>
      </c>
      <c r="AK84" t="s">
        <v>163</v>
      </c>
      <c r="AL84" t="s">
        <v>158</v>
      </c>
      <c r="AM84" t="s">
        <v>158</v>
      </c>
      <c r="AN84">
        <v>101</v>
      </c>
      <c r="AO84" s="38">
        <f>8.66/(AF84*AC84)*100</f>
        <v>11.546666666666667</v>
      </c>
      <c r="AQ84" t="s">
        <v>316</v>
      </c>
      <c r="AR84" t="s">
        <v>313</v>
      </c>
      <c r="AT84" s="49" t="s">
        <v>215</v>
      </c>
      <c r="AU84" t="s">
        <v>314</v>
      </c>
      <c r="AW84" s="13"/>
      <c r="AY84" s="2"/>
      <c r="AZ84" s="2"/>
      <c r="BA84" s="2"/>
      <c r="BC84" s="2"/>
      <c r="BD84" s="2"/>
      <c r="BE84" s="2"/>
      <c r="BF84" s="2"/>
    </row>
    <row r="85" spans="1:58">
      <c r="A85" s="3" t="s">
        <v>27</v>
      </c>
      <c r="B85" s="18" t="s">
        <v>154</v>
      </c>
      <c r="G85" t="s">
        <v>310</v>
      </c>
      <c r="H85" s="7" t="s">
        <v>315</v>
      </c>
      <c r="I85" s="7" t="s">
        <v>285</v>
      </c>
      <c r="J85" s="19" t="s">
        <v>156</v>
      </c>
      <c r="K85" s="20" t="s">
        <v>168</v>
      </c>
      <c r="L85" t="s">
        <v>158</v>
      </c>
      <c r="M85" t="s">
        <v>158</v>
      </c>
      <c r="N85" t="s">
        <v>158</v>
      </c>
      <c r="S85" s="37"/>
      <c r="T85" s="37"/>
      <c r="X85" s="20"/>
      <c r="Y85" s="20" t="s">
        <v>168</v>
      </c>
      <c r="AA85" s="20">
        <v>6.5</v>
      </c>
      <c r="AB85" s="20">
        <v>7.6</v>
      </c>
      <c r="AC85" s="20">
        <v>3.6</v>
      </c>
      <c r="AD85" s="7">
        <v>1</v>
      </c>
      <c r="AE85" t="s">
        <v>189</v>
      </c>
      <c r="AF85" s="34">
        <f t="shared" si="0"/>
        <v>20.833333333333332</v>
      </c>
      <c r="AG85" t="s">
        <v>158</v>
      </c>
      <c r="AH85" t="s">
        <v>158</v>
      </c>
      <c r="AI85" t="s">
        <v>158</v>
      </c>
      <c r="AJ85" t="s">
        <v>311</v>
      </c>
      <c r="AK85" t="s">
        <v>163</v>
      </c>
      <c r="AL85" t="s">
        <v>158</v>
      </c>
      <c r="AM85" t="s">
        <v>158</v>
      </c>
      <c r="AN85">
        <v>101</v>
      </c>
      <c r="AO85" s="38">
        <f>7.42/(AF85*AC85)*100</f>
        <v>9.8933333333333326</v>
      </c>
      <c r="AQ85" t="s">
        <v>316</v>
      </c>
      <c r="AR85" t="s">
        <v>313</v>
      </c>
      <c r="AT85" s="49" t="s">
        <v>318</v>
      </c>
      <c r="AU85" t="s">
        <v>314</v>
      </c>
      <c r="AW85" s="13"/>
      <c r="AY85" s="2"/>
      <c r="AZ85" s="2"/>
      <c r="BA85" s="2"/>
      <c r="BC85" s="2"/>
      <c r="BD85" s="2"/>
      <c r="BE85" s="2"/>
      <c r="BF85" s="2"/>
    </row>
    <row r="86" spans="1:58">
      <c r="A86" s="3" t="s">
        <v>27</v>
      </c>
      <c r="B86" s="18" t="s">
        <v>154</v>
      </c>
      <c r="G86" t="s">
        <v>310</v>
      </c>
      <c r="H86" s="7" t="s">
        <v>315</v>
      </c>
      <c r="I86" s="7" t="s">
        <v>285</v>
      </c>
      <c r="J86" s="19" t="s">
        <v>156</v>
      </c>
      <c r="K86" s="20" t="s">
        <v>168</v>
      </c>
      <c r="L86" t="s">
        <v>158</v>
      </c>
      <c r="M86" t="s">
        <v>158</v>
      </c>
      <c r="N86" t="s">
        <v>158</v>
      </c>
      <c r="S86" s="37"/>
      <c r="T86" s="37"/>
      <c r="X86" s="20"/>
      <c r="Y86" s="20" t="s">
        <v>168</v>
      </c>
      <c r="AA86" s="20">
        <v>5.8</v>
      </c>
      <c r="AB86" s="20">
        <v>7.6</v>
      </c>
      <c r="AC86" s="20">
        <v>3.6</v>
      </c>
      <c r="AD86" s="7">
        <v>1</v>
      </c>
      <c r="AE86" t="s">
        <v>189</v>
      </c>
      <c r="AF86" s="34">
        <f t="shared" si="0"/>
        <v>20.833333333333332</v>
      </c>
      <c r="AG86" t="s">
        <v>158</v>
      </c>
      <c r="AH86" t="s">
        <v>158</v>
      </c>
      <c r="AI86" t="s">
        <v>158</v>
      </c>
      <c r="AJ86" t="s">
        <v>311</v>
      </c>
      <c r="AK86" t="s">
        <v>163</v>
      </c>
      <c r="AL86" t="s">
        <v>158</v>
      </c>
      <c r="AM86" t="s">
        <v>158</v>
      </c>
      <c r="AN86">
        <v>101</v>
      </c>
      <c r="AO86" s="38">
        <f>5.03/(AF86*AC86)*100</f>
        <v>6.7066666666666661</v>
      </c>
      <c r="AQ86" t="s">
        <v>316</v>
      </c>
      <c r="AR86" t="s">
        <v>313</v>
      </c>
      <c r="AT86" s="49" t="s">
        <v>319</v>
      </c>
      <c r="AU86" t="s">
        <v>314</v>
      </c>
      <c r="AW86" s="13"/>
      <c r="AY86" s="2"/>
      <c r="AZ86" s="2"/>
      <c r="BA86" s="2"/>
      <c r="BC86" s="2"/>
      <c r="BD86" s="2"/>
      <c r="BE86" s="2"/>
      <c r="BF86" s="2"/>
    </row>
    <row r="87" spans="1:58">
      <c r="A87" s="3" t="s">
        <v>27</v>
      </c>
      <c r="B87" s="18" t="s">
        <v>154</v>
      </c>
      <c r="G87" t="s">
        <v>310</v>
      </c>
      <c r="H87" s="7"/>
      <c r="I87" s="7"/>
      <c r="J87" s="19" t="s">
        <v>156</v>
      </c>
      <c r="K87" s="20" t="s">
        <v>157</v>
      </c>
      <c r="L87" t="s">
        <v>158</v>
      </c>
      <c r="M87" t="s">
        <v>158</v>
      </c>
      <c r="N87" t="s">
        <v>158</v>
      </c>
      <c r="S87" s="37"/>
      <c r="T87" s="37"/>
      <c r="X87" s="20"/>
      <c r="Y87" s="20" t="s">
        <v>157</v>
      </c>
      <c r="AA87" s="20">
        <v>9.3000000000000007</v>
      </c>
      <c r="AB87" s="20">
        <v>7.4</v>
      </c>
      <c r="AC87" s="20">
        <v>3.6</v>
      </c>
      <c r="AD87" s="7">
        <v>2</v>
      </c>
      <c r="AE87" t="s">
        <v>189</v>
      </c>
      <c r="AF87" s="34">
        <f t="shared" si="0"/>
        <v>20.833333333333332</v>
      </c>
      <c r="AG87" t="s">
        <v>158</v>
      </c>
      <c r="AH87" t="s">
        <v>158</v>
      </c>
      <c r="AI87" t="s">
        <v>158</v>
      </c>
      <c r="AJ87" t="s">
        <v>311</v>
      </c>
      <c r="AK87" t="s">
        <v>163</v>
      </c>
      <c r="AL87" t="s">
        <v>158</v>
      </c>
      <c r="AM87" t="s">
        <v>158</v>
      </c>
      <c r="AN87">
        <v>101</v>
      </c>
      <c r="AO87" s="38">
        <f>17.33/(AF87*AC87)*100</f>
        <v>23.106666666666666</v>
      </c>
      <c r="AQ87" t="s">
        <v>316</v>
      </c>
      <c r="AR87" t="s">
        <v>313</v>
      </c>
      <c r="AT87" s="7"/>
      <c r="AU87" t="s">
        <v>314</v>
      </c>
      <c r="AW87" s="13"/>
      <c r="AY87" s="2"/>
      <c r="AZ87" s="2"/>
      <c r="BA87" s="2"/>
      <c r="BC87" s="2"/>
      <c r="BD87" s="2"/>
      <c r="BE87" s="2"/>
      <c r="BF87" s="2"/>
    </row>
    <row r="88" spans="1:58">
      <c r="A88" s="3" t="s">
        <v>27</v>
      </c>
      <c r="B88" s="18" t="s">
        <v>154</v>
      </c>
      <c r="G88" t="s">
        <v>310</v>
      </c>
      <c r="H88" s="7" t="s">
        <v>315</v>
      </c>
      <c r="I88" s="7" t="s">
        <v>285</v>
      </c>
      <c r="J88" s="19" t="s">
        <v>156</v>
      </c>
      <c r="K88" s="20" t="s">
        <v>168</v>
      </c>
      <c r="L88" t="s">
        <v>158</v>
      </c>
      <c r="M88" t="s">
        <v>158</v>
      </c>
      <c r="N88" t="s">
        <v>158</v>
      </c>
      <c r="S88" s="37"/>
      <c r="T88" s="37"/>
      <c r="X88" s="20"/>
      <c r="Y88" s="20" t="s">
        <v>168</v>
      </c>
      <c r="AA88" s="20">
        <v>8.3000000000000007</v>
      </c>
      <c r="AB88" s="20">
        <v>7.7</v>
      </c>
      <c r="AC88" s="20">
        <v>3.5</v>
      </c>
      <c r="AD88" s="7">
        <v>2</v>
      </c>
      <c r="AE88" t="s">
        <v>189</v>
      </c>
      <c r="AF88" s="34">
        <f t="shared" si="0"/>
        <v>21.428571428571427</v>
      </c>
      <c r="AG88" t="s">
        <v>158</v>
      </c>
      <c r="AH88" t="s">
        <v>158</v>
      </c>
      <c r="AI88" t="s">
        <v>158</v>
      </c>
      <c r="AJ88" t="s">
        <v>311</v>
      </c>
      <c r="AK88" t="s">
        <v>163</v>
      </c>
      <c r="AL88" t="s">
        <v>158</v>
      </c>
      <c r="AM88" t="s">
        <v>158</v>
      </c>
      <c r="AN88">
        <v>101</v>
      </c>
      <c r="AO88" s="38">
        <f>17.81/(AF88*AC88)*100</f>
        <v>23.746666666666666</v>
      </c>
      <c r="AQ88" t="s">
        <v>316</v>
      </c>
      <c r="AR88" t="s">
        <v>313</v>
      </c>
      <c r="AT88" s="51" t="s">
        <v>320</v>
      </c>
      <c r="AU88" t="s">
        <v>314</v>
      </c>
      <c r="AW88" s="13"/>
      <c r="AY88" s="2"/>
      <c r="AZ88" s="2"/>
      <c r="BA88" s="2"/>
      <c r="BC88" s="2"/>
      <c r="BD88" s="2"/>
      <c r="BE88" s="2"/>
      <c r="BF88" s="2"/>
    </row>
    <row r="89" spans="1:58">
      <c r="A89" s="3" t="s">
        <v>27</v>
      </c>
      <c r="B89" s="18" t="s">
        <v>154</v>
      </c>
      <c r="G89" t="s">
        <v>310</v>
      </c>
      <c r="H89" s="7" t="s">
        <v>315</v>
      </c>
      <c r="I89" s="7" t="s">
        <v>285</v>
      </c>
      <c r="J89" s="19" t="s">
        <v>156</v>
      </c>
      <c r="K89" s="20" t="s">
        <v>168</v>
      </c>
      <c r="L89" t="s">
        <v>158</v>
      </c>
      <c r="M89" t="s">
        <v>158</v>
      </c>
      <c r="N89" t="s">
        <v>158</v>
      </c>
      <c r="S89" s="37"/>
      <c r="T89" s="37"/>
      <c r="X89" s="20"/>
      <c r="Y89" s="20" t="s">
        <v>168</v>
      </c>
      <c r="AA89" s="20">
        <v>7.7</v>
      </c>
      <c r="AB89" s="20">
        <v>7.5</v>
      </c>
      <c r="AC89" s="20">
        <v>3.6</v>
      </c>
      <c r="AD89" s="7">
        <v>2</v>
      </c>
      <c r="AE89" t="s">
        <v>189</v>
      </c>
      <c r="AF89" s="34">
        <f t="shared" si="0"/>
        <v>20.833333333333332</v>
      </c>
      <c r="AG89" t="s">
        <v>158</v>
      </c>
      <c r="AH89" t="s">
        <v>158</v>
      </c>
      <c r="AI89" t="s">
        <v>158</v>
      </c>
      <c r="AJ89" t="s">
        <v>311</v>
      </c>
      <c r="AK89" t="s">
        <v>163</v>
      </c>
      <c r="AL89" t="s">
        <v>158</v>
      </c>
      <c r="AM89" t="s">
        <v>158</v>
      </c>
      <c r="AN89">
        <v>101</v>
      </c>
      <c r="AO89" s="38">
        <f>16.38/(AF89*AC89)*100</f>
        <v>21.84</v>
      </c>
      <c r="AQ89" t="s">
        <v>316</v>
      </c>
      <c r="AR89" t="s">
        <v>313</v>
      </c>
      <c r="AT89" s="49" t="s">
        <v>321</v>
      </c>
      <c r="AU89" t="s">
        <v>314</v>
      </c>
      <c r="AW89" s="13"/>
      <c r="AY89" s="2"/>
      <c r="AZ89" s="2"/>
      <c r="BA89" s="2"/>
      <c r="BC89" s="2"/>
      <c r="BD89" s="2"/>
      <c r="BE89" s="2"/>
      <c r="BF89" s="2"/>
    </row>
    <row r="90" spans="1:58">
      <c r="A90" s="3" t="s">
        <v>27</v>
      </c>
      <c r="B90" s="18" t="s">
        <v>154</v>
      </c>
      <c r="G90" t="s">
        <v>310</v>
      </c>
      <c r="H90" s="7" t="s">
        <v>315</v>
      </c>
      <c r="I90" s="7" t="s">
        <v>285</v>
      </c>
      <c r="J90" s="19" t="s">
        <v>156</v>
      </c>
      <c r="K90" s="20" t="s">
        <v>168</v>
      </c>
      <c r="L90" t="s">
        <v>158</v>
      </c>
      <c r="M90" t="s">
        <v>158</v>
      </c>
      <c r="N90" t="s">
        <v>158</v>
      </c>
      <c r="S90" s="37"/>
      <c r="T90" s="37"/>
      <c r="X90" s="20"/>
      <c r="Y90" s="20" t="s">
        <v>168</v>
      </c>
      <c r="AA90" s="20">
        <v>6.9</v>
      </c>
      <c r="AB90" s="20">
        <v>7.7</v>
      </c>
      <c r="AC90" s="20">
        <v>3.7</v>
      </c>
      <c r="AD90" s="7">
        <v>2</v>
      </c>
      <c r="AE90" t="s">
        <v>189</v>
      </c>
      <c r="AF90" s="34">
        <f t="shared" si="0"/>
        <v>20.27027027027027</v>
      </c>
      <c r="AG90" t="s">
        <v>158</v>
      </c>
      <c r="AH90" t="s">
        <v>158</v>
      </c>
      <c r="AI90" t="s">
        <v>158</v>
      </c>
      <c r="AJ90" t="s">
        <v>311</v>
      </c>
      <c r="AK90" t="s">
        <v>163</v>
      </c>
      <c r="AL90" t="s">
        <v>158</v>
      </c>
      <c r="AM90" t="s">
        <v>158</v>
      </c>
      <c r="AN90">
        <v>101</v>
      </c>
      <c r="AO90" s="38">
        <f>11.41/(AF90*AC90)*100</f>
        <v>15.213333333333335</v>
      </c>
      <c r="AQ90" t="s">
        <v>316</v>
      </c>
      <c r="AR90" t="s">
        <v>313</v>
      </c>
      <c r="AT90" s="49" t="s">
        <v>322</v>
      </c>
      <c r="AU90" t="s">
        <v>314</v>
      </c>
      <c r="AW90" s="13"/>
      <c r="AY90" s="2"/>
      <c r="AZ90" s="2"/>
      <c r="BA90" s="2"/>
      <c r="BC90" s="2"/>
      <c r="BD90" s="2"/>
      <c r="BE90" s="2"/>
      <c r="BF90" s="2"/>
    </row>
    <row r="91" spans="1:58">
      <c r="A91" s="3" t="s">
        <v>27</v>
      </c>
      <c r="B91" s="18" t="s">
        <v>154</v>
      </c>
      <c r="G91" t="s">
        <v>310</v>
      </c>
      <c r="H91" s="7" t="s">
        <v>315</v>
      </c>
      <c r="I91" s="7" t="s">
        <v>285</v>
      </c>
      <c r="J91" s="19" t="s">
        <v>156</v>
      </c>
      <c r="K91" s="20" t="s">
        <v>168</v>
      </c>
      <c r="L91" t="s">
        <v>158</v>
      </c>
      <c r="M91" t="s">
        <v>158</v>
      </c>
      <c r="N91" t="s">
        <v>158</v>
      </c>
      <c r="S91" s="37"/>
      <c r="T91" s="37"/>
      <c r="X91" s="20"/>
      <c r="Y91" s="20" t="s">
        <v>168</v>
      </c>
      <c r="AA91" s="20">
        <v>5.8</v>
      </c>
      <c r="AB91" s="20">
        <v>7.8</v>
      </c>
      <c r="AC91" s="20">
        <v>3.7</v>
      </c>
      <c r="AD91" s="7">
        <v>2</v>
      </c>
      <c r="AE91" t="s">
        <v>189</v>
      </c>
      <c r="AF91" s="34">
        <f t="shared" si="0"/>
        <v>20.27027027027027</v>
      </c>
      <c r="AG91" t="s">
        <v>158</v>
      </c>
      <c r="AH91" t="s">
        <v>158</v>
      </c>
      <c r="AI91" t="s">
        <v>158</v>
      </c>
      <c r="AJ91" t="s">
        <v>311</v>
      </c>
      <c r="AK91" t="s">
        <v>163</v>
      </c>
      <c r="AL91" t="s">
        <v>158</v>
      </c>
      <c r="AM91" t="s">
        <v>158</v>
      </c>
      <c r="AN91">
        <v>101</v>
      </c>
      <c r="AO91" s="38">
        <f>10.31/(AF91*AC91)*100</f>
        <v>13.746666666666668</v>
      </c>
      <c r="AQ91" t="s">
        <v>316</v>
      </c>
      <c r="AR91" t="s">
        <v>313</v>
      </c>
      <c r="AT91" s="49" t="s">
        <v>323</v>
      </c>
      <c r="AU91" t="s">
        <v>314</v>
      </c>
      <c r="AW91" s="13"/>
      <c r="AY91" s="2"/>
      <c r="AZ91" s="2"/>
      <c r="BA91" s="2"/>
      <c r="BC91" s="2"/>
      <c r="BD91" s="2"/>
      <c r="BE91" s="2"/>
      <c r="BF91" s="2"/>
    </row>
    <row r="92" spans="1:58">
      <c r="A92" s="3" t="s">
        <v>27</v>
      </c>
      <c r="B92" s="18" t="s">
        <v>154</v>
      </c>
      <c r="G92" t="s">
        <v>310</v>
      </c>
      <c r="H92" s="7"/>
      <c r="I92" s="7"/>
      <c r="J92" s="19" t="s">
        <v>156</v>
      </c>
      <c r="K92" s="20" t="s">
        <v>157</v>
      </c>
      <c r="L92" t="s">
        <v>158</v>
      </c>
      <c r="M92" t="s">
        <v>158</v>
      </c>
      <c r="N92" t="s">
        <v>158</v>
      </c>
      <c r="S92" s="37"/>
      <c r="T92" s="37"/>
      <c r="X92" s="20"/>
      <c r="Y92" s="20" t="s">
        <v>157</v>
      </c>
      <c r="AA92" s="20">
        <v>9.4</v>
      </c>
      <c r="AB92" s="20">
        <v>7.2</v>
      </c>
      <c r="AC92" s="20">
        <v>3</v>
      </c>
      <c r="AD92" s="7">
        <v>3</v>
      </c>
      <c r="AE92" t="s">
        <v>189</v>
      </c>
      <c r="AF92" s="34">
        <f t="shared" si="0"/>
        <v>25</v>
      </c>
      <c r="AG92" t="s">
        <v>158</v>
      </c>
      <c r="AH92" t="s">
        <v>158</v>
      </c>
      <c r="AI92" t="s">
        <v>158</v>
      </c>
      <c r="AJ92" t="s">
        <v>311</v>
      </c>
      <c r="AK92" t="s">
        <v>163</v>
      </c>
      <c r="AL92" t="s">
        <v>158</v>
      </c>
      <c r="AM92" t="s">
        <v>158</v>
      </c>
      <c r="AN92">
        <v>101</v>
      </c>
      <c r="AO92" s="38">
        <f>9.67/(AF92*AC92)*100</f>
        <v>12.893333333333334</v>
      </c>
      <c r="AQ92" t="s">
        <v>316</v>
      </c>
      <c r="AR92" t="s">
        <v>313</v>
      </c>
      <c r="AT92" s="7"/>
      <c r="AU92" t="s">
        <v>314</v>
      </c>
      <c r="AW92" s="13"/>
      <c r="AY92" s="2"/>
      <c r="AZ92" s="2"/>
      <c r="BA92" s="2"/>
      <c r="BC92" s="2"/>
      <c r="BD92" s="2"/>
      <c r="BE92" s="2"/>
      <c r="BF92" s="2"/>
    </row>
    <row r="93" spans="1:58">
      <c r="A93" s="3" t="s">
        <v>27</v>
      </c>
      <c r="B93" s="18" t="s">
        <v>154</v>
      </c>
      <c r="G93" t="s">
        <v>310</v>
      </c>
      <c r="H93" s="7" t="s">
        <v>315</v>
      </c>
      <c r="I93" s="7" t="s">
        <v>285</v>
      </c>
      <c r="J93" s="19" t="s">
        <v>156</v>
      </c>
      <c r="K93" s="20" t="s">
        <v>168</v>
      </c>
      <c r="L93" t="s">
        <v>158</v>
      </c>
      <c r="M93" t="s">
        <v>158</v>
      </c>
      <c r="N93" t="s">
        <v>158</v>
      </c>
      <c r="S93" s="37"/>
      <c r="T93" s="37"/>
      <c r="X93" s="20"/>
      <c r="Y93" s="20" t="s">
        <v>168</v>
      </c>
      <c r="AA93" s="20">
        <v>8.4</v>
      </c>
      <c r="AB93" s="20">
        <v>7.2</v>
      </c>
      <c r="AC93" s="20">
        <v>3</v>
      </c>
      <c r="AD93" s="7">
        <v>3</v>
      </c>
      <c r="AE93" t="s">
        <v>189</v>
      </c>
      <c r="AF93" s="34">
        <f t="shared" si="0"/>
        <v>25</v>
      </c>
      <c r="AG93" t="s">
        <v>158</v>
      </c>
      <c r="AH93" t="s">
        <v>158</v>
      </c>
      <c r="AI93" t="s">
        <v>158</v>
      </c>
      <c r="AJ93" t="s">
        <v>311</v>
      </c>
      <c r="AK93" t="s">
        <v>163</v>
      </c>
      <c r="AL93" t="s">
        <v>158</v>
      </c>
      <c r="AM93" t="s">
        <v>158</v>
      </c>
      <c r="AN93">
        <v>101</v>
      </c>
      <c r="AO93" s="38">
        <f>5.14/(AF93*AC93)*100</f>
        <v>6.8533333333333335</v>
      </c>
      <c r="AQ93" t="s">
        <v>316</v>
      </c>
      <c r="AR93" t="s">
        <v>313</v>
      </c>
      <c r="AT93" s="49" t="s">
        <v>324</v>
      </c>
      <c r="AU93" t="s">
        <v>314</v>
      </c>
      <c r="AW93" s="13"/>
      <c r="AY93" s="2"/>
      <c r="AZ93" s="2"/>
      <c r="BA93" s="2"/>
      <c r="BC93" s="2"/>
      <c r="BD93" s="2"/>
      <c r="BE93" s="2"/>
      <c r="BF93" s="2"/>
    </row>
    <row r="94" spans="1:58">
      <c r="A94" s="3" t="s">
        <v>27</v>
      </c>
      <c r="B94" s="18" t="s">
        <v>154</v>
      </c>
      <c r="G94" t="s">
        <v>310</v>
      </c>
      <c r="H94" s="7" t="s">
        <v>315</v>
      </c>
      <c r="I94" s="7" t="s">
        <v>285</v>
      </c>
      <c r="J94" s="19" t="s">
        <v>156</v>
      </c>
      <c r="K94" s="20" t="s">
        <v>168</v>
      </c>
      <c r="L94" t="s">
        <v>158</v>
      </c>
      <c r="M94" t="s">
        <v>158</v>
      </c>
      <c r="N94" t="s">
        <v>158</v>
      </c>
      <c r="S94" s="37"/>
      <c r="T94" s="37"/>
      <c r="X94" s="20"/>
      <c r="Y94" s="20" t="s">
        <v>168</v>
      </c>
      <c r="AA94" s="20">
        <v>8</v>
      </c>
      <c r="AB94" s="20">
        <v>7.2</v>
      </c>
      <c r="AC94" s="20">
        <v>3</v>
      </c>
      <c r="AD94" s="7">
        <v>3</v>
      </c>
      <c r="AE94" t="s">
        <v>189</v>
      </c>
      <c r="AF94" s="34">
        <f t="shared" si="0"/>
        <v>25</v>
      </c>
      <c r="AG94" t="s">
        <v>158</v>
      </c>
      <c r="AH94" t="s">
        <v>158</v>
      </c>
      <c r="AI94" t="s">
        <v>158</v>
      </c>
      <c r="AJ94" t="s">
        <v>311</v>
      </c>
      <c r="AK94" t="s">
        <v>163</v>
      </c>
      <c r="AL94" t="s">
        <v>158</v>
      </c>
      <c r="AM94" t="s">
        <v>158</v>
      </c>
      <c r="AN94">
        <v>101</v>
      </c>
      <c r="AO94" s="38">
        <f>5.53/(AF94*AC94)*100</f>
        <v>7.3733333333333331</v>
      </c>
      <c r="AQ94" t="s">
        <v>316</v>
      </c>
      <c r="AR94" t="s">
        <v>313</v>
      </c>
      <c r="AT94" s="49" t="s">
        <v>325</v>
      </c>
      <c r="AU94" t="s">
        <v>314</v>
      </c>
      <c r="AW94" s="13"/>
      <c r="AY94" s="2"/>
      <c r="AZ94" s="2"/>
      <c r="BA94" s="2"/>
      <c r="BC94" s="2"/>
      <c r="BD94" s="2"/>
      <c r="BE94" s="2"/>
      <c r="BF94" s="2"/>
    </row>
    <row r="95" spans="1:58">
      <c r="A95" s="3" t="s">
        <v>27</v>
      </c>
      <c r="B95" s="18" t="s">
        <v>154</v>
      </c>
      <c r="G95" t="s">
        <v>310</v>
      </c>
      <c r="H95" s="7" t="s">
        <v>315</v>
      </c>
      <c r="I95" s="7" t="s">
        <v>285</v>
      </c>
      <c r="J95" s="19" t="s">
        <v>156</v>
      </c>
      <c r="K95" s="20" t="s">
        <v>168</v>
      </c>
      <c r="L95" t="s">
        <v>158</v>
      </c>
      <c r="M95" t="s">
        <v>158</v>
      </c>
      <c r="N95" t="s">
        <v>158</v>
      </c>
      <c r="S95" s="37"/>
      <c r="T95" s="37"/>
      <c r="X95" s="20"/>
      <c r="Y95" s="20" t="s">
        <v>168</v>
      </c>
      <c r="AA95" s="20">
        <v>6.8</v>
      </c>
      <c r="AB95" s="20">
        <v>7.3</v>
      </c>
      <c r="AC95" s="20">
        <v>3</v>
      </c>
      <c r="AD95" s="7">
        <v>3</v>
      </c>
      <c r="AE95" t="s">
        <v>189</v>
      </c>
      <c r="AF95" s="34">
        <f t="shared" si="0"/>
        <v>25</v>
      </c>
      <c r="AG95" t="s">
        <v>158</v>
      </c>
      <c r="AH95" t="s">
        <v>158</v>
      </c>
      <c r="AI95" t="s">
        <v>158</v>
      </c>
      <c r="AJ95" t="s">
        <v>311</v>
      </c>
      <c r="AK95" t="s">
        <v>163</v>
      </c>
      <c r="AL95" t="s">
        <v>158</v>
      </c>
      <c r="AM95" t="s">
        <v>158</v>
      </c>
      <c r="AN95">
        <v>101</v>
      </c>
      <c r="AO95" s="38">
        <f>3.17/(AF95*AC95)*100</f>
        <v>4.2266666666666666</v>
      </c>
      <c r="AQ95" t="s">
        <v>316</v>
      </c>
      <c r="AR95" t="s">
        <v>313</v>
      </c>
      <c r="AT95" s="49" t="s">
        <v>326</v>
      </c>
      <c r="AU95" t="s">
        <v>314</v>
      </c>
      <c r="AW95" s="13"/>
      <c r="AY95" s="2"/>
      <c r="AZ95" s="2"/>
      <c r="BA95" s="2"/>
      <c r="BC95" s="2"/>
      <c r="BD95" s="2"/>
      <c r="BE95" s="2"/>
      <c r="BF95" s="2"/>
    </row>
    <row r="96" spans="1:58">
      <c r="A96" s="3" t="s">
        <v>27</v>
      </c>
      <c r="B96" s="18" t="s">
        <v>154</v>
      </c>
      <c r="G96" t="s">
        <v>310</v>
      </c>
      <c r="H96" s="7" t="s">
        <v>315</v>
      </c>
      <c r="I96" s="7" t="s">
        <v>285</v>
      </c>
      <c r="J96" s="19" t="s">
        <v>156</v>
      </c>
      <c r="K96" s="20" t="s">
        <v>168</v>
      </c>
      <c r="L96" t="s">
        <v>158</v>
      </c>
      <c r="M96" t="s">
        <v>158</v>
      </c>
      <c r="N96" t="s">
        <v>158</v>
      </c>
      <c r="S96" s="37"/>
      <c r="T96" s="37"/>
      <c r="X96" s="20"/>
      <c r="Y96" s="20" t="s">
        <v>168</v>
      </c>
      <c r="AA96" s="20">
        <v>5.9</v>
      </c>
      <c r="AB96" s="20">
        <v>7.4</v>
      </c>
      <c r="AC96" s="20">
        <v>2.9</v>
      </c>
      <c r="AD96" s="7">
        <v>3</v>
      </c>
      <c r="AE96" t="s">
        <v>189</v>
      </c>
      <c r="AF96" s="34">
        <f t="shared" si="0"/>
        <v>25.862068965517242</v>
      </c>
      <c r="AG96" t="s">
        <v>158</v>
      </c>
      <c r="AH96" t="s">
        <v>158</v>
      </c>
      <c r="AI96" t="s">
        <v>158</v>
      </c>
      <c r="AJ96" t="s">
        <v>311</v>
      </c>
      <c r="AK96" t="s">
        <v>163</v>
      </c>
      <c r="AL96" t="s">
        <v>158</v>
      </c>
      <c r="AM96" t="s">
        <v>158</v>
      </c>
      <c r="AN96">
        <v>101</v>
      </c>
      <c r="AO96" s="38">
        <f>0.83/(AF96*AC96)*100</f>
        <v>1.1066666666666665</v>
      </c>
      <c r="AQ96" t="s">
        <v>316</v>
      </c>
      <c r="AR96" t="s">
        <v>313</v>
      </c>
      <c r="AT96" s="49" t="s">
        <v>327</v>
      </c>
      <c r="AU96" t="s">
        <v>314</v>
      </c>
      <c r="AW96" s="13"/>
      <c r="AY96" s="2"/>
      <c r="AZ96" s="2"/>
      <c r="BA96" s="2"/>
      <c r="BC96" s="2"/>
      <c r="BD96" s="2"/>
      <c r="BE96" s="2"/>
      <c r="BF96" s="2"/>
    </row>
    <row r="97" spans="1:58">
      <c r="A97" s="18" t="s">
        <v>328</v>
      </c>
      <c r="B97" s="18" t="s">
        <v>154</v>
      </c>
      <c r="G97" t="s">
        <v>329</v>
      </c>
      <c r="H97" s="7"/>
      <c r="I97" s="7"/>
      <c r="J97" s="19" t="s">
        <v>232</v>
      </c>
      <c r="K97" s="20" t="s">
        <v>157</v>
      </c>
      <c r="L97" t="s">
        <v>158</v>
      </c>
      <c r="M97" t="s">
        <v>158</v>
      </c>
      <c r="N97" t="s">
        <v>158</v>
      </c>
      <c r="P97" s="42"/>
      <c r="Q97" s="42"/>
      <c r="X97" s="20"/>
      <c r="Y97" s="20" t="s">
        <v>157</v>
      </c>
      <c r="AA97" s="42">
        <v>4.1100000000000003</v>
      </c>
      <c r="AB97" s="42">
        <v>7.45</v>
      </c>
      <c r="AC97" s="20">
        <v>3.1</v>
      </c>
      <c r="AD97" s="7">
        <v>1</v>
      </c>
      <c r="AE97" t="s">
        <v>159</v>
      </c>
      <c r="AF97" s="43">
        <v>30</v>
      </c>
      <c r="AG97">
        <v>22</v>
      </c>
      <c r="AH97">
        <v>19.600000000000001</v>
      </c>
      <c r="AI97" t="s">
        <v>161</v>
      </c>
      <c r="AJ97" t="s">
        <v>330</v>
      </c>
      <c r="AK97" t="s">
        <v>191</v>
      </c>
      <c r="AL97">
        <v>1.35</v>
      </c>
      <c r="AM97">
        <v>0.12</v>
      </c>
      <c r="AN97">
        <v>77</v>
      </c>
      <c r="AO97">
        <v>26.08</v>
      </c>
      <c r="AQ97" t="s">
        <v>331</v>
      </c>
      <c r="AR97" t="s">
        <v>332</v>
      </c>
      <c r="AT97" s="7"/>
      <c r="AV97" s="6"/>
      <c r="AW97" s="13"/>
      <c r="AY97" s="2"/>
      <c r="AZ97" s="2"/>
      <c r="BA97" s="2"/>
      <c r="BC97" s="2"/>
      <c r="BD97" s="2"/>
      <c r="BE97" s="2"/>
      <c r="BF97" s="2"/>
    </row>
    <row r="98" spans="1:58">
      <c r="A98" s="18" t="s">
        <v>328</v>
      </c>
      <c r="B98" s="18" t="s">
        <v>154</v>
      </c>
      <c r="G98" t="s">
        <v>329</v>
      </c>
      <c r="H98" s="7" t="s">
        <v>333</v>
      </c>
      <c r="I98" s="7" t="s">
        <v>256</v>
      </c>
      <c r="J98" s="19" t="s">
        <v>232</v>
      </c>
      <c r="K98" s="20" t="s">
        <v>168</v>
      </c>
      <c r="L98" t="s">
        <v>158</v>
      </c>
      <c r="M98" t="s">
        <v>158</v>
      </c>
      <c r="N98" t="s">
        <v>158</v>
      </c>
      <c r="P98" s="42"/>
      <c r="Q98" s="42"/>
      <c r="X98" s="20"/>
      <c r="Y98" s="20" t="s">
        <v>168</v>
      </c>
      <c r="AA98" s="42">
        <v>0.91</v>
      </c>
      <c r="AB98" s="42">
        <v>7.88</v>
      </c>
      <c r="AC98" s="20">
        <v>2</v>
      </c>
      <c r="AD98" s="7">
        <v>1</v>
      </c>
      <c r="AE98" t="s">
        <v>159</v>
      </c>
      <c r="AF98" s="43">
        <v>30</v>
      </c>
      <c r="AG98">
        <v>22</v>
      </c>
      <c r="AH98">
        <v>19.600000000000001</v>
      </c>
      <c r="AI98" t="s">
        <v>161</v>
      </c>
      <c r="AJ98" t="s">
        <v>330</v>
      </c>
      <c r="AK98" t="s">
        <v>191</v>
      </c>
      <c r="AL98">
        <v>1.35</v>
      </c>
      <c r="AM98">
        <v>0.12</v>
      </c>
      <c r="AN98">
        <v>77</v>
      </c>
      <c r="AO98">
        <v>19.57</v>
      </c>
      <c r="AQ98" t="s">
        <v>331</v>
      </c>
      <c r="AR98" t="s">
        <v>332</v>
      </c>
      <c r="AT98" s="7" t="s">
        <v>334</v>
      </c>
      <c r="AV98" s="6"/>
      <c r="AY98" s="2"/>
      <c r="AZ98" s="2"/>
      <c r="BA98" s="2"/>
      <c r="BC98" s="2"/>
      <c r="BD98" s="2"/>
      <c r="BE98" s="2"/>
      <c r="BF98" s="2"/>
    </row>
    <row r="99" spans="1:58">
      <c r="A99" s="18" t="s">
        <v>328</v>
      </c>
      <c r="B99" s="18" t="s">
        <v>154</v>
      </c>
      <c r="G99" t="s">
        <v>329</v>
      </c>
      <c r="H99" s="7" t="s">
        <v>335</v>
      </c>
      <c r="I99" s="7" t="s">
        <v>256</v>
      </c>
      <c r="J99" s="19" t="s">
        <v>232</v>
      </c>
      <c r="K99" s="20" t="s">
        <v>168</v>
      </c>
      <c r="L99" t="s">
        <v>158</v>
      </c>
      <c r="M99" t="s">
        <v>158</v>
      </c>
      <c r="N99" t="s">
        <v>158</v>
      </c>
      <c r="P99" s="42"/>
      <c r="Q99" s="42"/>
      <c r="X99" s="20"/>
      <c r="Y99" s="20" t="s">
        <v>168</v>
      </c>
      <c r="AA99" s="42">
        <v>0.63</v>
      </c>
      <c r="AB99" s="42">
        <v>7.75</v>
      </c>
      <c r="AC99" s="20">
        <v>1.9</v>
      </c>
      <c r="AD99" s="7">
        <v>1</v>
      </c>
      <c r="AE99" t="s">
        <v>159</v>
      </c>
      <c r="AF99" s="43">
        <v>30</v>
      </c>
      <c r="AG99">
        <v>22</v>
      </c>
      <c r="AH99">
        <v>19.600000000000001</v>
      </c>
      <c r="AI99" t="s">
        <v>161</v>
      </c>
      <c r="AJ99" t="s">
        <v>330</v>
      </c>
      <c r="AK99" t="s">
        <v>191</v>
      </c>
      <c r="AL99">
        <v>1.35</v>
      </c>
      <c r="AM99">
        <v>0.12</v>
      </c>
      <c r="AN99">
        <v>77</v>
      </c>
      <c r="AO99">
        <v>17.55</v>
      </c>
      <c r="AQ99" t="s">
        <v>331</v>
      </c>
      <c r="AR99" t="s">
        <v>332</v>
      </c>
      <c r="AT99" s="7" t="s">
        <v>239</v>
      </c>
      <c r="AV99" s="6"/>
      <c r="AY99" s="2"/>
      <c r="AZ99" s="2"/>
      <c r="BA99" s="2"/>
      <c r="BC99" s="2"/>
      <c r="BD99" s="2"/>
      <c r="BE99" s="2"/>
      <c r="BF99" s="2"/>
    </row>
    <row r="100" spans="1:58">
      <c r="A100" s="18" t="s">
        <v>328</v>
      </c>
      <c r="B100" s="18" t="s">
        <v>154</v>
      </c>
      <c r="G100" t="s">
        <v>329</v>
      </c>
      <c r="H100" s="7" t="s">
        <v>335</v>
      </c>
      <c r="I100" s="7" t="s">
        <v>256</v>
      </c>
      <c r="J100" s="19" t="s">
        <v>232</v>
      </c>
      <c r="K100" s="20" t="s">
        <v>168</v>
      </c>
      <c r="L100" t="s">
        <v>158</v>
      </c>
      <c r="M100" t="s">
        <v>158</v>
      </c>
      <c r="N100" t="s">
        <v>158</v>
      </c>
      <c r="P100" s="42"/>
      <c r="Q100" s="42"/>
      <c r="X100" s="20"/>
      <c r="Y100" s="20" t="s">
        <v>168</v>
      </c>
      <c r="AA100" s="42">
        <v>0.65</v>
      </c>
      <c r="AB100" s="42">
        <v>7.63</v>
      </c>
      <c r="AC100" s="20">
        <v>2</v>
      </c>
      <c r="AD100" s="7">
        <v>1</v>
      </c>
      <c r="AE100" t="s">
        <v>159</v>
      </c>
      <c r="AF100" s="43">
        <v>30</v>
      </c>
      <c r="AG100">
        <v>22</v>
      </c>
      <c r="AH100">
        <v>19.600000000000001</v>
      </c>
      <c r="AI100" t="s">
        <v>161</v>
      </c>
      <c r="AJ100" t="s">
        <v>330</v>
      </c>
      <c r="AK100" t="s">
        <v>191</v>
      </c>
      <c r="AL100">
        <v>1.35</v>
      </c>
      <c r="AM100">
        <v>0.12</v>
      </c>
      <c r="AN100">
        <v>77</v>
      </c>
      <c r="AO100">
        <v>4.32</v>
      </c>
      <c r="AQ100" t="s">
        <v>331</v>
      </c>
      <c r="AR100" t="s">
        <v>332</v>
      </c>
      <c r="AT100" s="7" t="s">
        <v>336</v>
      </c>
      <c r="AV100" s="6"/>
      <c r="AY100" s="2"/>
      <c r="AZ100" s="2"/>
      <c r="BA100" s="2"/>
      <c r="BC100" s="2"/>
      <c r="BD100" s="2"/>
      <c r="BE100" s="2"/>
      <c r="BF100" s="2"/>
    </row>
    <row r="101" spans="1:58">
      <c r="A101" s="18" t="s">
        <v>328</v>
      </c>
      <c r="B101" s="18" t="s">
        <v>154</v>
      </c>
      <c r="G101" t="s">
        <v>329</v>
      </c>
      <c r="H101" s="7"/>
      <c r="I101" s="7"/>
      <c r="J101" s="19" t="s">
        <v>337</v>
      </c>
      <c r="K101" s="20" t="s">
        <v>157</v>
      </c>
      <c r="L101" t="s">
        <v>158</v>
      </c>
      <c r="M101" t="s">
        <v>158</v>
      </c>
      <c r="N101" t="s">
        <v>158</v>
      </c>
      <c r="P101" s="42"/>
      <c r="Q101" s="42"/>
      <c r="X101" s="20"/>
      <c r="Y101" s="20" t="s">
        <v>157</v>
      </c>
      <c r="AA101" s="42">
        <v>3.42</v>
      </c>
      <c r="AB101" s="42">
        <v>7.83</v>
      </c>
      <c r="AC101" s="20">
        <v>3.3</v>
      </c>
      <c r="AD101" s="7">
        <v>2</v>
      </c>
      <c r="AE101" t="s">
        <v>159</v>
      </c>
      <c r="AF101" s="43">
        <v>30</v>
      </c>
      <c r="AG101">
        <v>22</v>
      </c>
      <c r="AH101">
        <v>19.600000000000001</v>
      </c>
      <c r="AI101" t="s">
        <v>161</v>
      </c>
      <c r="AJ101" t="s">
        <v>330</v>
      </c>
      <c r="AK101" t="s">
        <v>191</v>
      </c>
      <c r="AL101">
        <v>1.35</v>
      </c>
      <c r="AM101">
        <v>0.12</v>
      </c>
      <c r="AN101">
        <v>77</v>
      </c>
      <c r="AO101">
        <v>28.13</v>
      </c>
      <c r="AQ101" t="s">
        <v>331</v>
      </c>
      <c r="AR101" t="s">
        <v>332</v>
      </c>
      <c r="AT101" s="7"/>
      <c r="AV101" s="6"/>
      <c r="AY101" s="2"/>
      <c r="AZ101" s="2"/>
      <c r="BA101" s="2"/>
      <c r="BC101" s="2"/>
      <c r="BD101" s="2"/>
      <c r="BE101" s="2"/>
      <c r="BF101" s="2"/>
    </row>
    <row r="102" spans="1:58">
      <c r="A102" s="18" t="s">
        <v>328</v>
      </c>
      <c r="B102" s="18" t="s">
        <v>154</v>
      </c>
      <c r="G102" t="s">
        <v>329</v>
      </c>
      <c r="H102" s="7" t="s">
        <v>333</v>
      </c>
      <c r="I102" s="7" t="s">
        <v>256</v>
      </c>
      <c r="J102" s="19" t="s">
        <v>337</v>
      </c>
      <c r="K102" s="20" t="s">
        <v>168</v>
      </c>
      <c r="L102" t="s">
        <v>158</v>
      </c>
      <c r="M102" t="s">
        <v>158</v>
      </c>
      <c r="N102" t="s">
        <v>158</v>
      </c>
      <c r="P102" s="42"/>
      <c r="Q102" s="42"/>
      <c r="X102" s="20"/>
      <c r="Y102" s="20" t="s">
        <v>168</v>
      </c>
      <c r="AA102" s="42">
        <v>0.62</v>
      </c>
      <c r="AB102" s="42">
        <v>8.27</v>
      </c>
      <c r="AC102" s="20">
        <v>2.5</v>
      </c>
      <c r="AD102" s="7">
        <v>2</v>
      </c>
      <c r="AE102" t="s">
        <v>159</v>
      </c>
      <c r="AF102" s="43">
        <v>30</v>
      </c>
      <c r="AG102">
        <v>22</v>
      </c>
      <c r="AH102">
        <v>19.600000000000001</v>
      </c>
      <c r="AI102" t="s">
        <v>161</v>
      </c>
      <c r="AJ102" t="s">
        <v>330</v>
      </c>
      <c r="AK102" t="s">
        <v>191</v>
      </c>
      <c r="AL102">
        <v>1.35</v>
      </c>
      <c r="AM102">
        <v>0.12</v>
      </c>
      <c r="AN102">
        <v>77</v>
      </c>
      <c r="AO102">
        <v>25.46</v>
      </c>
      <c r="AQ102" t="s">
        <v>331</v>
      </c>
      <c r="AR102" t="s">
        <v>332</v>
      </c>
      <c r="AT102" s="7" t="s">
        <v>338</v>
      </c>
      <c r="AV102" s="6"/>
      <c r="AY102" s="2"/>
      <c r="AZ102" s="2"/>
      <c r="BA102" s="2"/>
      <c r="BC102" s="2"/>
      <c r="BD102" s="2"/>
      <c r="BE102" s="2"/>
      <c r="BF102" s="2"/>
    </row>
    <row r="103" spans="1:58">
      <c r="A103" s="18" t="s">
        <v>328</v>
      </c>
      <c r="B103" s="18" t="s">
        <v>154</v>
      </c>
      <c r="G103" t="s">
        <v>329</v>
      </c>
      <c r="H103" s="7" t="s">
        <v>335</v>
      </c>
      <c r="I103" s="7" t="s">
        <v>256</v>
      </c>
      <c r="J103" s="19" t="s">
        <v>337</v>
      </c>
      <c r="K103" s="20" t="s">
        <v>168</v>
      </c>
      <c r="L103" t="s">
        <v>158</v>
      </c>
      <c r="M103" t="s">
        <v>158</v>
      </c>
      <c r="N103" t="s">
        <v>158</v>
      </c>
      <c r="P103" s="42"/>
      <c r="Q103" s="42"/>
      <c r="X103" s="20"/>
      <c r="Y103" s="20" t="s">
        <v>168</v>
      </c>
      <c r="AA103" s="42">
        <v>1.1100000000000001</v>
      </c>
      <c r="AB103" s="42">
        <v>8.0399999999999991</v>
      </c>
      <c r="AC103" s="20">
        <v>2.6</v>
      </c>
      <c r="AD103" s="7">
        <v>2</v>
      </c>
      <c r="AE103" t="s">
        <v>159</v>
      </c>
      <c r="AF103" s="43">
        <v>30</v>
      </c>
      <c r="AG103">
        <v>22</v>
      </c>
      <c r="AH103">
        <v>19.600000000000001</v>
      </c>
      <c r="AI103" t="s">
        <v>161</v>
      </c>
      <c r="AJ103" t="s">
        <v>330</v>
      </c>
      <c r="AK103" t="s">
        <v>191</v>
      </c>
      <c r="AL103">
        <v>1.35</v>
      </c>
      <c r="AM103">
        <v>0.12</v>
      </c>
      <c r="AN103">
        <v>77</v>
      </c>
      <c r="AO103">
        <v>21.15</v>
      </c>
      <c r="AQ103" t="s">
        <v>331</v>
      </c>
      <c r="AR103" t="s">
        <v>332</v>
      </c>
      <c r="AT103" s="7" t="s">
        <v>334</v>
      </c>
      <c r="AV103" s="6"/>
      <c r="AY103" s="2"/>
      <c r="AZ103" s="2"/>
      <c r="BA103" s="2"/>
      <c r="BC103" s="2"/>
      <c r="BD103" s="2"/>
      <c r="BE103" s="2"/>
      <c r="BF103" s="2"/>
    </row>
    <row r="104" spans="1:58">
      <c r="A104" s="18" t="s">
        <v>328</v>
      </c>
      <c r="B104" s="18" t="s">
        <v>154</v>
      </c>
      <c r="G104" t="s">
        <v>329</v>
      </c>
      <c r="H104" s="7" t="s">
        <v>335</v>
      </c>
      <c r="I104" s="7" t="s">
        <v>256</v>
      </c>
      <c r="J104" s="19" t="s">
        <v>337</v>
      </c>
      <c r="K104" s="20" t="s">
        <v>168</v>
      </c>
      <c r="L104" t="s">
        <v>158</v>
      </c>
      <c r="M104" t="s">
        <v>158</v>
      </c>
      <c r="N104" t="s">
        <v>158</v>
      </c>
      <c r="P104" s="42"/>
      <c r="Q104" s="42"/>
      <c r="X104" s="20"/>
      <c r="Y104" s="20" t="s">
        <v>168</v>
      </c>
      <c r="AA104" s="42">
        <v>1</v>
      </c>
      <c r="AB104" s="42">
        <v>7.93</v>
      </c>
      <c r="AC104" s="20">
        <v>2.9</v>
      </c>
      <c r="AD104" s="7">
        <v>2</v>
      </c>
      <c r="AE104" t="s">
        <v>159</v>
      </c>
      <c r="AF104" s="43">
        <v>30</v>
      </c>
      <c r="AG104">
        <v>22</v>
      </c>
      <c r="AH104">
        <v>19.600000000000001</v>
      </c>
      <c r="AI104" t="s">
        <v>161</v>
      </c>
      <c r="AJ104" t="s">
        <v>330</v>
      </c>
      <c r="AK104" t="s">
        <v>191</v>
      </c>
      <c r="AL104">
        <v>1.35</v>
      </c>
      <c r="AM104">
        <v>0.12</v>
      </c>
      <c r="AN104">
        <v>77</v>
      </c>
      <c r="AO104">
        <v>15.5</v>
      </c>
      <c r="AQ104" t="s">
        <v>331</v>
      </c>
      <c r="AR104" t="s">
        <v>332</v>
      </c>
      <c r="AT104" s="7" t="s">
        <v>339</v>
      </c>
      <c r="AV104" s="6"/>
      <c r="AY104" s="2"/>
      <c r="AZ104" s="2"/>
      <c r="BA104" s="2"/>
      <c r="BC104" s="2"/>
      <c r="BD104" s="2"/>
      <c r="BE104" s="2"/>
      <c r="BF104" s="2"/>
    </row>
    <row r="105" spans="1:58">
      <c r="A105" s="66" t="s">
        <v>31</v>
      </c>
      <c r="B105" s="53"/>
      <c r="C105" s="54"/>
      <c r="D105" s="53"/>
      <c r="E105" s="54"/>
      <c r="F105" s="54"/>
      <c r="G105" s="55"/>
      <c r="H105" s="56" t="s">
        <v>340</v>
      </c>
      <c r="I105" s="56"/>
      <c r="K105" s="54" t="s">
        <v>168</v>
      </c>
      <c r="L105" s="57"/>
      <c r="M105" s="57"/>
      <c r="N105" s="57"/>
      <c r="O105" s="54"/>
      <c r="P105" s="54"/>
      <c r="Q105" s="54"/>
      <c r="R105" s="54"/>
      <c r="S105" s="54"/>
      <c r="T105" s="54"/>
      <c r="U105" s="54"/>
      <c r="V105" s="54"/>
      <c r="W105" s="54"/>
      <c r="X105" s="54"/>
      <c r="Y105" s="54" t="s">
        <v>168</v>
      </c>
      <c r="Z105" s="54"/>
      <c r="AA105" s="67"/>
      <c r="AB105" s="54"/>
      <c r="AC105" s="54"/>
      <c r="AD105" s="55">
        <v>1</v>
      </c>
      <c r="AE105" s="56"/>
      <c r="AF105" s="55"/>
      <c r="AG105" s="56"/>
      <c r="AH105" s="55"/>
      <c r="AI105" s="55"/>
      <c r="AJ105" s="55"/>
      <c r="AK105" s="56"/>
      <c r="AL105" s="55"/>
      <c r="AM105" s="55"/>
      <c r="AN105" s="55"/>
      <c r="AO105" s="56"/>
      <c r="AP105" s="56"/>
      <c r="AQ105" s="55"/>
      <c r="AR105" s="55"/>
      <c r="AS105" s="55"/>
      <c r="AT105" s="55"/>
      <c r="AU105" s="67" t="s">
        <v>341</v>
      </c>
      <c r="AV105" s="6"/>
      <c r="AY105" s="2"/>
      <c r="AZ105" s="2"/>
      <c r="BA105" s="2"/>
      <c r="BC105" s="2"/>
      <c r="BD105" s="2"/>
      <c r="BE105" s="2"/>
      <c r="BF105" s="2"/>
    </row>
    <row r="106" spans="1:58" ht="15" customHeight="1">
      <c r="A106" s="3" t="s">
        <v>33</v>
      </c>
      <c r="B106" s="18" t="s">
        <v>154</v>
      </c>
      <c r="G106" t="s">
        <v>342</v>
      </c>
      <c r="J106" s="19" t="s">
        <v>232</v>
      </c>
      <c r="K106" s="20" t="s">
        <v>157</v>
      </c>
      <c r="L106" t="s">
        <v>158</v>
      </c>
      <c r="M106" t="s">
        <v>158</v>
      </c>
      <c r="N106" t="s">
        <v>158</v>
      </c>
      <c r="V106" s="47"/>
      <c r="W106" s="47"/>
      <c r="Y106" s="20" t="s">
        <v>157</v>
      </c>
      <c r="AA106" s="20">
        <v>2.8</v>
      </c>
      <c r="AB106" s="20">
        <v>8.3000000000000007</v>
      </c>
      <c r="AC106" s="20">
        <v>2.9</v>
      </c>
      <c r="AD106" s="7">
        <v>1</v>
      </c>
      <c r="AE106" t="s">
        <v>189</v>
      </c>
      <c r="AF106" s="43" t="s">
        <v>343</v>
      </c>
      <c r="AG106">
        <v>20</v>
      </c>
      <c r="AH106">
        <v>20</v>
      </c>
      <c r="AI106" t="s">
        <v>191</v>
      </c>
      <c r="AJ106" t="s">
        <v>344</v>
      </c>
      <c r="AK106" t="s">
        <v>191</v>
      </c>
      <c r="AL106" t="s">
        <v>345</v>
      </c>
      <c r="AM106" t="s">
        <v>158</v>
      </c>
      <c r="AN106">
        <v>50</v>
      </c>
      <c r="AO106">
        <v>26</v>
      </c>
      <c r="AQ106" t="s">
        <v>192</v>
      </c>
      <c r="AR106" s="48" t="s">
        <v>346</v>
      </c>
      <c r="AS106" s="48"/>
      <c r="AU106" t="s">
        <v>347</v>
      </c>
      <c r="AY106" s="2"/>
      <c r="AZ106" s="2"/>
      <c r="BA106" s="2"/>
      <c r="BC106" s="2"/>
      <c r="BD106" s="2"/>
      <c r="BE106" s="2"/>
      <c r="BF106" s="2"/>
    </row>
    <row r="107" spans="1:58">
      <c r="A107" s="3" t="s">
        <v>33</v>
      </c>
      <c r="B107" s="18" t="s">
        <v>154</v>
      </c>
      <c r="G107" t="s">
        <v>342</v>
      </c>
      <c r="H107" t="s">
        <v>348</v>
      </c>
      <c r="I107" s="7" t="s">
        <v>285</v>
      </c>
      <c r="J107" s="19" t="s">
        <v>232</v>
      </c>
      <c r="K107" s="20" t="s">
        <v>168</v>
      </c>
      <c r="L107" t="s">
        <v>158</v>
      </c>
      <c r="M107" t="s">
        <v>158</v>
      </c>
      <c r="N107" t="s">
        <v>158</v>
      </c>
      <c r="V107" s="47"/>
      <c r="W107" s="47"/>
      <c r="Y107" s="20" t="s">
        <v>168</v>
      </c>
      <c r="AA107" s="20">
        <v>1.3</v>
      </c>
      <c r="AB107" s="20">
        <v>8.5</v>
      </c>
      <c r="AC107" s="20">
        <v>2</v>
      </c>
      <c r="AD107" s="7">
        <v>1</v>
      </c>
      <c r="AE107" t="s">
        <v>189</v>
      </c>
      <c r="AF107" s="43" t="s">
        <v>343</v>
      </c>
      <c r="AG107">
        <v>20</v>
      </c>
      <c r="AH107">
        <v>20</v>
      </c>
      <c r="AI107" t="s">
        <v>191</v>
      </c>
      <c r="AJ107" t="s">
        <v>344</v>
      </c>
      <c r="AK107" t="s">
        <v>191</v>
      </c>
      <c r="AL107" t="s">
        <v>349</v>
      </c>
      <c r="AM107" t="s">
        <v>158</v>
      </c>
      <c r="AN107">
        <v>50</v>
      </c>
      <c r="AO107">
        <v>13</v>
      </c>
      <c r="AQ107" t="s">
        <v>192</v>
      </c>
      <c r="AR107" s="48" t="s">
        <v>346</v>
      </c>
      <c r="AS107" s="48"/>
      <c r="AT107" s="31" t="s">
        <v>350</v>
      </c>
      <c r="AU107" t="s">
        <v>347</v>
      </c>
      <c r="AY107" s="2"/>
      <c r="AZ107" s="2"/>
      <c r="BA107" s="2"/>
      <c r="BC107" s="2"/>
      <c r="BD107" s="2"/>
      <c r="BE107" s="2"/>
      <c r="BF107" s="2"/>
    </row>
    <row r="108" spans="1:58" ht="15" customHeight="1">
      <c r="A108" s="3" t="s">
        <v>35</v>
      </c>
      <c r="B108" s="18" t="s">
        <v>154</v>
      </c>
      <c r="G108" t="s">
        <v>188</v>
      </c>
      <c r="J108" s="19" t="s">
        <v>232</v>
      </c>
      <c r="K108" s="20" t="s">
        <v>157</v>
      </c>
      <c r="L108" t="s">
        <v>158</v>
      </c>
      <c r="M108" t="s">
        <v>158</v>
      </c>
      <c r="N108" t="s">
        <v>158</v>
      </c>
      <c r="Y108" s="20" t="s">
        <v>157</v>
      </c>
      <c r="AA108" s="20">
        <v>4.7</v>
      </c>
      <c r="AB108" s="20">
        <v>8</v>
      </c>
      <c r="AC108" s="20">
        <v>2.9</v>
      </c>
      <c r="AD108" s="7">
        <v>1</v>
      </c>
      <c r="AE108" t="s">
        <v>159</v>
      </c>
      <c r="AF108" s="43">
        <f>132/2.9</f>
        <v>45.517241379310349</v>
      </c>
      <c r="AG108" t="s">
        <v>158</v>
      </c>
      <c r="AH108">
        <v>6.2</v>
      </c>
      <c r="AI108" t="s">
        <v>351</v>
      </c>
      <c r="AJ108" t="s">
        <v>234</v>
      </c>
      <c r="AK108" t="s">
        <v>352</v>
      </c>
      <c r="AL108">
        <v>1.4</v>
      </c>
      <c r="AM108" t="s">
        <v>158</v>
      </c>
      <c r="AN108">
        <v>120</v>
      </c>
      <c r="AO108">
        <v>24.5</v>
      </c>
      <c r="AQ108" t="s">
        <v>198</v>
      </c>
      <c r="AR108" t="s">
        <v>353</v>
      </c>
      <c r="AU108" t="s">
        <v>354</v>
      </c>
    </row>
    <row r="109" spans="1:58">
      <c r="A109" s="3" t="s">
        <v>35</v>
      </c>
      <c r="B109" s="18" t="s">
        <v>154</v>
      </c>
      <c r="G109" t="s">
        <v>188</v>
      </c>
      <c r="H109" t="s">
        <v>355</v>
      </c>
      <c r="I109" t="s">
        <v>256</v>
      </c>
      <c r="J109" s="19" t="s">
        <v>232</v>
      </c>
      <c r="K109" s="20" t="s">
        <v>168</v>
      </c>
      <c r="L109" t="s">
        <v>158</v>
      </c>
      <c r="M109" t="s">
        <v>158</v>
      </c>
      <c r="N109" t="s">
        <v>158</v>
      </c>
      <c r="Y109" s="20" t="s">
        <v>168</v>
      </c>
      <c r="AA109" s="20">
        <v>1.9</v>
      </c>
      <c r="AB109" s="20">
        <v>7.9</v>
      </c>
      <c r="AC109" s="20">
        <v>2.7</v>
      </c>
      <c r="AD109" s="7">
        <v>1</v>
      </c>
      <c r="AE109" t="s">
        <v>159</v>
      </c>
      <c r="AF109" s="43">
        <f>132/2.9</f>
        <v>45.517241379310349</v>
      </c>
      <c r="AG109" t="s">
        <v>158</v>
      </c>
      <c r="AH109">
        <v>7.2</v>
      </c>
      <c r="AI109" t="s">
        <v>356</v>
      </c>
      <c r="AJ109" t="s">
        <v>234</v>
      </c>
      <c r="AK109" t="s">
        <v>352</v>
      </c>
      <c r="AL109">
        <v>2.4</v>
      </c>
      <c r="AM109" t="s">
        <v>158</v>
      </c>
      <c r="AN109">
        <v>120</v>
      </c>
      <c r="AO109">
        <v>6.4</v>
      </c>
      <c r="AQ109" t="s">
        <v>198</v>
      </c>
      <c r="AR109" t="s">
        <v>353</v>
      </c>
      <c r="AT109" s="31" t="s">
        <v>357</v>
      </c>
      <c r="AU109" t="s">
        <v>354</v>
      </c>
    </row>
    <row r="110" spans="1:58" ht="15" customHeight="1">
      <c r="A110" s="3" t="s">
        <v>358</v>
      </c>
      <c r="B110" s="18" t="s">
        <v>154</v>
      </c>
      <c r="G110" t="s">
        <v>359</v>
      </c>
      <c r="J110" s="19" t="s">
        <v>156</v>
      </c>
      <c r="K110" s="20" t="s">
        <v>157</v>
      </c>
      <c r="L110" t="s">
        <v>158</v>
      </c>
      <c r="M110" t="s">
        <v>158</v>
      </c>
      <c r="N110" t="s">
        <v>158</v>
      </c>
      <c r="Y110" s="20" t="s">
        <v>157</v>
      </c>
      <c r="AA110" s="20">
        <v>7.1</v>
      </c>
      <c r="AB110" s="20">
        <v>6.9</v>
      </c>
      <c r="AC110" s="20">
        <v>1.9</v>
      </c>
      <c r="AD110" s="7">
        <v>1</v>
      </c>
      <c r="AE110" t="s">
        <v>159</v>
      </c>
      <c r="AF110">
        <v>30</v>
      </c>
      <c r="AG110" t="s">
        <v>158</v>
      </c>
      <c r="AH110">
        <v>13.6</v>
      </c>
      <c r="AI110" t="s">
        <v>360</v>
      </c>
      <c r="AJ110" t="s">
        <v>361</v>
      </c>
      <c r="AK110" t="s">
        <v>163</v>
      </c>
      <c r="AL110" t="s">
        <v>158</v>
      </c>
      <c r="AM110" t="s">
        <v>158</v>
      </c>
      <c r="AN110">
        <v>48</v>
      </c>
      <c r="AO110">
        <v>12</v>
      </c>
      <c r="AQ110" t="s">
        <v>362</v>
      </c>
      <c r="AR110" t="s">
        <v>332</v>
      </c>
      <c r="AU110" t="s">
        <v>363</v>
      </c>
    </row>
    <row r="111" spans="1:58">
      <c r="A111" s="3" t="s">
        <v>358</v>
      </c>
      <c r="B111" s="18" t="s">
        <v>154</v>
      </c>
      <c r="G111" t="s">
        <v>359</v>
      </c>
      <c r="H111" t="s">
        <v>364</v>
      </c>
      <c r="I111" t="s">
        <v>167</v>
      </c>
      <c r="J111" s="19" t="s">
        <v>156</v>
      </c>
      <c r="K111" s="20" t="s">
        <v>168</v>
      </c>
      <c r="L111" t="s">
        <v>158</v>
      </c>
      <c r="M111" t="s">
        <v>158</v>
      </c>
      <c r="N111" t="s">
        <v>158</v>
      </c>
      <c r="Y111" s="20" t="s">
        <v>168</v>
      </c>
      <c r="AA111" s="20">
        <v>3.5</v>
      </c>
      <c r="AB111" s="20">
        <v>7.4</v>
      </c>
      <c r="AC111" s="20">
        <v>1.8</v>
      </c>
      <c r="AD111" s="7">
        <v>1</v>
      </c>
      <c r="AE111" t="s">
        <v>159</v>
      </c>
      <c r="AF111">
        <v>30</v>
      </c>
      <c r="AG111" t="s">
        <v>158</v>
      </c>
      <c r="AH111">
        <v>14.6</v>
      </c>
      <c r="AI111" t="s">
        <v>360</v>
      </c>
      <c r="AJ111" t="s">
        <v>361</v>
      </c>
      <c r="AK111" t="s">
        <v>163</v>
      </c>
      <c r="AL111" t="s">
        <v>158</v>
      </c>
      <c r="AM111" t="s">
        <v>158</v>
      </c>
      <c r="AN111">
        <v>48</v>
      </c>
      <c r="AO111">
        <v>7</v>
      </c>
      <c r="AQ111" t="s">
        <v>362</v>
      </c>
      <c r="AR111" t="s">
        <v>332</v>
      </c>
      <c r="AT111" s="31" t="s">
        <v>365</v>
      </c>
      <c r="AU111" t="s">
        <v>363</v>
      </c>
    </row>
    <row r="112" spans="1:58" ht="15.75" customHeight="1">
      <c r="A112" s="3" t="s">
        <v>358</v>
      </c>
      <c r="B112" s="18" t="s">
        <v>154</v>
      </c>
      <c r="G112" t="s">
        <v>359</v>
      </c>
      <c r="I112" t="s">
        <v>167</v>
      </c>
      <c r="J112" s="19" t="s">
        <v>156</v>
      </c>
      <c r="K112" s="20" t="s">
        <v>157</v>
      </c>
      <c r="L112" t="s">
        <v>158</v>
      </c>
      <c r="M112" t="s">
        <v>158</v>
      </c>
      <c r="N112" t="s">
        <v>158</v>
      </c>
      <c r="Y112" s="20" t="s">
        <v>157</v>
      </c>
      <c r="AA112" s="20">
        <v>7.1</v>
      </c>
      <c r="AB112" s="20">
        <v>7</v>
      </c>
      <c r="AC112" s="20">
        <v>1.8</v>
      </c>
      <c r="AD112" s="7">
        <v>2</v>
      </c>
      <c r="AE112" t="s">
        <v>159</v>
      </c>
      <c r="AF112">
        <v>32</v>
      </c>
      <c r="AG112" t="s">
        <v>158</v>
      </c>
      <c r="AH112">
        <v>12.1</v>
      </c>
      <c r="AI112" t="s">
        <v>366</v>
      </c>
      <c r="AJ112" t="s">
        <v>361</v>
      </c>
      <c r="AK112" t="s">
        <v>163</v>
      </c>
      <c r="AL112" t="s">
        <v>158</v>
      </c>
      <c r="AM112" t="s">
        <v>158</v>
      </c>
      <c r="AN112">
        <v>48</v>
      </c>
      <c r="AO112">
        <v>20.5</v>
      </c>
      <c r="AQ112" t="s">
        <v>362</v>
      </c>
      <c r="AR112" t="s">
        <v>332</v>
      </c>
      <c r="AU112" t="s">
        <v>363</v>
      </c>
    </row>
    <row r="113" spans="1:57">
      <c r="A113" s="3" t="s">
        <v>358</v>
      </c>
      <c r="B113" s="18" t="s">
        <v>154</v>
      </c>
      <c r="G113" t="s">
        <v>359</v>
      </c>
      <c r="H113" t="s">
        <v>364</v>
      </c>
      <c r="I113" t="s">
        <v>167</v>
      </c>
      <c r="J113" s="19" t="s">
        <v>156</v>
      </c>
      <c r="K113" s="20" t="s">
        <v>168</v>
      </c>
      <c r="L113" t="s">
        <v>158</v>
      </c>
      <c r="M113" t="s">
        <v>158</v>
      </c>
      <c r="N113" t="s">
        <v>158</v>
      </c>
      <c r="Y113" s="20" t="s">
        <v>168</v>
      </c>
      <c r="AA113" s="20">
        <v>3</v>
      </c>
      <c r="AB113" s="20">
        <v>7.6</v>
      </c>
      <c r="AC113" s="20">
        <v>1.7</v>
      </c>
      <c r="AD113" s="7">
        <v>2</v>
      </c>
      <c r="AE113" t="s">
        <v>159</v>
      </c>
      <c r="AF113">
        <v>32</v>
      </c>
      <c r="AG113" t="s">
        <v>158</v>
      </c>
      <c r="AH113">
        <v>13.1</v>
      </c>
      <c r="AI113" t="s">
        <v>366</v>
      </c>
      <c r="AJ113" t="s">
        <v>361</v>
      </c>
      <c r="AK113" t="s">
        <v>163</v>
      </c>
      <c r="AL113" t="s">
        <v>158</v>
      </c>
      <c r="AM113" t="s">
        <v>158</v>
      </c>
      <c r="AN113">
        <v>48</v>
      </c>
      <c r="AO113">
        <v>15</v>
      </c>
      <c r="AQ113" t="s">
        <v>362</v>
      </c>
      <c r="AR113" t="s">
        <v>332</v>
      </c>
      <c r="AT113" s="31" t="s">
        <v>367</v>
      </c>
      <c r="AU113" t="s">
        <v>363</v>
      </c>
    </row>
    <row r="114" spans="1:57">
      <c r="A114" s="3" t="s">
        <v>40</v>
      </c>
      <c r="B114" s="18" t="s">
        <v>154</v>
      </c>
      <c r="G114" t="s">
        <v>368</v>
      </c>
      <c r="H114" s="7"/>
      <c r="I114" t="s">
        <v>269</v>
      </c>
      <c r="J114" s="19" t="s">
        <v>156</v>
      </c>
      <c r="K114" s="20" t="s">
        <v>157</v>
      </c>
      <c r="L114" t="s">
        <v>158</v>
      </c>
      <c r="M114" t="s">
        <v>158</v>
      </c>
      <c r="N114" t="s">
        <v>158</v>
      </c>
      <c r="V114" s="47"/>
      <c r="W114" s="47"/>
      <c r="Y114" s="20" t="s">
        <v>157</v>
      </c>
      <c r="AA114" s="20">
        <v>5.79</v>
      </c>
      <c r="AB114" s="20">
        <v>8.6199999999999992</v>
      </c>
      <c r="AC114" s="20">
        <v>0.75</v>
      </c>
      <c r="AD114" s="7">
        <v>1</v>
      </c>
      <c r="AE114" t="s">
        <v>159</v>
      </c>
      <c r="AF114" s="36">
        <f>130/2.1</f>
        <v>61.904761904761905</v>
      </c>
      <c r="AG114" t="s">
        <v>158</v>
      </c>
      <c r="AH114" t="s">
        <v>158</v>
      </c>
      <c r="AI114" t="s">
        <v>158</v>
      </c>
      <c r="AJ114" t="s">
        <v>369</v>
      </c>
      <c r="AK114" t="s">
        <v>158</v>
      </c>
      <c r="AL114" t="s">
        <v>158</v>
      </c>
      <c r="AM114" t="s">
        <v>158</v>
      </c>
      <c r="AN114">
        <v>72</v>
      </c>
      <c r="AO114">
        <v>39</v>
      </c>
      <c r="AQ114" t="s">
        <v>370</v>
      </c>
      <c r="AR114" s="48" t="s">
        <v>371</v>
      </c>
      <c r="AS114" s="48"/>
      <c r="AU114" t="s">
        <v>372</v>
      </c>
      <c r="AV114" s="21"/>
    </row>
    <row r="115" spans="1:57">
      <c r="A115" s="3" t="s">
        <v>40</v>
      </c>
      <c r="B115" s="18" t="s">
        <v>154</v>
      </c>
      <c r="G115" t="s">
        <v>368</v>
      </c>
      <c r="H115" s="7" t="s">
        <v>364</v>
      </c>
      <c r="I115" t="s">
        <v>269</v>
      </c>
      <c r="J115" s="19" t="s">
        <v>156</v>
      </c>
      <c r="K115" s="20" t="s">
        <v>168</v>
      </c>
      <c r="L115" t="s">
        <v>158</v>
      </c>
      <c r="M115" t="s">
        <v>158</v>
      </c>
      <c r="N115" t="s">
        <v>158</v>
      </c>
      <c r="V115" s="47"/>
      <c r="W115" s="47"/>
      <c r="Y115" s="20" t="s">
        <v>168</v>
      </c>
      <c r="AA115" s="20">
        <v>2.68</v>
      </c>
      <c r="AB115" s="20">
        <v>8.6</v>
      </c>
      <c r="AC115" s="20">
        <v>0.87</v>
      </c>
      <c r="AD115" s="7">
        <v>1</v>
      </c>
      <c r="AE115" t="s">
        <v>159</v>
      </c>
      <c r="AF115" s="36">
        <f>130/2.08</f>
        <v>62.5</v>
      </c>
      <c r="AG115" t="s">
        <v>158</v>
      </c>
      <c r="AH115" t="s">
        <v>158</v>
      </c>
      <c r="AI115" t="s">
        <v>158</v>
      </c>
      <c r="AJ115" t="s">
        <v>369</v>
      </c>
      <c r="AK115" t="s">
        <v>158</v>
      </c>
      <c r="AL115" t="s">
        <v>158</v>
      </c>
      <c r="AM115" t="s">
        <v>158</v>
      </c>
      <c r="AN115">
        <v>72</v>
      </c>
      <c r="AO115">
        <v>16</v>
      </c>
      <c r="AQ115" t="s">
        <v>370</v>
      </c>
      <c r="AR115" s="48" t="s">
        <v>371</v>
      </c>
      <c r="AS115" s="48"/>
      <c r="AT115" s="31" t="s">
        <v>373</v>
      </c>
      <c r="AU115" t="s">
        <v>372</v>
      </c>
      <c r="AV115" s="21"/>
    </row>
    <row r="116" spans="1:57">
      <c r="A116" s="3" t="s">
        <v>40</v>
      </c>
      <c r="B116" s="18" t="s">
        <v>154</v>
      </c>
      <c r="G116" t="s">
        <v>368</v>
      </c>
      <c r="H116" t="s">
        <v>374</v>
      </c>
      <c r="I116" t="s">
        <v>269</v>
      </c>
      <c r="J116" s="19" t="s">
        <v>156</v>
      </c>
      <c r="K116" s="20" t="s">
        <v>168</v>
      </c>
      <c r="L116" t="s">
        <v>158</v>
      </c>
      <c r="M116" t="s">
        <v>158</v>
      </c>
      <c r="N116" t="s">
        <v>158</v>
      </c>
      <c r="V116" s="47"/>
      <c r="W116" s="47"/>
      <c r="Y116" s="20" t="s">
        <v>168</v>
      </c>
      <c r="AA116" s="20">
        <v>2.69</v>
      </c>
      <c r="AB116" s="20">
        <v>8.57</v>
      </c>
      <c r="AC116" s="20">
        <v>0.9</v>
      </c>
      <c r="AD116" s="7">
        <v>1</v>
      </c>
      <c r="AE116" t="s">
        <v>159</v>
      </c>
      <c r="AF116" s="36">
        <f>130/1.94</f>
        <v>67.010309278350519</v>
      </c>
      <c r="AG116" t="s">
        <v>158</v>
      </c>
      <c r="AH116" t="s">
        <v>158</v>
      </c>
      <c r="AI116" t="s">
        <v>158</v>
      </c>
      <c r="AJ116" t="s">
        <v>369</v>
      </c>
      <c r="AK116" t="s">
        <v>158</v>
      </c>
      <c r="AL116" t="s">
        <v>158</v>
      </c>
      <c r="AM116" t="s">
        <v>158</v>
      </c>
      <c r="AN116">
        <v>72</v>
      </c>
      <c r="AO116">
        <v>17</v>
      </c>
      <c r="AQ116" t="s">
        <v>370</v>
      </c>
      <c r="AR116" s="48" t="s">
        <v>371</v>
      </c>
      <c r="AS116" s="48"/>
      <c r="AT116" s="31" t="s">
        <v>375</v>
      </c>
      <c r="AU116" t="s">
        <v>372</v>
      </c>
      <c r="AV116" s="21"/>
    </row>
    <row r="117" spans="1:57">
      <c r="A117" s="3" t="s">
        <v>40</v>
      </c>
      <c r="B117" s="18" t="s">
        <v>154</v>
      </c>
      <c r="G117" t="s">
        <v>368</v>
      </c>
      <c r="H117" t="s">
        <v>374</v>
      </c>
      <c r="I117" t="s">
        <v>269</v>
      </c>
      <c r="J117" s="19" t="s">
        <v>156</v>
      </c>
      <c r="K117" s="20" t="s">
        <v>168</v>
      </c>
      <c r="L117" t="s">
        <v>158</v>
      </c>
      <c r="M117" t="s">
        <v>158</v>
      </c>
      <c r="N117" t="s">
        <v>158</v>
      </c>
      <c r="V117" s="47"/>
      <c r="W117" s="47"/>
      <c r="Y117" s="20" t="s">
        <v>168</v>
      </c>
      <c r="AA117" s="20">
        <v>2.59</v>
      </c>
      <c r="AB117" s="20">
        <v>8.6199999999999992</v>
      </c>
      <c r="AC117" s="20">
        <v>0.9</v>
      </c>
      <c r="AD117" s="7">
        <v>1</v>
      </c>
      <c r="AE117" t="s">
        <v>159</v>
      </c>
      <c r="AF117" s="36">
        <f>130/2.1</f>
        <v>61.904761904761905</v>
      </c>
      <c r="AG117" t="s">
        <v>158</v>
      </c>
      <c r="AH117" t="s">
        <v>158</v>
      </c>
      <c r="AI117" t="s">
        <v>158</v>
      </c>
      <c r="AJ117" t="s">
        <v>369</v>
      </c>
      <c r="AK117" t="s">
        <v>158</v>
      </c>
      <c r="AL117" t="s">
        <v>158</v>
      </c>
      <c r="AM117" t="s">
        <v>158</v>
      </c>
      <c r="AN117">
        <v>72</v>
      </c>
      <c r="AO117">
        <v>14</v>
      </c>
      <c r="AQ117" t="s">
        <v>370</v>
      </c>
      <c r="AR117" s="48" t="s">
        <v>371</v>
      </c>
      <c r="AS117" s="48"/>
      <c r="AT117" s="31" t="s">
        <v>376</v>
      </c>
      <c r="AU117" t="s">
        <v>372</v>
      </c>
      <c r="AV117" s="21"/>
    </row>
    <row r="118" spans="1:57">
      <c r="A118" s="3" t="s">
        <v>42</v>
      </c>
      <c r="B118" s="18" t="s">
        <v>154</v>
      </c>
      <c r="C118" s="19" t="s">
        <v>71</v>
      </c>
      <c r="G118" t="s">
        <v>155</v>
      </c>
      <c r="I118" t="s">
        <v>167</v>
      </c>
      <c r="J118" s="19" t="s">
        <v>156</v>
      </c>
      <c r="K118" s="20" t="s">
        <v>157</v>
      </c>
      <c r="L118" s="15" t="s">
        <v>158</v>
      </c>
      <c r="M118" s="15" t="s">
        <v>158</v>
      </c>
      <c r="N118" t="s">
        <v>158</v>
      </c>
      <c r="Y118" s="20" t="s">
        <v>157</v>
      </c>
      <c r="AA118" s="20">
        <v>8.6999999999999993</v>
      </c>
      <c r="AB118" s="20" t="s">
        <v>158</v>
      </c>
      <c r="AC118" s="20">
        <v>1.95</v>
      </c>
      <c r="AD118" s="7">
        <v>1</v>
      </c>
      <c r="AE118" t="s">
        <v>159</v>
      </c>
      <c r="AF118">
        <v>35</v>
      </c>
      <c r="AG118">
        <v>18.399999999999999</v>
      </c>
      <c r="AH118">
        <v>17.100000000000001</v>
      </c>
      <c r="AI118" t="s">
        <v>161</v>
      </c>
      <c r="AJ118" t="s">
        <v>162</v>
      </c>
      <c r="AK118" t="s">
        <v>377</v>
      </c>
      <c r="AL118">
        <v>1.1100000000000001</v>
      </c>
      <c r="AM118">
        <v>0.21</v>
      </c>
      <c r="AN118">
        <v>90</v>
      </c>
      <c r="AO118">
        <v>39.35</v>
      </c>
      <c r="AQ118" t="s">
        <v>378</v>
      </c>
      <c r="AR118" t="s">
        <v>379</v>
      </c>
      <c r="AU118" t="s">
        <v>380</v>
      </c>
      <c r="AV118" s="22"/>
    </row>
    <row r="119" spans="1:57">
      <c r="A119" s="3" t="s">
        <v>42</v>
      </c>
      <c r="B119" s="18" t="s">
        <v>154</v>
      </c>
      <c r="C119" s="19" t="s">
        <v>71</v>
      </c>
      <c r="G119" t="s">
        <v>155</v>
      </c>
      <c r="H119" t="s">
        <v>166</v>
      </c>
      <c r="I119" t="s">
        <v>167</v>
      </c>
      <c r="J119" s="19" t="s">
        <v>156</v>
      </c>
      <c r="K119" s="20" t="s">
        <v>168</v>
      </c>
      <c r="L119" s="15" t="s">
        <v>158</v>
      </c>
      <c r="M119" s="15" t="s">
        <v>158</v>
      </c>
      <c r="N119" s="30">
        <f>(AA4-35)/(AA5-35)*100</f>
        <v>85.526315789473685</v>
      </c>
      <c r="O119" s="72"/>
      <c r="Y119" s="20" t="s">
        <v>168</v>
      </c>
      <c r="AA119" s="20">
        <v>4.4000000000000004</v>
      </c>
      <c r="AB119" s="20" t="s">
        <v>158</v>
      </c>
      <c r="AC119" s="20">
        <v>1.89</v>
      </c>
      <c r="AD119" s="7">
        <v>1</v>
      </c>
      <c r="AE119" t="s">
        <v>159</v>
      </c>
      <c r="AF119">
        <v>35</v>
      </c>
      <c r="AG119">
        <v>18.399999999999999</v>
      </c>
      <c r="AH119">
        <v>17.100000000000001</v>
      </c>
      <c r="AI119" t="s">
        <v>161</v>
      </c>
      <c r="AJ119" t="s">
        <v>162</v>
      </c>
      <c r="AK119" t="s">
        <v>377</v>
      </c>
      <c r="AL119">
        <v>1.1100000000000001</v>
      </c>
      <c r="AM119">
        <v>0.21</v>
      </c>
      <c r="AN119">
        <v>90</v>
      </c>
      <c r="AO119">
        <v>29.32</v>
      </c>
      <c r="AQ119" t="s">
        <v>378</v>
      </c>
      <c r="AR119" t="s">
        <v>379</v>
      </c>
      <c r="AT119" s="31" t="s">
        <v>381</v>
      </c>
      <c r="AU119" t="s">
        <v>380</v>
      </c>
      <c r="AV119" s="21"/>
    </row>
    <row r="120" spans="1:57">
      <c r="A120" s="3" t="s">
        <v>42</v>
      </c>
      <c r="B120" s="18" t="s">
        <v>154</v>
      </c>
      <c r="C120" s="19" t="s">
        <v>71</v>
      </c>
      <c r="G120" t="s">
        <v>155</v>
      </c>
      <c r="I120" t="s">
        <v>167</v>
      </c>
      <c r="J120" s="19" t="s">
        <v>156</v>
      </c>
      <c r="K120" s="20" t="s">
        <v>157</v>
      </c>
      <c r="L120" s="15" t="s">
        <v>158</v>
      </c>
      <c r="M120" s="15" t="s">
        <v>158</v>
      </c>
      <c r="Y120" s="20" t="s">
        <v>157</v>
      </c>
      <c r="AA120" s="20">
        <v>8.5</v>
      </c>
      <c r="AB120" s="20" t="s">
        <v>158</v>
      </c>
      <c r="AC120" s="20">
        <v>1.9</v>
      </c>
      <c r="AD120" s="7">
        <v>2</v>
      </c>
      <c r="AE120" t="s">
        <v>159</v>
      </c>
      <c r="AF120">
        <v>35</v>
      </c>
      <c r="AG120">
        <v>21</v>
      </c>
      <c r="AH120">
        <v>16.399999999999999</v>
      </c>
      <c r="AI120" t="s">
        <v>161</v>
      </c>
      <c r="AJ120" t="s">
        <v>382</v>
      </c>
      <c r="AL120">
        <v>1.39</v>
      </c>
      <c r="AM120">
        <v>0.16</v>
      </c>
      <c r="AN120">
        <v>90</v>
      </c>
      <c r="AO120">
        <v>40.799999999999997</v>
      </c>
      <c r="AQ120" t="s">
        <v>378</v>
      </c>
      <c r="AR120" t="s">
        <v>379</v>
      </c>
      <c r="AU120" t="s">
        <v>380</v>
      </c>
      <c r="AV120" s="21"/>
    </row>
    <row r="121" spans="1:57">
      <c r="A121" s="3" t="s">
        <v>42</v>
      </c>
      <c r="B121" s="18" t="s">
        <v>154</v>
      </c>
      <c r="C121" s="19" t="s">
        <v>71</v>
      </c>
      <c r="G121" t="s">
        <v>155</v>
      </c>
      <c r="H121" t="s">
        <v>166</v>
      </c>
      <c r="I121" t="s">
        <v>167</v>
      </c>
      <c r="J121" s="19" t="s">
        <v>156</v>
      </c>
      <c r="K121" s="20" t="s">
        <v>168</v>
      </c>
      <c r="L121" s="15" t="s">
        <v>158</v>
      </c>
      <c r="M121" s="15" t="s">
        <v>158</v>
      </c>
      <c r="N121" s="30">
        <f>(AA4-35)/(AA5-35)*100</f>
        <v>85.526315789473685</v>
      </c>
      <c r="O121" s="72"/>
      <c r="Y121" s="20" t="s">
        <v>168</v>
      </c>
      <c r="AA121" s="20">
        <v>4.3</v>
      </c>
      <c r="AB121" s="20" t="s">
        <v>158</v>
      </c>
      <c r="AC121" s="20">
        <v>1.92</v>
      </c>
      <c r="AD121" s="7">
        <v>2</v>
      </c>
      <c r="AE121" t="s">
        <v>159</v>
      </c>
      <c r="AF121">
        <v>35</v>
      </c>
      <c r="AG121">
        <v>21</v>
      </c>
      <c r="AH121">
        <v>16.399999999999999</v>
      </c>
      <c r="AI121" t="s">
        <v>161</v>
      </c>
      <c r="AJ121" t="s">
        <v>382</v>
      </c>
      <c r="AL121">
        <v>1.39</v>
      </c>
      <c r="AM121">
        <v>0.16</v>
      </c>
      <c r="AN121">
        <v>90</v>
      </c>
      <c r="AO121">
        <v>48.74</v>
      </c>
      <c r="AQ121" t="s">
        <v>378</v>
      </c>
      <c r="AR121" t="s">
        <v>379</v>
      </c>
      <c r="AT121" s="35" t="s">
        <v>383</v>
      </c>
      <c r="AU121" t="s">
        <v>380</v>
      </c>
      <c r="AV121" s="21"/>
    </row>
    <row r="122" spans="1:57" ht="15" customHeight="1">
      <c r="A122" s="3" t="s">
        <v>44</v>
      </c>
      <c r="B122" s="18" t="s">
        <v>154</v>
      </c>
      <c r="C122" s="19" t="s">
        <v>71</v>
      </c>
      <c r="G122" t="s">
        <v>188</v>
      </c>
      <c r="I122" t="s">
        <v>167</v>
      </c>
      <c r="J122" s="19" t="s">
        <v>156</v>
      </c>
      <c r="K122" s="20" t="s">
        <v>157</v>
      </c>
      <c r="L122" s="16" t="s">
        <v>158</v>
      </c>
      <c r="M122" s="16" t="s">
        <v>158</v>
      </c>
      <c r="N122" t="s">
        <v>158</v>
      </c>
      <c r="V122" s="47"/>
      <c r="W122" s="47"/>
      <c r="Y122" s="20" t="s">
        <v>157</v>
      </c>
      <c r="AA122" s="20">
        <v>7.5</v>
      </c>
      <c r="AB122" s="20">
        <v>6.8</v>
      </c>
      <c r="AC122" s="20">
        <v>1.75</v>
      </c>
      <c r="AD122" s="7">
        <v>1</v>
      </c>
      <c r="AE122" t="s">
        <v>189</v>
      </c>
      <c r="AF122">
        <v>60</v>
      </c>
      <c r="AG122">
        <v>22.4</v>
      </c>
      <c r="AH122">
        <v>17.8</v>
      </c>
      <c r="AI122" t="s">
        <v>161</v>
      </c>
      <c r="AJ122" t="s">
        <v>384</v>
      </c>
      <c r="AK122" t="s">
        <v>163</v>
      </c>
      <c r="AL122">
        <v>1.08</v>
      </c>
      <c r="AM122">
        <v>0.35</v>
      </c>
      <c r="AN122">
        <v>95</v>
      </c>
      <c r="AO122">
        <v>38.74</v>
      </c>
      <c r="AQ122" t="s">
        <v>385</v>
      </c>
      <c r="AR122" s="48" t="s">
        <v>386</v>
      </c>
      <c r="AS122" s="48"/>
      <c r="AU122" t="s">
        <v>387</v>
      </c>
      <c r="AV122" s="21"/>
    </row>
    <row r="123" spans="1:57">
      <c r="A123" s="3" t="s">
        <v>44</v>
      </c>
      <c r="B123" s="18" t="s">
        <v>154</v>
      </c>
      <c r="C123" s="19" t="s">
        <v>71</v>
      </c>
      <c r="G123" t="s">
        <v>188</v>
      </c>
      <c r="H123" t="s">
        <v>388</v>
      </c>
      <c r="I123" t="s">
        <v>167</v>
      </c>
      <c r="J123" s="19" t="s">
        <v>156</v>
      </c>
      <c r="K123" s="20" t="s">
        <v>168</v>
      </c>
      <c r="L123" s="16" t="s">
        <v>158</v>
      </c>
      <c r="M123" s="16" t="s">
        <v>158</v>
      </c>
      <c r="N123" t="s">
        <v>158</v>
      </c>
      <c r="V123" s="47"/>
      <c r="W123" s="47"/>
      <c r="X123" s="58"/>
      <c r="Y123" s="20" t="s">
        <v>168</v>
      </c>
      <c r="AA123" s="20">
        <v>4.4000000000000004</v>
      </c>
      <c r="AB123" s="20">
        <v>6.9</v>
      </c>
      <c r="AC123" s="20">
        <v>1.25</v>
      </c>
      <c r="AD123" s="7">
        <v>1</v>
      </c>
      <c r="AE123" t="s">
        <v>189</v>
      </c>
      <c r="AF123">
        <v>60</v>
      </c>
      <c r="AG123">
        <v>22.4</v>
      </c>
      <c r="AH123">
        <v>17.8</v>
      </c>
      <c r="AI123" t="s">
        <v>161</v>
      </c>
      <c r="AJ123" t="s">
        <v>384</v>
      </c>
      <c r="AK123" t="s">
        <v>163</v>
      </c>
      <c r="AL123">
        <v>1.08</v>
      </c>
      <c r="AM123">
        <v>0.35</v>
      </c>
      <c r="AN123">
        <v>95</v>
      </c>
      <c r="AO123">
        <v>33.28</v>
      </c>
      <c r="AQ123" t="s">
        <v>385</v>
      </c>
      <c r="AR123" s="48" t="s">
        <v>386</v>
      </c>
      <c r="AS123" s="48"/>
      <c r="AT123" s="59" t="s">
        <v>259</v>
      </c>
      <c r="AU123" t="s">
        <v>387</v>
      </c>
      <c r="AV123" s="21"/>
      <c r="AY123" s="3"/>
      <c r="AZ123" s="3"/>
      <c r="BA123" s="3"/>
      <c r="BB123" s="3"/>
      <c r="BD123" s="2"/>
      <c r="BE123" s="2"/>
    </row>
    <row r="124" spans="1:57">
      <c r="A124" s="3" t="s">
        <v>44</v>
      </c>
      <c r="B124" s="18" t="s">
        <v>154</v>
      </c>
      <c r="C124" s="19" t="s">
        <v>71</v>
      </c>
      <c r="G124" t="s">
        <v>188</v>
      </c>
      <c r="I124" t="s">
        <v>167</v>
      </c>
      <c r="J124" s="19" t="s">
        <v>156</v>
      </c>
      <c r="K124" s="20" t="s">
        <v>157</v>
      </c>
      <c r="L124" s="16" t="s">
        <v>158</v>
      </c>
      <c r="M124" s="16" t="s">
        <v>158</v>
      </c>
      <c r="N124" t="s">
        <v>158</v>
      </c>
      <c r="V124" s="47"/>
      <c r="W124" s="47"/>
      <c r="X124" s="42"/>
      <c r="Y124" s="20" t="s">
        <v>157</v>
      </c>
      <c r="AA124" s="20">
        <v>7.9</v>
      </c>
      <c r="AB124" s="20">
        <v>6.8</v>
      </c>
      <c r="AC124" s="20">
        <v>1.79</v>
      </c>
      <c r="AD124" s="7">
        <v>2</v>
      </c>
      <c r="AE124" t="s">
        <v>159</v>
      </c>
      <c r="AF124">
        <v>60</v>
      </c>
      <c r="AG124">
        <v>16.5</v>
      </c>
      <c r="AH124">
        <v>13.7</v>
      </c>
      <c r="AI124" t="s">
        <v>161</v>
      </c>
      <c r="AJ124" t="s">
        <v>384</v>
      </c>
      <c r="AK124" t="s">
        <v>163</v>
      </c>
      <c r="AL124">
        <v>1.08</v>
      </c>
      <c r="AM124">
        <v>0.19</v>
      </c>
      <c r="AN124">
        <v>95</v>
      </c>
      <c r="AO124">
        <v>31.06</v>
      </c>
      <c r="AQ124" t="s">
        <v>385</v>
      </c>
      <c r="AR124" s="48" t="s">
        <v>386</v>
      </c>
      <c r="AS124" s="48"/>
      <c r="AT124" s="52"/>
      <c r="AU124" t="s">
        <v>387</v>
      </c>
      <c r="AV124" s="14"/>
      <c r="AY124" s="3"/>
      <c r="AZ124" s="3"/>
      <c r="BA124" s="3"/>
      <c r="BB124" s="3"/>
      <c r="BD124" s="2"/>
      <c r="BE124" s="2"/>
    </row>
    <row r="125" spans="1:57">
      <c r="A125" s="3" t="s">
        <v>44</v>
      </c>
      <c r="B125" s="18" t="s">
        <v>154</v>
      </c>
      <c r="C125" s="19" t="s">
        <v>71</v>
      </c>
      <c r="G125" t="s">
        <v>188</v>
      </c>
      <c r="H125" t="s">
        <v>388</v>
      </c>
      <c r="I125" t="s">
        <v>167</v>
      </c>
      <c r="J125" s="19" t="s">
        <v>156</v>
      </c>
      <c r="K125" s="20" t="s">
        <v>168</v>
      </c>
      <c r="L125" s="16" t="s">
        <v>158</v>
      </c>
      <c r="M125" s="16" t="s">
        <v>158</v>
      </c>
      <c r="N125" t="s">
        <v>158</v>
      </c>
      <c r="V125" s="47"/>
      <c r="W125" s="47"/>
      <c r="X125" s="42"/>
      <c r="Y125" s="20" t="s">
        <v>168</v>
      </c>
      <c r="AA125" s="20">
        <v>1.8</v>
      </c>
      <c r="AB125" s="20">
        <v>7.2</v>
      </c>
      <c r="AC125" s="20">
        <v>0.77</v>
      </c>
      <c r="AD125" s="7">
        <v>2</v>
      </c>
      <c r="AE125" t="s">
        <v>159</v>
      </c>
      <c r="AF125">
        <v>60</v>
      </c>
      <c r="AG125">
        <v>16.5</v>
      </c>
      <c r="AH125">
        <v>13.7</v>
      </c>
      <c r="AI125" t="s">
        <v>161</v>
      </c>
      <c r="AJ125" t="s">
        <v>384</v>
      </c>
      <c r="AK125" t="s">
        <v>163</v>
      </c>
      <c r="AL125">
        <v>1.08</v>
      </c>
      <c r="AM125">
        <v>0.19</v>
      </c>
      <c r="AN125">
        <v>95</v>
      </c>
      <c r="AO125">
        <v>10.86</v>
      </c>
      <c r="AQ125" t="s">
        <v>385</v>
      </c>
      <c r="AR125" s="48" t="s">
        <v>386</v>
      </c>
      <c r="AS125" s="48"/>
      <c r="AT125" s="60" t="s">
        <v>389</v>
      </c>
      <c r="AU125" t="s">
        <v>387</v>
      </c>
      <c r="AV125" s="14"/>
      <c r="AY125" s="3"/>
      <c r="AZ125" s="3"/>
      <c r="BA125" s="3"/>
      <c r="BB125" s="3"/>
      <c r="BD125" s="2"/>
      <c r="BE125" s="2"/>
    </row>
    <row r="126" spans="1:57">
      <c r="A126" s="3" t="s">
        <v>44</v>
      </c>
      <c r="B126" s="18" t="s">
        <v>154</v>
      </c>
      <c r="C126" s="19" t="s">
        <v>71</v>
      </c>
      <c r="G126" t="s">
        <v>188</v>
      </c>
      <c r="I126" t="s">
        <v>167</v>
      </c>
      <c r="J126" s="19" t="s">
        <v>156</v>
      </c>
      <c r="K126" s="20" t="s">
        <v>157</v>
      </c>
      <c r="L126" s="16" t="s">
        <v>158</v>
      </c>
      <c r="M126" s="16" t="s">
        <v>158</v>
      </c>
      <c r="N126" t="s">
        <v>158</v>
      </c>
      <c r="V126" s="47"/>
      <c r="W126" s="47"/>
      <c r="X126" s="42"/>
      <c r="Y126" s="20" t="s">
        <v>157</v>
      </c>
      <c r="AA126" s="20">
        <v>7.2</v>
      </c>
      <c r="AB126" s="20">
        <v>7</v>
      </c>
      <c r="AC126" s="20">
        <v>1.81</v>
      </c>
      <c r="AD126" s="7">
        <v>3</v>
      </c>
      <c r="AE126" t="s">
        <v>189</v>
      </c>
      <c r="AF126">
        <v>60</v>
      </c>
      <c r="AG126">
        <v>20.2</v>
      </c>
      <c r="AH126">
        <v>16.3</v>
      </c>
      <c r="AI126" t="s">
        <v>161</v>
      </c>
      <c r="AJ126" t="s">
        <v>384</v>
      </c>
      <c r="AK126" t="s">
        <v>163</v>
      </c>
      <c r="AL126">
        <v>1.08</v>
      </c>
      <c r="AM126">
        <v>0.14000000000000001</v>
      </c>
      <c r="AN126">
        <v>95</v>
      </c>
      <c r="AO126">
        <v>22.99</v>
      </c>
      <c r="AQ126" t="s">
        <v>385</v>
      </c>
      <c r="AR126" s="48" t="s">
        <v>386</v>
      </c>
      <c r="AS126" s="48"/>
      <c r="AT126" s="52"/>
      <c r="AU126" t="s">
        <v>387</v>
      </c>
      <c r="AV126" s="14"/>
      <c r="AY126" s="3"/>
      <c r="AZ126" s="3"/>
      <c r="BA126" s="3"/>
      <c r="BB126" s="3"/>
      <c r="BD126" s="2"/>
      <c r="BE126" s="2"/>
    </row>
    <row r="127" spans="1:57">
      <c r="A127" s="3" t="s">
        <v>44</v>
      </c>
      <c r="B127" s="18" t="s">
        <v>154</v>
      </c>
      <c r="C127" s="19" t="s">
        <v>71</v>
      </c>
      <c r="G127" t="s">
        <v>188</v>
      </c>
      <c r="H127" t="s">
        <v>388</v>
      </c>
      <c r="I127" t="s">
        <v>167</v>
      </c>
      <c r="J127" s="19" t="s">
        <v>156</v>
      </c>
      <c r="K127" s="20" t="s">
        <v>168</v>
      </c>
      <c r="L127" s="16" t="s">
        <v>158</v>
      </c>
      <c r="M127" s="16" t="s">
        <v>158</v>
      </c>
      <c r="N127" t="s">
        <v>158</v>
      </c>
      <c r="V127" s="47"/>
      <c r="W127" s="47"/>
      <c r="X127" s="42"/>
      <c r="Y127" s="20" t="s">
        <v>168</v>
      </c>
      <c r="AA127" s="20">
        <v>1.5</v>
      </c>
      <c r="AB127" s="20">
        <v>7.2</v>
      </c>
      <c r="AC127" s="20">
        <v>0.79</v>
      </c>
      <c r="AD127" s="7">
        <v>3</v>
      </c>
      <c r="AE127" t="s">
        <v>189</v>
      </c>
      <c r="AF127">
        <v>60</v>
      </c>
      <c r="AG127">
        <v>20.2</v>
      </c>
      <c r="AH127">
        <v>16.3</v>
      </c>
      <c r="AI127" t="s">
        <v>161</v>
      </c>
      <c r="AJ127" t="s">
        <v>384</v>
      </c>
      <c r="AK127" t="s">
        <v>163</v>
      </c>
      <c r="AL127">
        <v>1.08</v>
      </c>
      <c r="AM127">
        <v>0.14000000000000001</v>
      </c>
      <c r="AN127">
        <v>95</v>
      </c>
      <c r="AO127">
        <v>8.7799999999999994</v>
      </c>
      <c r="AQ127" t="s">
        <v>385</v>
      </c>
      <c r="AR127" s="48" t="s">
        <v>386</v>
      </c>
      <c r="AS127" s="48"/>
      <c r="AT127" s="60" t="s">
        <v>390</v>
      </c>
      <c r="AU127" t="s">
        <v>387</v>
      </c>
      <c r="AV127" s="14"/>
    </row>
    <row r="128" spans="1:57">
      <c r="A128" s="3" t="s">
        <v>44</v>
      </c>
      <c r="B128" s="18" t="s">
        <v>154</v>
      </c>
      <c r="C128" s="19" t="s">
        <v>71</v>
      </c>
      <c r="G128" t="s">
        <v>188</v>
      </c>
      <c r="I128" t="s">
        <v>167</v>
      </c>
      <c r="J128" s="19" t="s">
        <v>156</v>
      </c>
      <c r="K128" s="20" t="s">
        <v>157</v>
      </c>
      <c r="L128" s="16" t="s">
        <v>158</v>
      </c>
      <c r="M128" s="16" t="s">
        <v>158</v>
      </c>
      <c r="N128" t="s">
        <v>158</v>
      </c>
      <c r="V128" s="47"/>
      <c r="W128" s="47"/>
      <c r="X128" s="42"/>
      <c r="Y128" s="20" t="s">
        <v>157</v>
      </c>
      <c r="AA128" s="20">
        <v>6.7</v>
      </c>
      <c r="AB128" s="20">
        <v>7.5</v>
      </c>
      <c r="AC128" s="20">
        <v>1.77</v>
      </c>
      <c r="AD128" s="7">
        <v>4</v>
      </c>
      <c r="AE128" t="s">
        <v>159</v>
      </c>
      <c r="AF128">
        <v>60</v>
      </c>
      <c r="AG128">
        <v>18.5</v>
      </c>
      <c r="AH128">
        <v>15.8</v>
      </c>
      <c r="AI128" t="s">
        <v>161</v>
      </c>
      <c r="AJ128" t="s">
        <v>384</v>
      </c>
      <c r="AK128" t="s">
        <v>163</v>
      </c>
      <c r="AL128">
        <v>1.08</v>
      </c>
      <c r="AM128">
        <v>0.19</v>
      </c>
      <c r="AN128">
        <v>95</v>
      </c>
      <c r="AO128">
        <v>30.47</v>
      </c>
      <c r="AQ128" t="s">
        <v>385</v>
      </c>
      <c r="AR128" s="48" t="s">
        <v>386</v>
      </c>
      <c r="AS128" s="48"/>
      <c r="AT128" s="52"/>
      <c r="AU128" t="s">
        <v>387</v>
      </c>
      <c r="AV128" s="14"/>
    </row>
    <row r="129" spans="1:48">
      <c r="A129" s="3" t="s">
        <v>44</v>
      </c>
      <c r="B129" s="18" t="s">
        <v>154</v>
      </c>
      <c r="C129" s="19" t="s">
        <v>71</v>
      </c>
      <c r="G129" t="s">
        <v>188</v>
      </c>
      <c r="H129" t="s">
        <v>388</v>
      </c>
      <c r="I129" t="s">
        <v>167</v>
      </c>
      <c r="J129" s="19" t="s">
        <v>156</v>
      </c>
      <c r="K129" s="20" t="s">
        <v>168</v>
      </c>
      <c r="L129" s="16" t="s">
        <v>158</v>
      </c>
      <c r="M129" s="16" t="s">
        <v>158</v>
      </c>
      <c r="N129" t="s">
        <v>158</v>
      </c>
      <c r="V129" s="47"/>
      <c r="W129" s="47"/>
      <c r="X129" s="42"/>
      <c r="Y129" s="20" t="s">
        <v>168</v>
      </c>
      <c r="AA129" s="20">
        <v>1.5</v>
      </c>
      <c r="AB129" s="20">
        <v>7.6</v>
      </c>
      <c r="AC129" s="20">
        <v>0.75</v>
      </c>
      <c r="AD129" s="7">
        <v>4</v>
      </c>
      <c r="AE129" t="s">
        <v>159</v>
      </c>
      <c r="AF129">
        <v>60</v>
      </c>
      <c r="AG129">
        <v>18.5</v>
      </c>
      <c r="AH129">
        <v>15.8</v>
      </c>
      <c r="AI129" t="s">
        <v>161</v>
      </c>
      <c r="AJ129" t="s">
        <v>384</v>
      </c>
      <c r="AK129" t="s">
        <v>163</v>
      </c>
      <c r="AL129">
        <v>1.08</v>
      </c>
      <c r="AM129">
        <v>0.19</v>
      </c>
      <c r="AN129">
        <v>95</v>
      </c>
      <c r="AO129">
        <v>5.34</v>
      </c>
      <c r="AQ129" t="s">
        <v>385</v>
      </c>
      <c r="AR129" s="48" t="s">
        <v>386</v>
      </c>
      <c r="AS129" s="48"/>
      <c r="AT129" s="60" t="s">
        <v>336</v>
      </c>
      <c r="AU129" t="s">
        <v>387</v>
      </c>
      <c r="AV129" s="14"/>
    </row>
    <row r="130" spans="1:48">
      <c r="A130" s="3" t="s">
        <v>44</v>
      </c>
      <c r="B130" s="18" t="s">
        <v>154</v>
      </c>
      <c r="C130" s="19" t="s">
        <v>71</v>
      </c>
      <c r="G130" t="s">
        <v>188</v>
      </c>
      <c r="I130" t="s">
        <v>167</v>
      </c>
      <c r="J130" s="19" t="s">
        <v>156</v>
      </c>
      <c r="K130" s="20" t="s">
        <v>157</v>
      </c>
      <c r="L130" s="16" t="s">
        <v>158</v>
      </c>
      <c r="M130" s="16" t="s">
        <v>158</v>
      </c>
      <c r="N130" t="s">
        <v>158</v>
      </c>
      <c r="V130" s="47"/>
      <c r="W130" s="47"/>
      <c r="X130" s="42"/>
      <c r="Y130" s="20" t="s">
        <v>157</v>
      </c>
      <c r="AA130" s="20">
        <v>7.9</v>
      </c>
      <c r="AB130" s="20">
        <v>6.8</v>
      </c>
      <c r="AC130" s="20">
        <v>1.79</v>
      </c>
      <c r="AD130" s="7">
        <v>5</v>
      </c>
      <c r="AE130" t="s">
        <v>212</v>
      </c>
      <c r="AF130">
        <v>60</v>
      </c>
      <c r="AG130">
        <v>16.5</v>
      </c>
      <c r="AH130">
        <v>13.7</v>
      </c>
      <c r="AI130" t="s">
        <v>161</v>
      </c>
      <c r="AJ130" t="s">
        <v>384</v>
      </c>
      <c r="AK130" t="s">
        <v>163</v>
      </c>
      <c r="AL130">
        <v>1.08</v>
      </c>
      <c r="AM130">
        <v>0.19</v>
      </c>
      <c r="AN130">
        <v>95</v>
      </c>
      <c r="AO130">
        <v>22.1</v>
      </c>
      <c r="AQ130" t="s">
        <v>385</v>
      </c>
      <c r="AR130" s="48" t="s">
        <v>386</v>
      </c>
      <c r="AS130" s="48"/>
      <c r="AT130" s="52"/>
      <c r="AU130" t="s">
        <v>387</v>
      </c>
      <c r="AV130" s="14"/>
    </row>
    <row r="131" spans="1:48">
      <c r="A131" s="3" t="s">
        <v>44</v>
      </c>
      <c r="B131" s="18" t="s">
        <v>154</v>
      </c>
      <c r="C131" s="19" t="s">
        <v>71</v>
      </c>
      <c r="G131" t="s">
        <v>188</v>
      </c>
      <c r="H131" t="s">
        <v>388</v>
      </c>
      <c r="I131" t="s">
        <v>167</v>
      </c>
      <c r="J131" s="19" t="s">
        <v>156</v>
      </c>
      <c r="K131" s="20" t="s">
        <v>168</v>
      </c>
      <c r="L131" s="16" t="s">
        <v>158</v>
      </c>
      <c r="M131" s="16" t="s">
        <v>158</v>
      </c>
      <c r="N131" t="s">
        <v>158</v>
      </c>
      <c r="V131" s="47"/>
      <c r="W131" s="47"/>
      <c r="X131" s="42"/>
      <c r="Y131" s="20" t="s">
        <v>168</v>
      </c>
      <c r="AA131" s="20">
        <v>1.8</v>
      </c>
      <c r="AB131" s="20">
        <v>7.2</v>
      </c>
      <c r="AC131" s="20">
        <v>0.77</v>
      </c>
      <c r="AD131" s="7">
        <v>5</v>
      </c>
      <c r="AE131" t="s">
        <v>212</v>
      </c>
      <c r="AF131">
        <v>60</v>
      </c>
      <c r="AG131">
        <v>16.5</v>
      </c>
      <c r="AH131">
        <v>13.7</v>
      </c>
      <c r="AI131" t="s">
        <v>161</v>
      </c>
      <c r="AJ131" t="s">
        <v>384</v>
      </c>
      <c r="AK131" t="s">
        <v>163</v>
      </c>
      <c r="AL131">
        <v>1.08</v>
      </c>
      <c r="AM131">
        <v>0.19</v>
      </c>
      <c r="AN131">
        <v>95</v>
      </c>
      <c r="AO131">
        <v>13.06</v>
      </c>
      <c r="AQ131" t="s">
        <v>385</v>
      </c>
      <c r="AR131" s="48" t="s">
        <v>386</v>
      </c>
      <c r="AS131" s="48"/>
      <c r="AT131" s="60" t="s">
        <v>391</v>
      </c>
      <c r="AU131" t="s">
        <v>387</v>
      </c>
      <c r="AV131" s="14"/>
    </row>
    <row r="132" spans="1:48">
      <c r="A132" s="3" t="s">
        <v>44</v>
      </c>
      <c r="B132" s="18" t="s">
        <v>154</v>
      </c>
      <c r="C132" s="19" t="s">
        <v>71</v>
      </c>
      <c r="G132" t="s">
        <v>188</v>
      </c>
      <c r="I132" t="s">
        <v>167</v>
      </c>
      <c r="J132" s="19" t="s">
        <v>156</v>
      </c>
      <c r="K132" s="20" t="s">
        <v>157</v>
      </c>
      <c r="L132" s="16" t="s">
        <v>158</v>
      </c>
      <c r="M132" s="16" t="s">
        <v>158</v>
      </c>
      <c r="N132" t="s">
        <v>158</v>
      </c>
      <c r="V132" s="47"/>
      <c r="W132" s="47"/>
      <c r="X132" s="42"/>
      <c r="Y132" s="20" t="s">
        <v>157</v>
      </c>
      <c r="AA132" s="20">
        <v>6.7</v>
      </c>
      <c r="AB132" s="20">
        <v>7.5</v>
      </c>
      <c r="AC132" s="20">
        <v>1.77</v>
      </c>
      <c r="AD132" s="7">
        <v>6</v>
      </c>
      <c r="AE132" t="s">
        <v>212</v>
      </c>
      <c r="AF132">
        <v>60</v>
      </c>
      <c r="AG132">
        <v>18.5</v>
      </c>
      <c r="AH132">
        <v>15.8</v>
      </c>
      <c r="AI132" t="s">
        <v>161</v>
      </c>
      <c r="AJ132" t="s">
        <v>384</v>
      </c>
      <c r="AK132" t="s">
        <v>163</v>
      </c>
      <c r="AL132">
        <v>1.08</v>
      </c>
      <c r="AM132">
        <v>0.19</v>
      </c>
      <c r="AN132">
        <v>95</v>
      </c>
      <c r="AO132">
        <v>11.71</v>
      </c>
      <c r="AQ132" t="s">
        <v>385</v>
      </c>
      <c r="AR132" s="48" t="s">
        <v>386</v>
      </c>
      <c r="AS132" s="48"/>
      <c r="AT132" s="52"/>
      <c r="AU132" t="s">
        <v>387</v>
      </c>
      <c r="AV132" s="14"/>
    </row>
    <row r="133" spans="1:48">
      <c r="A133" s="3" t="s">
        <v>44</v>
      </c>
      <c r="B133" s="18" t="s">
        <v>154</v>
      </c>
      <c r="C133" s="19" t="s">
        <v>71</v>
      </c>
      <c r="G133" t="s">
        <v>188</v>
      </c>
      <c r="H133" t="s">
        <v>388</v>
      </c>
      <c r="I133" t="s">
        <v>167</v>
      </c>
      <c r="J133" s="19" t="s">
        <v>156</v>
      </c>
      <c r="K133" s="20" t="s">
        <v>168</v>
      </c>
      <c r="L133" s="16" t="s">
        <v>158</v>
      </c>
      <c r="M133" s="16" t="s">
        <v>158</v>
      </c>
      <c r="N133" t="s">
        <v>158</v>
      </c>
      <c r="V133" s="47"/>
      <c r="W133" s="47"/>
      <c r="X133" s="42"/>
      <c r="Y133" s="20" t="s">
        <v>168</v>
      </c>
      <c r="AA133" s="20">
        <v>1.5</v>
      </c>
      <c r="AB133" s="20">
        <v>7.6</v>
      </c>
      <c r="AC133" s="20">
        <v>0.75</v>
      </c>
      <c r="AD133" s="7">
        <v>6</v>
      </c>
      <c r="AE133" t="s">
        <v>212</v>
      </c>
      <c r="AF133">
        <v>60</v>
      </c>
      <c r="AG133">
        <v>18.5</v>
      </c>
      <c r="AH133">
        <v>15.8</v>
      </c>
      <c r="AI133" t="s">
        <v>161</v>
      </c>
      <c r="AJ133" t="s">
        <v>384</v>
      </c>
      <c r="AK133" t="s">
        <v>163</v>
      </c>
      <c r="AL133">
        <v>1.08</v>
      </c>
      <c r="AM133">
        <v>0.19</v>
      </c>
      <c r="AN133">
        <v>95</v>
      </c>
      <c r="AO133">
        <v>6.05</v>
      </c>
      <c r="AQ133" t="s">
        <v>385</v>
      </c>
      <c r="AR133" s="48" t="s">
        <v>386</v>
      </c>
      <c r="AS133" s="48"/>
      <c r="AT133" s="60" t="s">
        <v>241</v>
      </c>
      <c r="AU133" t="s">
        <v>387</v>
      </c>
      <c r="AV133" s="14"/>
    </row>
    <row r="134" spans="1:48" ht="15" customHeight="1">
      <c r="A134" s="3" t="s">
        <v>46</v>
      </c>
      <c r="B134" s="18" t="s">
        <v>392</v>
      </c>
      <c r="C134" s="19" t="s">
        <v>71</v>
      </c>
      <c r="G134" t="s">
        <v>188</v>
      </c>
      <c r="H134" t="s">
        <v>393</v>
      </c>
      <c r="I134" t="s">
        <v>285</v>
      </c>
      <c r="J134" s="19" t="s">
        <v>156</v>
      </c>
      <c r="K134" s="18" t="s">
        <v>394</v>
      </c>
      <c r="L134" s="15" t="s">
        <v>158</v>
      </c>
      <c r="M134" s="15" t="s">
        <v>158</v>
      </c>
      <c r="N134" s="3" t="s">
        <v>158</v>
      </c>
      <c r="O134" s="18"/>
      <c r="X134" s="20"/>
      <c r="Y134" s="18" t="s">
        <v>157</v>
      </c>
      <c r="AA134" s="20">
        <v>6.9</v>
      </c>
      <c r="AB134" s="20">
        <v>7.4</v>
      </c>
      <c r="AC134" s="20">
        <v>1.7</v>
      </c>
      <c r="AD134" s="7">
        <v>1</v>
      </c>
      <c r="AE134" t="s">
        <v>189</v>
      </c>
      <c r="AF134" s="7">
        <v>30</v>
      </c>
      <c r="AG134" t="s">
        <v>395</v>
      </c>
      <c r="AH134">
        <v>15.9</v>
      </c>
      <c r="AI134" t="s">
        <v>161</v>
      </c>
      <c r="AJ134" t="s">
        <v>396</v>
      </c>
      <c r="AK134" t="s">
        <v>163</v>
      </c>
      <c r="AL134" t="s">
        <v>158</v>
      </c>
      <c r="AM134" t="s">
        <v>158</v>
      </c>
      <c r="AN134">
        <v>144</v>
      </c>
      <c r="AO134">
        <v>56.5</v>
      </c>
      <c r="AQ134" t="s">
        <v>281</v>
      </c>
      <c r="AR134" t="s">
        <v>397</v>
      </c>
      <c r="AT134" s="7"/>
      <c r="AU134" t="s">
        <v>398</v>
      </c>
    </row>
    <row r="135" spans="1:48">
      <c r="A135" s="3" t="s">
        <v>46</v>
      </c>
      <c r="B135" s="18" t="s">
        <v>392</v>
      </c>
      <c r="C135" s="19" t="s">
        <v>71</v>
      </c>
      <c r="G135" t="s">
        <v>188</v>
      </c>
      <c r="H135" t="s">
        <v>393</v>
      </c>
      <c r="I135" t="s">
        <v>285</v>
      </c>
      <c r="J135" s="19" t="s">
        <v>156</v>
      </c>
      <c r="K135" s="18" t="s">
        <v>394</v>
      </c>
      <c r="L135" s="15" t="s">
        <v>158</v>
      </c>
      <c r="M135" s="15" t="s">
        <v>158</v>
      </c>
      <c r="N135" s="3" t="s">
        <v>158</v>
      </c>
      <c r="O135" s="18"/>
      <c r="X135" s="20"/>
      <c r="Y135" s="18" t="s">
        <v>168</v>
      </c>
      <c r="AA135" s="20">
        <v>4.0999999999999996</v>
      </c>
      <c r="AB135" s="20">
        <v>7.5</v>
      </c>
      <c r="AC135" s="20">
        <v>2.2000000000000002</v>
      </c>
      <c r="AD135" s="7">
        <v>1</v>
      </c>
      <c r="AE135" t="s">
        <v>189</v>
      </c>
      <c r="AF135" s="7">
        <v>30</v>
      </c>
      <c r="AG135" t="s">
        <v>395</v>
      </c>
      <c r="AH135">
        <v>15.9</v>
      </c>
      <c r="AI135" t="s">
        <v>161</v>
      </c>
      <c r="AJ135" t="s">
        <v>396</v>
      </c>
      <c r="AK135" t="s">
        <v>163</v>
      </c>
      <c r="AL135" t="s">
        <v>158</v>
      </c>
      <c r="AM135" t="s">
        <v>158</v>
      </c>
      <c r="AN135">
        <v>144</v>
      </c>
      <c r="AO135">
        <v>42</v>
      </c>
      <c r="AQ135" t="s">
        <v>281</v>
      </c>
      <c r="AR135" t="s">
        <v>397</v>
      </c>
      <c r="AT135" s="49" t="s">
        <v>218</v>
      </c>
      <c r="AU135" t="s">
        <v>398</v>
      </c>
    </row>
    <row r="136" spans="1:48">
      <c r="A136" s="3" t="s">
        <v>46</v>
      </c>
      <c r="B136" s="18" t="s">
        <v>392</v>
      </c>
      <c r="C136" s="19" t="s">
        <v>71</v>
      </c>
      <c r="G136" t="s">
        <v>188</v>
      </c>
      <c r="H136" t="s">
        <v>393</v>
      </c>
      <c r="I136" t="s">
        <v>285</v>
      </c>
      <c r="J136" s="19" t="s">
        <v>156</v>
      </c>
      <c r="K136" s="18" t="s">
        <v>394</v>
      </c>
      <c r="L136" s="15" t="s">
        <v>158</v>
      </c>
      <c r="M136" s="15" t="s">
        <v>158</v>
      </c>
      <c r="N136" s="3" t="s">
        <v>158</v>
      </c>
      <c r="O136" s="18"/>
      <c r="X136" s="20"/>
      <c r="Y136" s="18" t="s">
        <v>168</v>
      </c>
      <c r="AA136" s="20">
        <v>3.6</v>
      </c>
      <c r="AB136" s="20">
        <v>7.8</v>
      </c>
      <c r="AC136" s="20">
        <v>2.6</v>
      </c>
      <c r="AD136" s="7">
        <v>1</v>
      </c>
      <c r="AE136" t="s">
        <v>189</v>
      </c>
      <c r="AF136" s="7">
        <v>30</v>
      </c>
      <c r="AG136" t="s">
        <v>395</v>
      </c>
      <c r="AH136">
        <v>15.9</v>
      </c>
      <c r="AI136" t="s">
        <v>161</v>
      </c>
      <c r="AJ136" t="s">
        <v>396</v>
      </c>
      <c r="AK136" t="s">
        <v>163</v>
      </c>
      <c r="AL136" t="s">
        <v>158</v>
      </c>
      <c r="AM136" t="s">
        <v>158</v>
      </c>
      <c r="AN136">
        <v>144</v>
      </c>
      <c r="AO136">
        <v>29.6</v>
      </c>
      <c r="AQ136" t="s">
        <v>281</v>
      </c>
      <c r="AR136" t="s">
        <v>397</v>
      </c>
      <c r="AT136" s="49" t="s">
        <v>241</v>
      </c>
      <c r="AU136" t="s">
        <v>398</v>
      </c>
    </row>
    <row r="137" spans="1:48">
      <c r="A137" s="3" t="s">
        <v>46</v>
      </c>
      <c r="B137" s="18" t="s">
        <v>392</v>
      </c>
      <c r="C137" s="19" t="s">
        <v>71</v>
      </c>
      <c r="G137" t="s">
        <v>188</v>
      </c>
      <c r="H137" t="s">
        <v>393</v>
      </c>
      <c r="I137" t="s">
        <v>285</v>
      </c>
      <c r="J137" s="19" t="s">
        <v>156</v>
      </c>
      <c r="K137" s="18" t="s">
        <v>394</v>
      </c>
      <c r="L137" s="15" t="s">
        <v>158</v>
      </c>
      <c r="M137" s="15" t="s">
        <v>158</v>
      </c>
      <c r="N137" s="3" t="s">
        <v>158</v>
      </c>
      <c r="O137" s="18"/>
      <c r="X137" s="20"/>
      <c r="Y137" s="18" t="s">
        <v>157</v>
      </c>
      <c r="AA137" s="20">
        <v>8.1999999999999993</v>
      </c>
      <c r="AB137" s="20">
        <v>7.6</v>
      </c>
      <c r="AC137" s="20">
        <v>2.8</v>
      </c>
      <c r="AD137" s="7">
        <v>2</v>
      </c>
      <c r="AE137" t="s">
        <v>189</v>
      </c>
      <c r="AF137" s="7">
        <v>30</v>
      </c>
      <c r="AG137" t="s">
        <v>399</v>
      </c>
      <c r="AH137">
        <v>10.5</v>
      </c>
      <c r="AI137" t="s">
        <v>161</v>
      </c>
      <c r="AJ137" t="s">
        <v>396</v>
      </c>
      <c r="AK137" t="s">
        <v>163</v>
      </c>
      <c r="AL137" t="s">
        <v>158</v>
      </c>
      <c r="AM137" t="s">
        <v>158</v>
      </c>
      <c r="AN137">
        <v>144</v>
      </c>
      <c r="AO137">
        <v>38</v>
      </c>
      <c r="AQ137" t="s">
        <v>281</v>
      </c>
      <c r="AR137" t="s">
        <v>397</v>
      </c>
      <c r="AT137" s="7"/>
      <c r="AU137" t="s">
        <v>398</v>
      </c>
    </row>
    <row r="138" spans="1:48">
      <c r="A138" s="3" t="s">
        <v>46</v>
      </c>
      <c r="B138" s="18" t="s">
        <v>392</v>
      </c>
      <c r="C138" s="19" t="s">
        <v>71</v>
      </c>
      <c r="G138" t="s">
        <v>188</v>
      </c>
      <c r="H138" t="s">
        <v>393</v>
      </c>
      <c r="I138" t="s">
        <v>285</v>
      </c>
      <c r="J138" s="19" t="s">
        <v>156</v>
      </c>
      <c r="K138" s="18" t="s">
        <v>394</v>
      </c>
      <c r="L138" s="15" t="s">
        <v>158</v>
      </c>
      <c r="M138" s="15" t="s">
        <v>158</v>
      </c>
      <c r="N138" s="3" t="s">
        <v>158</v>
      </c>
      <c r="O138" s="18"/>
      <c r="X138" s="20"/>
      <c r="Y138" s="18" t="s">
        <v>168</v>
      </c>
      <c r="AA138" s="20">
        <v>2.8</v>
      </c>
      <c r="AB138" s="20">
        <v>7.7</v>
      </c>
      <c r="AC138" s="20">
        <v>2.7</v>
      </c>
      <c r="AD138" s="7">
        <v>2</v>
      </c>
      <c r="AE138" t="s">
        <v>189</v>
      </c>
      <c r="AF138" s="7">
        <v>30</v>
      </c>
      <c r="AG138" t="s">
        <v>399</v>
      </c>
      <c r="AH138">
        <v>10.5</v>
      </c>
      <c r="AI138" t="s">
        <v>161</v>
      </c>
      <c r="AJ138" t="s">
        <v>396</v>
      </c>
      <c r="AK138" t="s">
        <v>163</v>
      </c>
      <c r="AL138" t="s">
        <v>158</v>
      </c>
      <c r="AM138" t="s">
        <v>158</v>
      </c>
      <c r="AN138">
        <v>144</v>
      </c>
      <c r="AO138">
        <v>25.1</v>
      </c>
      <c r="AQ138" t="s">
        <v>281</v>
      </c>
      <c r="AR138" t="s">
        <v>397</v>
      </c>
      <c r="AT138" s="49" t="s">
        <v>262</v>
      </c>
      <c r="AU138" t="s">
        <v>398</v>
      </c>
    </row>
    <row r="139" spans="1:48">
      <c r="A139" s="3" t="s">
        <v>46</v>
      </c>
      <c r="B139" s="18" t="s">
        <v>392</v>
      </c>
      <c r="C139" s="19" t="s">
        <v>71</v>
      </c>
      <c r="G139" t="s">
        <v>188</v>
      </c>
      <c r="H139" t="s">
        <v>393</v>
      </c>
      <c r="I139" t="s">
        <v>285</v>
      </c>
      <c r="J139" s="19" t="s">
        <v>156</v>
      </c>
      <c r="K139" s="18" t="s">
        <v>394</v>
      </c>
      <c r="L139" s="15" t="s">
        <v>158</v>
      </c>
      <c r="M139" s="15" t="s">
        <v>158</v>
      </c>
      <c r="N139" s="3" t="s">
        <v>158</v>
      </c>
      <c r="O139" s="18"/>
      <c r="X139" s="20"/>
      <c r="Y139" s="18" t="s">
        <v>157</v>
      </c>
      <c r="AA139" s="20">
        <v>8.1999999999999993</v>
      </c>
      <c r="AB139" s="20">
        <v>7.6</v>
      </c>
      <c r="AC139" s="20">
        <v>2.8</v>
      </c>
      <c r="AD139" s="7">
        <v>3</v>
      </c>
      <c r="AE139" t="s">
        <v>189</v>
      </c>
      <c r="AF139" s="7">
        <v>30</v>
      </c>
      <c r="AG139" t="s">
        <v>400</v>
      </c>
      <c r="AH139">
        <v>7.9</v>
      </c>
      <c r="AI139" t="s">
        <v>161</v>
      </c>
      <c r="AJ139" t="s">
        <v>396</v>
      </c>
      <c r="AK139" t="s">
        <v>163</v>
      </c>
      <c r="AL139" t="s">
        <v>158</v>
      </c>
      <c r="AM139" t="s">
        <v>158</v>
      </c>
      <c r="AN139">
        <v>144</v>
      </c>
      <c r="AO139">
        <v>64.2</v>
      </c>
      <c r="AQ139" t="s">
        <v>281</v>
      </c>
      <c r="AR139" t="s">
        <v>397</v>
      </c>
      <c r="AT139" s="7"/>
      <c r="AU139" t="s">
        <v>398</v>
      </c>
    </row>
    <row r="140" spans="1:48">
      <c r="A140" s="3" t="s">
        <v>46</v>
      </c>
      <c r="B140" s="18" t="s">
        <v>392</v>
      </c>
      <c r="C140" s="19" t="s">
        <v>71</v>
      </c>
      <c r="G140" t="s">
        <v>188</v>
      </c>
      <c r="H140" t="s">
        <v>393</v>
      </c>
      <c r="I140" t="s">
        <v>285</v>
      </c>
      <c r="J140" s="19" t="s">
        <v>156</v>
      </c>
      <c r="K140" s="18" t="s">
        <v>394</v>
      </c>
      <c r="L140" s="15" t="s">
        <v>158</v>
      </c>
      <c r="M140" s="15" t="s">
        <v>158</v>
      </c>
      <c r="N140" s="3" t="s">
        <v>158</v>
      </c>
      <c r="O140" s="18"/>
      <c r="X140" s="20"/>
      <c r="Y140" s="18" t="s">
        <v>168</v>
      </c>
      <c r="AA140" s="20">
        <v>2.8</v>
      </c>
      <c r="AB140" s="20">
        <v>7.7</v>
      </c>
      <c r="AC140" s="20">
        <v>2.7</v>
      </c>
      <c r="AD140" s="7">
        <v>3</v>
      </c>
      <c r="AE140" t="s">
        <v>189</v>
      </c>
      <c r="AF140" s="7">
        <v>30</v>
      </c>
      <c r="AG140" t="s">
        <v>400</v>
      </c>
      <c r="AH140">
        <v>7.9</v>
      </c>
      <c r="AI140" t="s">
        <v>161</v>
      </c>
      <c r="AJ140" t="s">
        <v>396</v>
      </c>
      <c r="AK140" t="s">
        <v>163</v>
      </c>
      <c r="AL140" t="s">
        <v>158</v>
      </c>
      <c r="AM140" t="s">
        <v>158</v>
      </c>
      <c r="AN140">
        <v>144</v>
      </c>
      <c r="AO140">
        <v>39.9</v>
      </c>
      <c r="AQ140" t="s">
        <v>281</v>
      </c>
      <c r="AR140" t="s">
        <v>397</v>
      </c>
      <c r="AT140" s="49" t="s">
        <v>261</v>
      </c>
      <c r="AU140" t="s">
        <v>398</v>
      </c>
    </row>
    <row r="141" spans="1:48">
      <c r="A141" s="3" t="s">
        <v>46</v>
      </c>
      <c r="B141" s="18" t="s">
        <v>392</v>
      </c>
      <c r="C141" s="19" t="s">
        <v>71</v>
      </c>
      <c r="G141" t="s">
        <v>188</v>
      </c>
      <c r="H141" t="s">
        <v>393</v>
      </c>
      <c r="I141" t="s">
        <v>285</v>
      </c>
      <c r="J141" s="19" t="s">
        <v>156</v>
      </c>
      <c r="K141" s="18" t="s">
        <v>394</v>
      </c>
      <c r="L141" s="15" t="s">
        <v>158</v>
      </c>
      <c r="M141" s="15" t="s">
        <v>158</v>
      </c>
      <c r="N141" s="3" t="s">
        <v>158</v>
      </c>
      <c r="O141" s="18"/>
      <c r="X141" s="20"/>
      <c r="Y141" s="18" t="s">
        <v>157</v>
      </c>
      <c r="AA141" s="20">
        <v>10</v>
      </c>
      <c r="AB141" s="20">
        <v>7.6</v>
      </c>
      <c r="AC141" s="20">
        <v>2.9</v>
      </c>
      <c r="AD141" s="7">
        <v>4</v>
      </c>
      <c r="AE141" t="s">
        <v>189</v>
      </c>
      <c r="AF141" s="7">
        <v>30</v>
      </c>
      <c r="AG141" t="s">
        <v>401</v>
      </c>
      <c r="AH141">
        <v>1.5</v>
      </c>
      <c r="AI141" t="s">
        <v>161</v>
      </c>
      <c r="AJ141" t="s">
        <v>396</v>
      </c>
      <c r="AK141" t="s">
        <v>163</v>
      </c>
      <c r="AL141" t="s">
        <v>158</v>
      </c>
      <c r="AM141" t="s">
        <v>158</v>
      </c>
      <c r="AN141">
        <v>144</v>
      </c>
      <c r="AO141">
        <v>86.8</v>
      </c>
      <c r="AQ141" t="s">
        <v>281</v>
      </c>
      <c r="AR141" t="s">
        <v>397</v>
      </c>
      <c r="AT141" s="7"/>
      <c r="AU141" t="s">
        <v>398</v>
      </c>
    </row>
    <row r="142" spans="1:48">
      <c r="A142" s="3" t="s">
        <v>46</v>
      </c>
      <c r="B142" s="18" t="s">
        <v>392</v>
      </c>
      <c r="C142" s="19" t="s">
        <v>71</v>
      </c>
      <c r="G142" t="s">
        <v>188</v>
      </c>
      <c r="H142" t="s">
        <v>393</v>
      </c>
      <c r="I142" t="s">
        <v>285</v>
      </c>
      <c r="J142" s="19" t="s">
        <v>156</v>
      </c>
      <c r="K142" s="18" t="s">
        <v>394</v>
      </c>
      <c r="L142" s="15" t="s">
        <v>158</v>
      </c>
      <c r="M142" s="15" t="s">
        <v>158</v>
      </c>
      <c r="N142" s="3" t="s">
        <v>158</v>
      </c>
      <c r="O142" s="18"/>
      <c r="X142" s="20"/>
      <c r="Y142" s="18" t="s">
        <v>168</v>
      </c>
      <c r="AA142" s="20">
        <v>6</v>
      </c>
      <c r="AB142" s="20">
        <v>7.7</v>
      </c>
      <c r="AC142" s="20">
        <v>2.9</v>
      </c>
      <c r="AD142" s="7">
        <v>4</v>
      </c>
      <c r="AE142" t="s">
        <v>189</v>
      </c>
      <c r="AF142" s="7">
        <v>30</v>
      </c>
      <c r="AG142" t="s">
        <v>401</v>
      </c>
      <c r="AH142">
        <v>1.5</v>
      </c>
      <c r="AI142" t="s">
        <v>161</v>
      </c>
      <c r="AJ142" t="s">
        <v>396</v>
      </c>
      <c r="AK142" t="s">
        <v>163</v>
      </c>
      <c r="AL142" t="s">
        <v>158</v>
      </c>
      <c r="AM142" t="s">
        <v>158</v>
      </c>
      <c r="AN142">
        <v>144</v>
      </c>
      <c r="AO142">
        <v>44</v>
      </c>
      <c r="AQ142" t="s">
        <v>281</v>
      </c>
      <c r="AR142" t="s">
        <v>397</v>
      </c>
      <c r="AT142" s="49" t="s">
        <v>402</v>
      </c>
      <c r="AU142" t="s">
        <v>398</v>
      </c>
    </row>
    <row r="143" spans="1:48">
      <c r="A143" s="3" t="s">
        <v>46</v>
      </c>
      <c r="B143" s="18" t="s">
        <v>392</v>
      </c>
      <c r="C143" s="19" t="s">
        <v>71</v>
      </c>
      <c r="G143" t="s">
        <v>188</v>
      </c>
      <c r="H143" t="s">
        <v>393</v>
      </c>
      <c r="I143" t="s">
        <v>285</v>
      </c>
      <c r="J143" s="19" t="s">
        <v>156</v>
      </c>
      <c r="K143" s="18" t="s">
        <v>394</v>
      </c>
      <c r="L143" s="15" t="s">
        <v>158</v>
      </c>
      <c r="M143" s="15" t="s">
        <v>158</v>
      </c>
      <c r="N143" s="3" t="s">
        <v>158</v>
      </c>
      <c r="O143" s="18"/>
      <c r="X143" s="20"/>
      <c r="Y143" s="18" t="s">
        <v>168</v>
      </c>
      <c r="AA143" s="20">
        <v>5.2</v>
      </c>
      <c r="AB143" s="20">
        <v>7.7</v>
      </c>
      <c r="AC143" s="20">
        <v>3</v>
      </c>
      <c r="AD143" s="7">
        <v>4</v>
      </c>
      <c r="AE143" t="s">
        <v>189</v>
      </c>
      <c r="AF143" s="7">
        <v>30</v>
      </c>
      <c r="AG143" t="s">
        <v>401</v>
      </c>
      <c r="AH143">
        <v>1.5</v>
      </c>
      <c r="AI143" t="s">
        <v>161</v>
      </c>
      <c r="AJ143" t="s">
        <v>396</v>
      </c>
      <c r="AK143" t="s">
        <v>163</v>
      </c>
      <c r="AL143" t="s">
        <v>158</v>
      </c>
      <c r="AM143" t="s">
        <v>158</v>
      </c>
      <c r="AN143">
        <v>144</v>
      </c>
      <c r="AO143">
        <v>38.4</v>
      </c>
      <c r="AQ143" t="s">
        <v>281</v>
      </c>
      <c r="AR143" t="s">
        <v>397</v>
      </c>
      <c r="AT143" s="49" t="s">
        <v>375</v>
      </c>
      <c r="AU143" t="s">
        <v>398</v>
      </c>
    </row>
    <row r="144" spans="1:48">
      <c r="A144" s="3" t="s">
        <v>46</v>
      </c>
      <c r="B144" s="18" t="s">
        <v>392</v>
      </c>
      <c r="C144" s="19" t="s">
        <v>71</v>
      </c>
      <c r="G144" t="s">
        <v>188</v>
      </c>
      <c r="H144" t="s">
        <v>393</v>
      </c>
      <c r="I144" t="s">
        <v>285</v>
      </c>
      <c r="J144" s="19" t="s">
        <v>156</v>
      </c>
      <c r="K144" s="18" t="s">
        <v>394</v>
      </c>
      <c r="L144" s="15" t="s">
        <v>158</v>
      </c>
      <c r="M144" s="15" t="s">
        <v>158</v>
      </c>
      <c r="N144" s="3" t="s">
        <v>158</v>
      </c>
      <c r="O144" s="18"/>
      <c r="X144" s="20"/>
      <c r="Y144" s="18" t="s">
        <v>157</v>
      </c>
      <c r="AA144" s="20">
        <v>10</v>
      </c>
      <c r="AB144" s="20">
        <v>7.6</v>
      </c>
      <c r="AC144" s="20">
        <v>2.9</v>
      </c>
      <c r="AD144" s="7">
        <v>5</v>
      </c>
      <c r="AE144" t="s">
        <v>189</v>
      </c>
      <c r="AF144" s="7">
        <v>30</v>
      </c>
      <c r="AG144" t="s">
        <v>403</v>
      </c>
      <c r="AH144">
        <v>0.5</v>
      </c>
      <c r="AI144" t="s">
        <v>161</v>
      </c>
      <c r="AJ144" t="s">
        <v>396</v>
      </c>
      <c r="AK144" t="s">
        <v>163</v>
      </c>
      <c r="AL144" t="s">
        <v>158</v>
      </c>
      <c r="AM144" t="s">
        <v>158</v>
      </c>
      <c r="AN144">
        <v>144</v>
      </c>
      <c r="AO144">
        <v>71.099999999999994</v>
      </c>
      <c r="AQ144" t="s">
        <v>281</v>
      </c>
      <c r="AR144" t="s">
        <v>397</v>
      </c>
      <c r="AT144" s="7"/>
      <c r="AU144" t="s">
        <v>398</v>
      </c>
    </row>
    <row r="145" spans="1:48">
      <c r="A145" s="3" t="s">
        <v>46</v>
      </c>
      <c r="B145" s="18" t="s">
        <v>392</v>
      </c>
      <c r="C145" s="19" t="s">
        <v>71</v>
      </c>
      <c r="G145" t="s">
        <v>188</v>
      </c>
      <c r="H145" t="s">
        <v>393</v>
      </c>
      <c r="I145" t="s">
        <v>285</v>
      </c>
      <c r="J145" s="19" t="s">
        <v>156</v>
      </c>
      <c r="K145" s="18" t="s">
        <v>394</v>
      </c>
      <c r="L145" s="15" t="s">
        <v>158</v>
      </c>
      <c r="M145" s="15" t="s">
        <v>158</v>
      </c>
      <c r="N145" s="3" t="s">
        <v>158</v>
      </c>
      <c r="O145" s="18"/>
      <c r="X145" s="20"/>
      <c r="Y145" s="18" t="s">
        <v>168</v>
      </c>
      <c r="AA145" s="20">
        <v>6</v>
      </c>
      <c r="AB145" s="20">
        <v>7.7</v>
      </c>
      <c r="AC145" s="20">
        <v>2.9</v>
      </c>
      <c r="AD145" s="7">
        <v>5</v>
      </c>
      <c r="AE145" t="s">
        <v>189</v>
      </c>
      <c r="AF145" s="7">
        <v>30</v>
      </c>
      <c r="AG145" t="s">
        <v>403</v>
      </c>
      <c r="AH145">
        <v>0.5</v>
      </c>
      <c r="AI145" t="s">
        <v>161</v>
      </c>
      <c r="AJ145" t="s">
        <v>396</v>
      </c>
      <c r="AK145" t="s">
        <v>163</v>
      </c>
      <c r="AL145" t="s">
        <v>158</v>
      </c>
      <c r="AM145" t="s">
        <v>158</v>
      </c>
      <c r="AN145">
        <v>144</v>
      </c>
      <c r="AO145">
        <v>45.5</v>
      </c>
      <c r="AQ145" t="s">
        <v>281</v>
      </c>
      <c r="AR145" t="s">
        <v>397</v>
      </c>
      <c r="AT145" s="49" t="s">
        <v>276</v>
      </c>
      <c r="AU145" t="s">
        <v>398</v>
      </c>
    </row>
    <row r="146" spans="1:48">
      <c r="A146" s="3" t="s">
        <v>46</v>
      </c>
      <c r="B146" s="18" t="s">
        <v>392</v>
      </c>
      <c r="C146" s="19" t="s">
        <v>71</v>
      </c>
      <c r="G146" t="s">
        <v>188</v>
      </c>
      <c r="H146" t="s">
        <v>393</v>
      </c>
      <c r="I146" t="s">
        <v>285</v>
      </c>
      <c r="J146" s="19" t="s">
        <v>156</v>
      </c>
      <c r="K146" s="18" t="s">
        <v>394</v>
      </c>
      <c r="L146" s="15" t="s">
        <v>158</v>
      </c>
      <c r="M146" s="15" t="s">
        <v>158</v>
      </c>
      <c r="N146" s="3" t="s">
        <v>158</v>
      </c>
      <c r="O146" s="18"/>
      <c r="X146" s="20"/>
      <c r="Y146" s="18" t="s">
        <v>168</v>
      </c>
      <c r="AA146" s="20">
        <v>5.2</v>
      </c>
      <c r="AB146" s="20">
        <v>7.7</v>
      </c>
      <c r="AC146" s="20">
        <v>3</v>
      </c>
      <c r="AD146" s="7">
        <v>5</v>
      </c>
      <c r="AE146" t="s">
        <v>189</v>
      </c>
      <c r="AF146" s="7">
        <v>30</v>
      </c>
      <c r="AG146" t="s">
        <v>403</v>
      </c>
      <c r="AH146">
        <v>0.5</v>
      </c>
      <c r="AI146" t="s">
        <v>161</v>
      </c>
      <c r="AJ146" t="s">
        <v>396</v>
      </c>
      <c r="AK146" t="s">
        <v>163</v>
      </c>
      <c r="AL146" t="s">
        <v>158</v>
      </c>
      <c r="AM146" t="s">
        <v>158</v>
      </c>
      <c r="AN146">
        <v>144</v>
      </c>
      <c r="AO146">
        <v>40.700000000000003</v>
      </c>
      <c r="AQ146" t="s">
        <v>281</v>
      </c>
      <c r="AR146" t="s">
        <v>397</v>
      </c>
      <c r="AT146" s="49" t="s">
        <v>404</v>
      </c>
      <c r="AU146" t="s">
        <v>398</v>
      </c>
    </row>
    <row r="147" spans="1:48" ht="15" customHeight="1">
      <c r="A147" s="3" t="s">
        <v>48</v>
      </c>
      <c r="B147" s="18" t="s">
        <v>154</v>
      </c>
      <c r="G147" t="s">
        <v>279</v>
      </c>
      <c r="I147" t="s">
        <v>285</v>
      </c>
      <c r="J147" s="19" t="s">
        <v>337</v>
      </c>
      <c r="K147" s="50" t="s">
        <v>157</v>
      </c>
      <c r="L147" s="15" t="s">
        <v>158</v>
      </c>
      <c r="M147" s="15" t="s">
        <v>158</v>
      </c>
      <c r="N147" s="3" t="s">
        <v>158</v>
      </c>
      <c r="O147" s="18"/>
      <c r="X147" s="20"/>
      <c r="Y147" s="50" t="s">
        <v>157</v>
      </c>
      <c r="AA147" s="20">
        <v>3.4</v>
      </c>
      <c r="AB147" s="20">
        <v>8.1</v>
      </c>
      <c r="AC147" s="20">
        <v>4.0999999999999996</v>
      </c>
      <c r="AD147" s="7">
        <v>1</v>
      </c>
      <c r="AE147" t="s">
        <v>189</v>
      </c>
      <c r="AF147">
        <v>30</v>
      </c>
      <c r="AG147" t="s">
        <v>158</v>
      </c>
      <c r="AH147">
        <v>14.5</v>
      </c>
      <c r="AI147" t="s">
        <v>161</v>
      </c>
      <c r="AJ147" t="s">
        <v>405</v>
      </c>
      <c r="AK147" t="s">
        <v>191</v>
      </c>
      <c r="AL147">
        <v>1.45</v>
      </c>
      <c r="AM147" t="s">
        <v>406</v>
      </c>
      <c r="AN147">
        <v>96</v>
      </c>
      <c r="AO147">
        <v>15</v>
      </c>
      <c r="AQ147" t="s">
        <v>407</v>
      </c>
      <c r="AR147" t="s">
        <v>408</v>
      </c>
      <c r="AT147" s="7"/>
      <c r="AU147" s="77"/>
    </row>
    <row r="148" spans="1:48">
      <c r="A148" s="3" t="s">
        <v>48</v>
      </c>
      <c r="B148" s="18" t="s">
        <v>154</v>
      </c>
      <c r="G148" t="s">
        <v>279</v>
      </c>
      <c r="H148" t="s">
        <v>409</v>
      </c>
      <c r="I148" t="s">
        <v>285</v>
      </c>
      <c r="J148" s="19" t="s">
        <v>337</v>
      </c>
      <c r="K148" s="50" t="s">
        <v>168</v>
      </c>
      <c r="L148" s="15" t="s">
        <v>158</v>
      </c>
      <c r="M148" s="15" t="s">
        <v>158</v>
      </c>
      <c r="N148" s="3" t="s">
        <v>158</v>
      </c>
      <c r="O148" s="18"/>
      <c r="X148" s="20"/>
      <c r="Y148" s="50" t="s">
        <v>168</v>
      </c>
      <c r="AA148" s="20">
        <v>2.2999999999999998</v>
      </c>
      <c r="AB148" s="20">
        <v>8.1999999999999993</v>
      </c>
      <c r="AC148" s="20">
        <v>4</v>
      </c>
      <c r="AD148" s="7">
        <v>1</v>
      </c>
      <c r="AE148" t="s">
        <v>189</v>
      </c>
      <c r="AF148">
        <v>30</v>
      </c>
      <c r="AG148" t="s">
        <v>158</v>
      </c>
      <c r="AH148">
        <v>14.5</v>
      </c>
      <c r="AI148" t="s">
        <v>161</v>
      </c>
      <c r="AJ148" t="s">
        <v>405</v>
      </c>
      <c r="AK148" t="s">
        <v>191</v>
      </c>
      <c r="AL148">
        <v>1.45</v>
      </c>
      <c r="AM148" t="s">
        <v>406</v>
      </c>
      <c r="AN148">
        <v>96</v>
      </c>
      <c r="AO148">
        <v>12</v>
      </c>
      <c r="AQ148" t="s">
        <v>410</v>
      </c>
      <c r="AR148" t="s">
        <v>408</v>
      </c>
      <c r="AT148" s="49" t="s">
        <v>411</v>
      </c>
      <c r="AU148" s="77"/>
    </row>
    <row r="149" spans="1:48">
      <c r="A149" s="3" t="s">
        <v>48</v>
      </c>
      <c r="B149" s="18" t="s">
        <v>154</v>
      </c>
      <c r="G149" t="s">
        <v>279</v>
      </c>
      <c r="I149" t="s">
        <v>285</v>
      </c>
      <c r="J149" s="19" t="s">
        <v>337</v>
      </c>
      <c r="K149" s="50" t="s">
        <v>157</v>
      </c>
      <c r="L149" s="15" t="s">
        <v>158</v>
      </c>
      <c r="M149" s="15" t="s">
        <v>158</v>
      </c>
      <c r="N149" s="3" t="s">
        <v>158</v>
      </c>
      <c r="O149" s="18"/>
      <c r="X149" s="20"/>
      <c r="Y149" s="50" t="s">
        <v>157</v>
      </c>
      <c r="AA149" s="20">
        <v>3.4</v>
      </c>
      <c r="AB149" s="20">
        <v>8.1</v>
      </c>
      <c r="AC149" s="20">
        <v>4.0999999999999996</v>
      </c>
      <c r="AD149" s="7">
        <v>2</v>
      </c>
      <c r="AE149" t="s">
        <v>189</v>
      </c>
      <c r="AF149">
        <v>30</v>
      </c>
      <c r="AG149" t="s">
        <v>158</v>
      </c>
      <c r="AH149">
        <v>14.5</v>
      </c>
      <c r="AI149" t="s">
        <v>161</v>
      </c>
      <c r="AJ149" t="s">
        <v>412</v>
      </c>
      <c r="AK149" t="s">
        <v>191</v>
      </c>
      <c r="AL149">
        <v>1.45</v>
      </c>
      <c r="AM149" t="s">
        <v>406</v>
      </c>
      <c r="AN149">
        <v>96</v>
      </c>
      <c r="AO149">
        <v>9</v>
      </c>
      <c r="AQ149" t="s">
        <v>413</v>
      </c>
      <c r="AR149" t="s">
        <v>408</v>
      </c>
      <c r="AT149" s="7"/>
      <c r="AU149" s="77"/>
    </row>
    <row r="150" spans="1:48">
      <c r="A150" s="3" t="s">
        <v>48</v>
      </c>
      <c r="B150" s="18" t="s">
        <v>154</v>
      </c>
      <c r="G150" t="s">
        <v>279</v>
      </c>
      <c r="H150" t="s">
        <v>409</v>
      </c>
      <c r="I150" t="s">
        <v>285</v>
      </c>
      <c r="J150" s="19" t="s">
        <v>337</v>
      </c>
      <c r="K150" s="50" t="s">
        <v>168</v>
      </c>
      <c r="L150" s="15" t="s">
        <v>158</v>
      </c>
      <c r="M150" s="15" t="s">
        <v>158</v>
      </c>
      <c r="N150" s="3" t="s">
        <v>158</v>
      </c>
      <c r="O150" s="18"/>
      <c r="X150" s="20"/>
      <c r="Y150" s="50" t="s">
        <v>168</v>
      </c>
      <c r="AA150" s="20">
        <v>2.2999999999999998</v>
      </c>
      <c r="AB150" s="20">
        <v>8.1999999999999993</v>
      </c>
      <c r="AC150" s="20">
        <v>4</v>
      </c>
      <c r="AD150" s="7">
        <v>2</v>
      </c>
      <c r="AE150" t="s">
        <v>189</v>
      </c>
      <c r="AF150">
        <v>30</v>
      </c>
      <c r="AG150" t="s">
        <v>158</v>
      </c>
      <c r="AH150">
        <v>14.5</v>
      </c>
      <c r="AI150" t="s">
        <v>161</v>
      </c>
      <c r="AJ150" t="s">
        <v>412</v>
      </c>
      <c r="AK150" t="s">
        <v>191</v>
      </c>
      <c r="AL150">
        <v>1.45</v>
      </c>
      <c r="AM150" t="s">
        <v>406</v>
      </c>
      <c r="AN150">
        <v>96</v>
      </c>
      <c r="AO150">
        <v>5</v>
      </c>
      <c r="AQ150" t="s">
        <v>414</v>
      </c>
      <c r="AR150" t="s">
        <v>408</v>
      </c>
      <c r="AT150" s="49" t="s">
        <v>318</v>
      </c>
      <c r="AU150" s="77"/>
    </row>
    <row r="151" spans="1:48" ht="15" customHeight="1">
      <c r="A151" s="3" t="s">
        <v>50</v>
      </c>
      <c r="B151" s="18" t="s">
        <v>154</v>
      </c>
      <c r="G151" t="s">
        <v>310</v>
      </c>
      <c r="I151" t="s">
        <v>167</v>
      </c>
      <c r="J151" s="19" t="s">
        <v>156</v>
      </c>
      <c r="K151" s="20" t="s">
        <v>157</v>
      </c>
      <c r="L151" t="s">
        <v>158</v>
      </c>
      <c r="M151" t="s">
        <v>158</v>
      </c>
      <c r="N151" t="s">
        <v>158</v>
      </c>
      <c r="P151" s="50"/>
      <c r="Q151" s="50"/>
      <c r="R151" s="50"/>
      <c r="S151" s="39"/>
      <c r="T151" s="39"/>
      <c r="X151" s="18"/>
      <c r="Y151" s="20" t="s">
        <v>157</v>
      </c>
      <c r="AA151" s="50">
        <v>11.3</v>
      </c>
      <c r="AB151" s="50">
        <v>7.1</v>
      </c>
      <c r="AC151" s="50">
        <v>3.5</v>
      </c>
      <c r="AD151" s="6">
        <v>1</v>
      </c>
      <c r="AE151" t="s">
        <v>189</v>
      </c>
      <c r="AF151" s="44">
        <f>75/AC151</f>
        <v>21.428571428571427</v>
      </c>
      <c r="AG151" t="s">
        <v>158</v>
      </c>
      <c r="AH151" t="s">
        <v>158</v>
      </c>
      <c r="AI151" t="s">
        <v>158</v>
      </c>
      <c r="AJ151" t="s">
        <v>415</v>
      </c>
      <c r="AK151" t="s">
        <v>163</v>
      </c>
      <c r="AL151" t="s">
        <v>158</v>
      </c>
      <c r="AM151" t="s">
        <v>158</v>
      </c>
      <c r="AN151">
        <v>96</v>
      </c>
      <c r="AO151" s="43">
        <v>29</v>
      </c>
      <c r="AP151" s="43"/>
      <c r="AQ151" t="s">
        <v>416</v>
      </c>
      <c r="AR151" t="s">
        <v>417</v>
      </c>
      <c r="AT151" s="3"/>
      <c r="AU151" t="s">
        <v>418</v>
      </c>
    </row>
    <row r="152" spans="1:48">
      <c r="A152" s="3" t="s">
        <v>50</v>
      </c>
      <c r="B152" s="18" t="s">
        <v>154</v>
      </c>
      <c r="G152" t="s">
        <v>310</v>
      </c>
      <c r="H152" t="s">
        <v>419</v>
      </c>
      <c r="I152" t="s">
        <v>167</v>
      </c>
      <c r="J152" s="19" t="s">
        <v>156</v>
      </c>
      <c r="K152" s="20" t="s">
        <v>168</v>
      </c>
      <c r="L152" t="s">
        <v>158</v>
      </c>
      <c r="M152" t="s">
        <v>158</v>
      </c>
      <c r="N152" t="s">
        <v>158</v>
      </c>
      <c r="P152" s="50"/>
      <c r="Q152" s="50"/>
      <c r="R152" s="50"/>
      <c r="S152" s="39"/>
      <c r="T152" s="39"/>
      <c r="X152" s="18"/>
      <c r="Y152" s="20" t="s">
        <v>168</v>
      </c>
      <c r="AA152" s="50">
        <v>10.5</v>
      </c>
      <c r="AB152" s="50">
        <v>7.1</v>
      </c>
      <c r="AC152" s="50">
        <v>3.5</v>
      </c>
      <c r="AD152" s="6">
        <v>1</v>
      </c>
      <c r="AE152" t="s">
        <v>189</v>
      </c>
      <c r="AF152" s="44">
        <f t="shared" ref="AF152:AF158" si="1">75/AC152</f>
        <v>21.428571428571427</v>
      </c>
      <c r="AG152" t="s">
        <v>158</v>
      </c>
      <c r="AH152" t="s">
        <v>158</v>
      </c>
      <c r="AI152" t="s">
        <v>158</v>
      </c>
      <c r="AJ152" t="s">
        <v>415</v>
      </c>
      <c r="AK152" t="s">
        <v>163</v>
      </c>
      <c r="AL152" t="s">
        <v>158</v>
      </c>
      <c r="AM152" t="s">
        <v>158</v>
      </c>
      <c r="AN152">
        <v>96</v>
      </c>
      <c r="AO152" s="43">
        <v>26</v>
      </c>
      <c r="AP152" s="43"/>
      <c r="AQ152" t="s">
        <v>416</v>
      </c>
      <c r="AR152" t="s">
        <v>417</v>
      </c>
      <c r="AT152" s="61" t="s">
        <v>268</v>
      </c>
      <c r="AU152" t="s">
        <v>418</v>
      </c>
    </row>
    <row r="153" spans="1:48">
      <c r="A153" s="3" t="s">
        <v>50</v>
      </c>
      <c r="B153" s="18" t="s">
        <v>154</v>
      </c>
      <c r="G153" t="s">
        <v>310</v>
      </c>
      <c r="H153" t="s">
        <v>419</v>
      </c>
      <c r="I153" t="s">
        <v>167</v>
      </c>
      <c r="J153" s="19" t="s">
        <v>156</v>
      </c>
      <c r="K153" s="20" t="s">
        <v>168</v>
      </c>
      <c r="L153" t="s">
        <v>158</v>
      </c>
      <c r="M153" t="s">
        <v>158</v>
      </c>
      <c r="N153" t="s">
        <v>158</v>
      </c>
      <c r="P153" s="50"/>
      <c r="Q153" s="50"/>
      <c r="R153" s="50"/>
      <c r="S153" s="39"/>
      <c r="T153" s="39"/>
      <c r="X153" s="18"/>
      <c r="Y153" s="20" t="s">
        <v>168</v>
      </c>
      <c r="AA153" s="50">
        <v>10</v>
      </c>
      <c r="AB153" s="50">
        <v>7.2</v>
      </c>
      <c r="AC153" s="50">
        <v>3.6</v>
      </c>
      <c r="AD153" s="6">
        <v>1</v>
      </c>
      <c r="AE153" t="s">
        <v>189</v>
      </c>
      <c r="AF153" s="44">
        <f t="shared" si="1"/>
        <v>20.833333333333332</v>
      </c>
      <c r="AG153" t="s">
        <v>158</v>
      </c>
      <c r="AH153" t="s">
        <v>158</v>
      </c>
      <c r="AI153" t="s">
        <v>158</v>
      </c>
      <c r="AJ153" t="s">
        <v>415</v>
      </c>
      <c r="AK153" t="s">
        <v>163</v>
      </c>
      <c r="AL153" t="s">
        <v>158</v>
      </c>
      <c r="AM153" t="s">
        <v>158</v>
      </c>
      <c r="AN153">
        <v>96</v>
      </c>
      <c r="AO153" s="43">
        <v>25</v>
      </c>
      <c r="AP153" s="43"/>
      <c r="AQ153" t="s">
        <v>416</v>
      </c>
      <c r="AR153" t="s">
        <v>417</v>
      </c>
      <c r="AT153" s="61" t="s">
        <v>420</v>
      </c>
      <c r="AU153" t="s">
        <v>418</v>
      </c>
    </row>
    <row r="154" spans="1:48">
      <c r="A154" s="3" t="s">
        <v>50</v>
      </c>
      <c r="B154" s="18" t="s">
        <v>154</v>
      </c>
      <c r="G154" t="s">
        <v>310</v>
      </c>
      <c r="H154" t="s">
        <v>419</v>
      </c>
      <c r="I154" t="s">
        <v>167</v>
      </c>
      <c r="J154" s="19" t="s">
        <v>156</v>
      </c>
      <c r="K154" s="20" t="s">
        <v>168</v>
      </c>
      <c r="L154" t="s">
        <v>158</v>
      </c>
      <c r="M154" t="s">
        <v>158</v>
      </c>
      <c r="N154" t="s">
        <v>158</v>
      </c>
      <c r="P154" s="50"/>
      <c r="Q154" s="50"/>
      <c r="R154" s="50"/>
      <c r="S154" s="39"/>
      <c r="T154" s="39"/>
      <c r="X154" s="18"/>
      <c r="Y154" s="20" t="s">
        <v>168</v>
      </c>
      <c r="AA154" s="50">
        <v>8.6</v>
      </c>
      <c r="AB154" s="50">
        <v>7.2</v>
      </c>
      <c r="AC154" s="50">
        <v>3.6</v>
      </c>
      <c r="AD154" s="6">
        <v>1</v>
      </c>
      <c r="AE154" t="s">
        <v>189</v>
      </c>
      <c r="AF154" s="44">
        <f t="shared" si="1"/>
        <v>20.833333333333332</v>
      </c>
      <c r="AG154" t="s">
        <v>158</v>
      </c>
      <c r="AH154" t="s">
        <v>158</v>
      </c>
      <c r="AI154" t="s">
        <v>158</v>
      </c>
      <c r="AJ154" t="s">
        <v>415</v>
      </c>
      <c r="AK154" t="s">
        <v>163</v>
      </c>
      <c r="AL154" t="s">
        <v>158</v>
      </c>
      <c r="AM154" t="s">
        <v>158</v>
      </c>
      <c r="AN154">
        <v>96</v>
      </c>
      <c r="AO154" s="43">
        <v>21</v>
      </c>
      <c r="AP154" s="43"/>
      <c r="AQ154" t="s">
        <v>416</v>
      </c>
      <c r="AR154" t="s">
        <v>417</v>
      </c>
      <c r="AT154" s="61" t="s">
        <v>421</v>
      </c>
      <c r="AU154" t="s">
        <v>418</v>
      </c>
    </row>
    <row r="155" spans="1:48">
      <c r="A155" s="3" t="s">
        <v>50</v>
      </c>
      <c r="B155" s="18" t="s">
        <v>154</v>
      </c>
      <c r="G155" t="s">
        <v>310</v>
      </c>
      <c r="H155" t="s">
        <v>419</v>
      </c>
      <c r="I155" t="s">
        <v>167</v>
      </c>
      <c r="J155" s="19" t="s">
        <v>156</v>
      </c>
      <c r="K155" s="20" t="s">
        <v>168</v>
      </c>
      <c r="L155" t="s">
        <v>158</v>
      </c>
      <c r="M155" t="s">
        <v>158</v>
      </c>
      <c r="N155" t="s">
        <v>158</v>
      </c>
      <c r="P155" s="50"/>
      <c r="Q155" s="50"/>
      <c r="R155" s="50"/>
      <c r="S155" s="39"/>
      <c r="T155" s="39"/>
      <c r="X155" s="18"/>
      <c r="Y155" s="20" t="s">
        <v>168</v>
      </c>
      <c r="AA155" s="50">
        <v>8.4</v>
      </c>
      <c r="AB155" s="50">
        <v>7.2</v>
      </c>
      <c r="AC155" s="50">
        <v>3.6</v>
      </c>
      <c r="AD155" s="6">
        <v>1</v>
      </c>
      <c r="AE155" t="s">
        <v>189</v>
      </c>
      <c r="AF155" s="44">
        <f t="shared" si="1"/>
        <v>20.833333333333332</v>
      </c>
      <c r="AG155" t="s">
        <v>158</v>
      </c>
      <c r="AH155" t="s">
        <v>158</v>
      </c>
      <c r="AI155" t="s">
        <v>158</v>
      </c>
      <c r="AJ155" t="s">
        <v>415</v>
      </c>
      <c r="AK155" t="s">
        <v>163</v>
      </c>
      <c r="AL155" t="s">
        <v>158</v>
      </c>
      <c r="AM155" t="s">
        <v>158</v>
      </c>
      <c r="AN155">
        <v>96</v>
      </c>
      <c r="AO155" s="43">
        <v>18</v>
      </c>
      <c r="AP155" s="43"/>
      <c r="AQ155" t="s">
        <v>416</v>
      </c>
      <c r="AR155" t="s">
        <v>417</v>
      </c>
      <c r="AT155" s="61" t="s">
        <v>261</v>
      </c>
      <c r="AU155" t="s">
        <v>418</v>
      </c>
    </row>
    <row r="156" spans="1:48">
      <c r="A156" s="3" t="s">
        <v>50</v>
      </c>
      <c r="B156" s="18" t="s">
        <v>154</v>
      </c>
      <c r="G156" t="s">
        <v>310</v>
      </c>
      <c r="H156" t="s">
        <v>419</v>
      </c>
      <c r="I156" t="s">
        <v>167</v>
      </c>
      <c r="J156" s="19" t="s">
        <v>156</v>
      </c>
      <c r="K156" s="20" t="s">
        <v>168</v>
      </c>
      <c r="L156" t="s">
        <v>158</v>
      </c>
      <c r="M156" t="s">
        <v>158</v>
      </c>
      <c r="N156" t="s">
        <v>158</v>
      </c>
      <c r="P156" s="50"/>
      <c r="Q156" s="50"/>
      <c r="R156" s="50"/>
      <c r="S156" s="39"/>
      <c r="T156" s="39"/>
      <c r="X156" s="18"/>
      <c r="Y156" s="20" t="s">
        <v>168</v>
      </c>
      <c r="AA156" s="50">
        <v>8.1999999999999993</v>
      </c>
      <c r="AB156" s="50">
        <v>7.2</v>
      </c>
      <c r="AC156" s="50">
        <v>3.6</v>
      </c>
      <c r="AD156" s="6">
        <v>1</v>
      </c>
      <c r="AE156" t="s">
        <v>189</v>
      </c>
      <c r="AF156" s="44">
        <f t="shared" si="1"/>
        <v>20.833333333333332</v>
      </c>
      <c r="AG156" t="s">
        <v>158</v>
      </c>
      <c r="AH156" t="s">
        <v>158</v>
      </c>
      <c r="AI156" t="s">
        <v>158</v>
      </c>
      <c r="AJ156" t="s">
        <v>415</v>
      </c>
      <c r="AK156" t="s">
        <v>163</v>
      </c>
      <c r="AL156" t="s">
        <v>158</v>
      </c>
      <c r="AM156" t="s">
        <v>158</v>
      </c>
      <c r="AN156">
        <v>96</v>
      </c>
      <c r="AO156" s="43">
        <v>17</v>
      </c>
      <c r="AP156" s="43"/>
      <c r="AQ156" t="s">
        <v>416</v>
      </c>
      <c r="AR156" t="s">
        <v>417</v>
      </c>
      <c r="AT156" s="61" t="s">
        <v>422</v>
      </c>
      <c r="AU156" t="s">
        <v>418</v>
      </c>
    </row>
    <row r="157" spans="1:48">
      <c r="A157" s="3" t="s">
        <v>50</v>
      </c>
      <c r="B157" s="18" t="s">
        <v>154</v>
      </c>
      <c r="G157" t="s">
        <v>310</v>
      </c>
      <c r="H157" t="s">
        <v>419</v>
      </c>
      <c r="I157" t="s">
        <v>167</v>
      </c>
      <c r="J157" s="19" t="s">
        <v>156</v>
      </c>
      <c r="K157" s="20" t="s">
        <v>168</v>
      </c>
      <c r="L157" t="s">
        <v>158</v>
      </c>
      <c r="M157" t="s">
        <v>158</v>
      </c>
      <c r="N157" t="s">
        <v>158</v>
      </c>
      <c r="P157" s="50"/>
      <c r="Q157" s="50"/>
      <c r="R157" s="50"/>
      <c r="S157" s="39"/>
      <c r="T157" s="39"/>
      <c r="X157" s="18"/>
      <c r="Y157" s="20" t="s">
        <v>168</v>
      </c>
      <c r="AA157" s="50">
        <v>7.9</v>
      </c>
      <c r="AB157" s="50">
        <v>7.2</v>
      </c>
      <c r="AC157" s="50">
        <v>3.6</v>
      </c>
      <c r="AD157" s="6">
        <v>1</v>
      </c>
      <c r="AE157" t="s">
        <v>189</v>
      </c>
      <c r="AF157" s="44">
        <f t="shared" si="1"/>
        <v>20.833333333333332</v>
      </c>
      <c r="AG157" t="s">
        <v>158</v>
      </c>
      <c r="AH157" t="s">
        <v>158</v>
      </c>
      <c r="AI157" t="s">
        <v>158</v>
      </c>
      <c r="AJ157" t="s">
        <v>415</v>
      </c>
      <c r="AK157" t="s">
        <v>163</v>
      </c>
      <c r="AL157" t="s">
        <v>158</v>
      </c>
      <c r="AM157" t="s">
        <v>158</v>
      </c>
      <c r="AN157">
        <v>96</v>
      </c>
      <c r="AO157" s="43">
        <v>20</v>
      </c>
      <c r="AP157" s="43"/>
      <c r="AQ157" t="s">
        <v>416</v>
      </c>
      <c r="AR157" t="s">
        <v>417</v>
      </c>
      <c r="AT157" s="61" t="s">
        <v>258</v>
      </c>
      <c r="AU157" t="s">
        <v>418</v>
      </c>
    </row>
    <row r="158" spans="1:48">
      <c r="A158" s="3" t="s">
        <v>50</v>
      </c>
      <c r="B158" s="18" t="s">
        <v>154</v>
      </c>
      <c r="G158" t="s">
        <v>310</v>
      </c>
      <c r="H158" t="s">
        <v>419</v>
      </c>
      <c r="I158" t="s">
        <v>167</v>
      </c>
      <c r="J158" s="19" t="s">
        <v>156</v>
      </c>
      <c r="K158" s="20" t="s">
        <v>168</v>
      </c>
      <c r="L158" t="s">
        <v>158</v>
      </c>
      <c r="M158" t="s">
        <v>158</v>
      </c>
      <c r="N158" t="s">
        <v>158</v>
      </c>
      <c r="P158" s="50"/>
      <c r="Q158" s="50"/>
      <c r="R158" s="50"/>
      <c r="S158" s="39"/>
      <c r="T158" s="39"/>
      <c r="X158" s="18"/>
      <c r="Y158" s="20" t="s">
        <v>168</v>
      </c>
      <c r="AA158" s="50">
        <v>7.7</v>
      </c>
      <c r="AB158" s="50">
        <v>7.2</v>
      </c>
      <c r="AC158" s="50">
        <v>3.6</v>
      </c>
      <c r="AD158" s="6">
        <v>1</v>
      </c>
      <c r="AE158" t="s">
        <v>189</v>
      </c>
      <c r="AF158" s="44">
        <f t="shared" si="1"/>
        <v>20.833333333333332</v>
      </c>
      <c r="AG158" t="s">
        <v>158</v>
      </c>
      <c r="AH158" t="s">
        <v>158</v>
      </c>
      <c r="AI158" t="s">
        <v>158</v>
      </c>
      <c r="AJ158" t="s">
        <v>415</v>
      </c>
      <c r="AK158" t="s">
        <v>163</v>
      </c>
      <c r="AL158" t="s">
        <v>158</v>
      </c>
      <c r="AM158" t="s">
        <v>158</v>
      </c>
      <c r="AN158">
        <v>96</v>
      </c>
      <c r="AO158" s="43">
        <v>15</v>
      </c>
      <c r="AP158" s="43"/>
      <c r="AQ158" t="s">
        <v>416</v>
      </c>
      <c r="AR158" t="s">
        <v>417</v>
      </c>
      <c r="AT158" s="61" t="s">
        <v>241</v>
      </c>
      <c r="AU158" t="s">
        <v>418</v>
      </c>
    </row>
    <row r="159" spans="1:48" ht="15" customHeight="1">
      <c r="A159" s="3" t="s">
        <v>52</v>
      </c>
      <c r="B159" s="18" t="s">
        <v>154</v>
      </c>
      <c r="G159" t="s">
        <v>188</v>
      </c>
      <c r="I159" t="s">
        <v>167</v>
      </c>
      <c r="J159" s="19" t="s">
        <v>156</v>
      </c>
      <c r="K159" s="50" t="s">
        <v>157</v>
      </c>
      <c r="L159" s="3" t="s">
        <v>158</v>
      </c>
      <c r="M159" s="3" t="s">
        <v>158</v>
      </c>
      <c r="N159" s="3" t="s">
        <v>158</v>
      </c>
      <c r="O159" s="18"/>
      <c r="P159" s="50"/>
      <c r="Q159" s="50"/>
      <c r="R159" s="50"/>
      <c r="S159" s="42"/>
      <c r="T159" s="42"/>
      <c r="X159" s="18"/>
      <c r="Y159" s="50" t="s">
        <v>157</v>
      </c>
      <c r="AA159" s="50">
        <v>6.5</v>
      </c>
      <c r="AB159" s="50">
        <v>7.5</v>
      </c>
      <c r="AC159" s="50">
        <v>1.1000000000000001</v>
      </c>
      <c r="AD159" s="6">
        <v>1</v>
      </c>
      <c r="AE159" t="s">
        <v>189</v>
      </c>
      <c r="AF159" s="43">
        <v>80</v>
      </c>
      <c r="AG159">
        <v>16</v>
      </c>
      <c r="AH159" t="s">
        <v>158</v>
      </c>
      <c r="AI159" t="s">
        <v>158</v>
      </c>
      <c r="AJ159" t="s">
        <v>423</v>
      </c>
      <c r="AK159" t="s">
        <v>163</v>
      </c>
      <c r="AL159">
        <v>1.42</v>
      </c>
      <c r="AM159" t="s">
        <v>158</v>
      </c>
      <c r="AN159">
        <v>144</v>
      </c>
      <c r="AO159" s="2">
        <v>31.9</v>
      </c>
      <c r="AP159" s="2"/>
      <c r="AQ159" t="s">
        <v>281</v>
      </c>
      <c r="AR159" t="s">
        <v>417</v>
      </c>
      <c r="AT159" s="3"/>
      <c r="AU159" t="s">
        <v>424</v>
      </c>
      <c r="AV159" s="6"/>
    </row>
    <row r="160" spans="1:48">
      <c r="A160" s="3" t="s">
        <v>52</v>
      </c>
      <c r="B160" s="18" t="s">
        <v>154</v>
      </c>
      <c r="G160" t="s">
        <v>188</v>
      </c>
      <c r="H160" t="s">
        <v>340</v>
      </c>
      <c r="I160" t="s">
        <v>167</v>
      </c>
      <c r="J160" s="19" t="s">
        <v>156</v>
      </c>
      <c r="K160" s="20" t="s">
        <v>168</v>
      </c>
      <c r="L160" s="3" t="s">
        <v>158</v>
      </c>
      <c r="M160" s="3" t="s">
        <v>158</v>
      </c>
      <c r="N160" s="3" t="s">
        <v>158</v>
      </c>
      <c r="O160" s="18"/>
      <c r="P160" s="50"/>
      <c r="Q160" s="50"/>
      <c r="R160" s="50"/>
      <c r="S160" s="42"/>
      <c r="T160" s="42"/>
      <c r="X160" s="18"/>
      <c r="Y160" s="20" t="s">
        <v>168</v>
      </c>
      <c r="AA160" s="50">
        <v>4</v>
      </c>
      <c r="AB160" s="50">
        <v>7.4</v>
      </c>
      <c r="AC160" s="50">
        <v>1.2</v>
      </c>
      <c r="AD160" s="6">
        <v>1</v>
      </c>
      <c r="AE160" t="s">
        <v>189</v>
      </c>
      <c r="AF160" s="43">
        <v>80</v>
      </c>
      <c r="AG160">
        <v>16</v>
      </c>
      <c r="AH160" t="s">
        <v>158</v>
      </c>
      <c r="AI160" t="s">
        <v>158</v>
      </c>
      <c r="AJ160" t="s">
        <v>423</v>
      </c>
      <c r="AK160" t="s">
        <v>163</v>
      </c>
      <c r="AL160">
        <v>1.42</v>
      </c>
      <c r="AM160" t="s">
        <v>158</v>
      </c>
      <c r="AN160">
        <v>144</v>
      </c>
      <c r="AO160" s="2">
        <v>32.6</v>
      </c>
      <c r="AP160" s="2"/>
      <c r="AQ160" t="s">
        <v>281</v>
      </c>
      <c r="AR160" t="s">
        <v>417</v>
      </c>
      <c r="AT160" s="61" t="s">
        <v>425</v>
      </c>
      <c r="AU160" t="s">
        <v>424</v>
      </c>
      <c r="AV160" s="6"/>
    </row>
    <row r="161" spans="1:47" ht="15" customHeight="1">
      <c r="A161" s="3" t="s">
        <v>54</v>
      </c>
      <c r="B161" s="18" t="s">
        <v>154</v>
      </c>
      <c r="G161" t="s">
        <v>426</v>
      </c>
      <c r="I161" t="s">
        <v>285</v>
      </c>
      <c r="J161" s="19" t="s">
        <v>156</v>
      </c>
      <c r="K161" s="20" t="s">
        <v>157</v>
      </c>
      <c r="L161" t="s">
        <v>158</v>
      </c>
      <c r="M161" t="s">
        <v>158</v>
      </c>
      <c r="N161" t="s">
        <v>158</v>
      </c>
      <c r="P161" s="50"/>
      <c r="Q161" s="50"/>
      <c r="R161" s="50"/>
      <c r="V161" s="47"/>
      <c r="W161" s="47"/>
      <c r="X161" s="18"/>
      <c r="Y161" s="20" t="s">
        <v>157</v>
      </c>
      <c r="AA161" s="50">
        <v>7.1</v>
      </c>
      <c r="AB161" s="50" t="s">
        <v>158</v>
      </c>
      <c r="AC161" s="50">
        <v>2.8</v>
      </c>
      <c r="AD161" s="6">
        <v>1</v>
      </c>
      <c r="AE161" t="s">
        <v>189</v>
      </c>
      <c r="AF161">
        <v>20</v>
      </c>
      <c r="AG161" t="s">
        <v>427</v>
      </c>
      <c r="AH161" t="s">
        <v>158</v>
      </c>
      <c r="AI161" t="s">
        <v>428</v>
      </c>
      <c r="AJ161" t="s">
        <v>384</v>
      </c>
      <c r="AK161" t="s">
        <v>352</v>
      </c>
      <c r="AL161" t="s">
        <v>158</v>
      </c>
      <c r="AM161" t="s">
        <v>158</v>
      </c>
      <c r="AN161">
        <v>144</v>
      </c>
      <c r="AO161">
        <v>19</v>
      </c>
      <c r="AQ161" t="s">
        <v>410</v>
      </c>
      <c r="AR161" s="48" t="s">
        <v>429</v>
      </c>
      <c r="AS161" s="48"/>
      <c r="AT161" s="3"/>
      <c r="AU161" t="s">
        <v>430</v>
      </c>
    </row>
    <row r="162" spans="1:47">
      <c r="A162" s="3" t="s">
        <v>54</v>
      </c>
      <c r="B162" s="18" t="s">
        <v>154</v>
      </c>
      <c r="G162" t="s">
        <v>426</v>
      </c>
      <c r="H162" t="s">
        <v>431</v>
      </c>
      <c r="I162" t="s">
        <v>285</v>
      </c>
      <c r="J162" s="19" t="s">
        <v>156</v>
      </c>
      <c r="K162" s="20" t="s">
        <v>168</v>
      </c>
      <c r="L162" t="s">
        <v>158</v>
      </c>
      <c r="M162" t="s">
        <v>158</v>
      </c>
      <c r="N162" t="s">
        <v>158</v>
      </c>
      <c r="P162" s="50"/>
      <c r="Q162" s="50"/>
      <c r="R162" s="50"/>
      <c r="V162" s="47"/>
      <c r="W162" s="47"/>
      <c r="X162" s="18"/>
      <c r="Y162" s="20" t="s">
        <v>168</v>
      </c>
      <c r="AA162" s="50">
        <v>4.4000000000000004</v>
      </c>
      <c r="AB162" s="50" t="s">
        <v>158</v>
      </c>
      <c r="AC162" s="50">
        <v>2.5</v>
      </c>
      <c r="AD162" s="6">
        <v>1</v>
      </c>
      <c r="AE162" t="s">
        <v>189</v>
      </c>
      <c r="AF162">
        <v>20</v>
      </c>
      <c r="AG162" t="s">
        <v>427</v>
      </c>
      <c r="AH162" t="s">
        <v>158</v>
      </c>
      <c r="AI162" t="s">
        <v>428</v>
      </c>
      <c r="AJ162" t="s">
        <v>384</v>
      </c>
      <c r="AK162" t="s">
        <v>352</v>
      </c>
      <c r="AL162" t="s">
        <v>158</v>
      </c>
      <c r="AM162" t="s">
        <v>158</v>
      </c>
      <c r="AN162">
        <v>144</v>
      </c>
      <c r="AO162">
        <v>7</v>
      </c>
      <c r="AQ162" t="s">
        <v>413</v>
      </c>
      <c r="AR162" s="48" t="s">
        <v>429</v>
      </c>
      <c r="AS162" s="48"/>
      <c r="AT162" s="61" t="s">
        <v>319</v>
      </c>
      <c r="AU162" t="s">
        <v>430</v>
      </c>
    </row>
    <row r="163" spans="1:47">
      <c r="A163" s="3" t="s">
        <v>54</v>
      </c>
      <c r="B163" s="18" t="s">
        <v>154</v>
      </c>
      <c r="G163" t="s">
        <v>426</v>
      </c>
      <c r="I163" t="s">
        <v>285</v>
      </c>
      <c r="J163" s="19" t="s">
        <v>156</v>
      </c>
      <c r="K163" s="20" t="s">
        <v>157</v>
      </c>
      <c r="L163" t="s">
        <v>158</v>
      </c>
      <c r="M163" t="s">
        <v>158</v>
      </c>
      <c r="N163" t="s">
        <v>158</v>
      </c>
      <c r="P163" s="50"/>
      <c r="Q163" s="50"/>
      <c r="R163" s="50"/>
      <c r="V163" s="47"/>
      <c r="W163" s="47"/>
      <c r="X163" s="18"/>
      <c r="Y163" s="20" t="s">
        <v>157</v>
      </c>
      <c r="AA163" s="50">
        <v>7.1</v>
      </c>
      <c r="AB163" s="50" t="s">
        <v>158</v>
      </c>
      <c r="AC163" s="50">
        <v>2.8</v>
      </c>
      <c r="AD163" s="6">
        <v>2</v>
      </c>
      <c r="AE163" t="s">
        <v>189</v>
      </c>
      <c r="AF163">
        <v>20</v>
      </c>
      <c r="AG163" t="s">
        <v>432</v>
      </c>
      <c r="AH163" t="s">
        <v>158</v>
      </c>
      <c r="AI163" t="s">
        <v>433</v>
      </c>
      <c r="AJ163" t="s">
        <v>384</v>
      </c>
      <c r="AK163" t="s">
        <v>352</v>
      </c>
      <c r="AL163" t="s">
        <v>158</v>
      </c>
      <c r="AM163" t="s">
        <v>158</v>
      </c>
      <c r="AN163">
        <v>144</v>
      </c>
      <c r="AO163">
        <v>90</v>
      </c>
      <c r="AQ163" t="s">
        <v>414</v>
      </c>
      <c r="AR163" s="48" t="s">
        <v>429</v>
      </c>
      <c r="AS163" s="48"/>
      <c r="AT163" s="3"/>
      <c r="AU163" t="s">
        <v>430</v>
      </c>
    </row>
    <row r="164" spans="1:47">
      <c r="A164" s="3" t="s">
        <v>54</v>
      </c>
      <c r="B164" s="18" t="s">
        <v>154</v>
      </c>
      <c r="G164" t="s">
        <v>426</v>
      </c>
      <c r="H164" t="s">
        <v>431</v>
      </c>
      <c r="I164" t="s">
        <v>285</v>
      </c>
      <c r="J164" s="19" t="s">
        <v>156</v>
      </c>
      <c r="K164" s="20" t="s">
        <v>168</v>
      </c>
      <c r="L164" t="s">
        <v>158</v>
      </c>
      <c r="M164" t="s">
        <v>158</v>
      </c>
      <c r="N164" t="s">
        <v>158</v>
      </c>
      <c r="P164" s="50"/>
      <c r="Q164" s="50"/>
      <c r="R164" s="50"/>
      <c r="V164" s="47"/>
      <c r="W164" s="47"/>
      <c r="X164" s="18"/>
      <c r="Y164" s="20" t="s">
        <v>168</v>
      </c>
      <c r="AA164" s="50">
        <v>4.4000000000000004</v>
      </c>
      <c r="AB164" s="50" t="s">
        <v>158</v>
      </c>
      <c r="AC164" s="50">
        <v>2.5</v>
      </c>
      <c r="AD164" s="6">
        <v>2</v>
      </c>
      <c r="AE164" t="s">
        <v>189</v>
      </c>
      <c r="AF164">
        <v>20</v>
      </c>
      <c r="AG164" t="s">
        <v>432</v>
      </c>
      <c r="AH164" t="s">
        <v>158</v>
      </c>
      <c r="AI164" t="s">
        <v>433</v>
      </c>
      <c r="AJ164" t="s">
        <v>384</v>
      </c>
      <c r="AK164" t="s">
        <v>352</v>
      </c>
      <c r="AL164" t="s">
        <v>158</v>
      </c>
      <c r="AM164" t="s">
        <v>158</v>
      </c>
      <c r="AN164">
        <v>144</v>
      </c>
      <c r="AO164">
        <v>30</v>
      </c>
      <c r="AQ164" t="s">
        <v>434</v>
      </c>
      <c r="AR164" s="48" t="s">
        <v>429</v>
      </c>
      <c r="AS164" s="48"/>
      <c r="AT164" s="61" t="s">
        <v>435</v>
      </c>
      <c r="AU164" t="s">
        <v>430</v>
      </c>
    </row>
    <row r="165" spans="1:47" ht="15" customHeight="1">
      <c r="A165" s="3" t="s">
        <v>54</v>
      </c>
      <c r="B165" s="18" t="s">
        <v>154</v>
      </c>
      <c r="G165" t="s">
        <v>426</v>
      </c>
      <c r="I165" t="s">
        <v>285</v>
      </c>
      <c r="J165" s="19" t="s">
        <v>156</v>
      </c>
      <c r="K165" s="20" t="s">
        <v>157</v>
      </c>
      <c r="L165" t="s">
        <v>158</v>
      </c>
      <c r="M165" t="s">
        <v>158</v>
      </c>
      <c r="N165" t="s">
        <v>158</v>
      </c>
      <c r="P165" s="50"/>
      <c r="Q165" s="50"/>
      <c r="R165" s="50"/>
      <c r="V165" s="47"/>
      <c r="W165" s="47"/>
      <c r="Y165" s="20" t="s">
        <v>157</v>
      </c>
      <c r="AA165" s="50">
        <v>7.1</v>
      </c>
      <c r="AB165" s="50" t="s">
        <v>158</v>
      </c>
      <c r="AC165" s="50">
        <v>2.8</v>
      </c>
      <c r="AD165" s="6">
        <v>3</v>
      </c>
      <c r="AE165" t="s">
        <v>189</v>
      </c>
      <c r="AF165">
        <v>20</v>
      </c>
      <c r="AG165" t="s">
        <v>436</v>
      </c>
      <c r="AH165" t="s">
        <v>158</v>
      </c>
      <c r="AI165" t="s">
        <v>428</v>
      </c>
      <c r="AJ165" t="s">
        <v>384</v>
      </c>
      <c r="AK165" t="s">
        <v>352</v>
      </c>
      <c r="AL165" t="s">
        <v>158</v>
      </c>
      <c r="AM165" t="s">
        <v>158</v>
      </c>
      <c r="AN165">
        <v>144</v>
      </c>
      <c r="AO165">
        <v>62</v>
      </c>
      <c r="AQ165" t="s">
        <v>437</v>
      </c>
      <c r="AR165" s="48" t="s">
        <v>429</v>
      </c>
      <c r="AS165" s="48"/>
      <c r="AU165" t="s">
        <v>430</v>
      </c>
    </row>
    <row r="166" spans="1:47">
      <c r="A166" s="3" t="s">
        <v>54</v>
      </c>
      <c r="B166" s="18" t="s">
        <v>154</v>
      </c>
      <c r="G166" t="s">
        <v>426</v>
      </c>
      <c r="H166" t="s">
        <v>431</v>
      </c>
      <c r="I166" t="s">
        <v>285</v>
      </c>
      <c r="J166" s="19" t="s">
        <v>156</v>
      </c>
      <c r="K166" s="20" t="s">
        <v>168</v>
      </c>
      <c r="L166" t="s">
        <v>158</v>
      </c>
      <c r="M166" t="s">
        <v>158</v>
      </c>
      <c r="N166" t="s">
        <v>158</v>
      </c>
      <c r="P166" s="50"/>
      <c r="Q166" s="50"/>
      <c r="R166" s="50"/>
      <c r="V166" s="47"/>
      <c r="W166" s="47"/>
      <c r="X166" s="18"/>
      <c r="Y166" s="20" t="s">
        <v>168</v>
      </c>
      <c r="AA166" s="50">
        <v>4.4000000000000004</v>
      </c>
      <c r="AB166" s="50" t="s">
        <v>158</v>
      </c>
      <c r="AC166" s="50">
        <v>2.5</v>
      </c>
      <c r="AD166" s="6">
        <v>3</v>
      </c>
      <c r="AE166" t="s">
        <v>189</v>
      </c>
      <c r="AF166">
        <v>20</v>
      </c>
      <c r="AG166" t="s">
        <v>436</v>
      </c>
      <c r="AH166" t="s">
        <v>158</v>
      </c>
      <c r="AI166" t="s">
        <v>428</v>
      </c>
      <c r="AJ166" t="s">
        <v>384</v>
      </c>
      <c r="AK166" t="s">
        <v>352</v>
      </c>
      <c r="AL166" t="s">
        <v>158</v>
      </c>
      <c r="AM166" t="s">
        <v>158</v>
      </c>
      <c r="AN166">
        <v>144</v>
      </c>
      <c r="AO166">
        <v>75</v>
      </c>
      <c r="AQ166" t="s">
        <v>438</v>
      </c>
      <c r="AR166" s="48" t="s">
        <v>429</v>
      </c>
      <c r="AS166" s="48"/>
      <c r="AT166" s="62" t="s">
        <v>439</v>
      </c>
      <c r="AU166" t="s">
        <v>430</v>
      </c>
    </row>
    <row r="167" spans="1:47">
      <c r="A167" s="3" t="s">
        <v>54</v>
      </c>
      <c r="B167" s="18" t="s">
        <v>154</v>
      </c>
      <c r="G167" t="s">
        <v>426</v>
      </c>
      <c r="I167" t="s">
        <v>285</v>
      </c>
      <c r="J167" s="19" t="s">
        <v>156</v>
      </c>
      <c r="K167" s="20" t="s">
        <v>157</v>
      </c>
      <c r="L167" t="s">
        <v>158</v>
      </c>
      <c r="M167" t="s">
        <v>158</v>
      </c>
      <c r="N167" t="s">
        <v>158</v>
      </c>
      <c r="P167" s="50"/>
      <c r="Q167" s="50"/>
      <c r="R167" s="50"/>
      <c r="V167" s="47"/>
      <c r="W167" s="47"/>
      <c r="X167" s="18"/>
      <c r="Y167" s="20" t="s">
        <v>157</v>
      </c>
      <c r="AA167" s="50">
        <v>7.1</v>
      </c>
      <c r="AB167" s="50" t="s">
        <v>158</v>
      </c>
      <c r="AC167" s="50">
        <v>2.8</v>
      </c>
      <c r="AD167" s="6">
        <v>4</v>
      </c>
      <c r="AE167" t="s">
        <v>189</v>
      </c>
      <c r="AF167">
        <v>20</v>
      </c>
      <c r="AG167" t="s">
        <v>440</v>
      </c>
      <c r="AH167" t="s">
        <v>158</v>
      </c>
      <c r="AI167" t="s">
        <v>433</v>
      </c>
      <c r="AJ167" t="s">
        <v>384</v>
      </c>
      <c r="AK167" t="s">
        <v>352</v>
      </c>
      <c r="AL167" t="s">
        <v>158</v>
      </c>
      <c r="AM167" t="s">
        <v>158</v>
      </c>
      <c r="AN167">
        <v>144</v>
      </c>
      <c r="AO167">
        <v>25</v>
      </c>
      <c r="AQ167" t="s">
        <v>441</v>
      </c>
      <c r="AR167" s="48" t="s">
        <v>429</v>
      </c>
      <c r="AS167" s="48"/>
      <c r="AT167" s="3"/>
      <c r="AU167" t="s">
        <v>430</v>
      </c>
    </row>
    <row r="168" spans="1:47">
      <c r="A168" s="3" t="s">
        <v>54</v>
      </c>
      <c r="B168" s="18" t="s">
        <v>154</v>
      </c>
      <c r="G168" t="s">
        <v>426</v>
      </c>
      <c r="H168" t="s">
        <v>431</v>
      </c>
      <c r="I168" t="s">
        <v>285</v>
      </c>
      <c r="J168" s="19" t="s">
        <v>156</v>
      </c>
      <c r="K168" s="20" t="s">
        <v>168</v>
      </c>
      <c r="L168" t="s">
        <v>158</v>
      </c>
      <c r="M168" t="s">
        <v>158</v>
      </c>
      <c r="N168" t="s">
        <v>158</v>
      </c>
      <c r="P168" s="50"/>
      <c r="Q168" s="50"/>
      <c r="R168" s="50"/>
      <c r="V168" s="47"/>
      <c r="W168" s="47"/>
      <c r="X168" s="18"/>
      <c r="Y168" s="20" t="s">
        <v>168</v>
      </c>
      <c r="AA168" s="50">
        <v>4.4000000000000004</v>
      </c>
      <c r="AB168" s="50" t="s">
        <v>158</v>
      </c>
      <c r="AC168" s="50">
        <v>2.5</v>
      </c>
      <c r="AD168" s="6">
        <v>4</v>
      </c>
      <c r="AE168" t="s">
        <v>189</v>
      </c>
      <c r="AF168">
        <v>20</v>
      </c>
      <c r="AG168" t="s">
        <v>440</v>
      </c>
      <c r="AH168" t="s">
        <v>158</v>
      </c>
      <c r="AI168" t="s">
        <v>433</v>
      </c>
      <c r="AJ168" t="s">
        <v>384</v>
      </c>
      <c r="AK168" t="s">
        <v>352</v>
      </c>
      <c r="AL168" t="s">
        <v>158</v>
      </c>
      <c r="AM168" t="s">
        <v>158</v>
      </c>
      <c r="AN168">
        <v>144</v>
      </c>
      <c r="AO168">
        <v>40</v>
      </c>
      <c r="AQ168" t="s">
        <v>442</v>
      </c>
      <c r="AR168" s="48" t="s">
        <v>429</v>
      </c>
      <c r="AS168" s="48"/>
      <c r="AT168" s="62" t="s">
        <v>443</v>
      </c>
      <c r="AU168" t="s">
        <v>430</v>
      </c>
    </row>
    <row r="169" spans="1:47" ht="15" customHeight="1">
      <c r="A169" s="3" t="s">
        <v>54</v>
      </c>
      <c r="B169" s="18" t="s">
        <v>154</v>
      </c>
      <c r="G169" t="s">
        <v>426</v>
      </c>
      <c r="I169" t="s">
        <v>285</v>
      </c>
      <c r="J169" s="19" t="s">
        <v>156</v>
      </c>
      <c r="K169" s="20" t="s">
        <v>157</v>
      </c>
      <c r="L169" t="s">
        <v>158</v>
      </c>
      <c r="M169" t="s">
        <v>158</v>
      </c>
      <c r="N169" t="s">
        <v>158</v>
      </c>
      <c r="P169" s="50"/>
      <c r="Q169" s="50"/>
      <c r="R169" s="50"/>
      <c r="V169" s="47"/>
      <c r="W169" s="47"/>
      <c r="X169" s="18"/>
      <c r="Y169" s="20" t="s">
        <v>157</v>
      </c>
      <c r="AA169" s="50">
        <v>7.1</v>
      </c>
      <c r="AB169" s="50" t="s">
        <v>158</v>
      </c>
      <c r="AC169" s="50">
        <v>2.8</v>
      </c>
      <c r="AD169" s="6">
        <v>5</v>
      </c>
      <c r="AE169" t="s">
        <v>444</v>
      </c>
      <c r="AF169">
        <v>20</v>
      </c>
      <c r="AG169" t="s">
        <v>427</v>
      </c>
      <c r="AH169" t="s">
        <v>158</v>
      </c>
      <c r="AI169" t="s">
        <v>428</v>
      </c>
      <c r="AJ169" t="s">
        <v>384</v>
      </c>
      <c r="AK169" t="s">
        <v>352</v>
      </c>
      <c r="AL169" t="s">
        <v>158</v>
      </c>
      <c r="AM169" t="s">
        <v>158</v>
      </c>
      <c r="AN169">
        <v>144</v>
      </c>
      <c r="AO169">
        <v>17</v>
      </c>
      <c r="AQ169" t="s">
        <v>445</v>
      </c>
      <c r="AR169" s="48" t="s">
        <v>429</v>
      </c>
      <c r="AS169" s="48"/>
      <c r="AT169" s="3"/>
      <c r="AU169" t="s">
        <v>430</v>
      </c>
    </row>
    <row r="170" spans="1:47">
      <c r="A170" s="3" t="s">
        <v>54</v>
      </c>
      <c r="B170" s="18" t="s">
        <v>154</v>
      </c>
      <c r="G170" t="s">
        <v>426</v>
      </c>
      <c r="H170" t="s">
        <v>431</v>
      </c>
      <c r="I170" t="s">
        <v>285</v>
      </c>
      <c r="J170" s="19" t="s">
        <v>156</v>
      </c>
      <c r="K170" s="20" t="s">
        <v>168</v>
      </c>
      <c r="L170" t="s">
        <v>158</v>
      </c>
      <c r="M170" t="s">
        <v>158</v>
      </c>
      <c r="N170" t="s">
        <v>158</v>
      </c>
      <c r="P170" s="50"/>
      <c r="Q170" s="50"/>
      <c r="R170" s="50"/>
      <c r="V170" s="47"/>
      <c r="W170" s="47"/>
      <c r="X170" s="18"/>
      <c r="Y170" s="20" t="s">
        <v>168</v>
      </c>
      <c r="AA170" s="50">
        <v>4.4000000000000004</v>
      </c>
      <c r="AB170" s="50" t="s">
        <v>158</v>
      </c>
      <c r="AC170" s="50">
        <v>2.5</v>
      </c>
      <c r="AD170" s="6">
        <v>5</v>
      </c>
      <c r="AE170" t="s">
        <v>444</v>
      </c>
      <c r="AF170">
        <v>20</v>
      </c>
      <c r="AG170" t="s">
        <v>427</v>
      </c>
      <c r="AH170" t="s">
        <v>158</v>
      </c>
      <c r="AI170" t="s">
        <v>428</v>
      </c>
      <c r="AJ170" t="s">
        <v>384</v>
      </c>
      <c r="AK170" t="s">
        <v>352</v>
      </c>
      <c r="AL170" t="s">
        <v>158</v>
      </c>
      <c r="AM170" t="s">
        <v>158</v>
      </c>
      <c r="AN170">
        <v>144</v>
      </c>
      <c r="AO170">
        <v>5</v>
      </c>
      <c r="AQ170" t="s">
        <v>446</v>
      </c>
      <c r="AR170" s="48" t="s">
        <v>429</v>
      </c>
      <c r="AS170" s="48"/>
      <c r="AT170" s="61" t="s">
        <v>230</v>
      </c>
      <c r="AU170" t="s">
        <v>430</v>
      </c>
    </row>
    <row r="171" spans="1:47">
      <c r="A171" s="3" t="s">
        <v>54</v>
      </c>
      <c r="B171" s="18" t="s">
        <v>154</v>
      </c>
      <c r="G171" t="s">
        <v>426</v>
      </c>
      <c r="I171" t="s">
        <v>285</v>
      </c>
      <c r="J171" s="19" t="s">
        <v>156</v>
      </c>
      <c r="K171" s="20" t="s">
        <v>157</v>
      </c>
      <c r="L171" t="s">
        <v>158</v>
      </c>
      <c r="M171" t="s">
        <v>158</v>
      </c>
      <c r="N171" t="s">
        <v>158</v>
      </c>
      <c r="P171" s="50"/>
      <c r="Q171" s="50"/>
      <c r="R171" s="50"/>
      <c r="V171" s="47"/>
      <c r="W171" s="47"/>
      <c r="X171" s="18"/>
      <c r="Y171" s="20" t="s">
        <v>157</v>
      </c>
      <c r="AA171" s="50">
        <v>7.1</v>
      </c>
      <c r="AB171" s="50" t="s">
        <v>158</v>
      </c>
      <c r="AC171" s="50">
        <v>2.8</v>
      </c>
      <c r="AD171" s="6">
        <v>6</v>
      </c>
      <c r="AE171" t="s">
        <v>444</v>
      </c>
      <c r="AF171">
        <v>20</v>
      </c>
      <c r="AG171" t="s">
        <v>432</v>
      </c>
      <c r="AH171" t="s">
        <v>158</v>
      </c>
      <c r="AI171" t="s">
        <v>433</v>
      </c>
      <c r="AJ171" t="s">
        <v>384</v>
      </c>
      <c r="AK171" t="s">
        <v>352</v>
      </c>
      <c r="AL171" t="s">
        <v>158</v>
      </c>
      <c r="AM171" t="s">
        <v>158</v>
      </c>
      <c r="AN171">
        <v>144</v>
      </c>
      <c r="AO171">
        <v>30</v>
      </c>
      <c r="AQ171" t="s">
        <v>447</v>
      </c>
      <c r="AR171" s="48" t="s">
        <v>429</v>
      </c>
      <c r="AS171" s="48"/>
      <c r="AT171" s="3"/>
      <c r="AU171" t="s">
        <v>430</v>
      </c>
    </row>
    <row r="172" spans="1:47">
      <c r="A172" s="3" t="s">
        <v>54</v>
      </c>
      <c r="B172" s="18" t="s">
        <v>154</v>
      </c>
      <c r="G172" t="s">
        <v>426</v>
      </c>
      <c r="H172" t="s">
        <v>431</v>
      </c>
      <c r="I172" t="s">
        <v>285</v>
      </c>
      <c r="J172" s="19" t="s">
        <v>156</v>
      </c>
      <c r="K172" s="20" t="s">
        <v>168</v>
      </c>
      <c r="L172" t="s">
        <v>158</v>
      </c>
      <c r="M172" t="s">
        <v>158</v>
      </c>
      <c r="N172" t="s">
        <v>158</v>
      </c>
      <c r="P172" s="50"/>
      <c r="Q172" s="50"/>
      <c r="R172" s="50"/>
      <c r="V172" s="47"/>
      <c r="W172" s="47"/>
      <c r="X172" s="18"/>
      <c r="Y172" s="20" t="s">
        <v>168</v>
      </c>
      <c r="AA172" s="50">
        <v>4.4000000000000004</v>
      </c>
      <c r="AB172" s="50" t="s">
        <v>158</v>
      </c>
      <c r="AC172" s="50">
        <v>2.5</v>
      </c>
      <c r="AD172" s="6">
        <v>6</v>
      </c>
      <c r="AE172" t="s">
        <v>444</v>
      </c>
      <c r="AF172">
        <v>20</v>
      </c>
      <c r="AG172" t="s">
        <v>432</v>
      </c>
      <c r="AH172" t="s">
        <v>158</v>
      </c>
      <c r="AI172" t="s">
        <v>433</v>
      </c>
      <c r="AJ172" t="s">
        <v>384</v>
      </c>
      <c r="AK172" t="s">
        <v>352</v>
      </c>
      <c r="AL172" t="s">
        <v>158</v>
      </c>
      <c r="AM172" t="s">
        <v>158</v>
      </c>
      <c r="AN172">
        <v>144</v>
      </c>
      <c r="AO172">
        <v>28</v>
      </c>
      <c r="AQ172" t="s">
        <v>448</v>
      </c>
      <c r="AR172" s="48" t="s">
        <v>429</v>
      </c>
      <c r="AS172" s="48"/>
      <c r="AT172" s="61" t="s">
        <v>449</v>
      </c>
      <c r="AU172" t="s">
        <v>430</v>
      </c>
    </row>
    <row r="173" spans="1:47" ht="15" customHeight="1">
      <c r="A173" s="3" t="s">
        <v>54</v>
      </c>
      <c r="B173" s="18" t="s">
        <v>154</v>
      </c>
      <c r="G173" t="s">
        <v>426</v>
      </c>
      <c r="I173" t="s">
        <v>285</v>
      </c>
      <c r="J173" s="19" t="s">
        <v>156</v>
      </c>
      <c r="K173" s="20" t="s">
        <v>157</v>
      </c>
      <c r="L173" t="s">
        <v>158</v>
      </c>
      <c r="M173" t="s">
        <v>158</v>
      </c>
      <c r="N173" t="s">
        <v>158</v>
      </c>
      <c r="P173" s="50"/>
      <c r="Q173" s="50"/>
      <c r="R173" s="50"/>
      <c r="V173" s="47"/>
      <c r="W173" s="47"/>
      <c r="X173" s="18"/>
      <c r="Y173" s="20" t="s">
        <v>157</v>
      </c>
      <c r="AA173" s="50">
        <v>7.1</v>
      </c>
      <c r="AB173" s="50" t="s">
        <v>158</v>
      </c>
      <c r="AC173" s="50">
        <v>2.8</v>
      </c>
      <c r="AD173" s="6">
        <v>7</v>
      </c>
      <c r="AE173" t="s">
        <v>444</v>
      </c>
      <c r="AF173">
        <v>20</v>
      </c>
      <c r="AG173" t="s">
        <v>436</v>
      </c>
      <c r="AH173" t="s">
        <v>158</v>
      </c>
      <c r="AI173" t="s">
        <v>428</v>
      </c>
      <c r="AJ173" t="s">
        <v>384</v>
      </c>
      <c r="AK173" t="s">
        <v>352</v>
      </c>
      <c r="AL173" t="s">
        <v>158</v>
      </c>
      <c r="AM173" t="s">
        <v>158</v>
      </c>
      <c r="AN173">
        <v>144</v>
      </c>
      <c r="AO173">
        <v>48</v>
      </c>
      <c r="AQ173" t="s">
        <v>450</v>
      </c>
      <c r="AR173" s="48" t="s">
        <v>429</v>
      </c>
      <c r="AS173" s="48"/>
      <c r="AT173" s="3"/>
      <c r="AU173" t="s">
        <v>430</v>
      </c>
    </row>
    <row r="174" spans="1:47">
      <c r="A174" s="3" t="s">
        <v>54</v>
      </c>
      <c r="B174" s="18" t="s">
        <v>154</v>
      </c>
      <c r="G174" t="s">
        <v>426</v>
      </c>
      <c r="H174" t="s">
        <v>431</v>
      </c>
      <c r="I174" t="s">
        <v>285</v>
      </c>
      <c r="J174" s="19" t="s">
        <v>156</v>
      </c>
      <c r="K174" s="20" t="s">
        <v>168</v>
      </c>
      <c r="L174" t="s">
        <v>158</v>
      </c>
      <c r="M174" t="s">
        <v>158</v>
      </c>
      <c r="N174" t="s">
        <v>158</v>
      </c>
      <c r="P174" s="50"/>
      <c r="Q174" s="50"/>
      <c r="R174" s="50"/>
      <c r="V174" s="47"/>
      <c r="W174" s="47"/>
      <c r="X174" s="18"/>
      <c r="Y174" s="20" t="s">
        <v>168</v>
      </c>
      <c r="AA174" s="50">
        <v>4.4000000000000004</v>
      </c>
      <c r="AB174" s="50" t="s">
        <v>158</v>
      </c>
      <c r="AC174" s="50">
        <v>2.5</v>
      </c>
      <c r="AD174" s="6">
        <v>7</v>
      </c>
      <c r="AE174" t="s">
        <v>444</v>
      </c>
      <c r="AF174">
        <v>20</v>
      </c>
      <c r="AG174" t="s">
        <v>436</v>
      </c>
      <c r="AH174" t="s">
        <v>158</v>
      </c>
      <c r="AI174" t="s">
        <v>428</v>
      </c>
      <c r="AJ174" t="s">
        <v>384</v>
      </c>
      <c r="AK174" t="s">
        <v>352</v>
      </c>
      <c r="AL174" t="s">
        <v>158</v>
      </c>
      <c r="AM174" t="s">
        <v>158</v>
      </c>
      <c r="AN174">
        <v>144</v>
      </c>
      <c r="AO174">
        <v>22</v>
      </c>
      <c r="AQ174" t="s">
        <v>451</v>
      </c>
      <c r="AR174" s="48" t="s">
        <v>429</v>
      </c>
      <c r="AS174" s="48"/>
      <c r="AT174" s="61" t="s">
        <v>452</v>
      </c>
      <c r="AU174" t="s">
        <v>430</v>
      </c>
    </row>
    <row r="175" spans="1:47">
      <c r="A175" s="3" t="s">
        <v>54</v>
      </c>
      <c r="B175" s="18" t="s">
        <v>154</v>
      </c>
      <c r="G175" t="s">
        <v>426</v>
      </c>
      <c r="I175" t="s">
        <v>285</v>
      </c>
      <c r="J175" s="19" t="s">
        <v>156</v>
      </c>
      <c r="K175" s="20" t="s">
        <v>157</v>
      </c>
      <c r="L175" t="s">
        <v>158</v>
      </c>
      <c r="M175" t="s">
        <v>158</v>
      </c>
      <c r="N175" t="s">
        <v>158</v>
      </c>
      <c r="P175" s="50"/>
      <c r="Q175" s="50"/>
      <c r="R175" s="50"/>
      <c r="V175" s="47"/>
      <c r="W175" s="47"/>
      <c r="X175" s="18"/>
      <c r="Y175" s="20" t="s">
        <v>157</v>
      </c>
      <c r="AA175" s="50">
        <v>7.1</v>
      </c>
      <c r="AB175" s="50" t="s">
        <v>158</v>
      </c>
      <c r="AC175" s="50">
        <v>2.8</v>
      </c>
      <c r="AD175" s="6">
        <v>8</v>
      </c>
      <c r="AE175" t="s">
        <v>444</v>
      </c>
      <c r="AF175">
        <v>20</v>
      </c>
      <c r="AG175" t="s">
        <v>440</v>
      </c>
      <c r="AH175" t="s">
        <v>158</v>
      </c>
      <c r="AI175" t="s">
        <v>433</v>
      </c>
      <c r="AJ175" t="s">
        <v>384</v>
      </c>
      <c r="AK175" t="s">
        <v>352</v>
      </c>
      <c r="AL175" t="s">
        <v>158</v>
      </c>
      <c r="AM175" t="s">
        <v>158</v>
      </c>
      <c r="AN175">
        <v>144</v>
      </c>
      <c r="AO175">
        <v>20</v>
      </c>
      <c r="AQ175" t="s">
        <v>453</v>
      </c>
      <c r="AR175" s="48" t="s">
        <v>429</v>
      </c>
      <c r="AS175" s="48"/>
      <c r="AT175" s="3"/>
      <c r="AU175" t="s">
        <v>430</v>
      </c>
    </row>
    <row r="176" spans="1:47">
      <c r="A176" s="3" t="s">
        <v>54</v>
      </c>
      <c r="B176" s="18" t="s">
        <v>154</v>
      </c>
      <c r="G176" t="s">
        <v>426</v>
      </c>
      <c r="H176" t="s">
        <v>431</v>
      </c>
      <c r="I176" t="s">
        <v>285</v>
      </c>
      <c r="J176" s="19" t="s">
        <v>156</v>
      </c>
      <c r="K176" s="20" t="s">
        <v>168</v>
      </c>
      <c r="L176" t="s">
        <v>158</v>
      </c>
      <c r="M176" t="s">
        <v>158</v>
      </c>
      <c r="N176" t="s">
        <v>158</v>
      </c>
      <c r="P176" s="50"/>
      <c r="Q176" s="50"/>
      <c r="R176" s="50"/>
      <c r="V176" s="47"/>
      <c r="W176" s="47"/>
      <c r="X176" s="18"/>
      <c r="Y176" s="20" t="s">
        <v>168</v>
      </c>
      <c r="AA176" s="50">
        <v>4.4000000000000004</v>
      </c>
      <c r="AB176" s="50" t="s">
        <v>158</v>
      </c>
      <c r="AC176" s="50">
        <v>2.5</v>
      </c>
      <c r="AD176" s="6">
        <v>8</v>
      </c>
      <c r="AE176" t="s">
        <v>444</v>
      </c>
      <c r="AF176">
        <v>20</v>
      </c>
      <c r="AG176" t="s">
        <v>440</v>
      </c>
      <c r="AH176" t="s">
        <v>158</v>
      </c>
      <c r="AI176" t="s">
        <v>433</v>
      </c>
      <c r="AJ176" t="s">
        <v>384</v>
      </c>
      <c r="AK176" t="s">
        <v>352</v>
      </c>
      <c r="AL176" t="s">
        <v>158</v>
      </c>
      <c r="AM176" t="s">
        <v>158</v>
      </c>
      <c r="AN176">
        <v>144</v>
      </c>
      <c r="AO176">
        <v>12</v>
      </c>
      <c r="AQ176" t="s">
        <v>454</v>
      </c>
      <c r="AR176" s="48" t="s">
        <v>429</v>
      </c>
      <c r="AS176" s="48"/>
      <c r="AT176" s="61" t="s">
        <v>455</v>
      </c>
      <c r="AU176" t="s">
        <v>430</v>
      </c>
    </row>
    <row r="177" spans="1:47" ht="15" customHeight="1">
      <c r="A177" s="3" t="s">
        <v>54</v>
      </c>
      <c r="B177" s="18" t="s">
        <v>154</v>
      </c>
      <c r="G177" t="s">
        <v>426</v>
      </c>
      <c r="I177" t="s">
        <v>285</v>
      </c>
      <c r="J177" s="19" t="s">
        <v>156</v>
      </c>
      <c r="K177" s="20" t="s">
        <v>157</v>
      </c>
      <c r="L177" t="s">
        <v>158</v>
      </c>
      <c r="M177" t="s">
        <v>158</v>
      </c>
      <c r="N177" t="s">
        <v>158</v>
      </c>
      <c r="P177" s="50"/>
      <c r="Q177" s="50"/>
      <c r="R177" s="50"/>
      <c r="V177" s="47"/>
      <c r="W177" s="47"/>
      <c r="X177" s="18"/>
      <c r="Y177" s="20" t="s">
        <v>157</v>
      </c>
      <c r="AA177" s="50">
        <v>7.1</v>
      </c>
      <c r="AB177" s="50" t="s">
        <v>158</v>
      </c>
      <c r="AC177" s="50">
        <v>2.8</v>
      </c>
      <c r="AD177" s="6">
        <v>9</v>
      </c>
      <c r="AE177" t="s">
        <v>456</v>
      </c>
      <c r="AF177">
        <v>20</v>
      </c>
      <c r="AG177" t="s">
        <v>427</v>
      </c>
      <c r="AH177" t="s">
        <v>158</v>
      </c>
      <c r="AI177" t="s">
        <v>428</v>
      </c>
      <c r="AJ177" t="s">
        <v>384</v>
      </c>
      <c r="AK177" t="s">
        <v>352</v>
      </c>
      <c r="AL177" t="s">
        <v>158</v>
      </c>
      <c r="AM177" t="s">
        <v>158</v>
      </c>
      <c r="AN177">
        <v>144</v>
      </c>
      <c r="AO177">
        <v>16</v>
      </c>
      <c r="AQ177" t="s">
        <v>457</v>
      </c>
      <c r="AR177" s="48" t="s">
        <v>429</v>
      </c>
      <c r="AS177" s="48"/>
      <c r="AT177" s="3"/>
      <c r="AU177" t="s">
        <v>430</v>
      </c>
    </row>
    <row r="178" spans="1:47">
      <c r="A178" s="3" t="s">
        <v>54</v>
      </c>
      <c r="B178" s="18" t="s">
        <v>154</v>
      </c>
      <c r="G178" t="s">
        <v>426</v>
      </c>
      <c r="H178" t="s">
        <v>431</v>
      </c>
      <c r="I178" t="s">
        <v>285</v>
      </c>
      <c r="J178" s="19" t="s">
        <v>156</v>
      </c>
      <c r="K178" s="20" t="s">
        <v>168</v>
      </c>
      <c r="L178" t="s">
        <v>158</v>
      </c>
      <c r="M178" t="s">
        <v>158</v>
      </c>
      <c r="N178" t="s">
        <v>158</v>
      </c>
      <c r="P178" s="50"/>
      <c r="Q178" s="50"/>
      <c r="R178" s="50"/>
      <c r="V178" s="47"/>
      <c r="W178" s="47"/>
      <c r="X178" s="18"/>
      <c r="Y178" s="20" t="s">
        <v>168</v>
      </c>
      <c r="AA178" s="50">
        <v>4.4000000000000004</v>
      </c>
      <c r="AB178" s="50" t="s">
        <v>158</v>
      </c>
      <c r="AC178" s="50">
        <v>2.5</v>
      </c>
      <c r="AD178" s="6">
        <v>9</v>
      </c>
      <c r="AE178" t="s">
        <v>456</v>
      </c>
      <c r="AF178">
        <v>20</v>
      </c>
      <c r="AG178" t="s">
        <v>427</v>
      </c>
      <c r="AH178" t="s">
        <v>158</v>
      </c>
      <c r="AI178" t="s">
        <v>428</v>
      </c>
      <c r="AJ178" t="s">
        <v>384</v>
      </c>
      <c r="AK178" t="s">
        <v>352</v>
      </c>
      <c r="AL178" t="s">
        <v>158</v>
      </c>
      <c r="AM178" t="s">
        <v>158</v>
      </c>
      <c r="AN178">
        <v>144</v>
      </c>
      <c r="AO178">
        <v>14</v>
      </c>
      <c r="AQ178" t="s">
        <v>458</v>
      </c>
      <c r="AR178" s="48" t="s">
        <v>429</v>
      </c>
      <c r="AS178" s="48"/>
      <c r="AT178" s="61" t="s">
        <v>459</v>
      </c>
      <c r="AU178" t="s">
        <v>430</v>
      </c>
    </row>
    <row r="179" spans="1:47">
      <c r="A179" s="3" t="s">
        <v>54</v>
      </c>
      <c r="B179" s="18" t="s">
        <v>154</v>
      </c>
      <c r="G179" t="s">
        <v>426</v>
      </c>
      <c r="I179" t="s">
        <v>285</v>
      </c>
      <c r="J179" s="19" t="s">
        <v>156</v>
      </c>
      <c r="K179" s="20" t="s">
        <v>157</v>
      </c>
      <c r="L179" t="s">
        <v>158</v>
      </c>
      <c r="M179" t="s">
        <v>158</v>
      </c>
      <c r="N179" t="s">
        <v>158</v>
      </c>
      <c r="P179" s="50"/>
      <c r="Q179" s="50"/>
      <c r="R179" s="50"/>
      <c r="V179" s="47"/>
      <c r="W179" s="47"/>
      <c r="X179" s="18"/>
      <c r="Y179" s="20" t="s">
        <v>157</v>
      </c>
      <c r="AA179" s="50">
        <v>7.1</v>
      </c>
      <c r="AB179" s="50" t="s">
        <v>158</v>
      </c>
      <c r="AC179" s="50">
        <v>2.8</v>
      </c>
      <c r="AD179" s="6">
        <v>10</v>
      </c>
      <c r="AE179" t="s">
        <v>456</v>
      </c>
      <c r="AF179">
        <v>20</v>
      </c>
      <c r="AG179" t="s">
        <v>432</v>
      </c>
      <c r="AH179" t="s">
        <v>158</v>
      </c>
      <c r="AI179" t="s">
        <v>433</v>
      </c>
      <c r="AJ179" t="s">
        <v>384</v>
      </c>
      <c r="AK179" t="s">
        <v>352</v>
      </c>
      <c r="AL179" t="s">
        <v>158</v>
      </c>
      <c r="AM179" t="s">
        <v>158</v>
      </c>
      <c r="AN179">
        <v>144</v>
      </c>
      <c r="AO179">
        <v>78</v>
      </c>
      <c r="AQ179" t="s">
        <v>460</v>
      </c>
      <c r="AR179" s="48" t="s">
        <v>429</v>
      </c>
      <c r="AS179" s="48"/>
      <c r="AT179" s="3"/>
      <c r="AU179" t="s">
        <v>430</v>
      </c>
    </row>
    <row r="180" spans="1:47">
      <c r="A180" s="3" t="s">
        <v>54</v>
      </c>
      <c r="B180" s="18" t="s">
        <v>154</v>
      </c>
      <c r="G180" t="s">
        <v>426</v>
      </c>
      <c r="H180" t="s">
        <v>431</v>
      </c>
      <c r="I180" t="s">
        <v>285</v>
      </c>
      <c r="J180" s="19" t="s">
        <v>156</v>
      </c>
      <c r="K180" s="20" t="s">
        <v>168</v>
      </c>
      <c r="L180" t="s">
        <v>158</v>
      </c>
      <c r="M180" t="s">
        <v>158</v>
      </c>
      <c r="N180" t="s">
        <v>158</v>
      </c>
      <c r="P180" s="50"/>
      <c r="Q180" s="50"/>
      <c r="R180" s="50"/>
      <c r="V180" s="47"/>
      <c r="W180" s="47"/>
      <c r="X180" s="18"/>
      <c r="Y180" s="20" t="s">
        <v>168</v>
      </c>
      <c r="AA180" s="50">
        <v>4.4000000000000004</v>
      </c>
      <c r="AB180" s="50" t="s">
        <v>158</v>
      </c>
      <c r="AC180" s="50">
        <v>2.5</v>
      </c>
      <c r="AD180" s="6">
        <v>10</v>
      </c>
      <c r="AE180" t="s">
        <v>456</v>
      </c>
      <c r="AF180">
        <v>20</v>
      </c>
      <c r="AG180" t="s">
        <v>432</v>
      </c>
      <c r="AH180" t="s">
        <v>158</v>
      </c>
      <c r="AI180" t="s">
        <v>433</v>
      </c>
      <c r="AJ180" t="s">
        <v>384</v>
      </c>
      <c r="AK180" t="s">
        <v>352</v>
      </c>
      <c r="AL180" t="s">
        <v>158</v>
      </c>
      <c r="AM180" t="s">
        <v>158</v>
      </c>
      <c r="AN180">
        <v>144</v>
      </c>
      <c r="AO180">
        <v>28</v>
      </c>
      <c r="AQ180" t="s">
        <v>461</v>
      </c>
      <c r="AR180" s="48" t="s">
        <v>429</v>
      </c>
      <c r="AS180" s="48"/>
      <c r="AT180" s="61" t="s">
        <v>376</v>
      </c>
      <c r="AU180" t="s">
        <v>430</v>
      </c>
    </row>
    <row r="181" spans="1:47" ht="15" customHeight="1">
      <c r="A181" s="3" t="s">
        <v>54</v>
      </c>
      <c r="B181" s="18" t="s">
        <v>154</v>
      </c>
      <c r="G181" t="s">
        <v>426</v>
      </c>
      <c r="I181" t="s">
        <v>285</v>
      </c>
      <c r="J181" s="19" t="s">
        <v>156</v>
      </c>
      <c r="K181" s="20" t="s">
        <v>157</v>
      </c>
      <c r="L181" t="s">
        <v>158</v>
      </c>
      <c r="M181" t="s">
        <v>158</v>
      </c>
      <c r="N181" t="s">
        <v>158</v>
      </c>
      <c r="P181" s="50"/>
      <c r="Q181" s="50"/>
      <c r="R181" s="50"/>
      <c r="V181" s="47"/>
      <c r="W181" s="47"/>
      <c r="X181" s="18"/>
      <c r="Y181" s="20" t="s">
        <v>157</v>
      </c>
      <c r="AA181" s="50">
        <v>7.1</v>
      </c>
      <c r="AB181" s="50" t="s">
        <v>158</v>
      </c>
      <c r="AC181" s="50">
        <v>2.8</v>
      </c>
      <c r="AD181" s="6">
        <v>11</v>
      </c>
      <c r="AE181" t="s">
        <v>456</v>
      </c>
      <c r="AF181">
        <v>20</v>
      </c>
      <c r="AG181" t="s">
        <v>436</v>
      </c>
      <c r="AH181" t="s">
        <v>158</v>
      </c>
      <c r="AI181" t="s">
        <v>428</v>
      </c>
      <c r="AJ181" t="s">
        <v>384</v>
      </c>
      <c r="AK181" t="s">
        <v>352</v>
      </c>
      <c r="AL181" t="s">
        <v>158</v>
      </c>
      <c r="AM181" t="s">
        <v>158</v>
      </c>
      <c r="AN181">
        <v>144</v>
      </c>
      <c r="AO181">
        <v>62</v>
      </c>
      <c r="AQ181" t="s">
        <v>462</v>
      </c>
      <c r="AR181" s="48" t="s">
        <v>429</v>
      </c>
      <c r="AS181" s="48"/>
      <c r="AT181" s="3"/>
      <c r="AU181" t="s">
        <v>430</v>
      </c>
    </row>
    <row r="182" spans="1:47">
      <c r="A182" s="3" t="s">
        <v>54</v>
      </c>
      <c r="B182" s="18" t="s">
        <v>154</v>
      </c>
      <c r="G182" t="s">
        <v>426</v>
      </c>
      <c r="H182" t="s">
        <v>431</v>
      </c>
      <c r="I182" t="s">
        <v>285</v>
      </c>
      <c r="J182" s="19" t="s">
        <v>156</v>
      </c>
      <c r="K182" s="20" t="s">
        <v>168</v>
      </c>
      <c r="L182" t="s">
        <v>158</v>
      </c>
      <c r="M182" t="s">
        <v>158</v>
      </c>
      <c r="N182" t="s">
        <v>158</v>
      </c>
      <c r="P182" s="50"/>
      <c r="Q182" s="50"/>
      <c r="R182" s="50"/>
      <c r="V182" s="47"/>
      <c r="W182" s="47"/>
      <c r="X182" s="18"/>
      <c r="Y182" s="20" t="s">
        <v>168</v>
      </c>
      <c r="AA182" s="50">
        <v>4.4000000000000004</v>
      </c>
      <c r="AB182" s="50" t="s">
        <v>158</v>
      </c>
      <c r="AC182" s="50">
        <v>2.5</v>
      </c>
      <c r="AD182" s="6">
        <v>11</v>
      </c>
      <c r="AE182" t="s">
        <v>456</v>
      </c>
      <c r="AF182">
        <v>20</v>
      </c>
      <c r="AG182" t="s">
        <v>436</v>
      </c>
      <c r="AH182" t="s">
        <v>158</v>
      </c>
      <c r="AI182" t="s">
        <v>428</v>
      </c>
      <c r="AJ182" t="s">
        <v>384</v>
      </c>
      <c r="AK182" t="s">
        <v>352</v>
      </c>
      <c r="AL182" t="s">
        <v>158</v>
      </c>
      <c r="AM182" t="s">
        <v>158</v>
      </c>
      <c r="AN182">
        <v>144</v>
      </c>
      <c r="AO182">
        <v>32</v>
      </c>
      <c r="AQ182" t="s">
        <v>463</v>
      </c>
      <c r="AR182" s="48" t="s">
        <v>429</v>
      </c>
      <c r="AS182" s="48"/>
      <c r="AT182" s="61" t="s">
        <v>241</v>
      </c>
      <c r="AU182" t="s">
        <v>430</v>
      </c>
    </row>
    <row r="183" spans="1:47">
      <c r="A183" s="3" t="s">
        <v>54</v>
      </c>
      <c r="B183" s="18" t="s">
        <v>154</v>
      </c>
      <c r="G183" t="s">
        <v>426</v>
      </c>
      <c r="I183" t="s">
        <v>285</v>
      </c>
      <c r="J183" s="19" t="s">
        <v>156</v>
      </c>
      <c r="K183" s="20" t="s">
        <v>157</v>
      </c>
      <c r="L183" t="s">
        <v>158</v>
      </c>
      <c r="M183" t="s">
        <v>158</v>
      </c>
      <c r="N183" t="s">
        <v>158</v>
      </c>
      <c r="P183" s="50"/>
      <c r="Q183" s="50"/>
      <c r="R183" s="50"/>
      <c r="V183" s="47"/>
      <c r="W183" s="47"/>
      <c r="X183" s="18"/>
      <c r="Y183" s="20" t="s">
        <v>157</v>
      </c>
      <c r="AA183" s="50">
        <v>7.1</v>
      </c>
      <c r="AB183" s="50" t="s">
        <v>158</v>
      </c>
      <c r="AC183" s="50">
        <v>2.8</v>
      </c>
      <c r="AD183" s="6">
        <v>12</v>
      </c>
      <c r="AE183" t="s">
        <v>456</v>
      </c>
      <c r="AF183">
        <v>20</v>
      </c>
      <c r="AG183" t="s">
        <v>440</v>
      </c>
      <c r="AH183" t="s">
        <v>158</v>
      </c>
      <c r="AI183" t="s">
        <v>433</v>
      </c>
      <c r="AJ183" t="s">
        <v>384</v>
      </c>
      <c r="AK183" t="s">
        <v>352</v>
      </c>
      <c r="AL183" t="s">
        <v>158</v>
      </c>
      <c r="AM183" t="s">
        <v>158</v>
      </c>
      <c r="AN183">
        <v>144</v>
      </c>
      <c r="AO183">
        <v>38</v>
      </c>
      <c r="AQ183" t="s">
        <v>464</v>
      </c>
      <c r="AR183" s="48" t="s">
        <v>429</v>
      </c>
      <c r="AS183" s="48"/>
      <c r="AT183" s="3"/>
      <c r="AU183" t="s">
        <v>430</v>
      </c>
    </row>
    <row r="184" spans="1:47">
      <c r="A184" s="3" t="s">
        <v>54</v>
      </c>
      <c r="B184" s="18" t="s">
        <v>154</v>
      </c>
      <c r="G184" t="s">
        <v>426</v>
      </c>
      <c r="H184" t="s">
        <v>431</v>
      </c>
      <c r="I184" t="s">
        <v>285</v>
      </c>
      <c r="J184" s="19" t="s">
        <v>156</v>
      </c>
      <c r="K184" s="20" t="s">
        <v>168</v>
      </c>
      <c r="L184" t="s">
        <v>158</v>
      </c>
      <c r="M184" t="s">
        <v>158</v>
      </c>
      <c r="N184" t="s">
        <v>158</v>
      </c>
      <c r="P184" s="50"/>
      <c r="Q184" s="50"/>
      <c r="R184" s="50"/>
      <c r="V184" s="47"/>
      <c r="W184" s="47"/>
      <c r="X184" s="18"/>
      <c r="Y184" s="20" t="s">
        <v>168</v>
      </c>
      <c r="AA184" s="50">
        <v>4.4000000000000004</v>
      </c>
      <c r="AB184" s="50" t="s">
        <v>158</v>
      </c>
      <c r="AC184" s="50">
        <v>2.5</v>
      </c>
      <c r="AD184" s="6">
        <v>12</v>
      </c>
      <c r="AE184" t="s">
        <v>456</v>
      </c>
      <c r="AF184">
        <v>20</v>
      </c>
      <c r="AG184" t="s">
        <v>440</v>
      </c>
      <c r="AH184" t="s">
        <v>158</v>
      </c>
      <c r="AI184" t="s">
        <v>433</v>
      </c>
      <c r="AJ184" t="s">
        <v>384</v>
      </c>
      <c r="AK184" t="s">
        <v>352</v>
      </c>
      <c r="AL184" t="s">
        <v>158</v>
      </c>
      <c r="AM184" t="s">
        <v>158</v>
      </c>
      <c r="AN184">
        <v>144</v>
      </c>
      <c r="AO184">
        <v>18</v>
      </c>
      <c r="AQ184" t="s">
        <v>465</v>
      </c>
      <c r="AR184" s="48" t="s">
        <v>429</v>
      </c>
      <c r="AS184" s="48"/>
      <c r="AT184" s="61" t="s">
        <v>466</v>
      </c>
      <c r="AU184" t="s">
        <v>430</v>
      </c>
    </row>
    <row r="185" spans="1:47" ht="15" customHeight="1">
      <c r="A185" s="3" t="s">
        <v>467</v>
      </c>
      <c r="B185" s="18" t="s">
        <v>154</v>
      </c>
      <c r="G185" t="s">
        <v>468</v>
      </c>
      <c r="I185" t="s">
        <v>167</v>
      </c>
      <c r="J185" s="19" t="s">
        <v>469</v>
      </c>
      <c r="K185" s="20" t="s">
        <v>157</v>
      </c>
      <c r="L185" t="s">
        <v>158</v>
      </c>
      <c r="M185" t="s">
        <v>158</v>
      </c>
      <c r="N185" t="s">
        <v>158</v>
      </c>
      <c r="Y185" s="20" t="s">
        <v>157</v>
      </c>
      <c r="AA185" s="20">
        <v>3.5</v>
      </c>
      <c r="AB185" s="20">
        <v>7.6</v>
      </c>
      <c r="AC185" s="20">
        <f>79.5/53</f>
        <v>1.5</v>
      </c>
      <c r="AD185" s="7">
        <v>1</v>
      </c>
      <c r="AE185" t="s">
        <v>159</v>
      </c>
      <c r="AF185">
        <v>53</v>
      </c>
      <c r="AG185" t="s">
        <v>470</v>
      </c>
      <c r="AH185">
        <v>6.7</v>
      </c>
      <c r="AI185" t="s">
        <v>471</v>
      </c>
      <c r="AJ185" t="s">
        <v>472</v>
      </c>
      <c r="AK185" t="s">
        <v>352</v>
      </c>
      <c r="AL185">
        <v>1.3</v>
      </c>
      <c r="AM185" t="s">
        <v>158</v>
      </c>
      <c r="AN185">
        <v>72</v>
      </c>
      <c r="AO185">
        <v>37.14</v>
      </c>
      <c r="AQ185" t="s">
        <v>473</v>
      </c>
      <c r="AR185" t="s">
        <v>474</v>
      </c>
      <c r="AU185" t="s">
        <v>475</v>
      </c>
    </row>
    <row r="186" spans="1:47">
      <c r="A186" s="3" t="s">
        <v>467</v>
      </c>
      <c r="B186" s="18" t="s">
        <v>154</v>
      </c>
      <c r="G186" t="s">
        <v>468</v>
      </c>
      <c r="H186" t="s">
        <v>476</v>
      </c>
      <c r="I186" t="s">
        <v>167</v>
      </c>
      <c r="J186" s="19" t="s">
        <v>469</v>
      </c>
      <c r="K186" s="20" t="s">
        <v>168</v>
      </c>
      <c r="L186" t="s">
        <v>158</v>
      </c>
      <c r="M186" t="s">
        <v>158</v>
      </c>
      <c r="N186" t="s">
        <v>158</v>
      </c>
      <c r="Y186" s="20" t="s">
        <v>168</v>
      </c>
      <c r="AA186" s="20">
        <v>2.4</v>
      </c>
      <c r="AB186" s="20">
        <v>8</v>
      </c>
      <c r="AC186" s="20">
        <f>79.5/53</f>
        <v>1.5</v>
      </c>
      <c r="AD186" s="7">
        <v>1</v>
      </c>
      <c r="AE186" t="s">
        <v>159</v>
      </c>
      <c r="AF186">
        <v>53</v>
      </c>
      <c r="AG186" t="s">
        <v>470</v>
      </c>
      <c r="AH186">
        <v>6.7</v>
      </c>
      <c r="AI186" t="s">
        <v>471</v>
      </c>
      <c r="AJ186" t="s">
        <v>472</v>
      </c>
      <c r="AK186" t="s">
        <v>352</v>
      </c>
      <c r="AL186">
        <v>1.3</v>
      </c>
      <c r="AM186" t="s">
        <v>158</v>
      </c>
      <c r="AN186">
        <v>72</v>
      </c>
      <c r="AO186">
        <v>18.71</v>
      </c>
      <c r="AQ186" t="s">
        <v>473</v>
      </c>
      <c r="AR186" t="s">
        <v>474</v>
      </c>
      <c r="AT186" s="31" t="s">
        <v>477</v>
      </c>
      <c r="AU186" t="s">
        <v>475</v>
      </c>
    </row>
    <row r="187" spans="1:47" ht="15" customHeight="1">
      <c r="A187" s="3" t="s">
        <v>467</v>
      </c>
      <c r="B187" s="18" t="s">
        <v>154</v>
      </c>
      <c r="G187" t="s">
        <v>468</v>
      </c>
      <c r="I187" t="s">
        <v>167</v>
      </c>
      <c r="J187" s="19" t="s">
        <v>469</v>
      </c>
      <c r="K187" s="20" t="s">
        <v>157</v>
      </c>
      <c r="L187" t="s">
        <v>158</v>
      </c>
      <c r="M187" t="s">
        <v>158</v>
      </c>
      <c r="N187" t="s">
        <v>158</v>
      </c>
      <c r="Y187" s="20" t="s">
        <v>157</v>
      </c>
      <c r="AA187" s="20">
        <v>3.5</v>
      </c>
      <c r="AB187" s="20">
        <v>6.7</v>
      </c>
      <c r="AC187" s="20">
        <f>79.5/53</f>
        <v>1.5</v>
      </c>
      <c r="AD187" s="7">
        <v>2</v>
      </c>
      <c r="AE187" t="s">
        <v>159</v>
      </c>
      <c r="AF187">
        <v>53</v>
      </c>
      <c r="AG187" t="s">
        <v>478</v>
      </c>
      <c r="AH187">
        <v>6.7</v>
      </c>
      <c r="AI187" t="s">
        <v>471</v>
      </c>
      <c r="AJ187" t="s">
        <v>472</v>
      </c>
      <c r="AK187" t="s">
        <v>352</v>
      </c>
      <c r="AL187">
        <v>1.3</v>
      </c>
      <c r="AM187" t="s">
        <v>158</v>
      </c>
      <c r="AN187">
        <v>72</v>
      </c>
      <c r="AO187">
        <v>9.2100000000000009</v>
      </c>
      <c r="AQ187" t="s">
        <v>473</v>
      </c>
      <c r="AU187" t="s">
        <v>475</v>
      </c>
    </row>
    <row r="188" spans="1:47">
      <c r="A188" s="3" t="s">
        <v>467</v>
      </c>
      <c r="B188" s="18" t="s">
        <v>154</v>
      </c>
      <c r="G188" t="s">
        <v>468</v>
      </c>
      <c r="H188" t="s">
        <v>476</v>
      </c>
      <c r="I188" t="s">
        <v>167</v>
      </c>
      <c r="J188" s="19" t="s">
        <v>469</v>
      </c>
      <c r="K188" s="20" t="s">
        <v>168</v>
      </c>
      <c r="L188" t="s">
        <v>158</v>
      </c>
      <c r="M188" t="s">
        <v>158</v>
      </c>
      <c r="N188" t="s">
        <v>158</v>
      </c>
      <c r="Y188" s="20" t="s">
        <v>168</v>
      </c>
      <c r="AA188" s="20">
        <v>2.4</v>
      </c>
      <c r="AB188" s="20">
        <v>7.9</v>
      </c>
      <c r="AC188" s="20">
        <f>79.5/53</f>
        <v>1.5</v>
      </c>
      <c r="AD188" s="7">
        <v>2</v>
      </c>
      <c r="AE188" t="s">
        <v>159</v>
      </c>
      <c r="AF188">
        <v>53</v>
      </c>
      <c r="AG188" t="s">
        <v>478</v>
      </c>
      <c r="AH188">
        <v>6.7</v>
      </c>
      <c r="AI188" t="s">
        <v>471</v>
      </c>
      <c r="AJ188" t="s">
        <v>472</v>
      </c>
      <c r="AK188" t="s">
        <v>352</v>
      </c>
      <c r="AL188">
        <v>1.3</v>
      </c>
      <c r="AM188" t="s">
        <v>158</v>
      </c>
      <c r="AN188">
        <v>72</v>
      </c>
      <c r="AO188">
        <v>4.25</v>
      </c>
      <c r="AQ188" t="s">
        <v>473</v>
      </c>
      <c r="AT188" s="31" t="s">
        <v>479</v>
      </c>
      <c r="AU188" t="s">
        <v>475</v>
      </c>
    </row>
    <row r="189" spans="1:47">
      <c r="A189" s="63" t="s">
        <v>480</v>
      </c>
      <c r="B189" s="18" t="s">
        <v>172</v>
      </c>
      <c r="C189" s="19" t="s">
        <v>481</v>
      </c>
      <c r="D189" s="18" t="s">
        <v>482</v>
      </c>
      <c r="E189" s="19" t="s">
        <v>483</v>
      </c>
      <c r="F189" s="19" t="s">
        <v>191</v>
      </c>
      <c r="I189" t="s">
        <v>285</v>
      </c>
      <c r="J189" s="19" t="s">
        <v>469</v>
      </c>
      <c r="K189" s="20" t="s">
        <v>157</v>
      </c>
      <c r="L189" s="34"/>
      <c r="P189" s="68">
        <v>6.26</v>
      </c>
      <c r="Q189" s="68">
        <v>8.24</v>
      </c>
      <c r="R189" s="68">
        <v>1.66</v>
      </c>
      <c r="S189" s="20">
        <v>6.2</v>
      </c>
      <c r="U189" s="19" t="s">
        <v>281</v>
      </c>
      <c r="V189" s="19" t="s">
        <v>484</v>
      </c>
      <c r="W189" s="19">
        <v>2</v>
      </c>
      <c r="X189" s="64" t="s">
        <v>485</v>
      </c>
      <c r="Y189" s="20" t="s">
        <v>157</v>
      </c>
      <c r="AD189" s="7">
        <v>1</v>
      </c>
    </row>
    <row r="190" spans="1:47">
      <c r="A190" s="63" t="s">
        <v>480</v>
      </c>
      <c r="B190" s="18" t="s">
        <v>172</v>
      </c>
      <c r="C190" s="19" t="s">
        <v>481</v>
      </c>
      <c r="D190" s="18" t="s">
        <v>482</v>
      </c>
      <c r="E190" s="19" t="s">
        <v>483</v>
      </c>
      <c r="F190" s="19" t="s">
        <v>191</v>
      </c>
      <c r="H190" t="s">
        <v>486</v>
      </c>
      <c r="I190" t="s">
        <v>285</v>
      </c>
      <c r="J190" s="19" t="s">
        <v>469</v>
      </c>
      <c r="K190" s="20" t="s">
        <v>168</v>
      </c>
      <c r="L190" s="34">
        <f>P190*N190/P189</f>
        <v>59.494888178913726</v>
      </c>
      <c r="M190" s="34">
        <f>R190*N190/R189</f>
        <v>98.76144578313253</v>
      </c>
      <c r="N190">
        <v>89.1</v>
      </c>
      <c r="P190" s="68">
        <v>4.18</v>
      </c>
      <c r="Q190" s="68">
        <v>8.14</v>
      </c>
      <c r="R190" s="68">
        <v>1.84</v>
      </c>
      <c r="S190" s="20">
        <v>6.4</v>
      </c>
      <c r="U190" s="19" t="s">
        <v>281</v>
      </c>
      <c r="V190" s="19" t="s">
        <v>484</v>
      </c>
      <c r="W190" s="19">
        <v>2</v>
      </c>
      <c r="X190" s="64" t="s">
        <v>485</v>
      </c>
      <c r="Y190" s="20" t="s">
        <v>168</v>
      </c>
      <c r="AD190" s="7">
        <v>1</v>
      </c>
    </row>
    <row r="191" spans="1:47">
      <c r="A191" s="63" t="s">
        <v>480</v>
      </c>
      <c r="B191" s="18" t="s">
        <v>172</v>
      </c>
      <c r="C191" s="19" t="s">
        <v>481</v>
      </c>
      <c r="D191" s="18" t="s">
        <v>482</v>
      </c>
      <c r="E191" s="19" t="s">
        <v>487</v>
      </c>
      <c r="F191" s="19" t="s">
        <v>191</v>
      </c>
      <c r="H191" t="s">
        <v>486</v>
      </c>
      <c r="I191" t="s">
        <v>285</v>
      </c>
      <c r="J191" s="19" t="s">
        <v>469</v>
      </c>
      <c r="K191" s="20" t="s">
        <v>186</v>
      </c>
      <c r="L191" s="34">
        <f>P191*N191/P189</f>
        <v>25.944089456869008</v>
      </c>
      <c r="M191" s="34">
        <f>R191*N191/R189</f>
        <v>12.081927710843374</v>
      </c>
      <c r="N191">
        <v>10.9</v>
      </c>
      <c r="P191" s="68">
        <v>14.9</v>
      </c>
      <c r="Q191" s="68">
        <v>8.91</v>
      </c>
      <c r="R191" s="68">
        <v>1.84</v>
      </c>
      <c r="S191" s="20">
        <v>19.46</v>
      </c>
      <c r="U191" s="19" t="s">
        <v>281</v>
      </c>
      <c r="V191" s="19" t="s">
        <v>484</v>
      </c>
      <c r="W191" s="19">
        <v>2</v>
      </c>
      <c r="X191" s="64" t="s">
        <v>485</v>
      </c>
      <c r="Y191" s="20" t="s">
        <v>186</v>
      </c>
      <c r="AD191" s="7">
        <v>1</v>
      </c>
    </row>
    <row r="192" spans="1:47">
      <c r="A192" s="63" t="s">
        <v>480</v>
      </c>
      <c r="B192" s="18" t="s">
        <v>172</v>
      </c>
      <c r="C192" s="19" t="s">
        <v>481</v>
      </c>
      <c r="D192" s="18" t="s">
        <v>482</v>
      </c>
      <c r="E192" s="19" t="s">
        <v>483</v>
      </c>
      <c r="F192" s="19" t="s">
        <v>191</v>
      </c>
      <c r="I192" t="s">
        <v>285</v>
      </c>
      <c r="J192" s="19" t="s">
        <v>469</v>
      </c>
      <c r="K192" s="20" t="s">
        <v>157</v>
      </c>
      <c r="L192" s="34"/>
      <c r="M192" s="34"/>
      <c r="P192" s="68">
        <v>6.29</v>
      </c>
      <c r="Q192" s="68">
        <v>8.4700000000000006</v>
      </c>
      <c r="R192" s="68"/>
      <c r="U192" s="19" t="s">
        <v>281</v>
      </c>
      <c r="V192" s="19" t="s">
        <v>488</v>
      </c>
      <c r="X192" s="64"/>
      <c r="AD192" s="7">
        <v>2</v>
      </c>
    </row>
    <row r="193" spans="1:47">
      <c r="A193" s="63" t="s">
        <v>480</v>
      </c>
      <c r="B193" s="18" t="s">
        <v>172</v>
      </c>
      <c r="C193" s="19" t="s">
        <v>481</v>
      </c>
      <c r="D193" s="18" t="s">
        <v>482</v>
      </c>
      <c r="E193" s="19" t="s">
        <v>483</v>
      </c>
      <c r="F193" s="19" t="s">
        <v>191</v>
      </c>
      <c r="H193" t="s">
        <v>486</v>
      </c>
      <c r="I193" t="s">
        <v>285</v>
      </c>
      <c r="J193" s="19" t="s">
        <v>469</v>
      </c>
      <c r="K193" s="20" t="s">
        <v>168</v>
      </c>
      <c r="L193" s="34">
        <f>P193*N193/P192</f>
        <v>70.968362480127183</v>
      </c>
      <c r="M193" s="34"/>
      <c r="N193">
        <v>89.1</v>
      </c>
      <c r="P193" s="68">
        <v>5.01</v>
      </c>
      <c r="Q193" s="68">
        <v>8.51</v>
      </c>
      <c r="R193" s="68"/>
      <c r="U193" s="19" t="s">
        <v>281</v>
      </c>
      <c r="V193" s="19" t="s">
        <v>488</v>
      </c>
      <c r="X193" s="64"/>
      <c r="AD193" s="7">
        <v>2</v>
      </c>
    </row>
    <row r="194" spans="1:47">
      <c r="A194" s="63" t="s">
        <v>480</v>
      </c>
      <c r="B194" s="18" t="s">
        <v>172</v>
      </c>
      <c r="C194" s="19" t="s">
        <v>481</v>
      </c>
      <c r="D194" s="18" t="s">
        <v>482</v>
      </c>
      <c r="E194" s="19" t="s">
        <v>487</v>
      </c>
      <c r="F194" s="19" t="s">
        <v>191</v>
      </c>
      <c r="H194" t="s">
        <v>486</v>
      </c>
      <c r="I194" t="s">
        <v>285</v>
      </c>
      <c r="J194" s="19" t="s">
        <v>469</v>
      </c>
      <c r="K194" s="20" t="s">
        <v>186</v>
      </c>
      <c r="L194" s="34">
        <f>P194*N194/P193</f>
        <v>35.245508982035929</v>
      </c>
      <c r="M194" s="34"/>
      <c r="N194">
        <v>10.9</v>
      </c>
      <c r="P194" s="68">
        <v>16.2</v>
      </c>
      <c r="Q194" s="68">
        <v>9.01</v>
      </c>
      <c r="R194" s="68"/>
      <c r="U194" s="19" t="s">
        <v>281</v>
      </c>
      <c r="V194" s="19" t="s">
        <v>488</v>
      </c>
      <c r="X194" s="64"/>
      <c r="AD194" s="7">
        <v>2</v>
      </c>
    </row>
    <row r="195" spans="1:47" ht="30">
      <c r="A195" s="3" t="s">
        <v>489</v>
      </c>
      <c r="B195" s="18" t="s">
        <v>172</v>
      </c>
      <c r="C195" s="19" t="s">
        <v>481</v>
      </c>
      <c r="D195" s="18" t="s">
        <v>490</v>
      </c>
      <c r="E195" s="19" t="s">
        <v>491</v>
      </c>
      <c r="F195" s="19" t="s">
        <v>191</v>
      </c>
      <c r="I195" t="s">
        <v>285</v>
      </c>
      <c r="K195" s="20" t="s">
        <v>157</v>
      </c>
      <c r="L195" s="19"/>
      <c r="M195" s="19"/>
      <c r="N195" s="19"/>
      <c r="P195" s="20">
        <v>4.62</v>
      </c>
      <c r="Q195" s="20">
        <v>7.18</v>
      </c>
      <c r="R195" s="69">
        <f>0.1733*1.12</f>
        <v>0.19409600000000002</v>
      </c>
      <c r="T195" s="34">
        <f>100*0.1/R$195</f>
        <v>51.520896875772806</v>
      </c>
      <c r="U195" s="19" t="s">
        <v>492</v>
      </c>
      <c r="V195" s="19" t="s">
        <v>493</v>
      </c>
      <c r="W195" s="19">
        <v>8</v>
      </c>
      <c r="X195" s="70" t="s">
        <v>494</v>
      </c>
      <c r="AD195" s="7">
        <v>1</v>
      </c>
    </row>
    <row r="196" spans="1:47" ht="30">
      <c r="A196" s="3" t="s">
        <v>489</v>
      </c>
      <c r="B196" s="18" t="s">
        <v>172</v>
      </c>
      <c r="C196" s="19" t="s">
        <v>481</v>
      </c>
      <c r="D196" s="18" t="s">
        <v>490</v>
      </c>
      <c r="E196" s="19" t="s">
        <v>491</v>
      </c>
      <c r="F196" s="19" t="s">
        <v>191</v>
      </c>
      <c r="H196" t="s">
        <v>364</v>
      </c>
      <c r="I196" t="s">
        <v>285</v>
      </c>
      <c r="J196" s="19" t="s">
        <v>232</v>
      </c>
      <c r="K196" s="20" t="s">
        <v>168</v>
      </c>
      <c r="L196" s="19"/>
      <c r="M196" s="19">
        <v>41</v>
      </c>
      <c r="N196" s="33">
        <f>100-N197</f>
        <v>83.000688231245704</v>
      </c>
      <c r="O196" s="19" t="s">
        <v>495</v>
      </c>
      <c r="P196" s="20">
        <v>2.15</v>
      </c>
      <c r="Q196" s="20">
        <v>7.29</v>
      </c>
      <c r="R196" s="69">
        <f>0.0933*0.7</f>
        <v>6.5309999999999993E-2</v>
      </c>
      <c r="T196" s="34">
        <f>100*0.13/R$195</f>
        <v>66.977165938504655</v>
      </c>
      <c r="U196" s="19" t="s">
        <v>492</v>
      </c>
      <c r="V196" s="19" t="s">
        <v>493</v>
      </c>
      <c r="W196" s="19">
        <v>8</v>
      </c>
      <c r="X196" s="70" t="s">
        <v>494</v>
      </c>
      <c r="AD196" s="7">
        <v>1</v>
      </c>
    </row>
    <row r="197" spans="1:47" ht="30">
      <c r="A197" s="3" t="s">
        <v>489</v>
      </c>
      <c r="B197" s="18" t="s">
        <v>172</v>
      </c>
      <c r="C197" s="19" t="s">
        <v>481</v>
      </c>
      <c r="D197" s="18" t="s">
        <v>490</v>
      </c>
      <c r="E197" s="19" t="s">
        <v>496</v>
      </c>
      <c r="F197" s="19" t="s">
        <v>191</v>
      </c>
      <c r="H197" t="s">
        <v>364</v>
      </c>
      <c r="I197" t="s">
        <v>285</v>
      </c>
      <c r="J197" s="19" t="s">
        <v>232</v>
      </c>
      <c r="K197" s="20" t="s">
        <v>186</v>
      </c>
      <c r="L197" s="19"/>
      <c r="M197" s="19">
        <v>22</v>
      </c>
      <c r="N197" s="33">
        <f>(P195-P196)/(P197-P196)*100</f>
        <v>16.999311768754303</v>
      </c>
      <c r="O197" s="19" t="s">
        <v>495</v>
      </c>
      <c r="P197" s="20">
        <v>16.68</v>
      </c>
      <c r="Q197" s="20">
        <v>8.2799999999999994</v>
      </c>
      <c r="R197" s="69">
        <f>0.2166*3.26</f>
        <v>0.70611599999999997</v>
      </c>
      <c r="T197" s="34">
        <f>100*0.01/R$195</f>
        <v>5.1520896875772806</v>
      </c>
      <c r="U197" s="19" t="s">
        <v>492</v>
      </c>
      <c r="V197" s="19" t="s">
        <v>493</v>
      </c>
      <c r="W197" s="19">
        <v>8</v>
      </c>
      <c r="X197" s="70" t="s">
        <v>494</v>
      </c>
      <c r="AD197" s="7">
        <v>1</v>
      </c>
    </row>
    <row r="198" spans="1:47" ht="30">
      <c r="A198" s="3" t="s">
        <v>497</v>
      </c>
      <c r="B198" s="18" t="s">
        <v>498</v>
      </c>
      <c r="C198" s="19" t="s">
        <v>278</v>
      </c>
      <c r="D198" s="18" t="s">
        <v>499</v>
      </c>
      <c r="E198" s="19" t="s">
        <v>500</v>
      </c>
      <c r="F198" s="19" t="s">
        <v>191</v>
      </c>
      <c r="G198" s="18" t="s">
        <v>501</v>
      </c>
      <c r="H198" t="s">
        <v>364</v>
      </c>
      <c r="I198" t="s">
        <v>167</v>
      </c>
      <c r="J198" s="19" t="s">
        <v>156</v>
      </c>
      <c r="K198" s="20" t="s">
        <v>157</v>
      </c>
      <c r="P198" s="20">
        <v>6.1</v>
      </c>
      <c r="Q198" s="27">
        <v>7.9</v>
      </c>
      <c r="R198" s="20">
        <v>1.2190000000000001</v>
      </c>
      <c r="T198" s="71">
        <f>100*0.13/R198</f>
        <v>10.664479081214109</v>
      </c>
      <c r="U198" s="19" t="s">
        <v>502</v>
      </c>
      <c r="AD198" s="7">
        <v>0</v>
      </c>
      <c r="AU198" t="s">
        <v>503</v>
      </c>
    </row>
    <row r="199" spans="1:47" ht="30">
      <c r="A199" s="3" t="s">
        <v>497</v>
      </c>
      <c r="B199" s="18" t="s">
        <v>498</v>
      </c>
      <c r="C199" s="19" t="s">
        <v>278</v>
      </c>
      <c r="D199" s="18" t="s">
        <v>499</v>
      </c>
      <c r="E199" s="19" t="s">
        <v>500</v>
      </c>
      <c r="F199" s="19" t="s">
        <v>191</v>
      </c>
      <c r="G199" s="18" t="s">
        <v>499</v>
      </c>
      <c r="H199" t="s">
        <v>364</v>
      </c>
      <c r="I199" t="s">
        <v>167</v>
      </c>
      <c r="J199" s="19" t="s">
        <v>504</v>
      </c>
      <c r="K199" s="20" t="s">
        <v>157</v>
      </c>
      <c r="P199" s="20">
        <v>5.0999999999999996</v>
      </c>
      <c r="Q199" s="20">
        <v>7.7</v>
      </c>
      <c r="R199" s="20">
        <v>1.488</v>
      </c>
      <c r="T199" s="71">
        <f>100*0.255/R198</f>
        <v>20.918785890073831</v>
      </c>
      <c r="U199" s="19" t="s">
        <v>502</v>
      </c>
      <c r="AD199" s="7">
        <v>1</v>
      </c>
      <c r="AU199" t="s">
        <v>503</v>
      </c>
    </row>
    <row r="200" spans="1:47" ht="30">
      <c r="A200" s="3" t="s">
        <v>497</v>
      </c>
      <c r="B200" s="18" t="s">
        <v>498</v>
      </c>
      <c r="C200" s="19" t="s">
        <v>278</v>
      </c>
      <c r="D200" s="18" t="s">
        <v>499</v>
      </c>
      <c r="E200" s="19" t="s">
        <v>500</v>
      </c>
      <c r="F200" s="19" t="s">
        <v>191</v>
      </c>
      <c r="G200" s="18" t="s">
        <v>499</v>
      </c>
      <c r="H200" t="s">
        <v>364</v>
      </c>
      <c r="I200" t="s">
        <v>167</v>
      </c>
      <c r="J200" s="19" t="s">
        <v>504</v>
      </c>
      <c r="K200" s="20" t="s">
        <v>168</v>
      </c>
      <c r="L200" s="34">
        <f>P200*N200/P199</f>
        <v>53.308823529411768</v>
      </c>
      <c r="M200" s="34">
        <f>R200*N200/R199</f>
        <v>96.01814516129032</v>
      </c>
      <c r="N200" s="33">
        <f>100-N201</f>
        <v>93.75</v>
      </c>
      <c r="O200" s="19" t="s">
        <v>505</v>
      </c>
      <c r="P200" s="20">
        <v>2.9</v>
      </c>
      <c r="Q200" s="20">
        <v>7.8</v>
      </c>
      <c r="R200" s="20">
        <v>1.524</v>
      </c>
      <c r="T200" s="71">
        <f>100*0.18/R198</f>
        <v>14.766201804757998</v>
      </c>
      <c r="U200" s="19" t="s">
        <v>502</v>
      </c>
      <c r="AD200" s="7">
        <v>1</v>
      </c>
      <c r="AU200" t="s">
        <v>503</v>
      </c>
    </row>
    <row r="201" spans="1:47" ht="30">
      <c r="A201" s="3" t="s">
        <v>497</v>
      </c>
      <c r="B201" s="18" t="s">
        <v>498</v>
      </c>
      <c r="C201" s="19" t="s">
        <v>278</v>
      </c>
      <c r="D201" s="18" t="s">
        <v>499</v>
      </c>
      <c r="E201" s="19" t="s">
        <v>500</v>
      </c>
      <c r="F201" s="19" t="s">
        <v>191</v>
      </c>
      <c r="G201" s="18" t="s">
        <v>499</v>
      </c>
      <c r="H201" t="s">
        <v>364</v>
      </c>
      <c r="I201" t="s">
        <v>167</v>
      </c>
      <c r="J201" s="19" t="s">
        <v>504</v>
      </c>
      <c r="K201" s="20" t="s">
        <v>186</v>
      </c>
      <c r="L201" s="34">
        <f>P201*N201/P199</f>
        <v>46.691176470588225</v>
      </c>
      <c r="M201" s="34">
        <f>R201*N201/R200</f>
        <v>1.3410433070866137</v>
      </c>
      <c r="N201" s="33">
        <f>(P199-P200)/(P201-P200)*100</f>
        <v>6.2499999999999982</v>
      </c>
      <c r="O201" s="19" t="s">
        <v>505</v>
      </c>
      <c r="P201" s="20">
        <v>38.1</v>
      </c>
      <c r="Q201" s="20">
        <v>9.1999999999999993</v>
      </c>
      <c r="R201" s="20">
        <v>0.32700000000000001</v>
      </c>
      <c r="T201" s="71">
        <f>100*0/R198</f>
        <v>0</v>
      </c>
      <c r="U201" s="19" t="s">
        <v>502</v>
      </c>
      <c r="AD201" s="7">
        <v>1</v>
      </c>
      <c r="AU201" t="s">
        <v>503</v>
      </c>
    </row>
    <row r="202" spans="1:47" ht="30">
      <c r="A202" s="3" t="s">
        <v>497</v>
      </c>
      <c r="B202" s="18" t="s">
        <v>498</v>
      </c>
      <c r="C202" s="19" t="s">
        <v>278</v>
      </c>
      <c r="D202" s="18" t="s">
        <v>499</v>
      </c>
      <c r="E202" s="19" t="s">
        <v>500</v>
      </c>
      <c r="F202" s="19" t="s">
        <v>191</v>
      </c>
      <c r="G202" s="18" t="s">
        <v>499</v>
      </c>
      <c r="H202" t="s">
        <v>364</v>
      </c>
      <c r="I202" t="s">
        <v>167</v>
      </c>
      <c r="J202" s="19" t="s">
        <v>156</v>
      </c>
      <c r="K202" s="20" t="s">
        <v>157</v>
      </c>
      <c r="P202" s="20">
        <v>2.7</v>
      </c>
      <c r="Q202" s="20">
        <v>6.8</v>
      </c>
      <c r="R202" s="20">
        <v>0.77100000000000002</v>
      </c>
      <c r="T202" s="71">
        <f>100*0.1/R202</f>
        <v>12.970168612191959</v>
      </c>
      <c r="U202" s="19" t="s">
        <v>502</v>
      </c>
      <c r="AD202" s="7">
        <v>2</v>
      </c>
    </row>
    <row r="203" spans="1:47" ht="30">
      <c r="A203" s="3" t="s">
        <v>497</v>
      </c>
      <c r="B203" s="18" t="s">
        <v>498</v>
      </c>
      <c r="C203" s="19" t="s">
        <v>278</v>
      </c>
      <c r="D203" s="18" t="s">
        <v>499</v>
      </c>
      <c r="E203" s="19" t="s">
        <v>500</v>
      </c>
      <c r="F203" s="19" t="s">
        <v>191</v>
      </c>
      <c r="G203" s="18" t="s">
        <v>499</v>
      </c>
      <c r="H203" t="s">
        <v>364</v>
      </c>
      <c r="I203" t="s">
        <v>167</v>
      </c>
      <c r="J203" s="19" t="s">
        <v>156</v>
      </c>
      <c r="K203" s="20" t="s">
        <v>168</v>
      </c>
      <c r="L203" s="34">
        <f>P203*N203/P202</f>
        <v>76.466916354556801</v>
      </c>
      <c r="M203" s="34">
        <f>R203*N203/R202</f>
        <v>102.52262492895554</v>
      </c>
      <c r="N203" s="33">
        <f>100-N204</f>
        <v>98.31460674157303</v>
      </c>
      <c r="O203" s="19" t="s">
        <v>505</v>
      </c>
      <c r="P203" s="20">
        <v>2.1</v>
      </c>
      <c r="Q203" s="20">
        <v>6.6</v>
      </c>
      <c r="R203" s="20">
        <v>0.80400000000000005</v>
      </c>
      <c r="T203" s="71">
        <f>100*0.085/R202</f>
        <v>11.024643320363165</v>
      </c>
      <c r="U203" s="19" t="s">
        <v>502</v>
      </c>
      <c r="AD203" s="7">
        <v>2</v>
      </c>
    </row>
    <row r="204" spans="1:47" ht="30">
      <c r="A204" s="3" t="s">
        <v>497</v>
      </c>
      <c r="B204" s="18" t="s">
        <v>498</v>
      </c>
      <c r="C204" s="19" t="s">
        <v>278</v>
      </c>
      <c r="D204" s="18" t="s">
        <v>499</v>
      </c>
      <c r="E204" s="19" t="s">
        <v>500</v>
      </c>
      <c r="F204" s="19" t="s">
        <v>191</v>
      </c>
      <c r="G204" s="18" t="s">
        <v>499</v>
      </c>
      <c r="H204" t="s">
        <v>364</v>
      </c>
      <c r="I204" t="s">
        <v>167</v>
      </c>
      <c r="J204" s="19" t="s">
        <v>156</v>
      </c>
      <c r="K204" s="20" t="s">
        <v>186</v>
      </c>
      <c r="L204" s="34">
        <f>P204*N204/P202</f>
        <v>23.533083645443202</v>
      </c>
      <c r="M204" s="34">
        <f>R204*N204/R203</f>
        <v>0.15512326010397451</v>
      </c>
      <c r="N204" s="33">
        <f>(P202-P203)/(P204-P203)*100</f>
        <v>1.6853932584269666</v>
      </c>
      <c r="O204" s="19" t="s">
        <v>505</v>
      </c>
      <c r="P204" s="20">
        <v>37.700000000000003</v>
      </c>
      <c r="Q204" s="20">
        <v>8.9</v>
      </c>
      <c r="R204" s="20">
        <v>7.3999999999999996E-2</v>
      </c>
      <c r="T204" s="71">
        <f>100*0.1/R202</f>
        <v>12.970168612191959</v>
      </c>
      <c r="U204" s="19" t="s">
        <v>502</v>
      </c>
      <c r="AD204" s="7">
        <v>2</v>
      </c>
    </row>
    <row r="205" spans="1:47">
      <c r="A205" s="3" t="s">
        <v>506</v>
      </c>
      <c r="B205" s="18" t="s">
        <v>154</v>
      </c>
      <c r="H205" t="s">
        <v>507</v>
      </c>
      <c r="I205" t="s">
        <v>167</v>
      </c>
      <c r="J205" s="19" t="s">
        <v>469</v>
      </c>
      <c r="K205" s="20" t="s">
        <v>157</v>
      </c>
      <c r="L205" s="19"/>
      <c r="M205" s="19"/>
      <c r="N205" s="19"/>
      <c r="P205" s="20">
        <v>5.6</v>
      </c>
      <c r="V205" s="19" t="s">
        <v>508</v>
      </c>
      <c r="AD205" s="7">
        <v>1</v>
      </c>
    </row>
    <row r="206" spans="1:47">
      <c r="A206" s="3" t="s">
        <v>506</v>
      </c>
      <c r="B206" s="18" t="s">
        <v>154</v>
      </c>
      <c r="H206" t="s">
        <v>507</v>
      </c>
      <c r="I206" t="s">
        <v>167</v>
      </c>
      <c r="J206" s="19" t="s">
        <v>469</v>
      </c>
      <c r="K206" s="20" t="s">
        <v>168</v>
      </c>
      <c r="L206" s="19"/>
      <c r="M206" s="19"/>
      <c r="N206" s="19"/>
      <c r="P206" s="20">
        <v>4.7</v>
      </c>
      <c r="V206" s="19" t="s">
        <v>508</v>
      </c>
      <c r="AD206" s="7">
        <v>1</v>
      </c>
    </row>
    <row r="207" spans="1:47">
      <c r="K207" s="27"/>
      <c r="L207" s="19"/>
      <c r="M207" s="19"/>
      <c r="N207" s="19"/>
    </row>
    <row r="208" spans="1:47">
      <c r="L208" s="19"/>
      <c r="M208" s="19"/>
      <c r="N208" s="19"/>
    </row>
    <row r="209" spans="11:14">
      <c r="L209" s="19"/>
      <c r="M209" s="19"/>
      <c r="N209" s="19"/>
    </row>
    <row r="210" spans="11:14">
      <c r="L210" s="19"/>
      <c r="M210" s="19"/>
      <c r="N210" s="19"/>
    </row>
    <row r="211" spans="11:14">
      <c r="K211" s="27"/>
    </row>
  </sheetData>
  <mergeCells count="8">
    <mergeCell ref="AU147:AU150"/>
    <mergeCell ref="AJ1:AM1"/>
    <mergeCell ref="AO1:AU1"/>
    <mergeCell ref="A1:H1"/>
    <mergeCell ref="S1:Z1"/>
    <mergeCell ref="AA1:AC1"/>
    <mergeCell ref="P1:R1"/>
    <mergeCell ref="L1:O1"/>
  </mergeCells>
  <phoneticPr fontId="17" type="noConversion"/>
  <pageMargins left="0.7" right="0.7" top="0.75" bottom="0.75" header="0.3" footer="0.3"/>
  <pageSetup paperSize="8" scale="60" orientation="landscape"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60B9AA-E8A7-49EF-9EC8-7DD81470CC46}">
  <dimension ref="A1:G10"/>
  <sheetViews>
    <sheetView workbookViewId="0">
      <selection activeCell="E24" sqref="E24"/>
    </sheetView>
  </sheetViews>
  <sheetFormatPr defaultRowHeight="15"/>
  <cols>
    <col min="1" max="1" width="13" customWidth="1"/>
    <col min="2" max="2" width="14" customWidth="1"/>
  </cols>
  <sheetData>
    <row r="1" spans="1:7">
      <c r="B1" s="1" t="s">
        <v>509</v>
      </c>
    </row>
    <row r="2" spans="1:7" ht="30">
      <c r="B2" s="3" t="s">
        <v>510</v>
      </c>
      <c r="C2" t="s">
        <v>6</v>
      </c>
      <c r="D2" t="s">
        <v>511</v>
      </c>
      <c r="E2" t="s">
        <v>19</v>
      </c>
      <c r="F2" s="77" t="s">
        <v>21</v>
      </c>
      <c r="G2" s="77"/>
    </row>
    <row r="3" spans="1:7">
      <c r="B3" s="3"/>
      <c r="F3" t="s">
        <v>512</v>
      </c>
      <c r="G3" t="s">
        <v>513</v>
      </c>
    </row>
    <row r="4" spans="1:7">
      <c r="A4" s="1" t="s">
        <v>157</v>
      </c>
      <c r="B4">
        <v>9</v>
      </c>
      <c r="C4">
        <v>9.24</v>
      </c>
      <c r="D4">
        <v>3.5</v>
      </c>
      <c r="E4">
        <v>7.46</v>
      </c>
      <c r="F4">
        <v>3.6</v>
      </c>
      <c r="G4">
        <v>5.18</v>
      </c>
    </row>
    <row r="5" spans="1:7">
      <c r="A5" s="1" t="s">
        <v>168</v>
      </c>
      <c r="B5">
        <v>4.5999999999999996</v>
      </c>
      <c r="C5">
        <v>5.97</v>
      </c>
      <c r="D5">
        <v>2.4</v>
      </c>
      <c r="E5">
        <v>5.12</v>
      </c>
      <c r="F5">
        <v>1.55</v>
      </c>
      <c r="G5">
        <v>1.65</v>
      </c>
    </row>
    <row r="6" spans="1:7">
      <c r="A6" s="1" t="s">
        <v>186</v>
      </c>
      <c r="B6">
        <v>35</v>
      </c>
      <c r="C6">
        <v>20.94</v>
      </c>
      <c r="D6">
        <v>23.2</v>
      </c>
      <c r="E6">
        <v>19.2</v>
      </c>
      <c r="F6">
        <v>18.100000000000001</v>
      </c>
      <c r="G6">
        <v>19.100000000000001</v>
      </c>
    </row>
    <row r="7" spans="1:7">
      <c r="A7" s="1"/>
    </row>
    <row r="8" spans="1:7" ht="30">
      <c r="A8" s="12" t="s">
        <v>514</v>
      </c>
      <c r="B8" s="13">
        <f>(B4-B6)/(B5-B6)</f>
        <v>0.85526315789473684</v>
      </c>
      <c r="C8" s="13">
        <f>(C4-C6)/(C5-C6)</f>
        <v>0.7815631262525049</v>
      </c>
      <c r="D8" s="13">
        <f>(D4-D6)/(D5-D6)</f>
        <v>0.94711538461538458</v>
      </c>
      <c r="E8" s="13">
        <f>(E4-E6)/(E5-E6)</f>
        <v>0.83380681818181812</v>
      </c>
      <c r="F8" s="13">
        <f t="shared" ref="F8:G8" si="0">(F4-F6)/(F5-F6)</f>
        <v>0.8761329305135952</v>
      </c>
      <c r="G8" s="13">
        <f t="shared" si="0"/>
        <v>0.79770773638968473</v>
      </c>
    </row>
    <row r="10" spans="1:7">
      <c r="A10" s="1" t="s">
        <v>515</v>
      </c>
      <c r="C10" t="s">
        <v>516</v>
      </c>
      <c r="E10" t="s">
        <v>517</v>
      </c>
    </row>
  </sheetData>
  <mergeCells count="1">
    <mergeCell ref="F2:G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769F5B-FDCA-4758-AFB5-5643418F4920}">
  <dimension ref="A1:A3"/>
  <sheetViews>
    <sheetView workbookViewId="0">
      <selection activeCell="G19" sqref="G19"/>
    </sheetView>
  </sheetViews>
  <sheetFormatPr defaultRowHeight="15"/>
  <sheetData>
    <row r="1" spans="1:1">
      <c r="A1" t="s">
        <v>518</v>
      </c>
    </row>
    <row r="2" spans="1:1">
      <c r="A2" t="s">
        <v>519</v>
      </c>
    </row>
    <row r="3" spans="1:1">
      <c r="A3" t="s">
        <v>520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kument" ma:contentTypeID="0x0101000AF577DD6E8D684CAFF1362865632EC1" ma:contentTypeVersion="14" ma:contentTypeDescription="Opret et nyt dokument." ma:contentTypeScope="" ma:versionID="124ec2e8304c3c5bf89d682421b875f7">
  <xsd:schema xmlns:xsd="http://www.w3.org/2001/XMLSchema" xmlns:xs="http://www.w3.org/2001/XMLSchema" xmlns:p="http://schemas.microsoft.com/office/2006/metadata/properties" xmlns:ns3="2f148fa0-8849-43ca-a1ad-3219566f6285" xmlns:ns4="3b7cc9eb-1f2c-44c2-aef1-68ff51cd8f88" targetNamespace="http://schemas.microsoft.com/office/2006/metadata/properties" ma:root="true" ma:fieldsID="464bcc6cf6fa934ceccd475991ae2ccb" ns3:_="" ns4:_="">
    <xsd:import namespace="2f148fa0-8849-43ca-a1ad-3219566f6285"/>
    <xsd:import namespace="3b7cc9eb-1f2c-44c2-aef1-68ff51cd8f88"/>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Tags" minOccurs="0"/>
                <xsd:element ref="ns4:MediaServiceGenerationTime" minOccurs="0"/>
                <xsd:element ref="ns4:MediaServiceEventHashCode" minOccurs="0"/>
                <xsd:element ref="ns4:MediaServiceDateTaken" minOccurs="0"/>
                <xsd:element ref="ns4:MediaServiceAutoKeyPoints" minOccurs="0"/>
                <xsd:element ref="ns4:MediaServiceKeyPoints" minOccurs="0"/>
                <xsd:element ref="ns4:MediaServiceLocation" minOccurs="0"/>
                <xsd:element ref="ns4:MediaServiceOCR" minOccurs="0"/>
                <xsd:element ref="ns4: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f148fa0-8849-43ca-a1ad-3219566f6285" elementFormDefault="qualified">
    <xsd:import namespace="http://schemas.microsoft.com/office/2006/documentManagement/types"/>
    <xsd:import namespace="http://schemas.microsoft.com/office/infopath/2007/PartnerControls"/>
    <xsd:element name="SharedWithUsers" ma:index="8" nillable="true" ma:displayName="Delt med"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Delt med detaljer" ma:internalName="SharedWithDetails" ma:readOnly="true">
      <xsd:simpleType>
        <xsd:restriction base="dms:Note">
          <xsd:maxLength value="255"/>
        </xsd:restriction>
      </xsd:simpleType>
    </xsd:element>
    <xsd:element name="SharingHintHash" ma:index="10" nillable="true" ma:displayName="Hashværdi for deling"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3b7cc9eb-1f2c-44c2-aef1-68ff51cd8f88"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element name="MediaServiceOCR" ma:index="20" nillable="true" ma:displayName="Extracted Text" ma:internalName="MediaServiceOCR" ma:readOnly="true">
      <xsd:simpleType>
        <xsd:restriction base="dms:Note">
          <xsd:maxLength value="255"/>
        </xsd:restriction>
      </xsd:simpleType>
    </xsd:element>
    <xsd:element name="MediaLengthInSeconds" ma:index="21" nillable="true" ma:displayName="Length (seconds)"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dhol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5A402CE-7A4B-44ED-A208-3884D1FBDB29}"/>
</file>

<file path=customXml/itemProps2.xml><?xml version="1.0" encoding="utf-8"?>
<ds:datastoreItem xmlns:ds="http://schemas.openxmlformats.org/officeDocument/2006/customXml" ds:itemID="{42DF2204-8892-4A94-90A5-6DCDBF4AC498}"/>
</file>

<file path=customXml/itemProps3.xml><?xml version="1.0" encoding="utf-8"?>
<ds:datastoreItem xmlns:ds="http://schemas.openxmlformats.org/officeDocument/2006/customXml" ds:itemID="{A662E54A-967B-44BB-90F9-1599E728B1A7}"/>
</file>

<file path=docProps/app.xml><?xml version="1.0" encoding="utf-8"?>
<Properties xmlns="http://schemas.openxmlformats.org/officeDocument/2006/extended-properties" xmlns:vt="http://schemas.openxmlformats.org/officeDocument/2006/docPropsVTypes">
  <Application>Microsoft Excel Online</Application>
  <Manager/>
  <Company>Aarhus University</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Johanna Pedersen</dc:creator>
  <cp:keywords/>
  <dc:description/>
  <cp:lastModifiedBy>Sasha D. Hafner</cp:lastModifiedBy>
  <cp:revision/>
  <dcterms:created xsi:type="dcterms:W3CDTF">2021-11-03T07:17:48Z</dcterms:created>
  <dcterms:modified xsi:type="dcterms:W3CDTF">2022-01-11T15:44:49Z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0x0101000AF577DD6E8D684CAFF1362865632EC1</vt:lpwstr>
  </property>
</Properties>
</file>