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model/"/>
    </mc:Choice>
  </mc:AlternateContent>
  <xr:revisionPtr revIDLastSave="427" documentId="11_E233A8774101746E13308FD79B26E4775C9729D3" xr6:coauthVersionLast="47" xr6:coauthVersionMax="47" xr10:uidLastSave="{71AAE0FC-E971-4DA3-8924-B2133C76E627}"/>
  <bookViews>
    <workbookView xWindow="-120" yWindow="-120" windowWidth="29040" windowHeight="15720" xr2:uid="{00000000-000D-0000-FFFF-FFFF00000000}"/>
  </bookViews>
  <sheets>
    <sheet name="Tabel_svin" sheetId="1" r:id="rId1"/>
    <sheet name="Tabel_kvæg" sheetId="10" r:id="rId2"/>
    <sheet name="Lager" sheetId="2" r:id="rId3"/>
    <sheet name="Tabel_gyllekøling" sheetId="7" r:id="rId4"/>
    <sheet name="NH3_N2O" sheetId="8" r:id="rId5"/>
    <sheet name="Pivot" sheetId="6" r:id="rId6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1" i="1" l="1"/>
  <c r="Z137" i="1"/>
  <c r="Z118" i="1"/>
  <c r="Z84" i="1"/>
  <c r="Z83" i="1"/>
  <c r="Z70" i="1"/>
  <c r="Z71" i="1" s="1"/>
  <c r="Z65" i="1"/>
  <c r="Z64" i="1"/>
  <c r="Z61" i="1"/>
  <c r="Z60" i="1"/>
  <c r="Z57" i="1"/>
  <c r="Z56" i="1"/>
  <c r="Z49" i="1"/>
  <c r="Z47" i="1"/>
  <c r="Z93" i="1" s="1"/>
  <c r="Z94" i="1" s="1"/>
  <c r="Z44" i="1"/>
  <c r="Z40" i="1"/>
  <c r="Z39" i="1"/>
  <c r="V141" i="1"/>
  <c r="V137" i="1"/>
  <c r="V118" i="1"/>
  <c r="V83" i="1"/>
  <c r="V84" i="1" s="1"/>
  <c r="V70" i="1"/>
  <c r="V71" i="1" s="1"/>
  <c r="V65" i="1"/>
  <c r="V64" i="1"/>
  <c r="V61" i="1"/>
  <c r="V60" i="1"/>
  <c r="V57" i="1"/>
  <c r="V56" i="1"/>
  <c r="V49" i="1"/>
  <c r="V47" i="1"/>
  <c r="V93" i="1" s="1"/>
  <c r="V94" i="1" s="1"/>
  <c r="V40" i="1"/>
  <c r="V39" i="1"/>
  <c r="S141" i="1"/>
  <c r="S137" i="1"/>
  <c r="S118" i="1"/>
  <c r="S83" i="1"/>
  <c r="S84" i="1" s="1"/>
  <c r="S70" i="1"/>
  <c r="S71" i="1" s="1"/>
  <c r="S65" i="1"/>
  <c r="S64" i="1"/>
  <c r="S61" i="1"/>
  <c r="S60" i="1"/>
  <c r="S57" i="1"/>
  <c r="S56" i="1"/>
  <c r="S49" i="1"/>
  <c r="S47" i="1"/>
  <c r="S93" i="1" s="1"/>
  <c r="S40" i="1"/>
  <c r="S39" i="1"/>
  <c r="Q141" i="1"/>
  <c r="Q137" i="1"/>
  <c r="Q118" i="1"/>
  <c r="Q83" i="1"/>
  <c r="Q84" i="1" s="1"/>
  <c r="Q70" i="1"/>
  <c r="Q71" i="1" s="1"/>
  <c r="Q64" i="1"/>
  <c r="Q61" i="1"/>
  <c r="Q60" i="1"/>
  <c r="Q57" i="1"/>
  <c r="Q56" i="1"/>
  <c r="Q49" i="1"/>
  <c r="Q47" i="1"/>
  <c r="Q93" i="1" s="1"/>
  <c r="Q94" i="1" s="1"/>
  <c r="Q40" i="1"/>
  <c r="Q39" i="1"/>
  <c r="N141" i="1"/>
  <c r="N137" i="1"/>
  <c r="N118" i="1"/>
  <c r="N83" i="1"/>
  <c r="N84" i="1" s="1"/>
  <c r="N70" i="1"/>
  <c r="N71" i="1" s="1"/>
  <c r="N64" i="1"/>
  <c r="N61" i="1"/>
  <c r="N60" i="1"/>
  <c r="N57" i="1"/>
  <c r="N56" i="1"/>
  <c r="N49" i="1"/>
  <c r="N47" i="1"/>
  <c r="N93" i="1" s="1"/>
  <c r="N44" i="1"/>
  <c r="N40" i="1"/>
  <c r="N39" i="1"/>
  <c r="K46" i="1"/>
  <c r="K47" i="1" s="1"/>
  <c r="K93" i="1" s="1"/>
  <c r="K94" i="1" s="1"/>
  <c r="K141" i="1"/>
  <c r="K137" i="1"/>
  <c r="K118" i="1"/>
  <c r="K83" i="1"/>
  <c r="K84" i="1" s="1"/>
  <c r="K70" i="1"/>
  <c r="K71" i="1" s="1"/>
  <c r="K76" i="1" s="1"/>
  <c r="K64" i="1"/>
  <c r="K61" i="1"/>
  <c r="K60" i="1"/>
  <c r="K57" i="1"/>
  <c r="K56" i="1"/>
  <c r="K49" i="1"/>
  <c r="K40" i="1"/>
  <c r="K39" i="1"/>
  <c r="H46" i="1"/>
  <c r="H47" i="1" s="1"/>
  <c r="H93" i="1" s="1"/>
  <c r="H141" i="1"/>
  <c r="H137" i="1"/>
  <c r="H118" i="1"/>
  <c r="H83" i="1"/>
  <c r="H84" i="1" s="1"/>
  <c r="H70" i="1"/>
  <c r="H71" i="1" s="1"/>
  <c r="H64" i="1"/>
  <c r="H61" i="1"/>
  <c r="H60" i="1"/>
  <c r="H57" i="1"/>
  <c r="H56" i="1"/>
  <c r="H49" i="1"/>
  <c r="H40" i="1"/>
  <c r="H39" i="1"/>
  <c r="E46" i="1"/>
  <c r="E47" i="1" s="1"/>
  <c r="E93" i="1" s="1"/>
  <c r="E141" i="1"/>
  <c r="E137" i="1"/>
  <c r="E118" i="1"/>
  <c r="E83" i="1"/>
  <c r="E84" i="1" s="1"/>
  <c r="E70" i="1"/>
  <c r="E71" i="1" s="1"/>
  <c r="E64" i="1"/>
  <c r="E61" i="1"/>
  <c r="E60" i="1"/>
  <c r="E57" i="1"/>
  <c r="E56" i="1"/>
  <c r="E49" i="1"/>
  <c r="E40" i="1"/>
  <c r="E39" i="1"/>
  <c r="D42" i="10"/>
  <c r="C42" i="10"/>
  <c r="D41" i="10"/>
  <c r="C41" i="10"/>
  <c r="D40" i="1"/>
  <c r="F40" i="1"/>
  <c r="G40" i="1"/>
  <c r="I40" i="1"/>
  <c r="J40" i="1"/>
  <c r="L40" i="1"/>
  <c r="M40" i="1"/>
  <c r="O40" i="1"/>
  <c r="P40" i="1"/>
  <c r="R40" i="1"/>
  <c r="T40" i="1"/>
  <c r="U40" i="1"/>
  <c r="W40" i="1"/>
  <c r="X40" i="1"/>
  <c r="Y40" i="1"/>
  <c r="C40" i="1"/>
  <c r="D39" i="1"/>
  <c r="F39" i="1"/>
  <c r="G39" i="1"/>
  <c r="I39" i="1"/>
  <c r="J39" i="1"/>
  <c r="L39" i="1"/>
  <c r="M39" i="1"/>
  <c r="O39" i="1"/>
  <c r="P39" i="1"/>
  <c r="R39" i="1"/>
  <c r="T39" i="1"/>
  <c r="U39" i="1"/>
  <c r="W39" i="1"/>
  <c r="X39" i="1"/>
  <c r="Y39" i="1"/>
  <c r="C39" i="1"/>
  <c r="D40" i="10"/>
  <c r="D39" i="10"/>
  <c r="C40" i="10"/>
  <c r="C39" i="10"/>
  <c r="R65" i="1"/>
  <c r="Z74" i="1" l="1"/>
  <c r="Z76" i="1"/>
  <c r="Z79" i="1"/>
  <c r="V74" i="1"/>
  <c r="V76" i="1"/>
  <c r="V79" i="1"/>
  <c r="S94" i="1"/>
  <c r="S74" i="1"/>
  <c r="S79" i="1"/>
  <c r="S76" i="1"/>
  <c r="H94" i="1"/>
  <c r="N94" i="1"/>
  <c r="Q74" i="1"/>
  <c r="Q79" i="1"/>
  <c r="Q76" i="1"/>
  <c r="E94" i="1"/>
  <c r="N74" i="1"/>
  <c r="N76" i="1"/>
  <c r="N79" i="1"/>
  <c r="K74" i="1"/>
  <c r="K79" i="1"/>
  <c r="H74" i="1"/>
  <c r="H79" i="1"/>
  <c r="H76" i="1"/>
  <c r="E74" i="1"/>
  <c r="E76" i="1"/>
  <c r="E79" i="1"/>
  <c r="X141" i="1"/>
  <c r="X137" i="1"/>
  <c r="X83" i="1"/>
  <c r="X84" i="1" s="1"/>
  <c r="X70" i="1"/>
  <c r="X71" i="1" s="1"/>
  <c r="X79" i="1" s="1"/>
  <c r="X65" i="1"/>
  <c r="X64" i="1"/>
  <c r="X61" i="1"/>
  <c r="X60" i="1"/>
  <c r="X57" i="1"/>
  <c r="X56" i="1"/>
  <c r="X49" i="1"/>
  <c r="X47" i="1"/>
  <c r="X93" i="1" s="1"/>
  <c r="X44" i="1"/>
  <c r="U141" i="1"/>
  <c r="U137" i="1"/>
  <c r="U83" i="1"/>
  <c r="U84" i="1" s="1"/>
  <c r="U70" i="1"/>
  <c r="U71" i="1" s="1"/>
  <c r="U65" i="1"/>
  <c r="U64" i="1"/>
  <c r="U61" i="1"/>
  <c r="U60" i="1"/>
  <c r="U57" i="1"/>
  <c r="U56" i="1"/>
  <c r="U49" i="1"/>
  <c r="U47" i="1"/>
  <c r="U93" i="1" s="1"/>
  <c r="P141" i="1"/>
  <c r="P137" i="1"/>
  <c r="P83" i="1"/>
  <c r="P84" i="1" s="1"/>
  <c r="P70" i="1"/>
  <c r="P71" i="1" s="1"/>
  <c r="P64" i="1"/>
  <c r="P61" i="1"/>
  <c r="P60" i="1"/>
  <c r="P57" i="1"/>
  <c r="P56" i="1"/>
  <c r="P49" i="1"/>
  <c r="P47" i="1"/>
  <c r="P93" i="1" s="1"/>
  <c r="M141" i="1"/>
  <c r="M137" i="1"/>
  <c r="M83" i="1"/>
  <c r="M84" i="1" s="1"/>
  <c r="M70" i="1"/>
  <c r="M71" i="1" s="1"/>
  <c r="M64" i="1"/>
  <c r="M61" i="1"/>
  <c r="M60" i="1"/>
  <c r="M57" i="1"/>
  <c r="M56" i="1"/>
  <c r="M49" i="1"/>
  <c r="M47" i="1"/>
  <c r="M93" i="1" s="1"/>
  <c r="M44" i="1"/>
  <c r="J141" i="1"/>
  <c r="J137" i="1"/>
  <c r="J83" i="1"/>
  <c r="J84" i="1" s="1"/>
  <c r="J70" i="1"/>
  <c r="J71" i="1" s="1"/>
  <c r="J64" i="1"/>
  <c r="J61" i="1"/>
  <c r="J60" i="1"/>
  <c r="J57" i="1"/>
  <c r="J56" i="1"/>
  <c r="J49" i="1"/>
  <c r="J47" i="1"/>
  <c r="J93" i="1" s="1"/>
  <c r="G141" i="1"/>
  <c r="G137" i="1"/>
  <c r="G83" i="1"/>
  <c r="G84" i="1" s="1"/>
  <c r="G70" i="1"/>
  <c r="G71" i="1" s="1"/>
  <c r="G64" i="1"/>
  <c r="G61" i="1"/>
  <c r="G60" i="1"/>
  <c r="G57" i="1"/>
  <c r="G56" i="1"/>
  <c r="G49" i="1"/>
  <c r="G47" i="1"/>
  <c r="G93" i="1" s="1"/>
  <c r="Y141" i="1"/>
  <c r="Y137" i="1"/>
  <c r="Y83" i="1"/>
  <c r="Y84" i="1" s="1"/>
  <c r="Y70" i="1"/>
  <c r="Y71" i="1" s="1"/>
  <c r="Y65" i="1"/>
  <c r="Y64" i="1"/>
  <c r="Y61" i="1"/>
  <c r="Y60" i="1"/>
  <c r="Y57" i="1"/>
  <c r="Y56" i="1"/>
  <c r="Y49" i="1"/>
  <c r="Y47" i="1"/>
  <c r="Y93" i="1" s="1"/>
  <c r="Y44" i="1"/>
  <c r="E6" i="2"/>
  <c r="D48" i="10"/>
  <c r="C48" i="10"/>
  <c r="D49" i="1"/>
  <c r="F49" i="1"/>
  <c r="I49" i="1"/>
  <c r="L49" i="1"/>
  <c r="O49" i="1"/>
  <c r="R49" i="1"/>
  <c r="T49" i="1"/>
  <c r="W49" i="1"/>
  <c r="C49" i="1"/>
  <c r="Z80" i="1" l="1"/>
  <c r="Z85" i="1" s="1"/>
  <c r="Z41" i="1"/>
  <c r="Z97" i="1"/>
  <c r="Z96" i="1"/>
  <c r="Z42" i="1"/>
  <c r="V96" i="1"/>
  <c r="V97" i="1"/>
  <c r="V80" i="1"/>
  <c r="S80" i="1"/>
  <c r="S42" i="1" s="1"/>
  <c r="S97" i="1"/>
  <c r="S96" i="1"/>
  <c r="Q96" i="1"/>
  <c r="Q97" i="1"/>
  <c r="Q80" i="1"/>
  <c r="Q41" i="1" s="1"/>
  <c r="N80" i="1"/>
  <c r="N85" i="1" s="1"/>
  <c r="N97" i="1"/>
  <c r="N96" i="1"/>
  <c r="K80" i="1"/>
  <c r="K85" i="1" s="1"/>
  <c r="K97" i="1"/>
  <c r="K96" i="1"/>
  <c r="H80" i="1"/>
  <c r="H42" i="1" s="1"/>
  <c r="H97" i="1"/>
  <c r="H96" i="1"/>
  <c r="E97" i="1"/>
  <c r="E96" i="1"/>
  <c r="E80" i="1"/>
  <c r="E85" i="1" s="1"/>
  <c r="X94" i="1"/>
  <c r="P94" i="1"/>
  <c r="U94" i="1"/>
  <c r="J94" i="1"/>
  <c r="X76" i="1"/>
  <c r="X80" i="1" s="1"/>
  <c r="X85" i="1" s="1"/>
  <c r="X74" i="1"/>
  <c r="U76" i="1"/>
  <c r="U74" i="1"/>
  <c r="U79" i="1"/>
  <c r="Y94" i="1"/>
  <c r="M94" i="1"/>
  <c r="P74" i="1"/>
  <c r="P76" i="1"/>
  <c r="P79" i="1"/>
  <c r="M76" i="1"/>
  <c r="M74" i="1"/>
  <c r="M79" i="1"/>
  <c r="G94" i="1"/>
  <c r="J74" i="1"/>
  <c r="J79" i="1"/>
  <c r="J76" i="1"/>
  <c r="G74" i="1"/>
  <c r="G79" i="1"/>
  <c r="G76" i="1"/>
  <c r="Y79" i="1"/>
  <c r="Y76" i="1"/>
  <c r="Y74" i="1"/>
  <c r="D137" i="1"/>
  <c r="F137" i="1"/>
  <c r="I137" i="1"/>
  <c r="L137" i="1"/>
  <c r="O137" i="1"/>
  <c r="R137" i="1"/>
  <c r="T137" i="1"/>
  <c r="W137" i="1"/>
  <c r="Z87" i="1" l="1"/>
  <c r="Z130" i="1" s="1"/>
  <c r="Z86" i="1"/>
  <c r="Z89" i="1"/>
  <c r="Z12" i="1" s="1"/>
  <c r="Z10" i="1" s="1"/>
  <c r="Z11" i="1" s="1"/>
  <c r="Z13" i="1" s="1"/>
  <c r="Z127" i="1"/>
  <c r="Z129" i="1" s="1"/>
  <c r="Z114" i="1"/>
  <c r="Z116" i="1" s="1"/>
  <c r="Z120" i="1" s="1"/>
  <c r="Z122" i="1" s="1"/>
  <c r="V85" i="1"/>
  <c r="V41" i="1"/>
  <c r="V42" i="1"/>
  <c r="V114" i="1"/>
  <c r="V127" i="1"/>
  <c r="N41" i="1"/>
  <c r="S114" i="1"/>
  <c r="S127" i="1"/>
  <c r="S85" i="1"/>
  <c r="S41" i="1"/>
  <c r="Q127" i="1"/>
  <c r="Q114" i="1"/>
  <c r="Q85" i="1"/>
  <c r="Q42" i="1"/>
  <c r="N114" i="1"/>
  <c r="N116" i="1" s="1"/>
  <c r="N120" i="1" s="1"/>
  <c r="N122" i="1" s="1"/>
  <c r="N127" i="1"/>
  <c r="N129" i="1" s="1"/>
  <c r="N86" i="1"/>
  <c r="N89" i="1"/>
  <c r="N12" i="1" s="1"/>
  <c r="N10" i="1" s="1"/>
  <c r="N11" i="1" s="1"/>
  <c r="N13" i="1" s="1"/>
  <c r="N87" i="1"/>
  <c r="N130" i="1" s="1"/>
  <c r="N42" i="1"/>
  <c r="K114" i="1"/>
  <c r="K116" i="1" s="1"/>
  <c r="K120" i="1" s="1"/>
  <c r="K122" i="1" s="1"/>
  <c r="K127" i="1"/>
  <c r="K129" i="1" s="1"/>
  <c r="K41" i="1"/>
  <c r="K89" i="1"/>
  <c r="K12" i="1" s="1"/>
  <c r="K10" i="1" s="1"/>
  <c r="K11" i="1" s="1"/>
  <c r="K13" i="1" s="1"/>
  <c r="K87" i="1"/>
  <c r="K130" i="1" s="1"/>
  <c r="K86" i="1"/>
  <c r="K42" i="1"/>
  <c r="H114" i="1"/>
  <c r="H127" i="1"/>
  <c r="H85" i="1"/>
  <c r="H41" i="1"/>
  <c r="E114" i="1"/>
  <c r="E116" i="1" s="1"/>
  <c r="E120" i="1" s="1"/>
  <c r="E122" i="1" s="1"/>
  <c r="E127" i="1"/>
  <c r="E129" i="1" s="1"/>
  <c r="E86" i="1"/>
  <c r="E89" i="1"/>
  <c r="E12" i="1" s="1"/>
  <c r="E10" i="1" s="1"/>
  <c r="E11" i="1" s="1"/>
  <c r="E13" i="1" s="1"/>
  <c r="E87" i="1"/>
  <c r="E130" i="1" s="1"/>
  <c r="E41" i="1"/>
  <c r="E42" i="1"/>
  <c r="X42" i="1"/>
  <c r="X41" i="1"/>
  <c r="X86" i="1"/>
  <c r="X89" i="1"/>
  <c r="X12" i="1" s="1"/>
  <c r="X10" i="1" s="1"/>
  <c r="X11" i="1" s="1"/>
  <c r="X13" i="1" s="1"/>
  <c r="X87" i="1"/>
  <c r="X130" i="1" s="1"/>
  <c r="X96" i="1"/>
  <c r="X97" i="1"/>
  <c r="U80" i="1"/>
  <c r="U85" i="1" s="1"/>
  <c r="U86" i="1" s="1"/>
  <c r="U97" i="1"/>
  <c r="U96" i="1"/>
  <c r="P80" i="1"/>
  <c r="P85" i="1" s="1"/>
  <c r="P87" i="1" s="1"/>
  <c r="P130" i="1" s="1"/>
  <c r="P97" i="1"/>
  <c r="P96" i="1"/>
  <c r="M80" i="1"/>
  <c r="M85" i="1" s="1"/>
  <c r="M97" i="1"/>
  <c r="M96" i="1"/>
  <c r="J80" i="1"/>
  <c r="J85" i="1" s="1"/>
  <c r="J97" i="1"/>
  <c r="J96" i="1"/>
  <c r="G97" i="1"/>
  <c r="G96" i="1"/>
  <c r="G80" i="1"/>
  <c r="G85" i="1" s="1"/>
  <c r="Y80" i="1"/>
  <c r="Y85" i="1" s="1"/>
  <c r="Y87" i="1" s="1"/>
  <c r="Y130" i="1" s="1"/>
  <c r="Y97" i="1"/>
  <c r="Y96" i="1"/>
  <c r="D81" i="10"/>
  <c r="D83" i="10" s="1"/>
  <c r="C81" i="10"/>
  <c r="C83" i="10" s="1"/>
  <c r="D75" i="10"/>
  <c r="D78" i="10" s="1"/>
  <c r="D79" i="10" s="1"/>
  <c r="C75" i="10"/>
  <c r="C78" i="10" s="1"/>
  <c r="C79" i="10" s="1"/>
  <c r="D73" i="10"/>
  <c r="C73" i="10"/>
  <c r="D47" i="1"/>
  <c r="F47" i="1"/>
  <c r="I47" i="1"/>
  <c r="L47" i="1"/>
  <c r="O47" i="1"/>
  <c r="R47" i="1"/>
  <c r="T47" i="1"/>
  <c r="W47" i="1"/>
  <c r="D136" i="10"/>
  <c r="C136" i="10"/>
  <c r="D63" i="10"/>
  <c r="C63" i="10"/>
  <c r="D60" i="10"/>
  <c r="C60" i="10"/>
  <c r="D59" i="10"/>
  <c r="C59" i="10"/>
  <c r="D56" i="10"/>
  <c r="C56" i="10"/>
  <c r="D55" i="10"/>
  <c r="C55" i="10"/>
  <c r="D46" i="10"/>
  <c r="D92" i="10" s="1"/>
  <c r="C46" i="10"/>
  <c r="C92" i="10" s="1"/>
  <c r="C93" i="10" s="1"/>
  <c r="Z99" i="1" l="1"/>
  <c r="Z106" i="1"/>
  <c r="Z107" i="1" s="1"/>
  <c r="Z108" i="1" s="1"/>
  <c r="Z109" i="1" s="1"/>
  <c r="Z110" i="1" s="1"/>
  <c r="Z19" i="1" s="1"/>
  <c r="V129" i="1"/>
  <c r="V116" i="1"/>
  <c r="V120" i="1" s="1"/>
  <c r="V122" i="1" s="1"/>
  <c r="V86" i="1"/>
  <c r="V89" i="1"/>
  <c r="V12" i="1" s="1"/>
  <c r="V10" i="1" s="1"/>
  <c r="V11" i="1" s="1"/>
  <c r="V13" i="1" s="1"/>
  <c r="V87" i="1"/>
  <c r="V130" i="1" s="1"/>
  <c r="Q129" i="1"/>
  <c r="S86" i="1"/>
  <c r="S87" i="1"/>
  <c r="S130" i="1" s="1"/>
  <c r="S89" i="1"/>
  <c r="S12" i="1" s="1"/>
  <c r="S10" i="1" s="1"/>
  <c r="S11" i="1" s="1"/>
  <c r="S13" i="1" s="1"/>
  <c r="S129" i="1"/>
  <c r="S116" i="1"/>
  <c r="S120" i="1" s="1"/>
  <c r="S122" i="1" s="1"/>
  <c r="Q86" i="1"/>
  <c r="Q89" i="1"/>
  <c r="Q12" i="1" s="1"/>
  <c r="Q10" i="1" s="1"/>
  <c r="Q11" i="1" s="1"/>
  <c r="Q13" i="1" s="1"/>
  <c r="Q87" i="1"/>
  <c r="Q130" i="1" s="1"/>
  <c r="Q116" i="1"/>
  <c r="Q120" i="1" s="1"/>
  <c r="Q122" i="1" s="1"/>
  <c r="N106" i="1"/>
  <c r="N107" i="1" s="1"/>
  <c r="N108" i="1" s="1"/>
  <c r="N109" i="1" s="1"/>
  <c r="N110" i="1" s="1"/>
  <c r="N19" i="1" s="1"/>
  <c r="N99" i="1"/>
  <c r="K99" i="1"/>
  <c r="K106" i="1"/>
  <c r="K107" i="1" s="1"/>
  <c r="K108" i="1" s="1"/>
  <c r="K109" i="1" s="1"/>
  <c r="K110" i="1" s="1"/>
  <c r="K19" i="1" s="1"/>
  <c r="P42" i="1"/>
  <c r="H129" i="1"/>
  <c r="H86" i="1"/>
  <c r="H89" i="1"/>
  <c r="H12" i="1" s="1"/>
  <c r="H10" i="1" s="1"/>
  <c r="H11" i="1" s="1"/>
  <c r="H13" i="1" s="1"/>
  <c r="H87" i="1"/>
  <c r="H130" i="1" s="1"/>
  <c r="H116" i="1"/>
  <c r="H120" i="1" s="1"/>
  <c r="H122" i="1" s="1"/>
  <c r="G42" i="1"/>
  <c r="M41" i="1"/>
  <c r="E106" i="1"/>
  <c r="E107" i="1" s="1"/>
  <c r="E108" i="1" s="1"/>
  <c r="E109" i="1" s="1"/>
  <c r="E110" i="1" s="1"/>
  <c r="E19" i="1" s="1"/>
  <c r="E99" i="1"/>
  <c r="U42" i="1"/>
  <c r="Y42" i="1"/>
  <c r="U41" i="1"/>
  <c r="G41" i="1"/>
  <c r="Y41" i="1"/>
  <c r="P41" i="1"/>
  <c r="M42" i="1"/>
  <c r="J41" i="1"/>
  <c r="J42" i="1"/>
  <c r="D93" i="10"/>
  <c r="U87" i="1"/>
  <c r="U130" i="1" s="1"/>
  <c r="X106" i="1"/>
  <c r="X107" i="1" s="1"/>
  <c r="X108" i="1" s="1"/>
  <c r="X109" i="1" s="1"/>
  <c r="X110" i="1" s="1"/>
  <c r="X19" i="1" s="1"/>
  <c r="X99" i="1"/>
  <c r="X127" i="1"/>
  <c r="X129" i="1" s="1"/>
  <c r="X114" i="1"/>
  <c r="X116" i="1" s="1"/>
  <c r="U89" i="1"/>
  <c r="U12" i="1" s="1"/>
  <c r="U10" i="1" s="1"/>
  <c r="U11" i="1" s="1"/>
  <c r="U13" i="1" s="1"/>
  <c r="U106" i="1" s="1"/>
  <c r="U107" i="1" s="1"/>
  <c r="U108" i="1" s="1"/>
  <c r="U109" i="1" s="1"/>
  <c r="U110" i="1" s="1"/>
  <c r="U19" i="1" s="1"/>
  <c r="U114" i="1"/>
  <c r="U116" i="1" s="1"/>
  <c r="U127" i="1"/>
  <c r="U129" i="1" s="1"/>
  <c r="P89" i="1"/>
  <c r="P12" i="1" s="1"/>
  <c r="P10" i="1" s="1"/>
  <c r="P11" i="1" s="1"/>
  <c r="P13" i="1" s="1"/>
  <c r="P99" i="1" s="1"/>
  <c r="P86" i="1"/>
  <c r="P127" i="1"/>
  <c r="P129" i="1" s="1"/>
  <c r="P114" i="1"/>
  <c r="P116" i="1" s="1"/>
  <c r="M127" i="1"/>
  <c r="M129" i="1" s="1"/>
  <c r="M114" i="1"/>
  <c r="M116" i="1" s="1"/>
  <c r="M86" i="1"/>
  <c r="M89" i="1"/>
  <c r="M12" i="1" s="1"/>
  <c r="M10" i="1" s="1"/>
  <c r="M11" i="1" s="1"/>
  <c r="M13" i="1" s="1"/>
  <c r="M87" i="1"/>
  <c r="M130" i="1" s="1"/>
  <c r="Y89" i="1"/>
  <c r="Y12" i="1" s="1"/>
  <c r="Y10" i="1" s="1"/>
  <c r="Y11" i="1" s="1"/>
  <c r="Y13" i="1" s="1"/>
  <c r="Y106" i="1" s="1"/>
  <c r="Y107" i="1" s="1"/>
  <c r="Y108" i="1" s="1"/>
  <c r="Y109" i="1" s="1"/>
  <c r="Y110" i="1" s="1"/>
  <c r="Y19" i="1" s="1"/>
  <c r="J127" i="1"/>
  <c r="J129" i="1" s="1"/>
  <c r="J114" i="1"/>
  <c r="J116" i="1" s="1"/>
  <c r="J86" i="1"/>
  <c r="J89" i="1"/>
  <c r="J12" i="1" s="1"/>
  <c r="J10" i="1" s="1"/>
  <c r="J11" i="1" s="1"/>
  <c r="J13" i="1" s="1"/>
  <c r="J87" i="1"/>
  <c r="J130" i="1" s="1"/>
  <c r="Y86" i="1"/>
  <c r="G127" i="1"/>
  <c r="G129" i="1" s="1"/>
  <c r="G114" i="1"/>
  <c r="G116" i="1" s="1"/>
  <c r="G86" i="1"/>
  <c r="G89" i="1"/>
  <c r="G12" i="1" s="1"/>
  <c r="G10" i="1" s="1"/>
  <c r="G11" i="1" s="1"/>
  <c r="G13" i="1" s="1"/>
  <c r="G87" i="1"/>
  <c r="G130" i="1" s="1"/>
  <c r="Y127" i="1"/>
  <c r="Y129" i="1" s="1"/>
  <c r="Y114" i="1"/>
  <c r="Y116" i="1" s="1"/>
  <c r="D84" i="10"/>
  <c r="D29" i="10" s="1"/>
  <c r="C84" i="10"/>
  <c r="C29" i="10" s="1"/>
  <c r="C137" i="1"/>
  <c r="Z30" i="1" l="1"/>
  <c r="Z113" i="1"/>
  <c r="Z115" i="1" s="1"/>
  <c r="Z100" i="1"/>
  <c r="Z101" i="1" s="1"/>
  <c r="Z102" i="1" s="1"/>
  <c r="Z103" i="1" s="1"/>
  <c r="Z15" i="1" s="1"/>
  <c r="Z126" i="1"/>
  <c r="Z128" i="1" s="1"/>
  <c r="Z131" i="1" s="1"/>
  <c r="V106" i="1"/>
  <c r="V107" i="1" s="1"/>
  <c r="V108" i="1" s="1"/>
  <c r="V109" i="1" s="1"/>
  <c r="V110" i="1" s="1"/>
  <c r="V19" i="1" s="1"/>
  <c r="V99" i="1"/>
  <c r="S99" i="1"/>
  <c r="S106" i="1"/>
  <c r="S107" i="1" s="1"/>
  <c r="S108" i="1" s="1"/>
  <c r="S109" i="1" s="1"/>
  <c r="S110" i="1" s="1"/>
  <c r="S19" i="1" s="1"/>
  <c r="Q106" i="1"/>
  <c r="Q107" i="1" s="1"/>
  <c r="Q108" i="1" s="1"/>
  <c r="Q109" i="1" s="1"/>
  <c r="Q110" i="1" s="1"/>
  <c r="Q19" i="1" s="1"/>
  <c r="Q99" i="1"/>
  <c r="N30" i="1"/>
  <c r="N113" i="1"/>
  <c r="N115" i="1" s="1"/>
  <c r="N100" i="1"/>
  <c r="N101" i="1" s="1"/>
  <c r="N102" i="1" s="1"/>
  <c r="N103" i="1" s="1"/>
  <c r="N15" i="1" s="1"/>
  <c r="N126" i="1"/>
  <c r="N128" i="1" s="1"/>
  <c r="N131" i="1" s="1"/>
  <c r="K30" i="1"/>
  <c r="K113" i="1"/>
  <c r="K115" i="1" s="1"/>
  <c r="K100" i="1"/>
  <c r="K101" i="1" s="1"/>
  <c r="K102" i="1" s="1"/>
  <c r="K103" i="1" s="1"/>
  <c r="K15" i="1" s="1"/>
  <c r="K126" i="1"/>
  <c r="K128" i="1" s="1"/>
  <c r="K131" i="1" s="1"/>
  <c r="H106" i="1"/>
  <c r="H107" i="1" s="1"/>
  <c r="H108" i="1" s="1"/>
  <c r="H109" i="1" s="1"/>
  <c r="H110" i="1" s="1"/>
  <c r="H19" i="1" s="1"/>
  <c r="H99" i="1"/>
  <c r="E113" i="1"/>
  <c r="E115" i="1" s="1"/>
  <c r="E100" i="1"/>
  <c r="E101" i="1" s="1"/>
  <c r="E102" i="1" s="1"/>
  <c r="E103" i="1" s="1"/>
  <c r="E15" i="1" s="1"/>
  <c r="E126" i="1"/>
  <c r="E128" i="1" s="1"/>
  <c r="E131" i="1" s="1"/>
  <c r="E30" i="1"/>
  <c r="U99" i="1"/>
  <c r="U126" i="1" s="1"/>
  <c r="U128" i="1" s="1"/>
  <c r="U131" i="1" s="1"/>
  <c r="X113" i="1"/>
  <c r="X115" i="1" s="1"/>
  <c r="X100" i="1"/>
  <c r="X101" i="1" s="1"/>
  <c r="X102" i="1" s="1"/>
  <c r="X103" i="1" s="1"/>
  <c r="X15" i="1" s="1"/>
  <c r="X30" i="1"/>
  <c r="X126" i="1"/>
  <c r="X128" i="1" s="1"/>
  <c r="X131" i="1" s="1"/>
  <c r="Y99" i="1"/>
  <c r="Y126" i="1" s="1"/>
  <c r="Y128" i="1" s="1"/>
  <c r="Y131" i="1" s="1"/>
  <c r="U30" i="1"/>
  <c r="P106" i="1"/>
  <c r="P107" i="1" s="1"/>
  <c r="P108" i="1" s="1"/>
  <c r="P109" i="1" s="1"/>
  <c r="P110" i="1" s="1"/>
  <c r="P19" i="1" s="1"/>
  <c r="P30" i="1" s="1"/>
  <c r="P113" i="1"/>
  <c r="P115" i="1" s="1"/>
  <c r="P100" i="1"/>
  <c r="P101" i="1" s="1"/>
  <c r="P102" i="1" s="1"/>
  <c r="P103" i="1" s="1"/>
  <c r="P15" i="1" s="1"/>
  <c r="P126" i="1"/>
  <c r="P128" i="1" s="1"/>
  <c r="P131" i="1" s="1"/>
  <c r="M99" i="1"/>
  <c r="M106" i="1"/>
  <c r="M107" i="1" s="1"/>
  <c r="M108" i="1" s="1"/>
  <c r="M109" i="1" s="1"/>
  <c r="M110" i="1" s="1"/>
  <c r="M19" i="1" s="1"/>
  <c r="J106" i="1"/>
  <c r="J107" i="1" s="1"/>
  <c r="J108" i="1" s="1"/>
  <c r="J109" i="1" s="1"/>
  <c r="J110" i="1" s="1"/>
  <c r="J19" i="1" s="1"/>
  <c r="J99" i="1"/>
  <c r="G99" i="1"/>
  <c r="G106" i="1"/>
  <c r="G107" i="1" s="1"/>
  <c r="G108" i="1" s="1"/>
  <c r="G109" i="1" s="1"/>
  <c r="G110" i="1" s="1"/>
  <c r="G19" i="1" s="1"/>
  <c r="Y30" i="1"/>
  <c r="C85" i="10"/>
  <c r="C88" i="10"/>
  <c r="C12" i="10" s="1"/>
  <c r="C10" i="10" s="1"/>
  <c r="C11" i="10" s="1"/>
  <c r="C13" i="10" s="1"/>
  <c r="C86" i="10"/>
  <c r="C129" i="10" s="1"/>
  <c r="D88" i="10"/>
  <c r="D85" i="10"/>
  <c r="D86" i="10"/>
  <c r="D129" i="10" s="1"/>
  <c r="D96" i="10"/>
  <c r="D95" i="10"/>
  <c r="C96" i="10"/>
  <c r="C95" i="10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C21" i="7"/>
  <c r="Z119" i="1" l="1"/>
  <c r="Z121" i="1" s="1"/>
  <c r="Z123" i="1" s="1"/>
  <c r="Z16" i="1" s="1"/>
  <c r="Z27" i="1" s="1"/>
  <c r="Z117" i="1"/>
  <c r="Z22" i="1" s="1"/>
  <c r="Z33" i="1" s="1"/>
  <c r="Z140" i="1"/>
  <c r="Z142" i="1" s="1"/>
  <c r="Z143" i="1" s="1"/>
  <c r="Z20" i="1" s="1"/>
  <c r="Z132" i="1"/>
  <c r="Z139" i="1" s="1"/>
  <c r="Z24" i="1" s="1"/>
  <c r="Z138" i="1"/>
  <c r="Z23" i="1" s="1"/>
  <c r="Z34" i="1" s="1"/>
  <c r="Z26" i="1"/>
  <c r="V113" i="1"/>
  <c r="V115" i="1" s="1"/>
  <c r="V100" i="1"/>
  <c r="V101" i="1" s="1"/>
  <c r="V102" i="1" s="1"/>
  <c r="V103" i="1" s="1"/>
  <c r="V15" i="1" s="1"/>
  <c r="V126" i="1"/>
  <c r="V128" i="1" s="1"/>
  <c r="V131" i="1" s="1"/>
  <c r="V30" i="1"/>
  <c r="S30" i="1"/>
  <c r="S100" i="1"/>
  <c r="S101" i="1" s="1"/>
  <c r="S102" i="1" s="1"/>
  <c r="S103" i="1" s="1"/>
  <c r="S15" i="1" s="1"/>
  <c r="S113" i="1"/>
  <c r="S115" i="1" s="1"/>
  <c r="S126" i="1"/>
  <c r="S128" i="1" s="1"/>
  <c r="S131" i="1" s="1"/>
  <c r="Q30" i="1"/>
  <c r="Q100" i="1"/>
  <c r="Q101" i="1" s="1"/>
  <c r="Q102" i="1" s="1"/>
  <c r="Q103" i="1" s="1"/>
  <c r="Q15" i="1" s="1"/>
  <c r="Q113" i="1"/>
  <c r="Q115" i="1" s="1"/>
  <c r="Q126" i="1"/>
  <c r="Q128" i="1" s="1"/>
  <c r="Q131" i="1" s="1"/>
  <c r="N132" i="1"/>
  <c r="N139" i="1" s="1"/>
  <c r="N24" i="1" s="1"/>
  <c r="N140" i="1"/>
  <c r="N142" i="1" s="1"/>
  <c r="N143" i="1" s="1"/>
  <c r="N20" i="1" s="1"/>
  <c r="N138" i="1"/>
  <c r="N23" i="1" s="1"/>
  <c r="N34" i="1" s="1"/>
  <c r="N26" i="1"/>
  <c r="N117" i="1"/>
  <c r="N22" i="1" s="1"/>
  <c r="N33" i="1" s="1"/>
  <c r="N119" i="1"/>
  <c r="N121" i="1" s="1"/>
  <c r="N123" i="1" s="1"/>
  <c r="N16" i="1" s="1"/>
  <c r="N27" i="1" s="1"/>
  <c r="K132" i="1"/>
  <c r="K139" i="1" s="1"/>
  <c r="K24" i="1" s="1"/>
  <c r="K140" i="1"/>
  <c r="K142" i="1" s="1"/>
  <c r="K143" i="1" s="1"/>
  <c r="K20" i="1" s="1"/>
  <c r="K138" i="1"/>
  <c r="K23" i="1" s="1"/>
  <c r="K34" i="1" s="1"/>
  <c r="K119" i="1"/>
  <c r="K121" i="1" s="1"/>
  <c r="K123" i="1" s="1"/>
  <c r="K16" i="1" s="1"/>
  <c r="K27" i="1" s="1"/>
  <c r="K117" i="1"/>
  <c r="K22" i="1" s="1"/>
  <c r="K33" i="1" s="1"/>
  <c r="K26" i="1"/>
  <c r="H113" i="1"/>
  <c r="H115" i="1" s="1"/>
  <c r="H100" i="1"/>
  <c r="H101" i="1" s="1"/>
  <c r="H102" i="1" s="1"/>
  <c r="H103" i="1" s="1"/>
  <c r="H15" i="1" s="1"/>
  <c r="H126" i="1"/>
  <c r="H128" i="1" s="1"/>
  <c r="H131" i="1" s="1"/>
  <c r="H30" i="1"/>
  <c r="E132" i="1"/>
  <c r="E139" i="1" s="1"/>
  <c r="E24" i="1" s="1"/>
  <c r="E140" i="1"/>
  <c r="E142" i="1" s="1"/>
  <c r="E143" i="1" s="1"/>
  <c r="E20" i="1" s="1"/>
  <c r="E138" i="1"/>
  <c r="E23" i="1" s="1"/>
  <c r="E34" i="1" s="1"/>
  <c r="E26" i="1"/>
  <c r="E119" i="1"/>
  <c r="E121" i="1" s="1"/>
  <c r="E123" i="1" s="1"/>
  <c r="E16" i="1" s="1"/>
  <c r="E27" i="1" s="1"/>
  <c r="E117" i="1"/>
  <c r="E22" i="1" s="1"/>
  <c r="E33" i="1" s="1"/>
  <c r="U100" i="1"/>
  <c r="U101" i="1" s="1"/>
  <c r="U102" i="1" s="1"/>
  <c r="U103" i="1" s="1"/>
  <c r="U15" i="1" s="1"/>
  <c r="U26" i="1" s="1"/>
  <c r="Y113" i="1"/>
  <c r="Y115" i="1" s="1"/>
  <c r="Y117" i="1" s="1"/>
  <c r="Y22" i="1" s="1"/>
  <c r="Y33" i="1" s="1"/>
  <c r="U113" i="1"/>
  <c r="U115" i="1" s="1"/>
  <c r="U117" i="1" s="1"/>
  <c r="U22" i="1" s="1"/>
  <c r="U33" i="1" s="1"/>
  <c r="Y100" i="1"/>
  <c r="Y101" i="1" s="1"/>
  <c r="Y102" i="1" s="1"/>
  <c r="Y103" i="1" s="1"/>
  <c r="Y15" i="1" s="1"/>
  <c r="Y26" i="1" s="1"/>
  <c r="X140" i="1"/>
  <c r="X142" i="1" s="1"/>
  <c r="X143" i="1" s="1"/>
  <c r="X20" i="1" s="1"/>
  <c r="X138" i="1"/>
  <c r="X23" i="1" s="1"/>
  <c r="X34" i="1" s="1"/>
  <c r="X132" i="1"/>
  <c r="X139" i="1" s="1"/>
  <c r="X24" i="1" s="1"/>
  <c r="X26" i="1"/>
  <c r="X117" i="1"/>
  <c r="X22" i="1" s="1"/>
  <c r="X33" i="1" s="1"/>
  <c r="U140" i="1"/>
  <c r="U142" i="1" s="1"/>
  <c r="U143" i="1" s="1"/>
  <c r="U20" i="1" s="1"/>
  <c r="U132" i="1"/>
  <c r="U139" i="1" s="1"/>
  <c r="U24" i="1" s="1"/>
  <c r="U138" i="1"/>
  <c r="U23" i="1" s="1"/>
  <c r="U34" i="1" s="1"/>
  <c r="P132" i="1"/>
  <c r="P139" i="1" s="1"/>
  <c r="P24" i="1" s="1"/>
  <c r="P140" i="1"/>
  <c r="P142" i="1" s="1"/>
  <c r="P143" i="1" s="1"/>
  <c r="P20" i="1" s="1"/>
  <c r="P138" i="1"/>
  <c r="P23" i="1" s="1"/>
  <c r="P34" i="1" s="1"/>
  <c r="P26" i="1"/>
  <c r="P117" i="1"/>
  <c r="P22" i="1" s="1"/>
  <c r="P33" i="1" s="1"/>
  <c r="M30" i="1"/>
  <c r="M100" i="1"/>
  <c r="M101" i="1" s="1"/>
  <c r="M102" i="1" s="1"/>
  <c r="M103" i="1" s="1"/>
  <c r="M15" i="1" s="1"/>
  <c r="M113" i="1"/>
  <c r="M115" i="1" s="1"/>
  <c r="M126" i="1"/>
  <c r="M128" i="1" s="1"/>
  <c r="M131" i="1" s="1"/>
  <c r="J113" i="1"/>
  <c r="J115" i="1" s="1"/>
  <c r="J100" i="1"/>
  <c r="J101" i="1" s="1"/>
  <c r="J102" i="1" s="1"/>
  <c r="J103" i="1" s="1"/>
  <c r="J15" i="1" s="1"/>
  <c r="J126" i="1"/>
  <c r="J128" i="1" s="1"/>
  <c r="J131" i="1" s="1"/>
  <c r="J30" i="1"/>
  <c r="G30" i="1"/>
  <c r="G100" i="1"/>
  <c r="G101" i="1" s="1"/>
  <c r="G102" i="1" s="1"/>
  <c r="G103" i="1" s="1"/>
  <c r="G15" i="1" s="1"/>
  <c r="G113" i="1"/>
  <c r="G115" i="1" s="1"/>
  <c r="G126" i="1"/>
  <c r="G128" i="1" s="1"/>
  <c r="G131" i="1" s="1"/>
  <c r="Y140" i="1"/>
  <c r="Y142" i="1" s="1"/>
  <c r="Y143" i="1" s="1"/>
  <c r="Y20" i="1" s="1"/>
  <c r="Y132" i="1"/>
  <c r="Y139" i="1" s="1"/>
  <c r="Y24" i="1" s="1"/>
  <c r="Y138" i="1"/>
  <c r="Y23" i="1" s="1"/>
  <c r="Y34" i="1" s="1"/>
  <c r="C126" i="10"/>
  <c r="C128" i="10" s="1"/>
  <c r="C113" i="10"/>
  <c r="C115" i="10" s="1"/>
  <c r="D113" i="10"/>
  <c r="D115" i="10" s="1"/>
  <c r="D126" i="10"/>
  <c r="D128" i="10" s="1"/>
  <c r="C105" i="10"/>
  <c r="C106" i="10" s="1"/>
  <c r="C107" i="10" s="1"/>
  <c r="C108" i="10" s="1"/>
  <c r="C109" i="10" s="1"/>
  <c r="C19" i="10" s="1"/>
  <c r="C30" i="10" s="1"/>
  <c r="C98" i="10"/>
  <c r="D12" i="10"/>
  <c r="D10" i="10" s="1"/>
  <c r="D11" i="10" s="1"/>
  <c r="D13" i="10" s="1"/>
  <c r="C59" i="7"/>
  <c r="AD58" i="7"/>
  <c r="AC58" i="7"/>
  <c r="AB58" i="7"/>
  <c r="AB59" i="7" s="1"/>
  <c r="AA58" i="7"/>
  <c r="AA59" i="7" s="1"/>
  <c r="Z58" i="7"/>
  <c r="Z59" i="7" s="1"/>
  <c r="Y58" i="7"/>
  <c r="Y59" i="7" s="1"/>
  <c r="X58" i="7"/>
  <c r="X59" i="7" s="1"/>
  <c r="W58" i="7"/>
  <c r="W59" i="7" s="1"/>
  <c r="V58" i="7"/>
  <c r="V59" i="7" s="1"/>
  <c r="U58" i="7"/>
  <c r="U59" i="7" s="1"/>
  <c r="T58" i="7"/>
  <c r="T59" i="7" s="1"/>
  <c r="S58" i="7"/>
  <c r="S59" i="7" s="1"/>
  <c r="R58" i="7"/>
  <c r="R59" i="7" s="1"/>
  <c r="Q58" i="7"/>
  <c r="Q59" i="7" s="1"/>
  <c r="P58" i="7"/>
  <c r="P59" i="7" s="1"/>
  <c r="O58" i="7"/>
  <c r="O59" i="7" s="1"/>
  <c r="N58" i="7"/>
  <c r="N59" i="7" s="1"/>
  <c r="M58" i="7"/>
  <c r="M59" i="7" s="1"/>
  <c r="L58" i="7"/>
  <c r="L59" i="7" s="1"/>
  <c r="K58" i="7"/>
  <c r="K59" i="7" s="1"/>
  <c r="J58" i="7"/>
  <c r="J59" i="7" s="1"/>
  <c r="I58" i="7"/>
  <c r="I59" i="7" s="1"/>
  <c r="H58" i="7"/>
  <c r="H59" i="7" s="1"/>
  <c r="G58" i="7"/>
  <c r="G59" i="7" s="1"/>
  <c r="F58" i="7"/>
  <c r="F59" i="7" s="1"/>
  <c r="E58" i="7"/>
  <c r="E59" i="7" s="1"/>
  <c r="D58" i="7"/>
  <c r="D59" i="7" s="1"/>
  <c r="AD57" i="7"/>
  <c r="AC57" i="7"/>
  <c r="AC59" i="7" s="1"/>
  <c r="AD51" i="7"/>
  <c r="AD54" i="7" s="1"/>
  <c r="AD55" i="7" s="1"/>
  <c r="AC51" i="7"/>
  <c r="AC54" i="7" s="1"/>
  <c r="AC55" i="7" s="1"/>
  <c r="AC60" i="7" s="1"/>
  <c r="AD49" i="7"/>
  <c r="AC49" i="7"/>
  <c r="T45" i="7"/>
  <c r="T46" i="7" s="1"/>
  <c r="S45" i="7"/>
  <c r="S46" i="7" s="1"/>
  <c r="R45" i="7"/>
  <c r="R46" i="7" s="1"/>
  <c r="Q45" i="7"/>
  <c r="Q46" i="7" s="1"/>
  <c r="P45" i="7"/>
  <c r="P46" i="7" s="1"/>
  <c r="O45" i="7"/>
  <c r="O46" i="7" s="1"/>
  <c r="O51" i="7" s="1"/>
  <c r="N45" i="7"/>
  <c r="N46" i="7" s="1"/>
  <c r="N51" i="7" s="1"/>
  <c r="M45" i="7"/>
  <c r="M46" i="7" s="1"/>
  <c r="L45" i="7"/>
  <c r="L46" i="7" s="1"/>
  <c r="K45" i="7"/>
  <c r="K46" i="7" s="1"/>
  <c r="J45" i="7"/>
  <c r="J46" i="7" s="1"/>
  <c r="I45" i="7"/>
  <c r="I46" i="7" s="1"/>
  <c r="H45" i="7"/>
  <c r="H46" i="7" s="1"/>
  <c r="G45" i="7"/>
  <c r="G46" i="7" s="1"/>
  <c r="G51" i="7" s="1"/>
  <c r="F45" i="7"/>
  <c r="F46" i="7" s="1"/>
  <c r="F51" i="7" s="1"/>
  <c r="E45" i="7"/>
  <c r="E46" i="7" s="1"/>
  <c r="D45" i="7"/>
  <c r="D46" i="7" s="1"/>
  <c r="C45" i="7"/>
  <c r="C46" i="7" s="1"/>
  <c r="AB42" i="7"/>
  <c r="AB45" i="7" s="1"/>
  <c r="AB46" i="7" s="1"/>
  <c r="AA42" i="7"/>
  <c r="AA45" i="7" s="1"/>
  <c r="AA46" i="7" s="1"/>
  <c r="Z42" i="7"/>
  <c r="Z45" i="7" s="1"/>
  <c r="Z46" i="7" s="1"/>
  <c r="Y42" i="7"/>
  <c r="Y45" i="7" s="1"/>
  <c r="Y46" i="7" s="1"/>
  <c r="X42" i="7"/>
  <c r="X45" i="7" s="1"/>
  <c r="X46" i="7" s="1"/>
  <c r="W42" i="7"/>
  <c r="W45" i="7" s="1"/>
  <c r="W46" i="7" s="1"/>
  <c r="V42" i="7"/>
  <c r="V45" i="7" s="1"/>
  <c r="V46" i="7" s="1"/>
  <c r="U42" i="7"/>
  <c r="U45" i="7" s="1"/>
  <c r="U46" i="7" s="1"/>
  <c r="AB40" i="7"/>
  <c r="AA40" i="7"/>
  <c r="Z40" i="7"/>
  <c r="Y40" i="7"/>
  <c r="X40" i="7"/>
  <c r="W40" i="7"/>
  <c r="V40" i="7"/>
  <c r="U40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AD22" i="7"/>
  <c r="AD66" i="7" s="1"/>
  <c r="AD67" i="7" s="1"/>
  <c r="AC22" i="7"/>
  <c r="AC66" i="7" s="1"/>
  <c r="AC67" i="7" s="1"/>
  <c r="P22" i="7"/>
  <c r="P66" i="7" s="1"/>
  <c r="P67" i="7" s="1"/>
  <c r="AB22" i="7"/>
  <c r="AB66" i="7" s="1"/>
  <c r="AA22" i="7"/>
  <c r="AA66" i="7" s="1"/>
  <c r="AA67" i="7" s="1"/>
  <c r="Z22" i="7"/>
  <c r="Z66" i="7" s="1"/>
  <c r="Z67" i="7" s="1"/>
  <c r="Y22" i="7"/>
  <c r="Y66" i="7" s="1"/>
  <c r="X22" i="7"/>
  <c r="X66" i="7" s="1"/>
  <c r="W22" i="7"/>
  <c r="W66" i="7" s="1"/>
  <c r="V22" i="7"/>
  <c r="V66" i="7" s="1"/>
  <c r="V67" i="7" s="1"/>
  <c r="U22" i="7"/>
  <c r="U66" i="7" s="1"/>
  <c r="U67" i="7" s="1"/>
  <c r="T22" i="7"/>
  <c r="T66" i="7" s="1"/>
  <c r="S22" i="7"/>
  <c r="S66" i="7" s="1"/>
  <c r="S67" i="7" s="1"/>
  <c r="R22" i="7"/>
  <c r="R66" i="7" s="1"/>
  <c r="R67" i="7" s="1"/>
  <c r="Q22" i="7"/>
  <c r="Q66" i="7" s="1"/>
  <c r="O22" i="7"/>
  <c r="O66" i="7" s="1"/>
  <c r="N22" i="7"/>
  <c r="N66" i="7" s="1"/>
  <c r="N67" i="7" s="1"/>
  <c r="M22" i="7"/>
  <c r="M66" i="7" s="1"/>
  <c r="M67" i="7" s="1"/>
  <c r="L22" i="7"/>
  <c r="L66" i="7" s="1"/>
  <c r="K22" i="7"/>
  <c r="K66" i="7" s="1"/>
  <c r="K67" i="7" s="1"/>
  <c r="J22" i="7"/>
  <c r="J66" i="7" s="1"/>
  <c r="J67" i="7" s="1"/>
  <c r="I22" i="7"/>
  <c r="I66" i="7" s="1"/>
  <c r="H22" i="7"/>
  <c r="H66" i="7" s="1"/>
  <c r="G22" i="7"/>
  <c r="G66" i="7" s="1"/>
  <c r="F22" i="7"/>
  <c r="F66" i="7" s="1"/>
  <c r="F67" i="7" s="1"/>
  <c r="E22" i="7"/>
  <c r="E66" i="7" s="1"/>
  <c r="E67" i="7" s="1"/>
  <c r="D22" i="7"/>
  <c r="D66" i="7" s="1"/>
  <c r="C22" i="7"/>
  <c r="C66" i="7" s="1"/>
  <c r="C67" i="7" s="1"/>
  <c r="AB19" i="7"/>
  <c r="AA19" i="7"/>
  <c r="Z19" i="7"/>
  <c r="Y19" i="7"/>
  <c r="R19" i="7"/>
  <c r="Q19" i="7"/>
  <c r="P19" i="7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7" i="8"/>
  <c r="AB36" i="8"/>
  <c r="AA36" i="8"/>
  <c r="Z36" i="8"/>
  <c r="Y36" i="8"/>
  <c r="X36" i="8"/>
  <c r="W36" i="8"/>
  <c r="V36" i="8"/>
  <c r="U36" i="8"/>
  <c r="T36" i="8"/>
  <c r="T37" i="8" s="1"/>
  <c r="S36" i="8"/>
  <c r="S37" i="8" s="1"/>
  <c r="R36" i="8"/>
  <c r="R37" i="8" s="1"/>
  <c r="Q36" i="8"/>
  <c r="Q37" i="8" s="1"/>
  <c r="P36" i="8"/>
  <c r="P37" i="8" s="1"/>
  <c r="O36" i="8"/>
  <c r="O37" i="8" s="1"/>
  <c r="N36" i="8"/>
  <c r="N37" i="8" s="1"/>
  <c r="M36" i="8"/>
  <c r="M37" i="8" s="1"/>
  <c r="L36" i="8"/>
  <c r="L37" i="8" s="1"/>
  <c r="K36" i="8"/>
  <c r="K37" i="8" s="1"/>
  <c r="J36" i="8"/>
  <c r="J37" i="8" s="1"/>
  <c r="I36" i="8"/>
  <c r="I37" i="8" s="1"/>
  <c r="H36" i="8"/>
  <c r="H37" i="8" s="1"/>
  <c r="G36" i="8"/>
  <c r="G37" i="8" s="1"/>
  <c r="F36" i="8"/>
  <c r="F37" i="8" s="1"/>
  <c r="E36" i="8"/>
  <c r="E37" i="8" s="1"/>
  <c r="D36" i="8"/>
  <c r="D37" i="8" s="1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AB21" i="8"/>
  <c r="AB22" i="8" s="1"/>
  <c r="AA21" i="8"/>
  <c r="AA22" i="8" s="1"/>
  <c r="Z21" i="8"/>
  <c r="Z22" i="8" s="1"/>
  <c r="Y21" i="8"/>
  <c r="Y22" i="8" s="1"/>
  <c r="X21" i="8"/>
  <c r="X22" i="8" s="1"/>
  <c r="W21" i="8"/>
  <c r="W22" i="8" s="1"/>
  <c r="V21" i="8"/>
  <c r="V22" i="8" s="1"/>
  <c r="U21" i="8"/>
  <c r="U22" i="8" s="1"/>
  <c r="T21" i="8"/>
  <c r="T22" i="8" s="1"/>
  <c r="S21" i="8"/>
  <c r="S22" i="8" s="1"/>
  <c r="R21" i="8"/>
  <c r="R22" i="8" s="1"/>
  <c r="Q21" i="8"/>
  <c r="Q22" i="8" s="1"/>
  <c r="P21" i="8"/>
  <c r="P22" i="8" s="1"/>
  <c r="O21" i="8"/>
  <c r="O22" i="8" s="1"/>
  <c r="N21" i="8"/>
  <c r="N22" i="8" s="1"/>
  <c r="M21" i="8"/>
  <c r="M22" i="8" s="1"/>
  <c r="L21" i="8"/>
  <c r="L22" i="8" s="1"/>
  <c r="K21" i="8"/>
  <c r="K22" i="8" s="1"/>
  <c r="J21" i="8"/>
  <c r="J22" i="8" s="1"/>
  <c r="I21" i="8"/>
  <c r="I22" i="8" s="1"/>
  <c r="H21" i="8"/>
  <c r="H22" i="8" s="1"/>
  <c r="G21" i="8"/>
  <c r="G22" i="8" s="1"/>
  <c r="F21" i="8"/>
  <c r="F22" i="8" s="1"/>
  <c r="E21" i="8"/>
  <c r="E22" i="8" s="1"/>
  <c r="D21" i="8"/>
  <c r="D22" i="8" s="1"/>
  <c r="C21" i="8"/>
  <c r="C22" i="8" s="1"/>
  <c r="AB19" i="8"/>
  <c r="AA19" i="8"/>
  <c r="Z19" i="8"/>
  <c r="Y19" i="8"/>
  <c r="T19" i="8"/>
  <c r="S19" i="8"/>
  <c r="R19" i="8"/>
  <c r="Q19" i="8"/>
  <c r="P19" i="8"/>
  <c r="K19" i="8"/>
  <c r="J19" i="8"/>
  <c r="I19" i="8"/>
  <c r="H19" i="8"/>
  <c r="G19" i="8"/>
  <c r="F19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T9" i="8"/>
  <c r="S9" i="8"/>
  <c r="R9" i="8"/>
  <c r="R11" i="8" s="1"/>
  <c r="R13" i="8" s="1"/>
  <c r="Q9" i="8"/>
  <c r="Q11" i="8" s="1"/>
  <c r="Q13" i="8" s="1"/>
  <c r="Q31" i="8" s="1"/>
  <c r="P9" i="8"/>
  <c r="P11" i="8" s="1"/>
  <c r="P13" i="8" s="1"/>
  <c r="O9" i="8"/>
  <c r="O11" i="8" s="1"/>
  <c r="O13" i="8" s="1"/>
  <c r="O31" i="8" s="1"/>
  <c r="N9" i="8"/>
  <c r="M9" i="8"/>
  <c r="L9" i="8"/>
  <c r="K9" i="8"/>
  <c r="J9" i="8"/>
  <c r="J11" i="8" s="1"/>
  <c r="J13" i="8" s="1"/>
  <c r="I9" i="8"/>
  <c r="I11" i="8" s="1"/>
  <c r="I13" i="8" s="1"/>
  <c r="I31" i="8" s="1"/>
  <c r="H9" i="8"/>
  <c r="G9" i="8"/>
  <c r="G11" i="8" s="1"/>
  <c r="G13" i="8" s="1"/>
  <c r="G31" i="8" s="1"/>
  <c r="F9" i="8"/>
  <c r="E9" i="8"/>
  <c r="D9" i="8"/>
  <c r="C9" i="8"/>
  <c r="AB7" i="8"/>
  <c r="AA7" i="8"/>
  <c r="Z7" i="8"/>
  <c r="Y7" i="8"/>
  <c r="T7" i="8"/>
  <c r="T10" i="8" s="1"/>
  <c r="S7" i="8"/>
  <c r="R7" i="8"/>
  <c r="Q7" i="8"/>
  <c r="Q10" i="8" s="1"/>
  <c r="P7" i="8"/>
  <c r="P10" i="8" s="1"/>
  <c r="P14" i="8" s="1"/>
  <c r="K7" i="8"/>
  <c r="J7" i="8"/>
  <c r="J10" i="8" s="1"/>
  <c r="I7" i="8"/>
  <c r="I10" i="8" s="1"/>
  <c r="H7" i="8"/>
  <c r="H10" i="8" s="1"/>
  <c r="G7" i="8"/>
  <c r="G10" i="8" s="1"/>
  <c r="F7" i="8"/>
  <c r="F10" i="8" s="1"/>
  <c r="AB6" i="8"/>
  <c r="AB18" i="8" s="1"/>
  <c r="AA6" i="8"/>
  <c r="AA9" i="8" s="1"/>
  <c r="Z6" i="8"/>
  <c r="Y6" i="8"/>
  <c r="Y9" i="8" s="1"/>
  <c r="X6" i="8"/>
  <c r="W6" i="8"/>
  <c r="W18" i="8" s="1"/>
  <c r="V6" i="8"/>
  <c r="V18" i="8" s="1"/>
  <c r="U6" i="8"/>
  <c r="U18" i="8" s="1"/>
  <c r="AB5" i="8"/>
  <c r="AB17" i="8" s="1"/>
  <c r="AA5" i="8"/>
  <c r="AA37" i="8" s="1"/>
  <c r="Z5" i="8"/>
  <c r="Z17" i="8" s="1"/>
  <c r="Y5" i="8"/>
  <c r="Y17" i="8" s="1"/>
  <c r="X5" i="8"/>
  <c r="X17" i="8" s="1"/>
  <c r="W5" i="8"/>
  <c r="W17" i="8" s="1"/>
  <c r="V5" i="8"/>
  <c r="V17" i="8" s="1"/>
  <c r="U5" i="8"/>
  <c r="U17" i="8" s="1"/>
  <c r="C37" i="2"/>
  <c r="E37" i="2" s="1"/>
  <c r="O34" i="2" s="1"/>
  <c r="C36" i="2"/>
  <c r="E36" i="2" s="1"/>
  <c r="N33" i="2" s="1"/>
  <c r="N34" i="2" s="1"/>
  <c r="C35" i="2"/>
  <c r="E35" i="2" s="1"/>
  <c r="M32" i="2" s="1"/>
  <c r="M33" i="2" s="1"/>
  <c r="M34" i="2" s="1"/>
  <c r="C34" i="2"/>
  <c r="E34" i="2" s="1"/>
  <c r="L31" i="2" s="1"/>
  <c r="L32" i="2" s="1"/>
  <c r="C33" i="2"/>
  <c r="E33" i="2" s="1"/>
  <c r="K30" i="2" s="1"/>
  <c r="K31" i="2" s="1"/>
  <c r="C32" i="2"/>
  <c r="E32" i="2" s="1"/>
  <c r="J29" i="2" s="1"/>
  <c r="J30" i="2" s="1"/>
  <c r="C31" i="2"/>
  <c r="E31" i="2" s="1"/>
  <c r="I28" i="2" s="1"/>
  <c r="I29" i="2" s="1"/>
  <c r="C30" i="2"/>
  <c r="E30" i="2" s="1"/>
  <c r="C29" i="2"/>
  <c r="E29" i="2" s="1"/>
  <c r="S38" i="2" s="1"/>
  <c r="C28" i="2"/>
  <c r="E28" i="2" s="1"/>
  <c r="R37" i="2" s="1"/>
  <c r="R38" i="2" s="1"/>
  <c r="C27" i="2"/>
  <c r="E27" i="2" s="1"/>
  <c r="Q36" i="2" s="1"/>
  <c r="Q37" i="2" s="1"/>
  <c r="Q38" i="2" s="1"/>
  <c r="C26" i="2"/>
  <c r="E26" i="2" s="1"/>
  <c r="P35" i="2" s="1"/>
  <c r="P36" i="2" s="1"/>
  <c r="P37" i="2" s="1"/>
  <c r="P38" i="2" s="1"/>
  <c r="Z17" i="1" l="1"/>
  <c r="Z28" i="1" s="1"/>
  <c r="Z31" i="1"/>
  <c r="Z21" i="1"/>
  <c r="Z32" i="1" s="1"/>
  <c r="V132" i="1"/>
  <c r="V139" i="1" s="1"/>
  <c r="V24" i="1" s="1"/>
  <c r="V138" i="1"/>
  <c r="V23" i="1" s="1"/>
  <c r="V34" i="1" s="1"/>
  <c r="V140" i="1"/>
  <c r="V142" i="1" s="1"/>
  <c r="V143" i="1" s="1"/>
  <c r="V20" i="1" s="1"/>
  <c r="V26" i="1"/>
  <c r="V117" i="1"/>
  <c r="V22" i="1" s="1"/>
  <c r="V33" i="1" s="1"/>
  <c r="V119" i="1"/>
  <c r="V121" i="1" s="1"/>
  <c r="V123" i="1" s="1"/>
  <c r="V16" i="1" s="1"/>
  <c r="V27" i="1" s="1"/>
  <c r="S140" i="1"/>
  <c r="S142" i="1" s="1"/>
  <c r="S143" i="1" s="1"/>
  <c r="S20" i="1" s="1"/>
  <c r="S132" i="1"/>
  <c r="S139" i="1" s="1"/>
  <c r="S24" i="1" s="1"/>
  <c r="S138" i="1"/>
  <c r="S23" i="1" s="1"/>
  <c r="S34" i="1" s="1"/>
  <c r="S117" i="1"/>
  <c r="S22" i="1" s="1"/>
  <c r="S33" i="1" s="1"/>
  <c r="S119" i="1"/>
  <c r="S121" i="1" s="1"/>
  <c r="S123" i="1" s="1"/>
  <c r="S16" i="1" s="1"/>
  <c r="S27" i="1" s="1"/>
  <c r="S26" i="1"/>
  <c r="Q117" i="1"/>
  <c r="Q22" i="1" s="1"/>
  <c r="Q33" i="1" s="1"/>
  <c r="Q119" i="1"/>
  <c r="Q121" i="1" s="1"/>
  <c r="Q123" i="1" s="1"/>
  <c r="Q16" i="1" s="1"/>
  <c r="Q27" i="1" s="1"/>
  <c r="Q26" i="1"/>
  <c r="Q140" i="1"/>
  <c r="Q142" i="1" s="1"/>
  <c r="Q143" i="1" s="1"/>
  <c r="Q20" i="1" s="1"/>
  <c r="Q132" i="1"/>
  <c r="Q139" i="1" s="1"/>
  <c r="Q24" i="1" s="1"/>
  <c r="Q138" i="1"/>
  <c r="Q23" i="1" s="1"/>
  <c r="Q34" i="1" s="1"/>
  <c r="N17" i="1"/>
  <c r="N28" i="1" s="1"/>
  <c r="N31" i="1"/>
  <c r="N21" i="1"/>
  <c r="N32" i="1" s="1"/>
  <c r="K17" i="1"/>
  <c r="K28" i="1" s="1"/>
  <c r="K31" i="1"/>
  <c r="K21" i="1"/>
  <c r="K32" i="1" s="1"/>
  <c r="H132" i="1"/>
  <c r="H139" i="1" s="1"/>
  <c r="H24" i="1" s="1"/>
  <c r="H140" i="1"/>
  <c r="H142" i="1" s="1"/>
  <c r="H143" i="1" s="1"/>
  <c r="H20" i="1" s="1"/>
  <c r="H138" i="1"/>
  <c r="H23" i="1" s="1"/>
  <c r="H34" i="1" s="1"/>
  <c r="H26" i="1"/>
  <c r="H117" i="1"/>
  <c r="H22" i="1" s="1"/>
  <c r="H33" i="1" s="1"/>
  <c r="H119" i="1"/>
  <c r="H121" i="1" s="1"/>
  <c r="H123" i="1" s="1"/>
  <c r="H16" i="1" s="1"/>
  <c r="H27" i="1" s="1"/>
  <c r="E17" i="1"/>
  <c r="E28" i="1" s="1"/>
  <c r="E31" i="1"/>
  <c r="E21" i="1"/>
  <c r="E32" i="1" s="1"/>
  <c r="X31" i="1"/>
  <c r="X21" i="1"/>
  <c r="X32" i="1" s="1"/>
  <c r="U31" i="1"/>
  <c r="U21" i="1"/>
  <c r="U32" i="1" s="1"/>
  <c r="P31" i="1"/>
  <c r="P21" i="1"/>
  <c r="P32" i="1" s="1"/>
  <c r="M140" i="1"/>
  <c r="M142" i="1" s="1"/>
  <c r="M143" i="1" s="1"/>
  <c r="M20" i="1" s="1"/>
  <c r="M132" i="1"/>
  <c r="M139" i="1" s="1"/>
  <c r="M24" i="1" s="1"/>
  <c r="M138" i="1"/>
  <c r="M23" i="1" s="1"/>
  <c r="M34" i="1" s="1"/>
  <c r="M117" i="1"/>
  <c r="M22" i="1" s="1"/>
  <c r="M33" i="1" s="1"/>
  <c r="M26" i="1"/>
  <c r="J140" i="1"/>
  <c r="J142" i="1" s="1"/>
  <c r="J143" i="1" s="1"/>
  <c r="J20" i="1" s="1"/>
  <c r="J132" i="1"/>
  <c r="J139" i="1" s="1"/>
  <c r="J24" i="1" s="1"/>
  <c r="J138" i="1"/>
  <c r="J23" i="1" s="1"/>
  <c r="J34" i="1" s="1"/>
  <c r="J26" i="1"/>
  <c r="J117" i="1"/>
  <c r="J22" i="1" s="1"/>
  <c r="J33" i="1" s="1"/>
  <c r="G140" i="1"/>
  <c r="G142" i="1" s="1"/>
  <c r="G143" i="1" s="1"/>
  <c r="G20" i="1" s="1"/>
  <c r="G132" i="1"/>
  <c r="G139" i="1" s="1"/>
  <c r="G24" i="1" s="1"/>
  <c r="G138" i="1"/>
  <c r="G23" i="1" s="1"/>
  <c r="G34" i="1" s="1"/>
  <c r="G117" i="1"/>
  <c r="G22" i="1" s="1"/>
  <c r="G33" i="1" s="1"/>
  <c r="G26" i="1"/>
  <c r="Y31" i="1"/>
  <c r="Y21" i="1"/>
  <c r="Y32" i="1" s="1"/>
  <c r="H27" i="2"/>
  <c r="H28" i="2" s="1"/>
  <c r="M35" i="2"/>
  <c r="M36" i="2" s="1"/>
  <c r="M37" i="2" s="1"/>
  <c r="M38" i="2" s="1"/>
  <c r="N35" i="2"/>
  <c r="N36" i="2" s="1"/>
  <c r="N37" i="2" s="1"/>
  <c r="N38" i="2" s="1"/>
  <c r="O35" i="2"/>
  <c r="O36" i="2" s="1"/>
  <c r="O37" i="2" s="1"/>
  <c r="O38" i="2" s="1"/>
  <c r="C112" i="10"/>
  <c r="C114" i="10" s="1"/>
  <c r="C99" i="10"/>
  <c r="C100" i="10" s="1"/>
  <c r="C101" i="10" s="1"/>
  <c r="C102" i="10" s="1"/>
  <c r="C15" i="10" s="1"/>
  <c r="C26" i="10" s="1"/>
  <c r="C125" i="10"/>
  <c r="C127" i="10" s="1"/>
  <c r="D98" i="10"/>
  <c r="D105" i="10"/>
  <c r="D106" i="10" s="1"/>
  <c r="D107" i="10" s="1"/>
  <c r="D108" i="10" s="1"/>
  <c r="D109" i="10" s="1"/>
  <c r="D19" i="10" s="1"/>
  <c r="D30" i="10" s="1"/>
  <c r="X9" i="8"/>
  <c r="X18" i="8"/>
  <c r="Z9" i="8"/>
  <c r="Z18" i="8"/>
  <c r="C23" i="8"/>
  <c r="E23" i="8"/>
  <c r="K23" i="8"/>
  <c r="M23" i="8"/>
  <c r="S23" i="8"/>
  <c r="X23" i="8"/>
  <c r="X25" i="8" s="1"/>
  <c r="X27" i="8" s="1"/>
  <c r="G23" i="8"/>
  <c r="G25" i="8" s="1"/>
  <c r="G27" i="8" s="1"/>
  <c r="O23" i="8"/>
  <c r="O24" i="8" s="1"/>
  <c r="H23" i="8"/>
  <c r="H24" i="8" s="1"/>
  <c r="P23" i="8"/>
  <c r="R10" i="8"/>
  <c r="E25" i="8"/>
  <c r="E27" i="8" s="1"/>
  <c r="AB37" i="8"/>
  <c r="S10" i="8"/>
  <c r="V9" i="8"/>
  <c r="H67" i="7"/>
  <c r="X67" i="7"/>
  <c r="Z23" i="8"/>
  <c r="AB9" i="8"/>
  <c r="E24" i="8"/>
  <c r="E28" i="8" s="1"/>
  <c r="M24" i="8"/>
  <c r="X24" i="8"/>
  <c r="J23" i="8"/>
  <c r="J25" i="8" s="1"/>
  <c r="J27" i="8" s="1"/>
  <c r="J32" i="8" s="1"/>
  <c r="R23" i="8"/>
  <c r="R25" i="8" s="1"/>
  <c r="R27" i="8" s="1"/>
  <c r="AC62" i="7"/>
  <c r="AC9" i="7" s="1"/>
  <c r="AC7" i="7" s="1"/>
  <c r="AC8" i="7" s="1"/>
  <c r="AC10" i="7" s="1"/>
  <c r="P31" i="8"/>
  <c r="H11" i="8"/>
  <c r="H13" i="8" s="1"/>
  <c r="K25" i="8"/>
  <c r="K27" i="8" s="1"/>
  <c r="K32" i="8" s="1"/>
  <c r="S25" i="8"/>
  <c r="S27" i="8" s="1"/>
  <c r="S32" i="8" s="1"/>
  <c r="M25" i="8"/>
  <c r="M27" i="8" s="1"/>
  <c r="M32" i="8" s="1"/>
  <c r="Z37" i="8"/>
  <c r="K10" i="8"/>
  <c r="P24" i="8"/>
  <c r="K24" i="8"/>
  <c r="I67" i="7"/>
  <c r="Q67" i="7"/>
  <c r="Y67" i="7"/>
  <c r="AD60" i="7"/>
  <c r="AD62" i="7" s="1"/>
  <c r="AD9" i="7" s="1"/>
  <c r="AD7" i="7" s="1"/>
  <c r="AD8" i="7" s="1"/>
  <c r="AD10" i="7" s="1"/>
  <c r="AD72" i="7" s="1"/>
  <c r="G67" i="7"/>
  <c r="AD59" i="7"/>
  <c r="D67" i="7"/>
  <c r="L67" i="7"/>
  <c r="T67" i="7"/>
  <c r="O67" i="7"/>
  <c r="W67" i="7"/>
  <c r="Y54" i="7"/>
  <c r="Y49" i="7"/>
  <c r="Y51" i="7"/>
  <c r="Z54" i="7"/>
  <c r="Z49" i="7"/>
  <c r="Z51" i="7"/>
  <c r="H54" i="7"/>
  <c r="H49" i="7"/>
  <c r="H51" i="7"/>
  <c r="P54" i="7"/>
  <c r="P49" i="7"/>
  <c r="P51" i="7"/>
  <c r="AB67" i="7"/>
  <c r="AA54" i="7"/>
  <c r="AA49" i="7"/>
  <c r="AA51" i="7"/>
  <c r="I54" i="7"/>
  <c r="I49" i="7"/>
  <c r="I51" i="7"/>
  <c r="Q54" i="7"/>
  <c r="Q49" i="7"/>
  <c r="Q51" i="7"/>
  <c r="AB51" i="7"/>
  <c r="AB54" i="7"/>
  <c r="AB49" i="7"/>
  <c r="J54" i="7"/>
  <c r="J49" i="7"/>
  <c r="J51" i="7"/>
  <c r="R54" i="7"/>
  <c r="R49" i="7"/>
  <c r="R51" i="7"/>
  <c r="U51" i="7"/>
  <c r="U54" i="7"/>
  <c r="U49" i="7"/>
  <c r="C54" i="7"/>
  <c r="C49" i="7"/>
  <c r="C51" i="7"/>
  <c r="K54" i="7"/>
  <c r="K49" i="7"/>
  <c r="K51" i="7"/>
  <c r="S54" i="7"/>
  <c r="S49" i="7"/>
  <c r="S51" i="7"/>
  <c r="V51" i="7"/>
  <c r="V54" i="7"/>
  <c r="V55" i="7" s="1"/>
  <c r="V60" i="7" s="1"/>
  <c r="V62" i="7" s="1"/>
  <c r="V9" i="7" s="1"/>
  <c r="V7" i="7" s="1"/>
  <c r="V8" i="7" s="1"/>
  <c r="V10" i="7" s="1"/>
  <c r="V72" i="7" s="1"/>
  <c r="V49" i="7"/>
  <c r="D51" i="7"/>
  <c r="D54" i="7"/>
  <c r="D49" i="7"/>
  <c r="L51" i="7"/>
  <c r="L54" i="7"/>
  <c r="L49" i="7"/>
  <c r="T51" i="7"/>
  <c r="T54" i="7"/>
  <c r="T49" i="7"/>
  <c r="AC79" i="7"/>
  <c r="AC80" i="7" s="1"/>
  <c r="AC81" i="7" s="1"/>
  <c r="AC82" i="7" s="1"/>
  <c r="AC83" i="7" s="1"/>
  <c r="AC16" i="7" s="1"/>
  <c r="AC72" i="7"/>
  <c r="W51" i="7"/>
  <c r="W54" i="7"/>
  <c r="W49" i="7"/>
  <c r="E51" i="7"/>
  <c r="E54" i="7"/>
  <c r="E49" i="7"/>
  <c r="M51" i="7"/>
  <c r="M54" i="7"/>
  <c r="M49" i="7"/>
  <c r="X54" i="7"/>
  <c r="X49" i="7"/>
  <c r="X51" i="7"/>
  <c r="F49" i="7"/>
  <c r="N49" i="7"/>
  <c r="F54" i="7"/>
  <c r="F55" i="7" s="1"/>
  <c r="F60" i="7" s="1"/>
  <c r="F62" i="7" s="1"/>
  <c r="F9" i="7" s="1"/>
  <c r="F7" i="7" s="1"/>
  <c r="F8" i="7" s="1"/>
  <c r="F10" i="7" s="1"/>
  <c r="F79" i="7" s="1"/>
  <c r="F80" i="7" s="1"/>
  <c r="F81" i="7" s="1"/>
  <c r="N54" i="7"/>
  <c r="N55" i="7" s="1"/>
  <c r="N60" i="7" s="1"/>
  <c r="N62" i="7" s="1"/>
  <c r="N9" i="7" s="1"/>
  <c r="N7" i="7" s="1"/>
  <c r="N8" i="7" s="1"/>
  <c r="N10" i="7" s="1"/>
  <c r="N79" i="7" s="1"/>
  <c r="N80" i="7" s="1"/>
  <c r="N81" i="7" s="1"/>
  <c r="AC69" i="7"/>
  <c r="AC99" i="7" s="1"/>
  <c r="AC101" i="7" s="1"/>
  <c r="G49" i="7"/>
  <c r="O49" i="7"/>
  <c r="G54" i="7"/>
  <c r="G55" i="7" s="1"/>
  <c r="G60" i="7" s="1"/>
  <c r="G62" i="7" s="1"/>
  <c r="G9" i="7" s="1"/>
  <c r="G7" i="7" s="1"/>
  <c r="G8" i="7" s="1"/>
  <c r="G10" i="7" s="1"/>
  <c r="G79" i="7" s="1"/>
  <c r="G80" i="7" s="1"/>
  <c r="G81" i="7" s="1"/>
  <c r="O54" i="7"/>
  <c r="O55" i="7" s="1"/>
  <c r="O60" i="7" s="1"/>
  <c r="O62" i="7" s="1"/>
  <c r="O9" i="7" s="1"/>
  <c r="O7" i="7" s="1"/>
  <c r="O8" i="7" s="1"/>
  <c r="O10" i="7" s="1"/>
  <c r="O79" i="7" s="1"/>
  <c r="O80" i="7" s="1"/>
  <c r="O81" i="7" s="1"/>
  <c r="AD69" i="7"/>
  <c r="AC70" i="7"/>
  <c r="AD70" i="7"/>
  <c r="X11" i="8"/>
  <c r="X13" i="8" s="1"/>
  <c r="X31" i="8" s="1"/>
  <c r="I14" i="8"/>
  <c r="J14" i="8"/>
  <c r="C25" i="8"/>
  <c r="C27" i="8" s="1"/>
  <c r="Z10" i="8"/>
  <c r="Z11" i="8"/>
  <c r="Z13" i="8" s="1"/>
  <c r="Z31" i="8" s="1"/>
  <c r="J31" i="8"/>
  <c r="R31" i="8"/>
  <c r="AB23" i="8"/>
  <c r="AB25" i="8" s="1"/>
  <c r="AB27" i="8" s="1"/>
  <c r="Q14" i="8"/>
  <c r="C32" i="8"/>
  <c r="C24" i="8"/>
  <c r="C28" i="8" s="1"/>
  <c r="S24" i="8"/>
  <c r="U23" i="8"/>
  <c r="R14" i="8"/>
  <c r="O25" i="8"/>
  <c r="O27" i="8" s="1"/>
  <c r="O32" i="8" s="1"/>
  <c r="O33" i="8" s="1"/>
  <c r="O35" i="8" s="1"/>
  <c r="O39" i="8" s="1"/>
  <c r="V23" i="8"/>
  <c r="V24" i="8" s="1"/>
  <c r="G14" i="8"/>
  <c r="E32" i="8"/>
  <c r="W23" i="8"/>
  <c r="Z24" i="8"/>
  <c r="I23" i="8"/>
  <c r="I24" i="8" s="1"/>
  <c r="Q23" i="8"/>
  <c r="U9" i="8"/>
  <c r="U10" i="8" s="1"/>
  <c r="C10" i="8"/>
  <c r="AA10" i="8"/>
  <c r="Y11" i="8"/>
  <c r="Y13" i="8" s="1"/>
  <c r="Y31" i="8" s="1"/>
  <c r="AA17" i="8"/>
  <c r="Y18" i="8"/>
  <c r="D23" i="8"/>
  <c r="D24" i="8" s="1"/>
  <c r="L23" i="8"/>
  <c r="T23" i="8"/>
  <c r="T25" i="8" s="1"/>
  <c r="T27" i="8" s="1"/>
  <c r="H25" i="8"/>
  <c r="H27" i="8" s="1"/>
  <c r="H32" i="8" s="1"/>
  <c r="P25" i="8"/>
  <c r="P27" i="8" s="1"/>
  <c r="P28" i="8" s="1"/>
  <c r="U37" i="8"/>
  <c r="V37" i="8"/>
  <c r="L10" i="8"/>
  <c r="W9" i="8"/>
  <c r="E10" i="8"/>
  <c r="M10" i="8"/>
  <c r="C11" i="8"/>
  <c r="C13" i="8" s="1"/>
  <c r="C31" i="8" s="1"/>
  <c r="K11" i="8"/>
  <c r="K13" i="8" s="1"/>
  <c r="K31" i="8" s="1"/>
  <c r="S11" i="8"/>
  <c r="S13" i="8" s="1"/>
  <c r="S14" i="8" s="1"/>
  <c r="AA11" i="8"/>
  <c r="AA13" i="8" s="1"/>
  <c r="AA31" i="8" s="1"/>
  <c r="AA18" i="8"/>
  <c r="F23" i="8"/>
  <c r="N23" i="8"/>
  <c r="N25" i="8" s="1"/>
  <c r="N27" i="8" s="1"/>
  <c r="Z25" i="8"/>
  <c r="Z27" i="8" s="1"/>
  <c r="Z32" i="8" s="1"/>
  <c r="W37" i="8"/>
  <c r="D10" i="8"/>
  <c r="AB10" i="8"/>
  <c r="N10" i="8"/>
  <c r="V10" i="8"/>
  <c r="D11" i="8"/>
  <c r="D13" i="8" s="1"/>
  <c r="D31" i="8" s="1"/>
  <c r="L11" i="8"/>
  <c r="L13" i="8" s="1"/>
  <c r="L31" i="8" s="1"/>
  <c r="T11" i="8"/>
  <c r="T13" i="8" s="1"/>
  <c r="T14" i="8" s="1"/>
  <c r="AB11" i="8"/>
  <c r="AB13" i="8" s="1"/>
  <c r="AB31" i="8" s="1"/>
  <c r="X37" i="8"/>
  <c r="O10" i="8"/>
  <c r="O14" i="8" s="1"/>
  <c r="E11" i="8"/>
  <c r="E13" i="8" s="1"/>
  <c r="E31" i="8" s="1"/>
  <c r="M11" i="8"/>
  <c r="M13" i="8" s="1"/>
  <c r="M31" i="8" s="1"/>
  <c r="Y37" i="8"/>
  <c r="X10" i="8"/>
  <c r="X14" i="8" s="1"/>
  <c r="F11" i="8"/>
  <c r="F13" i="8" s="1"/>
  <c r="F31" i="8" s="1"/>
  <c r="N11" i="8"/>
  <c r="N13" i="8" s="1"/>
  <c r="N31" i="8" s="1"/>
  <c r="V11" i="8"/>
  <c r="V13" i="8" s="1"/>
  <c r="V31" i="8" s="1"/>
  <c r="Y10" i="8"/>
  <c r="Y14" i="8" s="1"/>
  <c r="V17" i="1" l="1"/>
  <c r="V28" i="1" s="1"/>
  <c r="V31" i="1"/>
  <c r="V21" i="1"/>
  <c r="V32" i="1" s="1"/>
  <c r="S31" i="1"/>
  <c r="S21" i="1"/>
  <c r="S32" i="1" s="1"/>
  <c r="S17" i="1"/>
  <c r="S28" i="1" s="1"/>
  <c r="Q17" i="1"/>
  <c r="Q28" i="1" s="1"/>
  <c r="Q31" i="1"/>
  <c r="Q21" i="1"/>
  <c r="Q32" i="1" s="1"/>
  <c r="H17" i="1"/>
  <c r="H28" i="1" s="1"/>
  <c r="H31" i="1"/>
  <c r="H21" i="1"/>
  <c r="H32" i="1" s="1"/>
  <c r="M31" i="1"/>
  <c r="M21" i="1"/>
  <c r="M32" i="1" s="1"/>
  <c r="J31" i="1"/>
  <c r="J21" i="1"/>
  <c r="J32" i="1" s="1"/>
  <c r="G31" i="1"/>
  <c r="G21" i="1"/>
  <c r="G32" i="1" s="1"/>
  <c r="C131" i="10"/>
  <c r="C130" i="10"/>
  <c r="C137" i="10" s="1"/>
  <c r="C23" i="10" s="1"/>
  <c r="C34" i="10" s="1"/>
  <c r="D112" i="10"/>
  <c r="D114" i="10" s="1"/>
  <c r="D99" i="10"/>
  <c r="D100" i="10" s="1"/>
  <c r="D101" i="10" s="1"/>
  <c r="D102" i="10" s="1"/>
  <c r="D15" i="10" s="1"/>
  <c r="D26" i="10" s="1"/>
  <c r="D125" i="10"/>
  <c r="D127" i="10" s="1"/>
  <c r="C116" i="10"/>
  <c r="C22" i="10" s="1"/>
  <c r="C33" i="10" s="1"/>
  <c r="V14" i="8"/>
  <c r="D14" i="8"/>
  <c r="F25" i="8"/>
  <c r="F27" i="8" s="1"/>
  <c r="F24" i="8"/>
  <c r="W25" i="8"/>
  <c r="W27" i="8" s="1"/>
  <c r="W24" i="8"/>
  <c r="H14" i="8"/>
  <c r="H31" i="8"/>
  <c r="H33" i="8" s="1"/>
  <c r="H35" i="8" s="1"/>
  <c r="H39" i="8" s="1"/>
  <c r="X28" i="8"/>
  <c r="K28" i="8"/>
  <c r="G24" i="8"/>
  <c r="G28" i="8" s="1"/>
  <c r="X32" i="8"/>
  <c r="E33" i="8"/>
  <c r="E35" i="8" s="1"/>
  <c r="E39" i="8" s="1"/>
  <c r="S28" i="8"/>
  <c r="K33" i="8"/>
  <c r="K35" i="8" s="1"/>
  <c r="K39" i="8" s="1"/>
  <c r="O28" i="8"/>
  <c r="AB14" i="8"/>
  <c r="T24" i="8"/>
  <c r="L14" i="8"/>
  <c r="G32" i="8"/>
  <c r="G33" i="8" s="1"/>
  <c r="G35" i="8" s="1"/>
  <c r="G39" i="8" s="1"/>
  <c r="X55" i="7"/>
  <c r="X60" i="7" s="1"/>
  <c r="X62" i="7" s="1"/>
  <c r="X9" i="7" s="1"/>
  <c r="X7" i="7" s="1"/>
  <c r="X8" i="7" s="1"/>
  <c r="X10" i="7" s="1"/>
  <c r="X72" i="7" s="1"/>
  <c r="X73" i="7" s="1"/>
  <c r="X74" i="7" s="1"/>
  <c r="X75" i="7" s="1"/>
  <c r="X76" i="7" s="1"/>
  <c r="X12" i="7" s="1"/>
  <c r="W55" i="7"/>
  <c r="W60" i="7" s="1"/>
  <c r="W62" i="7" s="1"/>
  <c r="W9" i="7" s="1"/>
  <c r="W7" i="7" s="1"/>
  <c r="W8" i="7" s="1"/>
  <c r="W10" i="7" s="1"/>
  <c r="W72" i="7" s="1"/>
  <c r="L55" i="7"/>
  <c r="L60" i="7" s="1"/>
  <c r="L62" i="7" s="1"/>
  <c r="L9" i="7" s="1"/>
  <c r="L7" i="7" s="1"/>
  <c r="L8" i="7" s="1"/>
  <c r="L10" i="7" s="1"/>
  <c r="L79" i="7" s="1"/>
  <c r="L80" i="7" s="1"/>
  <c r="L81" i="7" s="1"/>
  <c r="G72" i="7"/>
  <c r="M28" i="8"/>
  <c r="R24" i="8"/>
  <c r="R28" i="8" s="1"/>
  <c r="AD79" i="7"/>
  <c r="AD80" i="7" s="1"/>
  <c r="AD81" i="7" s="1"/>
  <c r="AD82" i="7" s="1"/>
  <c r="AD83" i="7" s="1"/>
  <c r="AD16" i="7" s="1"/>
  <c r="H28" i="8"/>
  <c r="C33" i="8"/>
  <c r="C35" i="8" s="1"/>
  <c r="C39" i="8" s="1"/>
  <c r="D55" i="7"/>
  <c r="D60" i="7" s="1"/>
  <c r="D62" i="7" s="1"/>
  <c r="D9" i="7" s="1"/>
  <c r="D7" i="7" s="1"/>
  <c r="D8" i="7" s="1"/>
  <c r="D10" i="7" s="1"/>
  <c r="P55" i="7"/>
  <c r="P60" i="7" s="1"/>
  <c r="P62" i="7" s="1"/>
  <c r="P9" i="7" s="1"/>
  <c r="P7" i="7" s="1"/>
  <c r="P8" i="7" s="1"/>
  <c r="P10" i="7" s="1"/>
  <c r="P79" i="7" s="1"/>
  <c r="P80" i="7" s="1"/>
  <c r="P81" i="7" s="1"/>
  <c r="J24" i="8"/>
  <c r="J28" i="8" s="1"/>
  <c r="U11" i="8"/>
  <c r="U13" i="8" s="1"/>
  <c r="K55" i="7"/>
  <c r="K60" i="7" s="1"/>
  <c r="K62" i="7" s="1"/>
  <c r="K9" i="7" s="1"/>
  <c r="K7" i="7" s="1"/>
  <c r="K8" i="7" s="1"/>
  <c r="K10" i="7" s="1"/>
  <c r="K79" i="7" s="1"/>
  <c r="K80" i="7" s="1"/>
  <c r="K81" i="7" s="1"/>
  <c r="K82" i="7" s="1"/>
  <c r="K83" i="7" s="1"/>
  <c r="K16" i="7" s="1"/>
  <c r="C55" i="7"/>
  <c r="C60" i="7" s="1"/>
  <c r="C62" i="7" s="1"/>
  <c r="C9" i="7" s="1"/>
  <c r="C7" i="7" s="1"/>
  <c r="C8" i="7" s="1"/>
  <c r="C10" i="7" s="1"/>
  <c r="C79" i="7" s="1"/>
  <c r="C80" i="7" s="1"/>
  <c r="C81" i="7" s="1"/>
  <c r="C82" i="7" s="1"/>
  <c r="C83" i="7" s="1"/>
  <c r="C16" i="7" s="1"/>
  <c r="AA55" i="7"/>
  <c r="AA60" i="7" s="1"/>
  <c r="AA62" i="7" s="1"/>
  <c r="AA9" i="7" s="1"/>
  <c r="AA7" i="7" s="1"/>
  <c r="AA8" i="7" s="1"/>
  <c r="AA10" i="7" s="1"/>
  <c r="D79" i="7"/>
  <c r="D80" i="7" s="1"/>
  <c r="D81" i="7" s="1"/>
  <c r="D82" i="7" s="1"/>
  <c r="D83" i="7" s="1"/>
  <c r="D16" i="7" s="1"/>
  <c r="U55" i="7"/>
  <c r="U60" i="7" s="1"/>
  <c r="U62" i="7" s="1"/>
  <c r="U9" i="7" s="1"/>
  <c r="U7" i="7" s="1"/>
  <c r="U8" i="7" s="1"/>
  <c r="U10" i="7" s="1"/>
  <c r="Q55" i="7"/>
  <c r="Q60" i="7" s="1"/>
  <c r="Q62" i="7" s="1"/>
  <c r="Q9" i="7" s="1"/>
  <c r="Q7" i="7" s="1"/>
  <c r="Q8" i="7" s="1"/>
  <c r="Q10" i="7" s="1"/>
  <c r="Q79" i="7" s="1"/>
  <c r="Q80" i="7" s="1"/>
  <c r="Q81" i="7" s="1"/>
  <c r="Q82" i="7" s="1"/>
  <c r="Q83" i="7" s="1"/>
  <c r="Q16" i="7" s="1"/>
  <c r="Z55" i="7"/>
  <c r="Z60" i="7" s="1"/>
  <c r="Z62" i="7" s="1"/>
  <c r="Z9" i="7" s="1"/>
  <c r="Z7" i="7" s="1"/>
  <c r="Z8" i="7" s="1"/>
  <c r="Z10" i="7" s="1"/>
  <c r="V79" i="7"/>
  <c r="V80" i="7" s="1"/>
  <c r="V81" i="7" s="1"/>
  <c r="V82" i="7" s="1"/>
  <c r="V83" i="7" s="1"/>
  <c r="V16" i="7" s="1"/>
  <c r="W73" i="7"/>
  <c r="W74" i="7" s="1"/>
  <c r="W75" i="7" s="1"/>
  <c r="W76" i="7" s="1"/>
  <c r="W12" i="7" s="1"/>
  <c r="V73" i="7"/>
  <c r="V74" i="7" s="1"/>
  <c r="V75" i="7" s="1"/>
  <c r="V76" i="7" s="1"/>
  <c r="V12" i="7" s="1"/>
  <c r="N72" i="7"/>
  <c r="J69" i="7"/>
  <c r="J70" i="7"/>
  <c r="O82" i="7"/>
  <c r="O83" i="7" s="1"/>
  <c r="O16" i="7" s="1"/>
  <c r="O69" i="7"/>
  <c r="O70" i="7"/>
  <c r="C70" i="7"/>
  <c r="C69" i="7"/>
  <c r="M55" i="7"/>
  <c r="M60" i="7" s="1"/>
  <c r="M62" i="7" s="1"/>
  <c r="M9" i="7" s="1"/>
  <c r="M7" i="7" s="1"/>
  <c r="M8" i="7" s="1"/>
  <c r="M10" i="7" s="1"/>
  <c r="AC73" i="7"/>
  <c r="AC74" i="7" s="1"/>
  <c r="AC75" i="7" s="1"/>
  <c r="AC76" i="7" s="1"/>
  <c r="AC12" i="7" s="1"/>
  <c r="AC86" i="7"/>
  <c r="AC88" i="7" s="1"/>
  <c r="D70" i="7"/>
  <c r="D69" i="7"/>
  <c r="W79" i="7"/>
  <c r="W80" i="7" s="1"/>
  <c r="W81" i="7" s="1"/>
  <c r="W82" i="7" s="1"/>
  <c r="W83" i="7" s="1"/>
  <c r="W16" i="7" s="1"/>
  <c r="S70" i="7"/>
  <c r="S69" i="7"/>
  <c r="U70" i="7"/>
  <c r="U69" i="7"/>
  <c r="J55" i="7"/>
  <c r="J60" i="7" s="1"/>
  <c r="J62" i="7" s="1"/>
  <c r="J9" i="7" s="1"/>
  <c r="J7" i="7" s="1"/>
  <c r="J8" i="7" s="1"/>
  <c r="J10" i="7" s="1"/>
  <c r="I69" i="7"/>
  <c r="I70" i="7"/>
  <c r="L72" i="7"/>
  <c r="H69" i="7"/>
  <c r="H70" i="7"/>
  <c r="S55" i="7"/>
  <c r="S60" i="7" s="1"/>
  <c r="S62" i="7" s="1"/>
  <c r="S9" i="7" s="1"/>
  <c r="S7" i="7" s="1"/>
  <c r="S8" i="7" s="1"/>
  <c r="S10" i="7" s="1"/>
  <c r="F72" i="7"/>
  <c r="AB70" i="7"/>
  <c r="AB69" i="7"/>
  <c r="I55" i="7"/>
  <c r="I60" i="7" s="1"/>
  <c r="I62" i="7" s="1"/>
  <c r="I9" i="7" s="1"/>
  <c r="I7" i="7" s="1"/>
  <c r="I8" i="7" s="1"/>
  <c r="I10" i="7" s="1"/>
  <c r="H55" i="7"/>
  <c r="H60" i="7" s="1"/>
  <c r="H62" i="7" s="1"/>
  <c r="H9" i="7" s="1"/>
  <c r="H7" i="7" s="1"/>
  <c r="H8" i="7" s="1"/>
  <c r="H10" i="7" s="1"/>
  <c r="AD86" i="7"/>
  <c r="AD88" i="7" s="1"/>
  <c r="AD73" i="7"/>
  <c r="AD74" i="7" s="1"/>
  <c r="AD75" i="7" s="1"/>
  <c r="AD76" i="7" s="1"/>
  <c r="AD12" i="7" s="1"/>
  <c r="G82" i="7"/>
  <c r="G83" i="7" s="1"/>
  <c r="G16" i="7" s="1"/>
  <c r="G69" i="7"/>
  <c r="G70" i="7"/>
  <c r="AC87" i="7"/>
  <c r="AC89" i="7" s="1"/>
  <c r="AC100" i="7"/>
  <c r="AC102" i="7" s="1"/>
  <c r="AC103" i="7" s="1"/>
  <c r="AC105" i="7" s="1"/>
  <c r="E70" i="7"/>
  <c r="E69" i="7"/>
  <c r="T70" i="7"/>
  <c r="T69" i="7"/>
  <c r="O72" i="7"/>
  <c r="AB55" i="7"/>
  <c r="AB60" i="7" s="1"/>
  <c r="AB62" i="7" s="1"/>
  <c r="AB9" i="7" s="1"/>
  <c r="AB7" i="7" s="1"/>
  <c r="AB8" i="7" s="1"/>
  <c r="AB10" i="7" s="1"/>
  <c r="AB72" i="7" s="1"/>
  <c r="D72" i="7"/>
  <c r="AD99" i="7"/>
  <c r="AD101" i="7" s="1"/>
  <c r="E55" i="7"/>
  <c r="E60" i="7" s="1"/>
  <c r="E62" i="7" s="1"/>
  <c r="E9" i="7" s="1"/>
  <c r="E7" i="7" s="1"/>
  <c r="E8" i="7" s="1"/>
  <c r="E10" i="7" s="1"/>
  <c r="T55" i="7"/>
  <c r="T60" i="7" s="1"/>
  <c r="T62" i="7" s="1"/>
  <c r="T9" i="7" s="1"/>
  <c r="T7" i="7" s="1"/>
  <c r="T8" i="7" s="1"/>
  <c r="T10" i="7" s="1"/>
  <c r="V70" i="7"/>
  <c r="V69" i="7"/>
  <c r="V99" i="7" s="1"/>
  <c r="V101" i="7" s="1"/>
  <c r="K70" i="7"/>
  <c r="K69" i="7"/>
  <c r="P72" i="7"/>
  <c r="AA70" i="7"/>
  <c r="AA69" i="7"/>
  <c r="Z69" i="7"/>
  <c r="Z70" i="7"/>
  <c r="C72" i="7"/>
  <c r="AD87" i="7"/>
  <c r="AD89" i="7" s="1"/>
  <c r="AD100" i="7"/>
  <c r="AD102" i="7" s="1"/>
  <c r="G73" i="7"/>
  <c r="G74" i="7" s="1"/>
  <c r="G75" i="7" s="1"/>
  <c r="G76" i="7" s="1"/>
  <c r="G12" i="7" s="1"/>
  <c r="R69" i="7"/>
  <c r="R70" i="7"/>
  <c r="Y69" i="7"/>
  <c r="Y70" i="7"/>
  <c r="M70" i="7"/>
  <c r="M69" i="7"/>
  <c r="N82" i="7"/>
  <c r="N83" i="7" s="1"/>
  <c r="N16" i="7" s="1"/>
  <c r="N70" i="7"/>
  <c r="N69" i="7"/>
  <c r="N99" i="7" s="1"/>
  <c r="N101" i="7" s="1"/>
  <c r="F82" i="7"/>
  <c r="F83" i="7" s="1"/>
  <c r="F16" i="7" s="1"/>
  <c r="F70" i="7"/>
  <c r="F69" i="7"/>
  <c r="F99" i="7" s="1"/>
  <c r="F101" i="7" s="1"/>
  <c r="X69" i="7"/>
  <c r="X70" i="7"/>
  <c r="W69" i="7"/>
  <c r="W99" i="7" s="1"/>
  <c r="W101" i="7" s="1"/>
  <c r="W70" i="7"/>
  <c r="L82" i="7"/>
  <c r="L83" i="7" s="1"/>
  <c r="L16" i="7" s="1"/>
  <c r="L70" i="7"/>
  <c r="L69" i="7"/>
  <c r="R55" i="7"/>
  <c r="R60" i="7" s="1"/>
  <c r="R62" i="7" s="1"/>
  <c r="R9" i="7" s="1"/>
  <c r="R7" i="7" s="1"/>
  <c r="R8" i="7" s="1"/>
  <c r="R10" i="7" s="1"/>
  <c r="Q69" i="7"/>
  <c r="Q70" i="7"/>
  <c r="P82" i="7"/>
  <c r="P83" i="7" s="1"/>
  <c r="P16" i="7" s="1"/>
  <c r="P69" i="7"/>
  <c r="P70" i="7"/>
  <c r="Y55" i="7"/>
  <c r="Y60" i="7" s="1"/>
  <c r="Y62" i="7" s="1"/>
  <c r="Y9" i="7" s="1"/>
  <c r="Y7" i="7" s="1"/>
  <c r="Y8" i="7" s="1"/>
  <c r="Y10" i="7" s="1"/>
  <c r="Z33" i="8"/>
  <c r="Z35" i="8" s="1"/>
  <c r="Z39" i="8" s="1"/>
  <c r="AA23" i="8"/>
  <c r="AA24" i="8" s="1"/>
  <c r="F28" i="8"/>
  <c r="Q25" i="8"/>
  <c r="Q27" i="8" s="1"/>
  <c r="Q32" i="8" s="1"/>
  <c r="Q33" i="8" s="1"/>
  <c r="Q35" i="8" s="1"/>
  <c r="Q39" i="8" s="1"/>
  <c r="Q24" i="8"/>
  <c r="W32" i="8"/>
  <c r="K14" i="8"/>
  <c r="S31" i="8"/>
  <c r="S33" i="8" s="1"/>
  <c r="S35" i="8" s="1"/>
  <c r="S39" i="8" s="1"/>
  <c r="W28" i="8"/>
  <c r="M33" i="8"/>
  <c r="M35" i="8" s="1"/>
  <c r="M39" i="8" s="1"/>
  <c r="F14" i="8"/>
  <c r="J33" i="8"/>
  <c r="J35" i="8" s="1"/>
  <c r="J39" i="8" s="1"/>
  <c r="Z28" i="8"/>
  <c r="Z14" i="8"/>
  <c r="P32" i="8"/>
  <c r="P33" i="8" s="1"/>
  <c r="P35" i="8" s="1"/>
  <c r="P39" i="8" s="1"/>
  <c r="U25" i="8"/>
  <c r="U27" i="8" s="1"/>
  <c r="U32" i="8" s="1"/>
  <c r="R32" i="8"/>
  <c r="R33" i="8" s="1"/>
  <c r="R35" i="8" s="1"/>
  <c r="R39" i="8" s="1"/>
  <c r="Y23" i="8"/>
  <c r="Y25" i="8" s="1"/>
  <c r="Y27" i="8" s="1"/>
  <c r="W11" i="8"/>
  <c r="W13" i="8" s="1"/>
  <c r="W31" i="8" s="1"/>
  <c r="U14" i="8"/>
  <c r="AA14" i="8"/>
  <c r="U24" i="8"/>
  <c r="AB32" i="8"/>
  <c r="AB33" i="8" s="1"/>
  <c r="AB35" i="8" s="1"/>
  <c r="AB39" i="8" s="1"/>
  <c r="L25" i="8"/>
  <c r="L27" i="8" s="1"/>
  <c r="L32" i="8" s="1"/>
  <c r="L33" i="8" s="1"/>
  <c r="L35" i="8" s="1"/>
  <c r="L39" i="8" s="1"/>
  <c r="M14" i="8"/>
  <c r="C14" i="8"/>
  <c r="T28" i="8"/>
  <c r="T31" i="8"/>
  <c r="D25" i="8"/>
  <c r="D27" i="8" s="1"/>
  <c r="D28" i="8" s="1"/>
  <c r="AB24" i="8"/>
  <c r="AB28" i="8" s="1"/>
  <c r="X33" i="8"/>
  <c r="X35" i="8" s="1"/>
  <c r="X39" i="8" s="1"/>
  <c r="I25" i="8"/>
  <c r="I27" i="8" s="1"/>
  <c r="I28" i="8" s="1"/>
  <c r="N32" i="8"/>
  <c r="N33" i="8" s="1"/>
  <c r="N35" i="8" s="1"/>
  <c r="N39" i="8" s="1"/>
  <c r="W10" i="8"/>
  <c r="W14" i="8" s="1"/>
  <c r="N14" i="8"/>
  <c r="F32" i="8"/>
  <c r="F33" i="8" s="1"/>
  <c r="F35" i="8" s="1"/>
  <c r="F39" i="8" s="1"/>
  <c r="E14" i="8"/>
  <c r="T32" i="8"/>
  <c r="U31" i="8"/>
  <c r="L24" i="8"/>
  <c r="V25" i="8"/>
  <c r="V27" i="8" s="1"/>
  <c r="V28" i="8" s="1"/>
  <c r="N24" i="8"/>
  <c r="N28" i="8" s="1"/>
  <c r="D130" i="10" l="1"/>
  <c r="D137" i="10" s="1"/>
  <c r="D23" i="10" s="1"/>
  <c r="D34" i="10" s="1"/>
  <c r="D131" i="10"/>
  <c r="D138" i="10" s="1"/>
  <c r="D24" i="10" s="1"/>
  <c r="C139" i="10"/>
  <c r="C138" i="10"/>
  <c r="C24" i="10" s="1"/>
  <c r="D116" i="10"/>
  <c r="D22" i="10" s="1"/>
  <c r="D33" i="10" s="1"/>
  <c r="W33" i="8"/>
  <c r="W35" i="8" s="1"/>
  <c r="W39" i="8" s="1"/>
  <c r="D32" i="8"/>
  <c r="D33" i="8" s="1"/>
  <c r="D35" i="8" s="1"/>
  <c r="D39" i="8" s="1"/>
  <c r="U28" i="8"/>
  <c r="G99" i="7"/>
  <c r="G101" i="7" s="1"/>
  <c r="P99" i="7"/>
  <c r="P101" i="7" s="1"/>
  <c r="L99" i="7"/>
  <c r="L101" i="7" s="1"/>
  <c r="AA25" i="8"/>
  <c r="AA27" i="8" s="1"/>
  <c r="AA28" i="8" s="1"/>
  <c r="AB79" i="7"/>
  <c r="AB80" i="7" s="1"/>
  <c r="AB81" i="7" s="1"/>
  <c r="AB82" i="7" s="1"/>
  <c r="AB83" i="7" s="1"/>
  <c r="AB16" i="7" s="1"/>
  <c r="L28" i="8"/>
  <c r="I32" i="8"/>
  <c r="I33" i="8" s="1"/>
  <c r="I35" i="8" s="1"/>
  <c r="I39" i="8" s="1"/>
  <c r="G86" i="7"/>
  <c r="G88" i="7" s="1"/>
  <c r="K72" i="7"/>
  <c r="K73" i="7" s="1"/>
  <c r="K74" i="7" s="1"/>
  <c r="K75" i="7" s="1"/>
  <c r="K76" i="7" s="1"/>
  <c r="K12" i="7" s="1"/>
  <c r="X99" i="7"/>
  <c r="X101" i="7" s="1"/>
  <c r="Q72" i="7"/>
  <c r="Q99" i="7" s="1"/>
  <c r="Q101" i="7" s="1"/>
  <c r="X79" i="7"/>
  <c r="X80" i="7" s="1"/>
  <c r="X81" i="7" s="1"/>
  <c r="X82" i="7" s="1"/>
  <c r="X83" i="7" s="1"/>
  <c r="X16" i="7" s="1"/>
  <c r="Z72" i="7"/>
  <c r="Z73" i="7" s="1"/>
  <c r="Z74" i="7" s="1"/>
  <c r="Z75" i="7" s="1"/>
  <c r="Z76" i="7" s="1"/>
  <c r="Z12" i="7" s="1"/>
  <c r="Z79" i="7"/>
  <c r="Z80" i="7" s="1"/>
  <c r="Z81" i="7" s="1"/>
  <c r="Z82" i="7" s="1"/>
  <c r="Z83" i="7" s="1"/>
  <c r="Z16" i="7" s="1"/>
  <c r="U72" i="7"/>
  <c r="U79" i="7"/>
  <c r="U80" i="7" s="1"/>
  <c r="U81" i="7" s="1"/>
  <c r="U82" i="7" s="1"/>
  <c r="U83" i="7" s="1"/>
  <c r="U16" i="7" s="1"/>
  <c r="AA72" i="7"/>
  <c r="AA73" i="7" s="1"/>
  <c r="AA74" i="7" s="1"/>
  <c r="AA75" i="7" s="1"/>
  <c r="AA76" i="7" s="1"/>
  <c r="AA12" i="7" s="1"/>
  <c r="AA79" i="7"/>
  <c r="AA80" i="7" s="1"/>
  <c r="AA81" i="7" s="1"/>
  <c r="AA82" i="7" s="1"/>
  <c r="AA83" i="7" s="1"/>
  <c r="AA16" i="7" s="1"/>
  <c r="N87" i="7"/>
  <c r="N89" i="7" s="1"/>
  <c r="N100" i="7"/>
  <c r="N102" i="7" s="1"/>
  <c r="N103" i="7" s="1"/>
  <c r="N105" i="7" s="1"/>
  <c r="R100" i="7"/>
  <c r="R102" i="7" s="1"/>
  <c r="R87" i="7"/>
  <c r="R89" i="7" s="1"/>
  <c r="Z100" i="7"/>
  <c r="Z102" i="7" s="1"/>
  <c r="Z87" i="7"/>
  <c r="Z89" i="7" s="1"/>
  <c r="F86" i="7"/>
  <c r="F88" i="7" s="1"/>
  <c r="F73" i="7"/>
  <c r="F74" i="7" s="1"/>
  <c r="F75" i="7" s="1"/>
  <c r="F76" i="7" s="1"/>
  <c r="F12" i="7" s="1"/>
  <c r="J100" i="7"/>
  <c r="J102" i="7" s="1"/>
  <c r="J87" i="7"/>
  <c r="J89" i="7" s="1"/>
  <c r="Y72" i="7"/>
  <c r="Y99" i="7" s="1"/>
  <c r="Y101" i="7" s="1"/>
  <c r="Y79" i="7"/>
  <c r="Y80" i="7" s="1"/>
  <c r="Y81" i="7" s="1"/>
  <c r="Y82" i="7" s="1"/>
  <c r="Y83" i="7" s="1"/>
  <c r="Y16" i="7" s="1"/>
  <c r="X100" i="7"/>
  <c r="X102" i="7" s="1"/>
  <c r="X103" i="7" s="1"/>
  <c r="X105" i="7" s="1"/>
  <c r="X87" i="7"/>
  <c r="X89" i="7" s="1"/>
  <c r="K87" i="7"/>
  <c r="K89" i="7" s="1"/>
  <c r="K100" i="7"/>
  <c r="K102" i="7" s="1"/>
  <c r="Q86" i="7"/>
  <c r="Q88" i="7" s="1"/>
  <c r="Q73" i="7"/>
  <c r="Q74" i="7" s="1"/>
  <c r="Q75" i="7" s="1"/>
  <c r="Q76" i="7" s="1"/>
  <c r="Q12" i="7" s="1"/>
  <c r="AD90" i="7"/>
  <c r="S79" i="7"/>
  <c r="S80" i="7" s="1"/>
  <c r="S81" i="7" s="1"/>
  <c r="S82" i="7" s="1"/>
  <c r="S83" i="7" s="1"/>
  <c r="S16" i="7" s="1"/>
  <c r="S72" i="7"/>
  <c r="J79" i="7"/>
  <c r="J80" i="7" s="1"/>
  <c r="J81" i="7" s="1"/>
  <c r="J82" i="7" s="1"/>
  <c r="J83" i="7" s="1"/>
  <c r="J16" i="7" s="1"/>
  <c r="J72" i="7"/>
  <c r="J99" i="7" s="1"/>
  <c r="J101" i="7" s="1"/>
  <c r="J103" i="7" s="1"/>
  <c r="J105" i="7" s="1"/>
  <c r="D99" i="7"/>
  <c r="D101" i="7" s="1"/>
  <c r="AA86" i="7"/>
  <c r="AA88" i="7" s="1"/>
  <c r="P100" i="7"/>
  <c r="P102" i="7" s="1"/>
  <c r="P87" i="7"/>
  <c r="P89" i="7" s="1"/>
  <c r="R79" i="7"/>
  <c r="R80" i="7" s="1"/>
  <c r="R81" i="7" s="1"/>
  <c r="R82" i="7" s="1"/>
  <c r="R83" i="7" s="1"/>
  <c r="R16" i="7" s="1"/>
  <c r="R72" i="7"/>
  <c r="R99" i="7" s="1"/>
  <c r="R101" i="7" s="1"/>
  <c r="R103" i="7" s="1"/>
  <c r="R105" i="7" s="1"/>
  <c r="D86" i="7"/>
  <c r="D88" i="7" s="1"/>
  <c r="D73" i="7"/>
  <c r="D74" i="7" s="1"/>
  <c r="D75" i="7" s="1"/>
  <c r="D76" i="7" s="1"/>
  <c r="D12" i="7" s="1"/>
  <c r="E87" i="7"/>
  <c r="E89" i="7" s="1"/>
  <c r="E100" i="7"/>
  <c r="E102" i="7" s="1"/>
  <c r="H100" i="7"/>
  <c r="H102" i="7" s="1"/>
  <c r="H87" i="7"/>
  <c r="H89" i="7" s="1"/>
  <c r="D87" i="7"/>
  <c r="D89" i="7" s="1"/>
  <c r="D100" i="7"/>
  <c r="D102" i="7" s="1"/>
  <c r="C99" i="7"/>
  <c r="C101" i="7" s="1"/>
  <c r="V87" i="7"/>
  <c r="V89" i="7" s="1"/>
  <c r="V100" i="7"/>
  <c r="V102" i="7" s="1"/>
  <c r="V103" i="7" s="1"/>
  <c r="V105" i="7" s="1"/>
  <c r="H79" i="7"/>
  <c r="H80" i="7" s="1"/>
  <c r="H81" i="7" s="1"/>
  <c r="H82" i="7" s="1"/>
  <c r="H83" i="7" s="1"/>
  <c r="H16" i="7" s="1"/>
  <c r="H72" i="7"/>
  <c r="H99" i="7" s="1"/>
  <c r="H101" i="7" s="1"/>
  <c r="N86" i="7"/>
  <c r="N88" i="7" s="1"/>
  <c r="N73" i="7"/>
  <c r="N74" i="7" s="1"/>
  <c r="N75" i="7" s="1"/>
  <c r="N76" i="7" s="1"/>
  <c r="N12" i="7" s="1"/>
  <c r="M87" i="7"/>
  <c r="M89" i="7" s="1"/>
  <c r="M100" i="7"/>
  <c r="M102" i="7" s="1"/>
  <c r="AA87" i="7"/>
  <c r="AA89" i="7" s="1"/>
  <c r="AA100" i="7"/>
  <c r="AA102" i="7" s="1"/>
  <c r="O86" i="7"/>
  <c r="O88" i="7" s="1"/>
  <c r="O73" i="7"/>
  <c r="O74" i="7" s="1"/>
  <c r="O75" i="7" s="1"/>
  <c r="O76" i="7" s="1"/>
  <c r="O12" i="7" s="1"/>
  <c r="I72" i="7"/>
  <c r="I99" i="7" s="1"/>
  <c r="I101" i="7" s="1"/>
  <c r="I79" i="7"/>
  <c r="I80" i="7" s="1"/>
  <c r="I81" i="7" s="1"/>
  <c r="I82" i="7" s="1"/>
  <c r="I83" i="7" s="1"/>
  <c r="I16" i="7" s="1"/>
  <c r="U87" i="7"/>
  <c r="U89" i="7" s="1"/>
  <c r="U100" i="7"/>
  <c r="U102" i="7" s="1"/>
  <c r="AC90" i="7"/>
  <c r="C87" i="7"/>
  <c r="C89" i="7" s="1"/>
  <c r="C100" i="7"/>
  <c r="C102" i="7" s="1"/>
  <c r="L87" i="7"/>
  <c r="L89" i="7" s="1"/>
  <c r="L100" i="7"/>
  <c r="L102" i="7" s="1"/>
  <c r="L103" i="7" s="1"/>
  <c r="L105" i="7" s="1"/>
  <c r="AB86" i="7"/>
  <c r="AB88" i="7" s="1"/>
  <c r="AB73" i="7"/>
  <c r="AB74" i="7" s="1"/>
  <c r="AB75" i="7" s="1"/>
  <c r="AB76" i="7" s="1"/>
  <c r="AB12" i="7" s="1"/>
  <c r="F87" i="7"/>
  <c r="F89" i="7" s="1"/>
  <c r="F100" i="7"/>
  <c r="F102" i="7" s="1"/>
  <c r="F103" i="7" s="1"/>
  <c r="F105" i="7" s="1"/>
  <c r="Y100" i="7"/>
  <c r="Y102" i="7" s="1"/>
  <c r="Y87" i="7"/>
  <c r="Y89" i="7" s="1"/>
  <c r="T79" i="7"/>
  <c r="T80" i="7" s="1"/>
  <c r="T81" i="7" s="1"/>
  <c r="T82" i="7" s="1"/>
  <c r="T83" i="7" s="1"/>
  <c r="T16" i="7" s="1"/>
  <c r="T72" i="7"/>
  <c r="T99" i="7" s="1"/>
  <c r="T101" i="7" s="1"/>
  <c r="G100" i="7"/>
  <c r="G102" i="7" s="1"/>
  <c r="G103" i="7" s="1"/>
  <c r="G105" i="7" s="1"/>
  <c r="G87" i="7"/>
  <c r="G89" i="7" s="1"/>
  <c r="AB99" i="7"/>
  <c r="AB101" i="7" s="1"/>
  <c r="L86" i="7"/>
  <c r="L88" i="7" s="1"/>
  <c r="L73" i="7"/>
  <c r="L74" i="7" s="1"/>
  <c r="L75" i="7" s="1"/>
  <c r="L76" i="7" s="1"/>
  <c r="L12" i="7" s="1"/>
  <c r="S99" i="7"/>
  <c r="S101" i="7" s="1"/>
  <c r="O100" i="7"/>
  <c r="O102" i="7" s="1"/>
  <c r="O87" i="7"/>
  <c r="O89" i="7" s="1"/>
  <c r="W86" i="7"/>
  <c r="W88" i="7" s="1"/>
  <c r="P86" i="7"/>
  <c r="P88" i="7" s="1"/>
  <c r="P73" i="7"/>
  <c r="P74" i="7" s="1"/>
  <c r="P75" i="7" s="1"/>
  <c r="P76" i="7" s="1"/>
  <c r="P12" i="7" s="1"/>
  <c r="E79" i="7"/>
  <c r="E80" i="7" s="1"/>
  <c r="E81" i="7" s="1"/>
  <c r="E82" i="7" s="1"/>
  <c r="E83" i="7" s="1"/>
  <c r="E16" i="7" s="1"/>
  <c r="E72" i="7"/>
  <c r="E99" i="7" s="1"/>
  <c r="E101" i="7" s="1"/>
  <c r="T87" i="7"/>
  <c r="T89" i="7" s="1"/>
  <c r="T100" i="7"/>
  <c r="T102" i="7" s="1"/>
  <c r="AB87" i="7"/>
  <c r="AB89" i="7" s="1"/>
  <c r="AB100" i="7"/>
  <c r="AB102" i="7" s="1"/>
  <c r="I100" i="7"/>
  <c r="I102" i="7" s="1"/>
  <c r="I87" i="7"/>
  <c r="I89" i="7" s="1"/>
  <c r="S87" i="7"/>
  <c r="S89" i="7" s="1"/>
  <c r="S100" i="7"/>
  <c r="S102" i="7" s="1"/>
  <c r="M79" i="7"/>
  <c r="M80" i="7" s="1"/>
  <c r="M81" i="7" s="1"/>
  <c r="M82" i="7" s="1"/>
  <c r="M83" i="7" s="1"/>
  <c r="M16" i="7" s="1"/>
  <c r="M72" i="7"/>
  <c r="M99" i="7" s="1"/>
  <c r="M101" i="7" s="1"/>
  <c r="O99" i="7"/>
  <c r="O101" i="7" s="1"/>
  <c r="P103" i="7"/>
  <c r="P105" i="7" s="1"/>
  <c r="W100" i="7"/>
  <c r="W102" i="7" s="1"/>
  <c r="W103" i="7" s="1"/>
  <c r="W105" i="7" s="1"/>
  <c r="W87" i="7"/>
  <c r="W89" i="7" s="1"/>
  <c r="Q100" i="7"/>
  <c r="Q102" i="7" s="1"/>
  <c r="Q87" i="7"/>
  <c r="Q89" i="7" s="1"/>
  <c r="C86" i="7"/>
  <c r="C88" i="7" s="1"/>
  <c r="C73" i="7"/>
  <c r="C74" i="7" s="1"/>
  <c r="C75" i="7" s="1"/>
  <c r="C76" i="7" s="1"/>
  <c r="C12" i="7" s="1"/>
  <c r="AD103" i="7"/>
  <c r="AD105" i="7" s="1"/>
  <c r="V86" i="7"/>
  <c r="V88" i="7" s="1"/>
  <c r="X86" i="7"/>
  <c r="X88" i="7" s="1"/>
  <c r="V32" i="8"/>
  <c r="V33" i="8" s="1"/>
  <c r="V35" i="8" s="1"/>
  <c r="V39" i="8" s="1"/>
  <c r="U33" i="8"/>
  <c r="U35" i="8" s="1"/>
  <c r="U39" i="8" s="1"/>
  <c r="Y32" i="8"/>
  <c r="Y33" i="8" s="1"/>
  <c r="Y35" i="8" s="1"/>
  <c r="Y39" i="8" s="1"/>
  <c r="Y24" i="8"/>
  <c r="Y28" i="8" s="1"/>
  <c r="T33" i="8"/>
  <c r="T35" i="8" s="1"/>
  <c r="T39" i="8" s="1"/>
  <c r="Q28" i="8"/>
  <c r="AA32" i="8"/>
  <c r="AA33" i="8" s="1"/>
  <c r="AA35" i="8" s="1"/>
  <c r="AA39" i="8" s="1"/>
  <c r="C84" i="1"/>
  <c r="D83" i="1"/>
  <c r="D84" i="1" s="1"/>
  <c r="F83" i="1"/>
  <c r="F84" i="1" s="1"/>
  <c r="I83" i="1"/>
  <c r="I84" i="1" s="1"/>
  <c r="L83" i="1"/>
  <c r="L84" i="1" s="1"/>
  <c r="O83" i="1"/>
  <c r="O84" i="1" s="1"/>
  <c r="R83" i="1"/>
  <c r="R84" i="1" s="1"/>
  <c r="T83" i="1"/>
  <c r="T84" i="1" s="1"/>
  <c r="W83" i="1"/>
  <c r="W84" i="1" s="1"/>
  <c r="D70" i="1"/>
  <c r="F70" i="1"/>
  <c r="I70" i="1"/>
  <c r="L70" i="1"/>
  <c r="O70" i="1"/>
  <c r="C70" i="1"/>
  <c r="D139" i="10" l="1"/>
  <c r="T103" i="7"/>
  <c r="T105" i="7" s="1"/>
  <c r="Q103" i="7"/>
  <c r="Q105" i="7" s="1"/>
  <c r="E103" i="7"/>
  <c r="E105" i="7" s="1"/>
  <c r="K86" i="7"/>
  <c r="K88" i="7" s="1"/>
  <c r="K90" i="7" s="1"/>
  <c r="K99" i="7"/>
  <c r="K101" i="7" s="1"/>
  <c r="K103" i="7" s="1"/>
  <c r="K105" i="7" s="1"/>
  <c r="AA99" i="7"/>
  <c r="AA101" i="7" s="1"/>
  <c r="AA103" i="7" s="1"/>
  <c r="AA105" i="7" s="1"/>
  <c r="AB103" i="7"/>
  <c r="AB105" i="7" s="1"/>
  <c r="Z86" i="7"/>
  <c r="Z88" i="7" s="1"/>
  <c r="U86" i="7"/>
  <c r="U88" i="7" s="1"/>
  <c r="U73" i="7"/>
  <c r="U74" i="7" s="1"/>
  <c r="U75" i="7" s="1"/>
  <c r="U76" i="7" s="1"/>
  <c r="U12" i="7" s="1"/>
  <c r="M103" i="7"/>
  <c r="M105" i="7" s="1"/>
  <c r="H103" i="7"/>
  <c r="H105" i="7" s="1"/>
  <c r="U99" i="7"/>
  <c r="U101" i="7" s="1"/>
  <c r="U103" i="7" s="1"/>
  <c r="U105" i="7" s="1"/>
  <c r="G90" i="7"/>
  <c r="Z99" i="7"/>
  <c r="Z101" i="7" s="1"/>
  <c r="Z103" i="7" s="1"/>
  <c r="Z105" i="7" s="1"/>
  <c r="S103" i="7"/>
  <c r="S105" i="7" s="1"/>
  <c r="AA90" i="7"/>
  <c r="Y103" i="7"/>
  <c r="Y105" i="7" s="1"/>
  <c r="W90" i="7"/>
  <c r="I86" i="7"/>
  <c r="I88" i="7" s="1"/>
  <c r="I73" i="7"/>
  <c r="I74" i="7" s="1"/>
  <c r="I75" i="7" s="1"/>
  <c r="I76" i="7" s="1"/>
  <c r="I12" i="7" s="1"/>
  <c r="E86" i="7"/>
  <c r="E88" i="7" s="1"/>
  <c r="E73" i="7"/>
  <c r="E74" i="7" s="1"/>
  <c r="E75" i="7" s="1"/>
  <c r="E76" i="7" s="1"/>
  <c r="E12" i="7" s="1"/>
  <c r="O90" i="7"/>
  <c r="D103" i="7"/>
  <c r="D105" i="7" s="1"/>
  <c r="U90" i="7"/>
  <c r="X90" i="7"/>
  <c r="C90" i="7"/>
  <c r="T86" i="7"/>
  <c r="T88" i="7" s="1"/>
  <c r="T73" i="7"/>
  <c r="T74" i="7" s="1"/>
  <c r="T75" i="7" s="1"/>
  <c r="T76" i="7" s="1"/>
  <c r="T12" i="7" s="1"/>
  <c r="H86" i="7"/>
  <c r="H88" i="7" s="1"/>
  <c r="H73" i="7"/>
  <c r="H74" i="7" s="1"/>
  <c r="H75" i="7" s="1"/>
  <c r="H76" i="7" s="1"/>
  <c r="H12" i="7" s="1"/>
  <c r="C103" i="7"/>
  <c r="C105" i="7" s="1"/>
  <c r="R86" i="7"/>
  <c r="R88" i="7" s="1"/>
  <c r="R73" i="7"/>
  <c r="R74" i="7" s="1"/>
  <c r="R75" i="7" s="1"/>
  <c r="R76" i="7" s="1"/>
  <c r="R12" i="7" s="1"/>
  <c r="J86" i="7"/>
  <c r="J88" i="7" s="1"/>
  <c r="J73" i="7"/>
  <c r="J74" i="7" s="1"/>
  <c r="J75" i="7" s="1"/>
  <c r="J76" i="7" s="1"/>
  <c r="J12" i="7" s="1"/>
  <c r="Q90" i="7"/>
  <c r="V90" i="7"/>
  <c r="AB90" i="7"/>
  <c r="Z90" i="7"/>
  <c r="F90" i="7"/>
  <c r="M73" i="7"/>
  <c r="M74" i="7" s="1"/>
  <c r="M75" i="7" s="1"/>
  <c r="M76" i="7" s="1"/>
  <c r="M12" i="7" s="1"/>
  <c r="M86" i="7"/>
  <c r="M88" i="7" s="1"/>
  <c r="P90" i="7"/>
  <c r="S73" i="7"/>
  <c r="S74" i="7" s="1"/>
  <c r="S75" i="7" s="1"/>
  <c r="S76" i="7" s="1"/>
  <c r="S12" i="7" s="1"/>
  <c r="S86" i="7"/>
  <c r="S88" i="7" s="1"/>
  <c r="Y86" i="7"/>
  <c r="Y88" i="7" s="1"/>
  <c r="Y73" i="7"/>
  <c r="Y74" i="7" s="1"/>
  <c r="Y75" i="7" s="1"/>
  <c r="Y76" i="7" s="1"/>
  <c r="Y12" i="7" s="1"/>
  <c r="I103" i="7"/>
  <c r="I105" i="7" s="1"/>
  <c r="O103" i="7"/>
  <c r="O105" i="7" s="1"/>
  <c r="L90" i="7"/>
  <c r="N90" i="7"/>
  <c r="D90" i="7"/>
  <c r="F64" i="1"/>
  <c r="F61" i="1"/>
  <c r="F60" i="1"/>
  <c r="F57" i="1"/>
  <c r="F56" i="1"/>
  <c r="F93" i="1"/>
  <c r="Y90" i="7" l="1"/>
  <c r="I90" i="7"/>
  <c r="S90" i="7"/>
  <c r="M90" i="7"/>
  <c r="H90" i="7"/>
  <c r="E90" i="7"/>
  <c r="J90" i="7"/>
  <c r="T90" i="7"/>
  <c r="R90" i="7"/>
  <c r="F94" i="1"/>
  <c r="F71" i="1"/>
  <c r="F79" i="1" l="1"/>
  <c r="F76" i="1"/>
  <c r="F74" i="1"/>
  <c r="F97" i="1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F96" i="1"/>
  <c r="E69" i="2"/>
  <c r="F80" i="1"/>
  <c r="F85" i="1" s="1"/>
  <c r="F87" i="1" s="1"/>
  <c r="F130" i="1" s="1"/>
  <c r="F114" i="1"/>
  <c r="F127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D60" i="1"/>
  <c r="I60" i="1"/>
  <c r="L60" i="1"/>
  <c r="O60" i="1"/>
  <c r="R60" i="1"/>
  <c r="T60" i="1"/>
  <c r="W60" i="1"/>
  <c r="D61" i="1"/>
  <c r="I61" i="1"/>
  <c r="L61" i="1"/>
  <c r="O61" i="1"/>
  <c r="R61" i="1"/>
  <c r="T61" i="1"/>
  <c r="W61" i="1"/>
  <c r="C61" i="1"/>
  <c r="C60" i="1"/>
  <c r="F41" i="1" l="1"/>
  <c r="F42" i="1"/>
  <c r="J40" i="8"/>
  <c r="J41" i="8" s="1"/>
  <c r="F86" i="1"/>
  <c r="I40" i="8"/>
  <c r="I41" i="8" s="1"/>
  <c r="H40" i="8"/>
  <c r="H41" i="8" s="1"/>
  <c r="F89" i="1"/>
  <c r="F12" i="1" s="1"/>
  <c r="F10" i="1" s="1"/>
  <c r="F11" i="1" s="1"/>
  <c r="F13" i="1" s="1"/>
  <c r="F129" i="1"/>
  <c r="F116" i="1"/>
  <c r="W44" i="1"/>
  <c r="L44" i="1"/>
  <c r="F106" i="1" l="1"/>
  <c r="F107" i="1" s="1"/>
  <c r="F108" i="1" s="1"/>
  <c r="F109" i="1" s="1"/>
  <c r="F110" i="1" s="1"/>
  <c r="F19" i="1" s="1"/>
  <c r="F30" i="1" s="1"/>
  <c r="F99" i="1"/>
  <c r="W70" i="1"/>
  <c r="W65" i="1"/>
  <c r="D93" i="1"/>
  <c r="D56" i="1"/>
  <c r="D57" i="1"/>
  <c r="D64" i="1"/>
  <c r="C71" i="1"/>
  <c r="C76" i="1" s="1"/>
  <c r="C64" i="1"/>
  <c r="C57" i="1"/>
  <c r="C56" i="1"/>
  <c r="C47" i="1"/>
  <c r="C93" i="1" s="1"/>
  <c r="O93" i="1"/>
  <c r="O56" i="1"/>
  <c r="O57" i="1"/>
  <c r="O64" i="1"/>
  <c r="T70" i="1"/>
  <c r="R70" i="1"/>
  <c r="T65" i="1"/>
  <c r="O40" i="8" l="1"/>
  <c r="O41" i="8" s="1"/>
  <c r="AB40" i="8"/>
  <c r="AB41" i="8" s="1"/>
  <c r="F126" i="1"/>
  <c r="F128" i="1" s="1"/>
  <c r="F113" i="1"/>
  <c r="F115" i="1" s="1"/>
  <c r="F117" i="1" s="1"/>
  <c r="F22" i="1" s="1"/>
  <c r="F33" i="1" s="1"/>
  <c r="F100" i="1"/>
  <c r="F101" i="1" s="1"/>
  <c r="F102" i="1" s="1"/>
  <c r="F103" i="1" s="1"/>
  <c r="F15" i="1" s="1"/>
  <c r="F26" i="1" s="1"/>
  <c r="O71" i="1"/>
  <c r="D71" i="1"/>
  <c r="D94" i="1"/>
  <c r="C94" i="1"/>
  <c r="C74" i="1"/>
  <c r="C96" i="1" s="1"/>
  <c r="C79" i="1"/>
  <c r="O94" i="1"/>
  <c r="W93" i="1"/>
  <c r="W56" i="1"/>
  <c r="W57" i="1"/>
  <c r="W64" i="1"/>
  <c r="T93" i="1"/>
  <c r="T56" i="1"/>
  <c r="T57" i="1"/>
  <c r="T64" i="1"/>
  <c r="R93" i="1"/>
  <c r="R56" i="1"/>
  <c r="R57" i="1"/>
  <c r="R64" i="1"/>
  <c r="L57" i="1"/>
  <c r="I57" i="1"/>
  <c r="C47" i="2"/>
  <c r="C48" i="2"/>
  <c r="C49" i="2"/>
  <c r="C50" i="2"/>
  <c r="C51" i="2"/>
  <c r="C52" i="2"/>
  <c r="C53" i="2"/>
  <c r="C54" i="2"/>
  <c r="C55" i="2"/>
  <c r="C56" i="2"/>
  <c r="C57" i="2"/>
  <c r="C46" i="2"/>
  <c r="F43" i="2"/>
  <c r="C7" i="2"/>
  <c r="E7" i="2" s="1"/>
  <c r="C8" i="2"/>
  <c r="E8" i="2" s="1"/>
  <c r="C9" i="2"/>
  <c r="E9" i="2" s="1"/>
  <c r="S39" i="2" s="1"/>
  <c r="S40" i="2" s="1"/>
  <c r="C10" i="2"/>
  <c r="E10" i="2" s="1"/>
  <c r="H7" i="2" s="1"/>
  <c r="C11" i="2"/>
  <c r="E11" i="2" s="1"/>
  <c r="I39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6" i="2"/>
  <c r="L93" i="1"/>
  <c r="L56" i="1"/>
  <c r="L64" i="1"/>
  <c r="I64" i="1"/>
  <c r="I93" i="1"/>
  <c r="I56" i="1"/>
  <c r="F131" i="1" l="1"/>
  <c r="F132" i="1" s="1"/>
  <c r="F139" i="1" s="1"/>
  <c r="F24" i="1" s="1"/>
  <c r="P39" i="2"/>
  <c r="P40" i="2" s="1"/>
  <c r="I40" i="2"/>
  <c r="E47" i="2"/>
  <c r="Q56" i="2" s="1"/>
  <c r="O74" i="1"/>
  <c r="O97" i="1" s="1"/>
  <c r="O76" i="1"/>
  <c r="D74" i="1"/>
  <c r="D97" i="1" s="1"/>
  <c r="D76" i="1"/>
  <c r="O79" i="1"/>
  <c r="L71" i="1"/>
  <c r="W71" i="1"/>
  <c r="T71" i="1"/>
  <c r="D79" i="1"/>
  <c r="I71" i="1"/>
  <c r="I76" i="1" s="1"/>
  <c r="R71" i="1"/>
  <c r="C80" i="1"/>
  <c r="C85" i="1" s="1"/>
  <c r="C87" i="1" s="1"/>
  <c r="C130" i="1" s="1"/>
  <c r="C97" i="1"/>
  <c r="W94" i="1"/>
  <c r="T94" i="1"/>
  <c r="R94" i="1"/>
  <c r="I8" i="2"/>
  <c r="E48" i="2"/>
  <c r="R57" i="2" s="1"/>
  <c r="E46" i="2"/>
  <c r="P55" i="2" s="1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I94" i="1"/>
  <c r="L94" i="1"/>
  <c r="C42" i="1" l="1"/>
  <c r="C41" i="1"/>
  <c r="F140" i="1"/>
  <c r="F138" i="1"/>
  <c r="F23" i="1" s="1"/>
  <c r="F34" i="1" s="1"/>
  <c r="O80" i="1"/>
  <c r="O85" i="1" s="1"/>
  <c r="O87" i="1" s="1"/>
  <c r="O130" i="1" s="1"/>
  <c r="O96" i="1"/>
  <c r="C86" i="1"/>
  <c r="C40" i="8"/>
  <c r="C41" i="8" s="1"/>
  <c r="J39" i="2"/>
  <c r="J40" i="2" s="1"/>
  <c r="R39" i="2"/>
  <c r="R40" i="2" s="1"/>
  <c r="Q39" i="2"/>
  <c r="Q40" i="2" s="1"/>
  <c r="D96" i="1"/>
  <c r="I74" i="1"/>
  <c r="I96" i="1" s="1"/>
  <c r="T79" i="1"/>
  <c r="T76" i="1"/>
  <c r="I79" i="1"/>
  <c r="R74" i="1"/>
  <c r="R97" i="1" s="1"/>
  <c r="R76" i="1"/>
  <c r="W79" i="1"/>
  <c r="W76" i="1"/>
  <c r="L79" i="1"/>
  <c r="L76" i="1"/>
  <c r="L74" i="1"/>
  <c r="L97" i="1" s="1"/>
  <c r="W74" i="1"/>
  <c r="W96" i="1" s="1"/>
  <c r="D80" i="1"/>
  <c r="D41" i="1" s="1"/>
  <c r="T74" i="1"/>
  <c r="T97" i="1" s="1"/>
  <c r="R79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C89" i="1"/>
  <c r="C12" i="1" s="1"/>
  <c r="C10" i="1" s="1"/>
  <c r="C11" i="1" s="1"/>
  <c r="D114" i="1"/>
  <c r="D127" i="1"/>
  <c r="C114" i="1"/>
  <c r="C127" i="1"/>
  <c r="O127" i="1"/>
  <c r="O114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R58" i="2"/>
  <c r="J50" i="2"/>
  <c r="Q57" i="2"/>
  <c r="O42" i="1" l="1"/>
  <c r="O41" i="1"/>
  <c r="D42" i="1"/>
  <c r="I97" i="1"/>
  <c r="I127" i="1" s="1"/>
  <c r="L96" i="1"/>
  <c r="R96" i="1"/>
  <c r="O86" i="1"/>
  <c r="S40" i="8"/>
  <c r="S41" i="8" s="1"/>
  <c r="K40" i="8"/>
  <c r="K41" i="8" s="1"/>
  <c r="G40" i="8"/>
  <c r="G41" i="8" s="1"/>
  <c r="T40" i="8"/>
  <c r="T41" i="8" s="1"/>
  <c r="D40" i="8"/>
  <c r="D41" i="8" s="1"/>
  <c r="O89" i="1"/>
  <c r="O12" i="1" s="1"/>
  <c r="O10" i="1" s="1"/>
  <c r="O11" i="1" s="1"/>
  <c r="O13" i="1" s="1"/>
  <c r="O106" i="1" s="1"/>
  <c r="O107" i="1" s="1"/>
  <c r="O108" i="1" s="1"/>
  <c r="O109" i="1" s="1"/>
  <c r="O110" i="1" s="1"/>
  <c r="O19" i="1" s="1"/>
  <c r="O30" i="1" s="1"/>
  <c r="H39" i="2"/>
  <c r="H40" i="2" s="1"/>
  <c r="M39" i="2"/>
  <c r="M40" i="2" s="1"/>
  <c r="K39" i="2"/>
  <c r="K40" i="2" s="1"/>
  <c r="O39" i="2"/>
  <c r="O40" i="2" s="1"/>
  <c r="L39" i="2"/>
  <c r="L40" i="2" s="1"/>
  <c r="N39" i="2"/>
  <c r="N40" i="2" s="1"/>
  <c r="Q19" i="2"/>
  <c r="Q20" i="2" s="1"/>
  <c r="M19" i="2"/>
  <c r="M20" i="2" s="1"/>
  <c r="L19" i="2"/>
  <c r="O19" i="2"/>
  <c r="O20" i="2" s="1"/>
  <c r="P19" i="2"/>
  <c r="P20" i="2" s="1"/>
  <c r="L80" i="1"/>
  <c r="L85" i="1" s="1"/>
  <c r="L87" i="1" s="1"/>
  <c r="L130" i="1" s="1"/>
  <c r="I80" i="1"/>
  <c r="I41" i="1" s="1"/>
  <c r="T80" i="1"/>
  <c r="T85" i="1" s="1"/>
  <c r="T87" i="1" s="1"/>
  <c r="T130" i="1" s="1"/>
  <c r="T96" i="1"/>
  <c r="O116" i="1"/>
  <c r="O129" i="1"/>
  <c r="W97" i="1"/>
  <c r="W127" i="1" s="1"/>
  <c r="W80" i="1"/>
  <c r="W42" i="1" s="1"/>
  <c r="D85" i="1"/>
  <c r="D87" i="1" s="1"/>
  <c r="D130" i="1" s="1"/>
  <c r="R80" i="1"/>
  <c r="R41" i="1" s="1"/>
  <c r="C129" i="1"/>
  <c r="C116" i="1"/>
  <c r="Q58" i="2"/>
  <c r="Q59" i="2" s="1"/>
  <c r="J51" i="2"/>
  <c r="J52" i="2" s="1"/>
  <c r="J53" i="2" s="1"/>
  <c r="J54" i="2" s="1"/>
  <c r="J55" i="2" s="1"/>
  <c r="J56" i="2" s="1"/>
  <c r="J57" i="2" s="1"/>
  <c r="J58" i="2" s="1"/>
  <c r="R59" i="2"/>
  <c r="R60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L20" i="2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C13" i="1"/>
  <c r="C99" i="1" s="1"/>
  <c r="T114" i="1"/>
  <c r="T127" i="1"/>
  <c r="R127" i="1"/>
  <c r="R114" i="1"/>
  <c r="L127" i="1"/>
  <c r="L114" i="1"/>
  <c r="L41" i="1" l="1"/>
  <c r="I42" i="1"/>
  <c r="L42" i="1"/>
  <c r="R42" i="1"/>
  <c r="T42" i="1"/>
  <c r="W41" i="1"/>
  <c r="T41" i="1"/>
  <c r="I114" i="1"/>
  <c r="M40" i="8"/>
  <c r="M41" i="8" s="1"/>
  <c r="X40" i="8"/>
  <c r="X41" i="8" s="1"/>
  <c r="Z40" i="8"/>
  <c r="Z41" i="8" s="1"/>
  <c r="R40" i="8"/>
  <c r="R41" i="8" s="1"/>
  <c r="AA40" i="8"/>
  <c r="AA41" i="8" s="1"/>
  <c r="Q40" i="8"/>
  <c r="Q41" i="8" s="1"/>
  <c r="V40" i="8"/>
  <c r="V41" i="8" s="1"/>
  <c r="T86" i="1"/>
  <c r="W40" i="8"/>
  <c r="W41" i="8" s="1"/>
  <c r="N40" i="8"/>
  <c r="N41" i="8" s="1"/>
  <c r="D86" i="1"/>
  <c r="E40" i="8"/>
  <c r="E41" i="8" s="1"/>
  <c r="F40" i="8"/>
  <c r="F41" i="8" s="1"/>
  <c r="L86" i="1"/>
  <c r="P40" i="8"/>
  <c r="P41" i="8" s="1"/>
  <c r="T89" i="1"/>
  <c r="T12" i="1" s="1"/>
  <c r="T10" i="1" s="1"/>
  <c r="T11" i="1" s="1"/>
  <c r="T13" i="1" s="1"/>
  <c r="T99" i="1" s="1"/>
  <c r="D129" i="1"/>
  <c r="I85" i="1"/>
  <c r="L89" i="1"/>
  <c r="L12" i="1" s="1"/>
  <c r="L10" i="1" s="1"/>
  <c r="L11" i="1" s="1"/>
  <c r="L13" i="1" s="1"/>
  <c r="L99" i="1" s="1"/>
  <c r="L126" i="1" s="1"/>
  <c r="L128" i="1" s="1"/>
  <c r="T40" i="2"/>
  <c r="T39" i="2"/>
  <c r="O59" i="2"/>
  <c r="J59" i="2"/>
  <c r="J60" i="2" s="1"/>
  <c r="I19" i="2"/>
  <c r="I20" i="2" s="1"/>
  <c r="K59" i="2"/>
  <c r="K60" i="2" s="1"/>
  <c r="I59" i="2"/>
  <c r="I60" i="2" s="1"/>
  <c r="W114" i="1"/>
  <c r="K19" i="2"/>
  <c r="K20" i="2" s="1"/>
  <c r="H59" i="2"/>
  <c r="H60" i="2" s="1"/>
  <c r="J19" i="2"/>
  <c r="J20" i="2" s="1"/>
  <c r="H19" i="2"/>
  <c r="N59" i="2"/>
  <c r="N60" i="2" s="1"/>
  <c r="T129" i="1"/>
  <c r="T116" i="1"/>
  <c r="L129" i="1"/>
  <c r="L116" i="1"/>
  <c r="D116" i="1"/>
  <c r="D89" i="1"/>
  <c r="D12" i="1" s="1"/>
  <c r="D10" i="1" s="1"/>
  <c r="D11" i="1" s="1"/>
  <c r="D13" i="1" s="1"/>
  <c r="D99" i="1" s="1"/>
  <c r="D126" i="1" s="1"/>
  <c r="D128" i="1" s="1"/>
  <c r="W85" i="1"/>
  <c r="W87" i="1" s="1"/>
  <c r="W130" i="1" s="1"/>
  <c r="R85" i="1"/>
  <c r="C106" i="1"/>
  <c r="C107" i="1" s="1"/>
  <c r="C108" i="1" s="1"/>
  <c r="C109" i="1" s="1"/>
  <c r="C110" i="1" s="1"/>
  <c r="C19" i="1" s="1"/>
  <c r="C30" i="1" s="1"/>
  <c r="C126" i="1"/>
  <c r="L60" i="2"/>
  <c r="O60" i="2"/>
  <c r="Q60" i="2"/>
  <c r="O99" i="1"/>
  <c r="O126" i="1" s="1"/>
  <c r="O128" i="1" s="1"/>
  <c r="O131" i="1" s="1"/>
  <c r="O132" i="1" s="1"/>
  <c r="O139" i="1" s="1"/>
  <c r="R87" i="1" l="1"/>
  <c r="R130" i="1" s="1"/>
  <c r="R89" i="1"/>
  <c r="R12" i="1" s="1"/>
  <c r="R10" i="1" s="1"/>
  <c r="R11" i="1" s="1"/>
  <c r="R13" i="1" s="1"/>
  <c r="R106" i="1" s="1"/>
  <c r="R107" i="1" s="1"/>
  <c r="R108" i="1" s="1"/>
  <c r="R109" i="1" s="1"/>
  <c r="R110" i="1" s="1"/>
  <c r="R19" i="1" s="1"/>
  <c r="R30" i="1" s="1"/>
  <c r="D131" i="1"/>
  <c r="D132" i="1" s="1"/>
  <c r="D139" i="1" s="1"/>
  <c r="D24" i="1" s="1"/>
  <c r="D117" i="10"/>
  <c r="C117" i="10"/>
  <c r="L131" i="1"/>
  <c r="L132" i="1" s="1"/>
  <c r="L139" i="1" s="1"/>
  <c r="L24" i="1" s="1"/>
  <c r="I116" i="1"/>
  <c r="I87" i="1"/>
  <c r="I130" i="1" s="1"/>
  <c r="O24" i="1"/>
  <c r="L113" i="1"/>
  <c r="L115" i="1" s="1"/>
  <c r="L117" i="1" s="1"/>
  <c r="L22" i="1" s="1"/>
  <c r="L33" i="1" s="1"/>
  <c r="L106" i="1"/>
  <c r="L107" i="1" s="1"/>
  <c r="L108" i="1" s="1"/>
  <c r="L109" i="1" s="1"/>
  <c r="L110" i="1" s="1"/>
  <c r="L19" i="1" s="1"/>
  <c r="L30" i="1" s="1"/>
  <c r="L100" i="1"/>
  <c r="L101" i="1" s="1"/>
  <c r="L102" i="1" s="1"/>
  <c r="L103" i="1" s="1"/>
  <c r="L15" i="1" s="1"/>
  <c r="L26" i="1" s="1"/>
  <c r="I129" i="1"/>
  <c r="O140" i="1"/>
  <c r="O138" i="1"/>
  <c r="O23" i="1" s="1"/>
  <c r="O34" i="1" s="1"/>
  <c r="C128" i="1"/>
  <c r="C131" i="1" s="1"/>
  <c r="C140" i="1" s="1"/>
  <c r="R86" i="1"/>
  <c r="U40" i="8"/>
  <c r="U41" i="8" s="1"/>
  <c r="W86" i="1"/>
  <c r="Y40" i="8"/>
  <c r="Y41" i="8" s="1"/>
  <c r="I86" i="1"/>
  <c r="L40" i="8"/>
  <c r="L41" i="8" s="1"/>
  <c r="I89" i="1"/>
  <c r="I12" i="1" s="1"/>
  <c r="I10" i="1" s="1"/>
  <c r="I11" i="1" s="1"/>
  <c r="I13" i="1" s="1"/>
  <c r="I106" i="1" s="1"/>
  <c r="I107" i="1" s="1"/>
  <c r="I108" i="1" s="1"/>
  <c r="I109" i="1" s="1"/>
  <c r="I110" i="1" s="1"/>
  <c r="I19" i="1" s="1"/>
  <c r="I30" i="1" s="1"/>
  <c r="W89" i="1"/>
  <c r="W12" i="1" s="1"/>
  <c r="W10" i="1" s="1"/>
  <c r="W11" i="1" s="1"/>
  <c r="W13" i="1" s="1"/>
  <c r="W106" i="1" s="1"/>
  <c r="W107" i="1" s="1"/>
  <c r="W108" i="1" s="1"/>
  <c r="W109" i="1" s="1"/>
  <c r="W110" i="1" s="1"/>
  <c r="W19" i="1" s="1"/>
  <c r="W30" i="1" s="1"/>
  <c r="H20" i="2"/>
  <c r="T20" i="2" s="1"/>
  <c r="T19" i="2"/>
  <c r="T59" i="2"/>
  <c r="W116" i="1"/>
  <c r="D100" i="1"/>
  <c r="D101" i="1" s="1"/>
  <c r="D102" i="1" s="1"/>
  <c r="D103" i="1" s="1"/>
  <c r="D15" i="1" s="1"/>
  <c r="D26" i="1" s="1"/>
  <c r="R129" i="1"/>
  <c r="D106" i="1"/>
  <c r="D107" i="1" s="1"/>
  <c r="D108" i="1" s="1"/>
  <c r="D109" i="1" s="1"/>
  <c r="D110" i="1" s="1"/>
  <c r="D19" i="1" s="1"/>
  <c r="D30" i="1" s="1"/>
  <c r="R116" i="1"/>
  <c r="D113" i="1"/>
  <c r="D115" i="1" s="1"/>
  <c r="D117" i="1" s="1"/>
  <c r="D22" i="1" s="1"/>
  <c r="D33" i="1" s="1"/>
  <c r="W129" i="1"/>
  <c r="C113" i="1"/>
  <c r="C115" i="1" s="1"/>
  <c r="C117" i="1" s="1"/>
  <c r="C22" i="1" s="1"/>
  <c r="C33" i="1" s="1"/>
  <c r="C100" i="1"/>
  <c r="T60" i="2"/>
  <c r="T106" i="1"/>
  <c r="T107" i="1" s="1"/>
  <c r="T108" i="1" s="1"/>
  <c r="T109" i="1" s="1"/>
  <c r="T110" i="1" s="1"/>
  <c r="T19" i="1" s="1"/>
  <c r="T30" i="1" s="1"/>
  <c r="O100" i="1"/>
  <c r="O101" i="1" s="1"/>
  <c r="O102" i="1" s="1"/>
  <c r="O103" i="1" s="1"/>
  <c r="O15" i="1" s="1"/>
  <c r="O26" i="1" s="1"/>
  <c r="O113" i="1"/>
  <c r="O115" i="1" s="1"/>
  <c r="T100" i="1"/>
  <c r="T101" i="1" s="1"/>
  <c r="T102" i="1" s="1"/>
  <c r="T103" i="1" s="1"/>
  <c r="T15" i="1" s="1"/>
  <c r="T26" i="1" s="1"/>
  <c r="T113" i="1"/>
  <c r="T115" i="1" s="1"/>
  <c r="T126" i="1"/>
  <c r="T128" i="1" s="1"/>
  <c r="P118" i="1" l="1"/>
  <c r="J118" i="1"/>
  <c r="Y118" i="1"/>
  <c r="M118" i="1"/>
  <c r="X118" i="1"/>
  <c r="U118" i="1"/>
  <c r="G118" i="1"/>
  <c r="T131" i="1"/>
  <c r="T132" i="1" s="1"/>
  <c r="T139" i="1" s="1"/>
  <c r="T24" i="1" s="1"/>
  <c r="C101" i="1"/>
  <c r="C102" i="1" s="1"/>
  <c r="C103" i="1" s="1"/>
  <c r="C15" i="1" s="1"/>
  <c r="C26" i="1" s="1"/>
  <c r="D140" i="10"/>
  <c r="D141" i="10" s="1"/>
  <c r="D142" i="10" s="1"/>
  <c r="D20" i="10" s="1"/>
  <c r="C140" i="10"/>
  <c r="C141" i="10" s="1"/>
  <c r="C142" i="10" s="1"/>
  <c r="C20" i="10" s="1"/>
  <c r="C132" i="1"/>
  <c r="C139" i="1" s="1"/>
  <c r="C24" i="1" s="1"/>
  <c r="C138" i="1"/>
  <c r="C23" i="1" s="1"/>
  <c r="C34" i="1" s="1"/>
  <c r="C119" i="10"/>
  <c r="C121" i="10" s="1"/>
  <c r="C118" i="10"/>
  <c r="C120" i="10" s="1"/>
  <c r="C122" i="10" s="1"/>
  <c r="D119" i="10"/>
  <c r="D121" i="10" s="1"/>
  <c r="D118" i="10"/>
  <c r="D120" i="10" s="1"/>
  <c r="D122" i="10" s="1"/>
  <c r="D138" i="1"/>
  <c r="D23" i="1" s="1"/>
  <c r="D34" i="1" s="1"/>
  <c r="D140" i="1"/>
  <c r="I99" i="1"/>
  <c r="I100" i="1" s="1"/>
  <c r="I101" i="1" s="1"/>
  <c r="L140" i="1"/>
  <c r="L138" i="1"/>
  <c r="L23" i="1" s="1"/>
  <c r="L34" i="1" s="1"/>
  <c r="R99" i="1"/>
  <c r="R113" i="1" s="1"/>
  <c r="R115" i="1" s="1"/>
  <c r="R117" i="1" s="1"/>
  <c r="R22" i="1" s="1"/>
  <c r="R33" i="1" s="1"/>
  <c r="Z91" i="7"/>
  <c r="R91" i="7"/>
  <c r="J91" i="7"/>
  <c r="T91" i="7"/>
  <c r="S91" i="7"/>
  <c r="Y91" i="7"/>
  <c r="Q91" i="7"/>
  <c r="I91" i="7"/>
  <c r="L91" i="7"/>
  <c r="K91" i="7"/>
  <c r="X91" i="7"/>
  <c r="P91" i="7"/>
  <c r="H91" i="7"/>
  <c r="W91" i="7"/>
  <c r="O91" i="7"/>
  <c r="G91" i="7"/>
  <c r="AA91" i="7"/>
  <c r="AD91" i="7"/>
  <c r="V91" i="7"/>
  <c r="N91" i="7"/>
  <c r="F91" i="7"/>
  <c r="AB91" i="7"/>
  <c r="AC91" i="7"/>
  <c r="U91" i="7"/>
  <c r="M91" i="7"/>
  <c r="E91" i="7"/>
  <c r="D91" i="7"/>
  <c r="C91" i="7"/>
  <c r="AD106" i="7"/>
  <c r="AD107" i="7" s="1"/>
  <c r="AD108" i="7" s="1"/>
  <c r="AD17" i="7" s="1"/>
  <c r="AD18" i="7" s="1"/>
  <c r="V106" i="7"/>
  <c r="V107" i="7" s="1"/>
  <c r="V108" i="7" s="1"/>
  <c r="V17" i="7" s="1"/>
  <c r="V18" i="7" s="1"/>
  <c r="N106" i="7"/>
  <c r="N107" i="7" s="1"/>
  <c r="N108" i="7" s="1"/>
  <c r="N17" i="7" s="1"/>
  <c r="N18" i="7" s="1"/>
  <c r="F106" i="7"/>
  <c r="F107" i="7" s="1"/>
  <c r="F108" i="7" s="1"/>
  <c r="F17" i="7" s="1"/>
  <c r="F18" i="7" s="1"/>
  <c r="AC106" i="7"/>
  <c r="AC107" i="7" s="1"/>
  <c r="AC108" i="7" s="1"/>
  <c r="AC17" i="7" s="1"/>
  <c r="AC18" i="7" s="1"/>
  <c r="U106" i="7"/>
  <c r="U107" i="7" s="1"/>
  <c r="U108" i="7" s="1"/>
  <c r="U17" i="7" s="1"/>
  <c r="U18" i="7" s="1"/>
  <c r="M106" i="7"/>
  <c r="M107" i="7" s="1"/>
  <c r="M108" i="7" s="1"/>
  <c r="M17" i="7" s="1"/>
  <c r="M18" i="7" s="1"/>
  <c r="E106" i="7"/>
  <c r="E107" i="7" s="1"/>
  <c r="E108" i="7" s="1"/>
  <c r="E17" i="7" s="1"/>
  <c r="E18" i="7" s="1"/>
  <c r="AB106" i="7"/>
  <c r="AB107" i="7" s="1"/>
  <c r="AB108" i="7" s="1"/>
  <c r="AB17" i="7" s="1"/>
  <c r="AB18" i="7" s="1"/>
  <c r="T106" i="7"/>
  <c r="T107" i="7" s="1"/>
  <c r="T108" i="7" s="1"/>
  <c r="T17" i="7" s="1"/>
  <c r="T18" i="7" s="1"/>
  <c r="L106" i="7"/>
  <c r="L107" i="7" s="1"/>
  <c r="L108" i="7" s="1"/>
  <c r="L17" i="7" s="1"/>
  <c r="L18" i="7" s="1"/>
  <c r="D106" i="7"/>
  <c r="D107" i="7" s="1"/>
  <c r="D108" i="7" s="1"/>
  <c r="D17" i="7" s="1"/>
  <c r="D18" i="7" s="1"/>
  <c r="P106" i="7"/>
  <c r="P107" i="7" s="1"/>
  <c r="P108" i="7" s="1"/>
  <c r="P17" i="7" s="1"/>
  <c r="P18" i="7" s="1"/>
  <c r="W106" i="7"/>
  <c r="W107" i="7" s="1"/>
  <c r="W108" i="7" s="1"/>
  <c r="W17" i="7" s="1"/>
  <c r="W18" i="7" s="1"/>
  <c r="AA106" i="7"/>
  <c r="AA107" i="7" s="1"/>
  <c r="AA108" i="7" s="1"/>
  <c r="AA17" i="7" s="1"/>
  <c r="AA18" i="7" s="1"/>
  <c r="S106" i="7"/>
  <c r="S107" i="7" s="1"/>
  <c r="S108" i="7" s="1"/>
  <c r="S17" i="7" s="1"/>
  <c r="S18" i="7" s="1"/>
  <c r="K106" i="7"/>
  <c r="K107" i="7" s="1"/>
  <c r="K108" i="7" s="1"/>
  <c r="K17" i="7" s="1"/>
  <c r="K18" i="7" s="1"/>
  <c r="C106" i="7"/>
  <c r="C107" i="7" s="1"/>
  <c r="C108" i="7" s="1"/>
  <c r="C17" i="7" s="1"/>
  <c r="C18" i="7" s="1"/>
  <c r="H106" i="7"/>
  <c r="H107" i="7" s="1"/>
  <c r="H108" i="7" s="1"/>
  <c r="H17" i="7" s="1"/>
  <c r="H18" i="7" s="1"/>
  <c r="Z106" i="7"/>
  <c r="Z107" i="7" s="1"/>
  <c r="Z108" i="7" s="1"/>
  <c r="Z17" i="7" s="1"/>
  <c r="Z18" i="7" s="1"/>
  <c r="R106" i="7"/>
  <c r="R107" i="7" s="1"/>
  <c r="R108" i="7" s="1"/>
  <c r="R17" i="7" s="1"/>
  <c r="R18" i="7" s="1"/>
  <c r="J106" i="7"/>
  <c r="J107" i="7" s="1"/>
  <c r="J108" i="7" s="1"/>
  <c r="J17" i="7" s="1"/>
  <c r="J18" i="7" s="1"/>
  <c r="G106" i="7"/>
  <c r="G107" i="7" s="1"/>
  <c r="G108" i="7" s="1"/>
  <c r="G17" i="7" s="1"/>
  <c r="G18" i="7" s="1"/>
  <c r="Y106" i="7"/>
  <c r="Y107" i="7" s="1"/>
  <c r="Y108" i="7" s="1"/>
  <c r="Y17" i="7" s="1"/>
  <c r="Y18" i="7" s="1"/>
  <c r="Q106" i="7"/>
  <c r="Q107" i="7" s="1"/>
  <c r="Q108" i="7" s="1"/>
  <c r="Q17" i="7" s="1"/>
  <c r="Q18" i="7" s="1"/>
  <c r="I106" i="7"/>
  <c r="I107" i="7" s="1"/>
  <c r="I108" i="7" s="1"/>
  <c r="I17" i="7" s="1"/>
  <c r="I18" i="7" s="1"/>
  <c r="X106" i="7"/>
  <c r="X107" i="7" s="1"/>
  <c r="X108" i="7" s="1"/>
  <c r="X17" i="7" s="1"/>
  <c r="X18" i="7" s="1"/>
  <c r="O106" i="7"/>
  <c r="O107" i="7" s="1"/>
  <c r="O108" i="7" s="1"/>
  <c r="O17" i="7" s="1"/>
  <c r="O18" i="7" s="1"/>
  <c r="W99" i="1"/>
  <c r="W100" i="1" s="1"/>
  <c r="W101" i="1" s="1"/>
  <c r="W102" i="1" s="1"/>
  <c r="W103" i="1" s="1"/>
  <c r="W15" i="1" s="1"/>
  <c r="W26" i="1" s="1"/>
  <c r="D118" i="1"/>
  <c r="D119" i="1" s="1"/>
  <c r="D121" i="1" s="1"/>
  <c r="D123" i="1" s="1"/>
  <c r="R118" i="1"/>
  <c r="R120" i="1" s="1"/>
  <c r="R122" i="1" s="1"/>
  <c r="C118" i="1"/>
  <c r="T118" i="1"/>
  <c r="T120" i="1" s="1"/>
  <c r="T122" i="1" s="1"/>
  <c r="L118" i="1"/>
  <c r="L119" i="1" s="1"/>
  <c r="L121" i="1" s="1"/>
  <c r="L123" i="1" s="1"/>
  <c r="I118" i="1"/>
  <c r="I120" i="1" s="1"/>
  <c r="I122" i="1" s="1"/>
  <c r="F118" i="1"/>
  <c r="F120" i="1" s="1"/>
  <c r="F122" i="1" s="1"/>
  <c r="W118" i="1"/>
  <c r="W120" i="1" s="1"/>
  <c r="W122" i="1" s="1"/>
  <c r="O118" i="1"/>
  <c r="O120" i="1" s="1"/>
  <c r="O122" i="1" s="1"/>
  <c r="I141" i="1"/>
  <c r="F141" i="1"/>
  <c r="F142" i="1" s="1"/>
  <c r="F143" i="1" s="1"/>
  <c r="F20" i="1" s="1"/>
  <c r="O141" i="1"/>
  <c r="O142" i="1" s="1"/>
  <c r="O143" i="1" s="1"/>
  <c r="O20" i="1" s="1"/>
  <c r="L141" i="1"/>
  <c r="C141" i="1"/>
  <c r="C142" i="1" s="1"/>
  <c r="C143" i="1" s="1"/>
  <c r="C20" i="1" s="1"/>
  <c r="W141" i="1"/>
  <c r="T141" i="1"/>
  <c r="R141" i="1"/>
  <c r="D141" i="1"/>
  <c r="O117" i="1"/>
  <c r="O22" i="1" s="1"/>
  <c r="O33" i="1" s="1"/>
  <c r="T117" i="1"/>
  <c r="T22" i="1" s="1"/>
  <c r="T33" i="1" s="1"/>
  <c r="G120" i="1" l="1"/>
  <c r="G122" i="1" s="1"/>
  <c r="G119" i="1"/>
  <c r="G121" i="1" s="1"/>
  <c r="U120" i="1"/>
  <c r="U122" i="1" s="1"/>
  <c r="U119" i="1"/>
  <c r="U121" i="1" s="1"/>
  <c r="X120" i="1"/>
  <c r="X122" i="1" s="1"/>
  <c r="X119" i="1"/>
  <c r="X121" i="1" s="1"/>
  <c r="X123" i="1" s="1"/>
  <c r="M120" i="1"/>
  <c r="M122" i="1" s="1"/>
  <c r="M119" i="1"/>
  <c r="M121" i="1" s="1"/>
  <c r="Y120" i="1"/>
  <c r="Y122" i="1" s="1"/>
  <c r="Y119" i="1"/>
  <c r="Y121" i="1" s="1"/>
  <c r="J120" i="1"/>
  <c r="J122" i="1" s="1"/>
  <c r="J119" i="1"/>
  <c r="J121" i="1" s="1"/>
  <c r="P120" i="1"/>
  <c r="P122" i="1" s="1"/>
  <c r="P119" i="1"/>
  <c r="P121" i="1" s="1"/>
  <c r="T140" i="1"/>
  <c r="T142" i="1" s="1"/>
  <c r="T143" i="1" s="1"/>
  <c r="T20" i="1" s="1"/>
  <c r="T21" i="1" s="1"/>
  <c r="T32" i="1" s="1"/>
  <c r="I113" i="1"/>
  <c r="I115" i="1" s="1"/>
  <c r="I117" i="1" s="1"/>
  <c r="I22" i="1" s="1"/>
  <c r="I33" i="1" s="1"/>
  <c r="T138" i="1"/>
  <c r="T23" i="1" s="1"/>
  <c r="T34" i="1" s="1"/>
  <c r="C16" i="10"/>
  <c r="C27" i="10" s="1"/>
  <c r="D16" i="10"/>
  <c r="D17" i="10" s="1"/>
  <c r="D28" i="10" s="1"/>
  <c r="C119" i="1"/>
  <c r="C121" i="1" s="1"/>
  <c r="C123" i="1" s="1"/>
  <c r="C120" i="1"/>
  <c r="C122" i="1" s="1"/>
  <c r="C31" i="10"/>
  <c r="C21" i="10"/>
  <c r="C32" i="10" s="1"/>
  <c r="D31" i="10"/>
  <c r="D21" i="10"/>
  <c r="D32" i="10" s="1"/>
  <c r="R100" i="1"/>
  <c r="R101" i="1" s="1"/>
  <c r="R102" i="1" s="1"/>
  <c r="R103" i="1" s="1"/>
  <c r="R15" i="1" s="1"/>
  <c r="R26" i="1" s="1"/>
  <c r="R126" i="1"/>
  <c r="R128" i="1" s="1"/>
  <c r="D142" i="1"/>
  <c r="D143" i="1" s="1"/>
  <c r="D20" i="1" s="1"/>
  <c r="D21" i="1" s="1"/>
  <c r="D32" i="1" s="1"/>
  <c r="L142" i="1"/>
  <c r="L143" i="1" s="1"/>
  <c r="L20" i="1" s="1"/>
  <c r="L31" i="1" s="1"/>
  <c r="D120" i="1"/>
  <c r="D122" i="1" s="1"/>
  <c r="D16" i="1" s="1"/>
  <c r="F21" i="1"/>
  <c r="F32" i="1" s="1"/>
  <c r="F31" i="1"/>
  <c r="C21" i="1"/>
  <c r="C32" i="1" s="1"/>
  <c r="C31" i="1"/>
  <c r="I126" i="1"/>
  <c r="I128" i="1" s="1"/>
  <c r="O21" i="1"/>
  <c r="O32" i="1" s="1"/>
  <c r="O31" i="1"/>
  <c r="I102" i="1"/>
  <c r="I103" i="1" s="1"/>
  <c r="I15" i="1" s="1"/>
  <c r="I26" i="1" s="1"/>
  <c r="R119" i="1"/>
  <c r="R121" i="1" s="1"/>
  <c r="F119" i="1"/>
  <c r="F121" i="1" s="1"/>
  <c r="W113" i="1"/>
  <c r="W115" i="1" s="1"/>
  <c r="W117" i="1" s="1"/>
  <c r="W22" i="1" s="1"/>
  <c r="W33" i="1" s="1"/>
  <c r="W126" i="1"/>
  <c r="W128" i="1" s="1"/>
  <c r="O119" i="1"/>
  <c r="O121" i="1" s="1"/>
  <c r="T119" i="1"/>
  <c r="T121" i="1" s="1"/>
  <c r="U93" i="7"/>
  <c r="U95" i="7" s="1"/>
  <c r="U92" i="7"/>
  <c r="U94" i="7" s="1"/>
  <c r="Q93" i="7"/>
  <c r="Q95" i="7" s="1"/>
  <c r="Q92" i="7"/>
  <c r="Q94" i="7" s="1"/>
  <c r="AB92" i="7"/>
  <c r="AB94" i="7" s="1"/>
  <c r="AB93" i="7"/>
  <c r="AB95" i="7" s="1"/>
  <c r="W93" i="7"/>
  <c r="W95" i="7" s="1"/>
  <c r="W92" i="7"/>
  <c r="W94" i="7" s="1"/>
  <c r="Y93" i="7"/>
  <c r="Y95" i="7" s="1"/>
  <c r="Y92" i="7"/>
  <c r="Y94" i="7" s="1"/>
  <c r="Y96" i="7" s="1"/>
  <c r="Y13" i="7" s="1"/>
  <c r="Y14" i="7" s="1"/>
  <c r="O92" i="7"/>
  <c r="O94" i="7" s="1"/>
  <c r="O93" i="7"/>
  <c r="O95" i="7" s="1"/>
  <c r="F93" i="7"/>
  <c r="F95" i="7" s="1"/>
  <c r="F92" i="7"/>
  <c r="F94" i="7" s="1"/>
  <c r="H93" i="7"/>
  <c r="H95" i="7" s="1"/>
  <c r="H92" i="7"/>
  <c r="H94" i="7" s="1"/>
  <c r="S93" i="7"/>
  <c r="S95" i="7" s="1"/>
  <c r="S92" i="7"/>
  <c r="S94" i="7" s="1"/>
  <c r="AC92" i="7"/>
  <c r="AC94" i="7" s="1"/>
  <c r="AC93" i="7"/>
  <c r="AC95" i="7" s="1"/>
  <c r="C92" i="7"/>
  <c r="C94" i="7" s="1"/>
  <c r="C93" i="7"/>
  <c r="C95" i="7" s="1"/>
  <c r="N93" i="7"/>
  <c r="N95" i="7" s="1"/>
  <c r="N92" i="7"/>
  <c r="N94" i="7" s="1"/>
  <c r="P93" i="7"/>
  <c r="P95" i="7" s="1"/>
  <c r="P92" i="7"/>
  <c r="P94" i="7" s="1"/>
  <c r="T93" i="7"/>
  <c r="T95" i="7" s="1"/>
  <c r="T92" i="7"/>
  <c r="T94" i="7" s="1"/>
  <c r="T96" i="7" s="1"/>
  <c r="T13" i="7" s="1"/>
  <c r="T14" i="7" s="1"/>
  <c r="D92" i="7"/>
  <c r="D94" i="7" s="1"/>
  <c r="D93" i="7"/>
  <c r="D95" i="7" s="1"/>
  <c r="V93" i="7"/>
  <c r="V95" i="7" s="1"/>
  <c r="V92" i="7"/>
  <c r="V94" i="7" s="1"/>
  <c r="X92" i="7"/>
  <c r="X94" i="7" s="1"/>
  <c r="X93" i="7"/>
  <c r="X95" i="7" s="1"/>
  <c r="J93" i="7"/>
  <c r="J95" i="7" s="1"/>
  <c r="J92" i="7"/>
  <c r="J94" i="7" s="1"/>
  <c r="J96" i="7" s="1"/>
  <c r="J13" i="7" s="1"/>
  <c r="J14" i="7" s="1"/>
  <c r="G92" i="7"/>
  <c r="G94" i="7" s="1"/>
  <c r="G93" i="7"/>
  <c r="G95" i="7" s="1"/>
  <c r="E93" i="7"/>
  <c r="E95" i="7" s="1"/>
  <c r="E92" i="7"/>
  <c r="E94" i="7" s="1"/>
  <c r="AD92" i="7"/>
  <c r="AD94" i="7" s="1"/>
  <c r="AD93" i="7"/>
  <c r="AD95" i="7" s="1"/>
  <c r="K92" i="7"/>
  <c r="K94" i="7" s="1"/>
  <c r="K93" i="7"/>
  <c r="K95" i="7" s="1"/>
  <c r="R93" i="7"/>
  <c r="R95" i="7" s="1"/>
  <c r="R92" i="7"/>
  <c r="R94" i="7" s="1"/>
  <c r="I93" i="7"/>
  <c r="I95" i="7" s="1"/>
  <c r="I92" i="7"/>
  <c r="I94" i="7" s="1"/>
  <c r="M93" i="7"/>
  <c r="M95" i="7" s="1"/>
  <c r="M92" i="7"/>
  <c r="M94" i="7" s="1"/>
  <c r="AA93" i="7"/>
  <c r="AA95" i="7" s="1"/>
  <c r="AA92" i="7"/>
  <c r="AA94" i="7" s="1"/>
  <c r="L93" i="7"/>
  <c r="L95" i="7" s="1"/>
  <c r="L92" i="7"/>
  <c r="L94" i="7" s="1"/>
  <c r="Z92" i="7"/>
  <c r="Z94" i="7" s="1"/>
  <c r="Z93" i="7"/>
  <c r="Z95" i="7" s="1"/>
  <c r="L120" i="1"/>
  <c r="L122" i="1" s="1"/>
  <c r="L16" i="1" s="1"/>
  <c r="Y123" i="1" l="1"/>
  <c r="Y16" i="1" s="1"/>
  <c r="U123" i="1"/>
  <c r="U16" i="1" s="1"/>
  <c r="T123" i="1"/>
  <c r="T16" i="1" s="1"/>
  <c r="T27" i="1" s="1"/>
  <c r="R123" i="1"/>
  <c r="R16" i="1" s="1"/>
  <c r="R27" i="1" s="1"/>
  <c r="P123" i="1"/>
  <c r="P16" i="1" s="1"/>
  <c r="O123" i="1"/>
  <c r="O16" i="1" s="1"/>
  <c r="M123" i="1"/>
  <c r="M16" i="1" s="1"/>
  <c r="J123" i="1"/>
  <c r="J16" i="1" s="1"/>
  <c r="G123" i="1"/>
  <c r="G16" i="1" s="1"/>
  <c r="G27" i="1" s="1"/>
  <c r="F123" i="1"/>
  <c r="F16" i="1" s="1"/>
  <c r="X16" i="1"/>
  <c r="W119" i="1"/>
  <c r="W121" i="1" s="1"/>
  <c r="T31" i="1"/>
  <c r="I119" i="1"/>
  <c r="I121" i="1" s="1"/>
  <c r="U96" i="7"/>
  <c r="U13" i="7" s="1"/>
  <c r="U14" i="7" s="1"/>
  <c r="C17" i="10"/>
  <c r="C28" i="10" s="1"/>
  <c r="D27" i="10"/>
  <c r="D31" i="1"/>
  <c r="C16" i="1"/>
  <c r="C17" i="1" s="1"/>
  <c r="C28" i="1" s="1"/>
  <c r="R96" i="7"/>
  <c r="R13" i="7" s="1"/>
  <c r="R14" i="7" s="1"/>
  <c r="F96" i="7"/>
  <c r="F13" i="7" s="1"/>
  <c r="F14" i="7" s="1"/>
  <c r="W131" i="1"/>
  <c r="W132" i="1" s="1"/>
  <c r="W139" i="1" s="1"/>
  <c r="W24" i="1" s="1"/>
  <c r="I131" i="1"/>
  <c r="I132" i="1" s="1"/>
  <c r="I139" i="1" s="1"/>
  <c r="I24" i="1" s="1"/>
  <c r="R131" i="1"/>
  <c r="R138" i="1" s="1"/>
  <c r="R23" i="1" s="1"/>
  <c r="R34" i="1" s="1"/>
  <c r="L21" i="1"/>
  <c r="L32" i="1" s="1"/>
  <c r="L17" i="1"/>
  <c r="L28" i="1" s="1"/>
  <c r="L27" i="1"/>
  <c r="D17" i="1"/>
  <c r="D28" i="1" s="1"/>
  <c r="D27" i="1"/>
  <c r="AB96" i="7"/>
  <c r="AB13" i="7" s="1"/>
  <c r="AB14" i="7" s="1"/>
  <c r="L96" i="7"/>
  <c r="L13" i="7" s="1"/>
  <c r="L14" i="7" s="1"/>
  <c r="W96" i="7"/>
  <c r="W13" i="7" s="1"/>
  <c r="W14" i="7" s="1"/>
  <c r="M96" i="7"/>
  <c r="M13" i="7" s="1"/>
  <c r="M14" i="7" s="1"/>
  <c r="Q96" i="7"/>
  <c r="Q13" i="7" s="1"/>
  <c r="Q14" i="7" s="1"/>
  <c r="AD96" i="7"/>
  <c r="AD13" i="7" s="1"/>
  <c r="AD14" i="7" s="1"/>
  <c r="X96" i="7"/>
  <c r="X13" i="7" s="1"/>
  <c r="X14" i="7" s="1"/>
  <c r="AA96" i="7"/>
  <c r="AA13" i="7" s="1"/>
  <c r="AA14" i="7" s="1"/>
  <c r="G96" i="7"/>
  <c r="G13" i="7" s="1"/>
  <c r="G14" i="7" s="1"/>
  <c r="D96" i="7"/>
  <c r="D13" i="7" s="1"/>
  <c r="D14" i="7" s="1"/>
  <c r="C96" i="7"/>
  <c r="C13" i="7" s="1"/>
  <c r="C14" i="7" s="1"/>
  <c r="K96" i="7"/>
  <c r="K13" i="7" s="1"/>
  <c r="K14" i="7" s="1"/>
  <c r="AC96" i="7"/>
  <c r="AC13" i="7" s="1"/>
  <c r="AC14" i="7" s="1"/>
  <c r="P96" i="7"/>
  <c r="P13" i="7" s="1"/>
  <c r="P14" i="7" s="1"/>
  <c r="S96" i="7"/>
  <c r="S13" i="7" s="1"/>
  <c r="S14" i="7" s="1"/>
  <c r="O96" i="7"/>
  <c r="O13" i="7" s="1"/>
  <c r="O14" i="7" s="1"/>
  <c r="Z96" i="7"/>
  <c r="Z13" i="7" s="1"/>
  <c r="Z14" i="7" s="1"/>
  <c r="I96" i="7"/>
  <c r="I13" i="7" s="1"/>
  <c r="I14" i="7" s="1"/>
  <c r="E96" i="7"/>
  <c r="E13" i="7" s="1"/>
  <c r="E14" i="7" s="1"/>
  <c r="V96" i="7"/>
  <c r="V13" i="7" s="1"/>
  <c r="V14" i="7" s="1"/>
  <c r="N96" i="7"/>
  <c r="N13" i="7" s="1"/>
  <c r="N14" i="7" s="1"/>
  <c r="H96" i="7"/>
  <c r="H13" i="7" s="1"/>
  <c r="H14" i="7" s="1"/>
  <c r="U17" i="1" l="1"/>
  <c r="U28" i="1" s="1"/>
  <c r="U27" i="1"/>
  <c r="Y27" i="1"/>
  <c r="Y17" i="1"/>
  <c r="Y28" i="1" s="1"/>
  <c r="W123" i="1"/>
  <c r="W16" i="1" s="1"/>
  <c r="W27" i="1" s="1"/>
  <c r="T17" i="1"/>
  <c r="T28" i="1" s="1"/>
  <c r="R17" i="1"/>
  <c r="R28" i="1" s="1"/>
  <c r="P27" i="1"/>
  <c r="P17" i="1"/>
  <c r="P28" i="1" s="1"/>
  <c r="O27" i="1"/>
  <c r="O17" i="1"/>
  <c r="O28" i="1" s="1"/>
  <c r="M17" i="1"/>
  <c r="M28" i="1" s="1"/>
  <c r="M27" i="1"/>
  <c r="J27" i="1"/>
  <c r="J17" i="1"/>
  <c r="J28" i="1" s="1"/>
  <c r="I123" i="1"/>
  <c r="I16" i="1" s="1"/>
  <c r="I17" i="1" s="1"/>
  <c r="I28" i="1" s="1"/>
  <c r="G17" i="1"/>
  <c r="G28" i="1" s="1"/>
  <c r="F27" i="1"/>
  <c r="F17" i="1"/>
  <c r="F28" i="1" s="1"/>
  <c r="X27" i="1"/>
  <c r="X17" i="1"/>
  <c r="X28" i="1" s="1"/>
  <c r="W138" i="1"/>
  <c r="W23" i="1" s="1"/>
  <c r="W34" i="1" s="1"/>
  <c r="I140" i="1"/>
  <c r="I142" i="1" s="1"/>
  <c r="I143" i="1" s="1"/>
  <c r="I20" i="1" s="1"/>
  <c r="I21" i="1" s="1"/>
  <c r="I32" i="1" s="1"/>
  <c r="W140" i="1"/>
  <c r="W142" i="1" s="1"/>
  <c r="W143" i="1" s="1"/>
  <c r="W20" i="1" s="1"/>
  <c r="W21" i="1" s="1"/>
  <c r="W32" i="1" s="1"/>
  <c r="I138" i="1"/>
  <c r="I23" i="1" s="1"/>
  <c r="I34" i="1" s="1"/>
  <c r="C27" i="1"/>
  <c r="R132" i="1"/>
  <c r="R139" i="1" s="1"/>
  <c r="R24" i="1" s="1"/>
  <c r="R140" i="1"/>
  <c r="R142" i="1" s="1"/>
  <c r="R143" i="1" s="1"/>
  <c r="R20" i="1" s="1"/>
  <c r="W17" i="1" l="1"/>
  <c r="W28" i="1" s="1"/>
  <c r="I27" i="1"/>
  <c r="W31" i="1"/>
  <c r="I31" i="1"/>
  <c r="R21" i="1"/>
  <c r="R32" i="1" s="1"/>
  <c r="R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Frederik Rask Dalby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44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B73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77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Rask Dalby</author>
  </authors>
  <commentList>
    <comment ref="A4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C7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B7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7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C76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<sst xmlns="http://schemas.openxmlformats.org/spreadsheetml/2006/main" count="877" uniqueCount="272">
  <si>
    <t>Dyretype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</si>
  <si>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</si>
  <si>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</si>
  <si>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</si>
  <si>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</si>
  <si>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</si>
  <si>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</si>
  <si>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</si>
  <si>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25-49% fast gulv 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</si>
  <si>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</si>
  <si>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</si>
  <si>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</si>
  <si>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</si>
  <si>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</si>
  <si>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</si>
  <si>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</si>
  <si>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Udslusninginterval, dage</t>
  </si>
  <si>
    <t>Ændret siden sidste version pga. ændrede gyllemængder.</t>
  </si>
  <si>
    <t>Tid i for-/afhentningstanke biogas, dage</t>
  </si>
  <si>
    <t>Antal dage ved nogenlunde samme temp. som i stald</t>
  </si>
  <si>
    <t>Maks. gyllehøjde kumme, cm</t>
  </si>
  <si>
    <t>Kummehøjde 40 cm</t>
  </si>
  <si>
    <t>Restgylle ved udslusning, cm</t>
  </si>
  <si>
    <t>Skønnet</t>
  </si>
  <si>
    <t>Gyllehøjde ved udslusning, cm</t>
  </si>
  <si>
    <t>Gennemsnitlig gyllehøjde, cm</t>
  </si>
  <si>
    <t>Gylleproduktion, cm/dag</t>
  </si>
  <si>
    <t>Beregnet HRT, stald, dage</t>
  </si>
  <si>
    <t>CH4-udledning, gylle ubehandlet, ab stald</t>
  </si>
  <si>
    <t>CH4-udledning stald, kg/t gylle ab stald</t>
  </si>
  <si>
    <t>CH4-udledning lager, kg/t gylle ab stald</t>
  </si>
  <si>
    <t>En årlig udbringning, april</t>
  </si>
  <si>
    <t>CH4-udledning stald &amp; lager, kg /t gylle ab stald</t>
  </si>
  <si>
    <t>CH4-udledning, gylle til biogas</t>
  </si>
  <si>
    <t>CH4-udledning stald og for/afhent.tank, kg/t gylle ab stald</t>
  </si>
  <si>
    <t>CH4-udledning, afgasset gylle, kg/t gylle ab stald</t>
  </si>
  <si>
    <t>CH4-udledning stald &amp; lager, afg. gylle, kg /t gylle ab stald</t>
  </si>
  <si>
    <t>Org. stof tilført biogasanlæg, kg VS/t gylle ab stald</t>
  </si>
  <si>
    <t>CH4-produktion, biogasanlæg, kg CH4/t gylle ab stald</t>
  </si>
  <si>
    <t>CH4-produktion, biogasanlæg, inkl. halm, kg CH4/t gylle ab stald</t>
  </si>
  <si>
    <t>CH4-udledning, gylle ubehandlet, ab dyr</t>
  </si>
  <si>
    <t>CH4-udledning stald, kg/t gylle ab dyr</t>
  </si>
  <si>
    <t>CH4-udledning lager, kg/t gylle ab dyr</t>
  </si>
  <si>
    <t>CH4-udledning stald &amp; lager, kg /t gylle ab dyr</t>
  </si>
  <si>
    <t>CH4-udledning stald og for/afhent.tank, kg/t gylle ab dyr</t>
  </si>
  <si>
    <t>CH4-udledning, afgasset gylle, kg/t gylle ab dyr</t>
  </si>
  <si>
    <t>CH4-udledning stald &amp; lager, afg. gylle, kg /t gylle ab dyr</t>
  </si>
  <si>
    <t>Org. stof tilført biogasanlæg, kg VS/t gylle ab dyr</t>
  </si>
  <si>
    <t>IKKE AB DYR</t>
  </si>
  <si>
    <t>CH4-produktion, biogasanlæg, kg CH4/t gylle ab dyr</t>
  </si>
  <si>
    <t>Udbredelse i følge DCE for pågældende dyretype</t>
  </si>
  <si>
    <t>Baseret på indberetninger til gødningsregnskab. Uden biogas</t>
  </si>
  <si>
    <t>Temp gylle stald, °C</t>
  </si>
  <si>
    <t>Fra DCE-rapport 197</t>
  </si>
  <si>
    <t>Temp gylle stald, K</t>
  </si>
  <si>
    <t>Ln(A) stald</t>
  </si>
  <si>
    <t>Arrheniusparameter for substratet. Sættes til 31,3 i stalden</t>
  </si>
  <si>
    <t>Ln(A) lager (skal indsættes in fanen "Lager"</t>
  </si>
  <si>
    <t>30,3 estimeret ud fra Husted (1994), og xx. Gælder for VS_tot</t>
  </si>
  <si>
    <t>Ln(A) afgasset gylle i lager</t>
  </si>
  <si>
    <t xml:space="preserve">Fra bæredygtig biogas. </t>
  </si>
  <si>
    <t>E_a</t>
  </si>
  <si>
    <t>Aktiveringsenergi. Sættes til 81 000</t>
  </si>
  <si>
    <t>R</t>
  </si>
  <si>
    <t>8,31</t>
  </si>
  <si>
    <t>(CO2-C + CH4-C)/CH4-C</t>
  </si>
  <si>
    <t>Forholdet mellem CH4 og sum af CO2 og CH4 i gassen</t>
  </si>
  <si>
    <t>Kulstof/VS, kg/kg</t>
  </si>
  <si>
    <t xml:space="preserve">Andel af kulstof i organisk materiale, sættes til 0,45 </t>
  </si>
  <si>
    <t>(CO2-C + CH4-C)/CH4-C_afg</t>
  </si>
  <si>
    <t>VS_tot/CH4, kg/kg</t>
  </si>
  <si>
    <t>Beregnes, bør være 6,67</t>
  </si>
  <si>
    <t>VS_tot/CH4_afg, kg/kg</t>
  </si>
  <si>
    <t>Stald + fortanke (ens temp)</t>
  </si>
  <si>
    <t>Restgylle højde, cm</t>
  </si>
  <si>
    <t>Gennemsnitlig resthøjde ved udslusning</t>
  </si>
  <si>
    <t>Maks. Gyllehøjde, cm</t>
  </si>
  <si>
    <t>Kummeareal</t>
  </si>
  <si>
    <t>Prod. areal, m2</t>
  </si>
  <si>
    <t>Kummeareal, m2</t>
  </si>
  <si>
    <t>Holdtid, per prod. dyr eller årsdyr, dage</t>
  </si>
  <si>
    <t>Tilvækst, kg</t>
  </si>
  <si>
    <t>Normtal 2021/22 (smg. Og sl.) Søer: 1 kg for årsdyr</t>
  </si>
  <si>
    <t>Foder, FE/kg, FE/år</t>
  </si>
  <si>
    <t>Normtal 2021/22</t>
  </si>
  <si>
    <t>FEsv eller FEso/kg foder</t>
  </si>
  <si>
    <t xml:space="preserve">Fodertørstof, </t>
  </si>
  <si>
    <t>0,87 jf. normtal 2021/22</t>
  </si>
  <si>
    <t>Foderforbrug, kg/prod. gris el. årsso</t>
  </si>
  <si>
    <t>Foderforbrug, TS, kg</t>
  </si>
  <si>
    <t>Normtal 2021/22: kg TS/årsko er tabuleret</t>
  </si>
  <si>
    <t>Fordøjelighed TS</t>
  </si>
  <si>
    <t>Normtal 2021/22 tabel 2.2.8: Søer 81%, smågrise 85%, sl. svin 83%</t>
  </si>
  <si>
    <t>Org. stof  ab dyr (VS_tot/TS)</t>
  </si>
  <si>
    <t>som fæces-TS. Salte kommer fra urin</t>
  </si>
  <si>
    <t>Fæces VS ab dyr, kg</t>
  </si>
  <si>
    <t>Fæces TS</t>
  </si>
  <si>
    <t>Normtal 2021/22, tabel 2.2.9: Søer, 30%, Sl. &amp; smågrise, 25%</t>
  </si>
  <si>
    <t>Fæces ab dyr (kg)</t>
  </si>
  <si>
    <t>Urinprod. ab dyr kg/kg foder</t>
  </si>
  <si>
    <t>Normtal 2021/22, tabel 2.2.9: Søer 2,5 kg/kg, Sl. &amp; smågrise, 2,0 kg/kg</t>
  </si>
  <si>
    <t>Urin, kg/kg TS</t>
  </si>
  <si>
    <t>Normtal 2021/22, tabel 2.2.9: Søer, sl. &amp; smågrise: 2%</t>
  </si>
  <si>
    <t>Urin ab dyr, kg</t>
  </si>
  <si>
    <t>Urinproduktion hos kvæg beregnes som kg fæces /1,85</t>
  </si>
  <si>
    <t>Fæces &amp; urin, ab dyr, kg</t>
  </si>
  <si>
    <t>OK sammenlignet med Normtal 2021/22</t>
  </si>
  <si>
    <t>Vand (drikkevandsspild), kg</t>
  </si>
  <si>
    <t>Djf rapport 36. drikkevandspild ikke vaskevand</t>
  </si>
  <si>
    <t>Strøelse, kg/prod. gris el. årsso</t>
  </si>
  <si>
    <t>Normtal 2021/22 kap. 8 Tabel 8,5</t>
  </si>
  <si>
    <t>TS i strøelse</t>
  </si>
  <si>
    <t>Strøelse TS, kg/prod. gris el. årsso</t>
  </si>
  <si>
    <t>Gylle i alt ab stald, kg/prod. gris el. årsso</t>
  </si>
  <si>
    <t>Formel opdateret pga. fejl i tidligere version</t>
  </si>
  <si>
    <t>Gylle ab stald/Gylle ab dyr, kg/kg</t>
  </si>
  <si>
    <t>Strøelse TS, kg/tgylle ab stald</t>
  </si>
  <si>
    <t>Densitet gylle, kg/kg</t>
  </si>
  <si>
    <t>Gylle, cm/dag</t>
  </si>
  <si>
    <t>VS_d/VS_tot, ab dyr</t>
  </si>
  <si>
    <t>F_t kg CH4 · kg VS_d-1</t>
  </si>
  <si>
    <t>VS_d ab stald, kg · kg-1 · d-1</t>
  </si>
  <si>
    <t>VS_d ab dyr, kg</t>
  </si>
  <si>
    <t>VS_nd ab dyr, kg</t>
  </si>
  <si>
    <t>VS_d (HRT), kg · kg-1 · HRT-1</t>
  </si>
  <si>
    <t>VS_d omsat, kg · kg-1 · HRT-1</t>
  </si>
  <si>
    <t>CH4-prod, kg/kg VS_d</t>
  </si>
  <si>
    <t>CH4-prod, kg/dyr</t>
  </si>
  <si>
    <t>CH4-prod, kg/t gylle</t>
  </si>
  <si>
    <t>Stald &amp; for-/afhentningstank</t>
  </si>
  <si>
    <t>VS_d (HRT), kg/kg</t>
  </si>
  <si>
    <t>VS_d omsat, kgkg</t>
  </si>
  <si>
    <t>Lager (fra prod. til april)</t>
  </si>
  <si>
    <t>VS_d tilført, kg/dyr</t>
  </si>
  <si>
    <t>VS_nd tilført, kg/dyr</t>
  </si>
  <si>
    <t>VS_d tilført, kg/t gylle</t>
  </si>
  <si>
    <t>VS_nd tilført, kg/t gylle</t>
  </si>
  <si>
    <t>VS_tot tilført, kg/t gylle</t>
  </si>
  <si>
    <t>VS_d omsat, kg/kg</t>
  </si>
  <si>
    <t>Beregnet i særskilt ark. Udbringning kun i april.</t>
  </si>
  <si>
    <t>VS_d omsat, kg/t gylle</t>
  </si>
  <si>
    <t>VS_nd omsat kg/kg gylle</t>
  </si>
  <si>
    <t>CH4-prod_VS_d, kg/t gylle</t>
  </si>
  <si>
    <t>CH4-prod_VS_nd, kg/t gylle</t>
  </si>
  <si>
    <t>Lager, biogasgylle, fra prod til april)</t>
  </si>
  <si>
    <t>VS_nd tilført i strøelse, kg/t gylle</t>
  </si>
  <si>
    <t>VS_tot tilført biogasanlæg, kg/t gylle</t>
  </si>
  <si>
    <t>VS-tot tilført biogasalæg, inkl. strøelse, kg/t gylle</t>
  </si>
  <si>
    <t>VS_tot, omsat i biogasanlæg, kg/kg</t>
  </si>
  <si>
    <t>Møller et al. (2022). 335 L CH4/kg VS, 55% CH4</t>
  </si>
  <si>
    <t>CH4-udbytte biogasanlæg, L CH4/kg VS</t>
  </si>
  <si>
    <t>CH4-andel i biogas, L CH4/L biogas</t>
  </si>
  <si>
    <t>CH4-tæthed, kg CH4/m3 CH4 ved STP</t>
  </si>
  <si>
    <t>CH4-udbytte biogasanlæg, kg CH4/kg VS</t>
  </si>
  <si>
    <t>CH4-prod i biogasanlæg, kg CH4/t gylle</t>
  </si>
  <si>
    <t>CH4-prod i biogasanlæg, inkl. strøelse, kg CH4/t gylle</t>
  </si>
  <si>
    <t>Samme gasudbytte som for VS fæces</t>
  </si>
  <si>
    <t>VS_tot efter biogasanlæg, kg/t gylle</t>
  </si>
  <si>
    <t>VS_tot omsat lager, kg/kg</t>
  </si>
  <si>
    <t>Beregnet i særskilt ark.</t>
  </si>
  <si>
    <t>VS_tot omsat lager, kg/t gylle</t>
  </si>
  <si>
    <t>Køer, tung</t>
  </si>
  <si>
    <t>Sengestald med spalter (kanal, bagskyl eller ringkanal)</t>
  </si>
  <si>
    <t>Sengestald, fast drænet gulv med skraber og ajleafløb</t>
  </si>
  <si>
    <t xml:space="preserve"> </t>
  </si>
  <si>
    <t>Petersen &amp; Gyldenkærne, 2020</t>
  </si>
  <si>
    <t>Ln(A) lager</t>
  </si>
  <si>
    <t>Møller et al. (2022)</t>
  </si>
  <si>
    <t>Normtal 2021/22, sættes til 1 for årsdyr</t>
  </si>
  <si>
    <t>Normtal 2021/22 tabel 2.2.8</t>
  </si>
  <si>
    <t>Gylle ab stald/Gylle ab dyr</t>
  </si>
  <si>
    <t>Strøelse TS, kg/t gylle ab stald</t>
  </si>
  <si>
    <t>Møller et al. (2004a, b)</t>
  </si>
  <si>
    <t>VS_tot tilført biogasanlæg,  kg/t gylle</t>
  </si>
  <si>
    <t>VS_tot tilført biogasanlæg, inkl. strøelse, kg/t gylle</t>
  </si>
  <si>
    <t xml:space="preserve">Ln(A)' 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</si>
  <si>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</si>
  <si>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</si>
  <si>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</si>
  <si>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</si>
  <si>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</si>
  <si>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</si>
  <si>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</si>
  <si>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</si>
  <si>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</si>
  <si>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</si>
  <si>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</si>
  <si>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Ln(A)'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</si>
  <si>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</si>
  <si>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</si>
  <si>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</si>
  <si>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</si>
  <si>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</si>
  <si>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</si>
  <si>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</si>
  <si>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</si>
  <si>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</si>
  <si>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</si>
  <si>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>Ringkanal</t>
  </si>
  <si>
    <t>Fast drænet</t>
  </si>
  <si>
    <t>CH4-udledning, gylle ubehandlet</t>
  </si>
  <si>
    <t>CH4-udledning stald, kg/t gylle</t>
  </si>
  <si>
    <t>CH4-udledning lager, kg/t gylle</t>
  </si>
  <si>
    <t>CH4-udledning stald &amp; lager, kg /t gylle</t>
  </si>
  <si>
    <t>CH4-udledning stald og for/afhent.tank, kg/t gylle</t>
  </si>
  <si>
    <t>CH4-udledning, afgasset gylle, kg/t gylle</t>
  </si>
  <si>
    <t>CH4-udledning stald &amp; lager, afg. gylle, kg /t gylle</t>
  </si>
  <si>
    <t>Fra DCE-rapport 197; Effekt af gyllekøling: -2,3°C/20 w/m2</t>
  </si>
  <si>
    <t>La(A) lager</t>
  </si>
  <si>
    <t>VS_tot tilført, kg/ gylle</t>
  </si>
  <si>
    <t>VS_tot tilført biogasanlæg</t>
  </si>
  <si>
    <t>HML, personlig kommunikation</t>
  </si>
  <si>
    <t>VS_tot efter biogasanlæg, kg/kg</t>
  </si>
  <si>
    <t>Ingen gyllekøling</t>
  </si>
  <si>
    <t> </t>
  </si>
  <si>
    <t>Total-N ab dyr, kg/gris el. årsso</t>
  </si>
  <si>
    <t>Normtal 2021/2022</t>
  </si>
  <si>
    <t>TAN ab dyr, kg/gris el. årsso</t>
  </si>
  <si>
    <t>N i strøelse</t>
  </si>
  <si>
    <t>Fordampningskoefficient stald, kg NH3-N/kg TAN ab dyr</t>
  </si>
  <si>
    <t>Ammoniaktab stald, kg NH3-N/gris el. årsso</t>
  </si>
  <si>
    <t>Total-N ab stald, kg/gris el. årsso</t>
  </si>
  <si>
    <t>TAN ab stald, kg/gris el. årsso</t>
  </si>
  <si>
    <t>Fordampningskoefficient lager, kg NH3-N/kg TAN ab dyr</t>
  </si>
  <si>
    <t>Ammoniaktab lager, kg NH3-N/gris el. årsso</t>
  </si>
  <si>
    <t>Total-N ab lager, kg/gris el. årsso</t>
  </si>
  <si>
    <t>Gyllekøling</t>
  </si>
  <si>
    <t>Gyllekøling, køleeffekt/m2 gyllekumme</t>
  </si>
  <si>
    <t>NH3-reduktion v. 16,8W/m2, %</t>
  </si>
  <si>
    <t>MST teknologiliste; bemærk to forskellige ligninger afhængig af rørudslusning eller linespil</t>
  </si>
  <si>
    <t>Nettoeffekt på NH3 og N2O</t>
  </si>
  <si>
    <t>Samlet ammoniaktab stald og lager, kg NH3-N/gris el. årsso</t>
  </si>
  <si>
    <t>Samlet ammoniaktab stald og lager ved gyllekøling, kg NH3-N/gris el. årsso</t>
  </si>
  <si>
    <t>Forskel NH3-tab s.f.a. gyllekøling, kg NH3-N/gris el. årsso</t>
  </si>
  <si>
    <t>Indirekte lattergasudledning, kg N2O/kg NH3-N</t>
  </si>
  <si>
    <t>Reduceret indirekte lattergasudledning, kg N2O/gris el. årsso</t>
  </si>
  <si>
    <t>Direkte N2O-udledning stald+lager, kg N20-N/kg NH3-N ab dyr</t>
  </si>
  <si>
    <t xml:space="preserve">IPCC 2006 guidelines </t>
  </si>
  <si>
    <t>Direkte N2O-udledning stald+lager, kg N20-N/gris el. årsso</t>
  </si>
  <si>
    <t>GWP-værdi N2O</t>
  </si>
  <si>
    <t>IPCC AR5</t>
  </si>
  <si>
    <t>Reduceret CO2e, kg CO2e/gris el. årsso</t>
  </si>
  <si>
    <t>hentet i "TABEL" OBS! ab stald-værdi ikke ab lager!!</t>
  </si>
  <si>
    <t>Reduceret CO2e, kg CO2e/m3 gylle</t>
  </si>
  <si>
    <t>Antager gylledensitet 1 kg/liter</t>
  </si>
  <si>
    <t>Column Labels</t>
  </si>
  <si>
    <t>(blank)</t>
  </si>
  <si>
    <t>Grand Total</t>
  </si>
  <si>
    <t>StaldID</t>
  </si>
  <si>
    <t>ugentlig</t>
  </si>
  <si>
    <t>kontrol</t>
  </si>
  <si>
    <t>linespil</t>
  </si>
  <si>
    <t>Scenarie</t>
  </si>
  <si>
    <t>GoedningsID</t>
  </si>
  <si>
    <t>6.13</t>
  </si>
  <si>
    <t>5.11.49.7.14.4</t>
  </si>
  <si>
    <t>19.72</t>
  </si>
  <si>
    <t>60.63.8.10.80.78.79</t>
  </si>
  <si>
    <t xml:space="preserve">Normtal 2023/24 (smg. Og sl.) Søer: 1 kg for årsdyr, jf pers com. </t>
  </si>
  <si>
    <t>NH3</t>
  </si>
  <si>
    <t>N-udledning, gylle ubehandlet, ab stald</t>
  </si>
  <si>
    <t>fra normtal</t>
  </si>
  <si>
    <t>NH3-udledning stald, kg-N pr. dyr prod/årsdyr</t>
  </si>
  <si>
    <t>NH3-udledning lager,  kg-N pr. dyr prod/årsdyr</t>
  </si>
  <si>
    <t>NH3-udledning stald tempkorr, kg-N pr. dyr prod/årsdyr</t>
  </si>
  <si>
    <t>NH3-udledning lager tempkorr, kg-N pr. dyr prod/årsdyr</t>
  </si>
  <si>
    <t>temp korrektions faktor</t>
  </si>
  <si>
    <t>NH3-udledning stald tempkorr, kg-N/t gylle ab dyr</t>
  </si>
  <si>
    <t>NH3-udledning lager tempkorr, kg-N/t gylle ab dyr</t>
  </si>
  <si>
    <t>N-udledning</t>
  </si>
  <si>
    <t>køling</t>
  </si>
  <si>
    <t>PK rediger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</si>
</sst>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3F3F76"/>
      <name val="Calibri"/>
      <family val="2"/>
    </font>
    <font>
      <b/>
      <sz val="11"/>
      <color rgb="FFFA7D00"/>
      <name val="Calibri"/>
      <family val="2"/>
    </font>
    <font>
      <b/>
      <sz val="11"/>
      <color rgb="FF000000"/>
      <name val="Calibri"/>
      <family val="2"/>
    </font>
    <font>
      <b/>
      <sz val="11"/>
      <color rgb="FF3F3F3F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76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0" fontId="0" fillId="0" borderId="0" xfId="0" pivotButton="1"/>
    <xf numFmtId="167" fontId="2" fillId="2" borderId="1" xfId="3" applyNumberFormat="1"/>
    <xf numFmtId="164" fontId="2" fillId="2" borderId="1" xfId="3" applyNumberFormat="1"/>
    <xf numFmtId="0" fontId="6" fillId="0" borderId="0" xfId="0" applyFont="1"/>
    <xf numFmtId="0" fontId="7" fillId="4" borderId="1" xfId="0" applyFont="1" applyFill="1" applyBorder="1" applyAlignment="1">
      <alignment wrapText="1"/>
    </xf>
    <xf numFmtId="0" fontId="7" fillId="4" borderId="5" xfId="0" applyFont="1" applyFill="1" applyBorder="1" applyAlignment="1">
      <alignment wrapText="1"/>
    </xf>
    <xf numFmtId="0" fontId="7" fillId="4" borderId="6" xfId="0" applyFont="1" applyFill="1" applyBorder="1" applyAlignment="1">
      <alignment wrapText="1"/>
    </xf>
    <xf numFmtId="0" fontId="7" fillId="4" borderId="7" xfId="0" applyFont="1" applyFill="1" applyBorder="1" applyAlignment="1">
      <alignment wrapText="1"/>
    </xf>
    <xf numFmtId="0" fontId="7" fillId="4" borderId="6" xfId="0" applyFont="1" applyFill="1" applyBorder="1"/>
    <xf numFmtId="0" fontId="7" fillId="4" borderId="7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8" fillId="5" borderId="1" xfId="0" applyFont="1" applyFill="1" applyBorder="1"/>
    <xf numFmtId="0" fontId="8" fillId="5" borderId="5" xfId="0" applyFont="1" applyFill="1" applyBorder="1"/>
    <xf numFmtId="0" fontId="7" fillId="4" borderId="1" xfId="0" applyFont="1" applyFill="1" applyBorder="1"/>
    <xf numFmtId="0" fontId="7" fillId="4" borderId="5" xfId="0" applyFont="1" applyFill="1" applyBorder="1"/>
    <xf numFmtId="9" fontId="7" fillId="4" borderId="6" xfId="0" applyNumberFormat="1" applyFont="1" applyFill="1" applyBorder="1"/>
    <xf numFmtId="9" fontId="7" fillId="4" borderId="7" xfId="0" applyNumberFormat="1" applyFont="1" applyFill="1" applyBorder="1"/>
    <xf numFmtId="0" fontId="6" fillId="0" borderId="0" xfId="0" applyFont="1" applyAlignment="1">
      <alignment wrapText="1"/>
    </xf>
    <xf numFmtId="0" fontId="9" fillId="6" borderId="0" xfId="0" applyFont="1" applyFill="1"/>
    <xf numFmtId="0" fontId="6" fillId="6" borderId="0" xfId="0" applyFont="1" applyFill="1"/>
    <xf numFmtId="0" fontId="6" fillId="7" borderId="0" xfId="0" applyFont="1" applyFill="1"/>
    <xf numFmtId="1" fontId="7" fillId="4" borderId="1" xfId="0" applyNumberFormat="1" applyFont="1" applyFill="1" applyBorder="1"/>
    <xf numFmtId="165" fontId="8" fillId="5" borderId="6" xfId="0" applyNumberFormat="1" applyFont="1" applyFill="1" applyBorder="1"/>
    <xf numFmtId="165" fontId="8" fillId="5" borderId="7" xfId="0" applyNumberFormat="1" applyFont="1" applyFill="1" applyBorder="1"/>
    <xf numFmtId="164" fontId="8" fillId="5" borderId="6" xfId="0" applyNumberFormat="1" applyFont="1" applyFill="1" applyBorder="1"/>
    <xf numFmtId="164" fontId="8" fillId="5" borderId="7" xfId="0" applyNumberFormat="1" applyFont="1" applyFill="1" applyBorder="1"/>
    <xf numFmtId="168" fontId="8" fillId="5" borderId="6" xfId="0" applyNumberFormat="1" applyFont="1" applyFill="1" applyBorder="1"/>
    <xf numFmtId="168" fontId="8" fillId="5" borderId="7" xfId="0" applyNumberFormat="1" applyFont="1" applyFill="1" applyBorder="1"/>
    <xf numFmtId="168" fontId="8" fillId="5" borderId="1" xfId="0" applyNumberFormat="1" applyFont="1" applyFill="1" applyBorder="1"/>
    <xf numFmtId="168" fontId="8" fillId="5" borderId="5" xfId="0" applyNumberFormat="1" applyFont="1" applyFill="1" applyBorder="1"/>
    <xf numFmtId="165" fontId="10" fillId="5" borderId="4" xfId="0" applyNumberFormat="1" applyFont="1" applyFill="1" applyBorder="1"/>
    <xf numFmtId="165" fontId="10" fillId="5" borderId="8" xfId="0" applyNumberFormat="1" applyFont="1" applyFill="1" applyBorder="1"/>
    <xf numFmtId="2" fontId="8" fillId="5" borderId="6" xfId="0" applyNumberFormat="1" applyFont="1" applyFill="1" applyBorder="1"/>
    <xf numFmtId="2" fontId="8" fillId="5" borderId="7" xfId="0" applyNumberFormat="1" applyFont="1" applyFill="1" applyBorder="1"/>
    <xf numFmtId="167" fontId="8" fillId="5" borderId="6" xfId="0" applyNumberFormat="1" applyFont="1" applyFill="1" applyBorder="1"/>
    <xf numFmtId="167" fontId="8" fillId="5" borderId="7" xfId="0" applyNumberFormat="1" applyFont="1" applyFill="1" applyBorder="1"/>
    <xf numFmtId="2" fontId="8" fillId="5" borderId="1" xfId="0" applyNumberFormat="1" applyFont="1" applyFill="1" applyBorder="1"/>
    <xf numFmtId="2" fontId="8" fillId="5" borderId="5" xfId="0" applyNumberFormat="1" applyFont="1" applyFill="1" applyBorder="1"/>
    <xf numFmtId="1" fontId="8" fillId="5" borderId="6" xfId="0" applyNumberFormat="1" applyFont="1" applyFill="1" applyBorder="1"/>
    <xf numFmtId="1" fontId="8" fillId="5" borderId="7" xfId="0" applyNumberFormat="1" applyFont="1" applyFill="1" applyBorder="1"/>
    <xf numFmtId="164" fontId="8" fillId="5" borderId="1" xfId="0" applyNumberFormat="1" applyFont="1" applyFill="1" applyBorder="1"/>
    <xf numFmtId="164" fontId="8" fillId="5" borderId="5" xfId="0" applyNumberFormat="1" applyFont="1" applyFill="1" applyBorder="1"/>
    <xf numFmtId="167" fontId="8" fillId="5" borderId="1" xfId="0" applyNumberFormat="1" applyFont="1" applyFill="1" applyBorder="1"/>
    <xf numFmtId="167" fontId="8" fillId="5" borderId="5" xfId="0" applyNumberFormat="1" applyFont="1" applyFill="1" applyBorder="1"/>
    <xf numFmtId="2" fontId="7" fillId="4" borderId="6" xfId="0" applyNumberFormat="1" applyFont="1" applyFill="1" applyBorder="1"/>
    <xf numFmtId="2" fontId="7" fillId="4" borderId="7" xfId="0" applyNumberFormat="1" applyFont="1" applyFill="1" applyBorder="1"/>
    <xf numFmtId="2" fontId="0" fillId="0" borderId="0" xfId="0" applyNumberFormat="1" applyAlignment="1">
      <alignment horizontal="left"/>
    </xf>
    <xf numFmtId="2" fontId="0" fillId="8" borderId="0" xfId="0" applyNumberFormat="1" applyFill="1"/>
    <xf numFmtId="2" fontId="11" fillId="0" borderId="0" xfId="0" applyNumberFormat="1" applyFont="1"/>
    <xf numFmtId="0" fontId="11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  <xf numFmtId="2" fontId="11" fillId="0" borderId="0" xfId="0" applyNumberFormat="1" applyFont="1" applyAlignment="1">
      <alignment horizontal="left"/>
    </xf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 Peter S. Adamsen" refreshedDate="44739.627855324077" createdVersion="6" refreshedVersion="6" minRefreshableVersion="3" recordCount="107" xr:uid="{00000000-000A-0000-FFFF-FFFF01000000}">
  <cacheSource type="worksheet">
    <worksheetSource ref="A1:W143" sheet="Tabel_svin"/>
  </cacheSource>
  <cacheFields count="28">
    <cacheField name="Dyretype" numFmtId="0">
      <sharedItems containsBlank="1" count="90">
        <s v="Staldtype"/>
        <s v="Udslusninginterval, dage"/>
        <s v="Tid i for-/afhentningstanke biogas, dage"/>
        <s v="Maks. gyllehøjde kumme, cm"/>
        <s v="Restgylle ved udslusning, cm"/>
        <s v="Gyllehøjde ved udslusning, cm"/>
        <s v="Gennemsnitlig gyllehøjde, cm"/>
        <s v="Gylleproduktion, cm/dag"/>
        <s v="Beregnet HRT, stald, dage"/>
        <s v="CH4-udledning, gylle ubehandlet"/>
        <s v="CH4-udledning stald, kg/t gylle"/>
        <s v="CH4-udledning lager, kg/t gylle"/>
        <s v="CH4-udledning stald &amp; lager, kg /t gylle"/>
        <s v="CH4-udledning, gylle til biogas"/>
        <s v="CH4-udledning stald og for/afhent.tank, kg/t gylle"/>
        <s v="CH4-udledning, afgasset gylle, kg/t gylle"/>
        <s v="CH4-udledning stald &amp; lager, afg. gylle, kg /t gylle"/>
        <s v="Udbredelse i følge DCE for pågældende dyretype"/>
        <m/>
        <s v="Temp gylle stald, °C"/>
        <s v="Temp gylle stald, K"/>
        <s v="Ln(A) stald"/>
        <s v="La(A) lager"/>
        <s v="Ln(A) afgasset gylle i lager"/>
        <s v="E_a"/>
        <s v="R"/>
        <s v="(CO2-C + CH4-C)/CH4-C"/>
        <s v="Kulstof/VS, kg/kg"/>
        <s v="(CO2-C + CH4-C)/CH4-C_afg"/>
        <s v="VS_tot/CH4, kg/kg"/>
        <s v="VS_tot/CH4_afg, kg/kg"/>
        <s v="Stald + fortanke (ens temp)"/>
        <s v="Restgylle højde, cm"/>
        <s v="Maks. Gyllehøjde, cm"/>
        <s v="Kummeareal"/>
        <s v="Prod. areal, m2"/>
        <s v="Kummeareal, m2"/>
        <s v="Holdtid, per prod. dyr eller årsdyr, dage"/>
        <s v="Tilvækst, kg"/>
        <s v="Foder, FE/kg, FE/år"/>
        <s v="FEsv eller FEso/kg foder"/>
        <s v="Fodertørstof, "/>
        <s v="Foderforbrug, kg/prod. gris el. årsso"/>
        <s v="Foderforbrug, TS, kg"/>
        <s v="Fordøjelighed TS"/>
        <s v="Org. stof  ab dyr (VS_tot/TS)"/>
        <s v="Fæces VS ab dyr, kg"/>
        <s v="Fæces TS"/>
        <s v="Fæces ab dyr (kg)"/>
        <s v="Urinprod. ab dyr kg/kg foder"/>
        <s v="Urin, kg/kg TS"/>
        <s v="Urin ab dyr, kg"/>
        <s v="Fæces &amp; urin, ab dyr, kg"/>
        <s v="Vand (drikkevandsspild), kg"/>
        <s v="Strøelse, kg/prod. gris el. årsso"/>
        <s v="TS i strøelse"/>
        <s v="Strøelse TS, kg/prod. gris el. årsso"/>
        <s v="Gylle i alt ab stald, kg/prod. gris el. årsso"/>
        <s v="Densitet gylle, kg/kg"/>
        <s v="Gylle, cm/dag"/>
        <s v="VS_d/VS_tot, ab dyr"/>
        <s v="F_t kg CH4 · kg VS_d-1"/>
        <s v="VS_d ab stald, kg · kg-1 · d-1"/>
        <s v="VS_d ab dyr, kg"/>
        <s v="VS_nd ab dyr, kg"/>
        <s v="VS_d (HRT), kg · kg-1 · HRT-1"/>
        <s v="VS_d omsat, kg · kg-1 · HRT-1"/>
        <s v="CH4-prod, kg/kg VS_d"/>
        <s v="CH4-prod, kg/dyr"/>
        <s v="CH4-prod, kg/t gylle"/>
        <s v="Stald &amp; for-/afhentningstank"/>
        <s v="VS_d (HRT), kg/kg"/>
        <s v="VS_d omsat, kgkg"/>
        <s v="Lager (fra prod. til april)"/>
        <s v="VS_d tilført, kg/dyr"/>
        <s v="VS_nd tilført, kg/dyr"/>
        <s v="VS_d tilført, kg/t gylle"/>
        <s v="VS_nd tilført, kg/t gylle"/>
        <s v="VS_tot tilført, kg/ gylle"/>
        <s v="VS_d omsat, kg/kg"/>
        <s v="VS_d omsat, kg/t gylle"/>
        <s v="VS_nd omsat kg/kg gylle"/>
        <s v="CH4-prod_VS_d, kg/t gylle"/>
        <s v="CH4-prod_VS_nd, kg/t gylle"/>
        <s v="Lager, biogasgylle, fra prod til april)"/>
        <s v="VS_tot tilført biogasanlæg"/>
        <s v="VS_tot, omsat i biogasanlæg, kg/kg"/>
        <s v="VS_tot efter biogasanlæg, kg/kg"/>
        <s v="VS_tot omsat lager, kg/kg"/>
        <s v="VS_tot omsat lager, kg/t gylle"/>
      </sharedItems>
    </cacheField>
    <cacheField name="Forklaring mv." numFmtId="0">
      <sharedItems containsBlank="1"/>
    </cacheField>
    <cacheField name="Smågrise" numFmtId="0">
      <sharedItems containsBlank="1" containsMixedTypes="1" containsNumber="1" minValue="0" maxValue="81000"/>
    </cacheField>
    <cacheField name="Smågrise2" numFmtId="0">
      <sharedItems containsBlank="1" containsMixedTypes="1" containsNumber="1" minValue="0" maxValue="81000"/>
    </cacheField>
    <cacheField name="Smågrise3" numFmtId="0">
      <sharedItems containsBlank="1" containsMixedTypes="1" containsNumber="1" minValue="0" maxValue="81000"/>
    </cacheField>
    <cacheField name="Smågrise4" numFmtId="0">
      <sharedItems containsBlank="1" containsMixedTypes="1" containsNumber="1" minValue="2.9104600986036597E-3" maxValue="81000"/>
    </cacheField>
    <cacheField name="Smågrise5" numFmtId="0">
      <sharedItems containsBlank="1" containsMixedTypes="1" containsNumber="1" minValue="2.9104600986036597E-3" maxValue="81000"/>
    </cacheField>
    <cacheField name="Smågrise6" numFmtId="0">
      <sharedItems containsBlank="1" containsMixedTypes="1" containsNumber="1" minValue="2.9104600986036597E-3" maxValue="81000"/>
    </cacheField>
    <cacheField name="Smågrise7" numFmtId="0">
      <sharedItems containsBlank="1" containsMixedTypes="1" containsNumber="1" minValue="2.9104600986036597E-3" maxValue="81000"/>
    </cacheField>
    <cacheField name="Smågrise8" numFmtId="0">
      <sharedItems containsBlank="1" containsMixedTypes="1" containsNumber="1" minValue="2.9104600986036597E-3" maxValue="81000"/>
    </cacheField>
    <cacheField name="Smågrise9" numFmtId="0">
      <sharedItems containsBlank="1" containsMixedTypes="1" containsNumber="1" minValue="2.9104600986036597E-3" maxValue="81000"/>
    </cacheField>
    <cacheField name="Slagtesvin" numFmtId="0">
      <sharedItems containsBlank="1" containsMixedTypes="1" containsNumber="1" minValue="2.9104600986036597E-3" maxValue="81000"/>
    </cacheField>
    <cacheField name="Slagtesvin2" numFmtId="0">
      <sharedItems containsBlank="1" containsMixedTypes="1" containsNumber="1" minValue="2.9104600986036597E-3" maxValue="81000"/>
    </cacheField>
    <cacheField name="Slagtesvin3" numFmtId="0">
      <sharedItems containsBlank="1" containsMixedTypes="1" containsNumber="1" minValue="2.9104600986036597E-3" maxValue="81000"/>
    </cacheField>
    <cacheField name="Slagtesvin4" numFmtId="0">
      <sharedItems containsBlank="1" containsMixedTypes="1" containsNumber="1" minValue="2.9104600986036597E-3" maxValue="81000"/>
    </cacheField>
    <cacheField name="Slagtesvin5" numFmtId="0">
      <sharedItems containsBlank="1" containsMixedTypes="1" containsNumber="1" minValue="2.9104600986036597E-3" maxValue="81000"/>
    </cacheField>
    <cacheField name="Slagtesvin6" numFmtId="0">
      <sharedItems containsBlank="1" containsMixedTypes="1" containsNumber="1" minValue="2.9104600986036597E-3" maxValue="81000"/>
    </cacheField>
    <cacheField name="Slagtesvin7" numFmtId="0">
      <sharedItems containsBlank="1" containsMixedTypes="1" containsNumber="1" minValue="2.9104600986036597E-3" maxValue="81000"/>
    </cacheField>
    <cacheField name="Slagtesvin8" numFmtId="0">
      <sharedItems containsBlank="1" containsMixedTypes="1" containsNumber="1" minValue="2.9104600986036597E-3" maxValue="81000"/>
    </cacheField>
    <cacheField name="Slagtesvin9" numFmtId="0">
      <sharedItems containsBlank="1" containsMixedTypes="1" containsNumber="1" minValue="2.9104600986036597E-3" maxValue="81000"/>
    </cacheField>
    <cacheField name="Søer" numFmtId="0">
      <sharedItems containsBlank="1" containsMixedTypes="1" containsNumber="1" minValue="0" maxValue="81000"/>
    </cacheField>
    <cacheField name="Søer2" numFmtId="0">
      <sharedItems containsBlank="1" containsMixedTypes="1" containsNumber="1" minValue="0" maxValue="81000"/>
    </cacheField>
    <cacheField name="Søer3" numFmtId="0">
      <sharedItems containsBlank="1" containsMixedTypes="1" containsNumber="1" minValue="0" maxValue="81000"/>
    </cacheField>
    <cacheField name="Søer4" numFmtId="0">
      <sharedItems containsBlank="1" containsMixedTypes="1" containsNumber="1" minValue="0" maxValue="81000"/>
    </cacheField>
    <cacheField name="Søer5" numFmtId="0">
      <sharedItems containsBlank="1" containsMixedTypes="1" containsNumber="1" minValue="0" maxValue="81000"/>
    </cacheField>
    <cacheField name="Søer6" numFmtId="0">
      <sharedItems containsBlank="1" containsMixedTypes="1" containsNumber="1" minValue="0" maxValue="81000"/>
    </cacheField>
    <cacheField name="Søer7" numFmtId="0">
      <sharedItems containsBlank="1" containsMixedTypes="1" containsNumber="1" minValue="0" maxValue="81000"/>
    </cacheField>
    <cacheField name="Søer8" numFmtId="0">
      <sharedItems containsBlank="1" containsMixedTypes="1" containsNumber="1" minValue="0" maxValue="8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x v="0"/>
    <s v="Følger Normtal"/>
    <s v="Drænet gulv + spalter (50/50)"/>
    <s v="Drænet gulv + spalter (50/50)"/>
    <s v="Drænet gulv + spalter (50/50)"/>
    <s v="Toklimastald, 25-49% fast gulv "/>
    <s v="Toklimastald, 25-49% fast gulv "/>
    <s v="Toklimastald, 25-49% fast gulv "/>
    <s v="Toklimastald, 50-75% fast gulv "/>
    <s v="Toklimastald, 50-75% fast gulv "/>
    <s v="Toklimastald, 50-75% fast gulv "/>
    <s v="Drænet gulv + spalte (33/67)"/>
    <s v="Drænet gulv + spalte (33/67)"/>
    <s v="Drænet gulv + spalte (33/67)"/>
    <s v="Drænet gulv + spalte (33/67)"/>
    <s v="Delvis spaltegulv, 25-49% fast gulv"/>
    <s v="Delvis spaltegulv, 25-49% fast gulv"/>
    <s v="Delvis spaltegulv, 25-49% fast gulv"/>
    <s v="Delvis spaltegulv, 50-75% fast gulv"/>
    <s v="Delvis spaltegulv, 50-75% fast gulv"/>
    <s v="Farestald, kassestier, fuldspalte-gulv"/>
    <s v="Farestald, kassestier, fuldspalte-gulv"/>
    <s v="Farestald, kassestier, delvis spalte-gulv"/>
    <s v="Farestald, kassestier, delvis spalte-gulv"/>
    <s v="Løbe- og drægtigheds-stald, delvis spaltegulv"/>
    <s v="Løbe- og drægtigheds-stald, delvis spaltegulv"/>
    <s v="Løbe- og drægtigheds-stald, delvis spaltegulv"/>
    <s v="Løbe- og drægtigheds-stald, delvis spaltegulv"/>
  </r>
  <r>
    <x v="1"/>
    <s v="Ændret siden sidste version pga. ændrede gyllemængder."/>
    <n v="48"/>
    <n v="14"/>
    <n v="7"/>
    <n v="36"/>
    <n v="14"/>
    <n v="7"/>
    <n v="24"/>
    <n v="14"/>
    <n v="7"/>
    <n v="29"/>
    <n v="14"/>
    <n v="7"/>
    <n v="1"/>
    <n v="26"/>
    <n v="14"/>
    <n v="7"/>
    <n v="17"/>
    <n v="7"/>
    <n v="41"/>
    <n v="14"/>
    <n v="41"/>
    <n v="14"/>
    <n v="30"/>
    <n v="14"/>
    <n v="7"/>
    <n v="1"/>
  </r>
  <r>
    <x v="2"/>
    <s v="Antal dage ved nogenlunde samme temp. som i stald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</r>
  <r>
    <x v="3"/>
    <s v="Kummehøjde 40 cm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</r>
  <r>
    <x v="4"/>
    <s v="Skønnet"/>
    <n v="3"/>
    <n v="3"/>
    <n v="3"/>
    <n v="3"/>
    <n v="3"/>
    <n v="3"/>
    <n v="3"/>
    <n v="3"/>
    <n v="3"/>
    <n v="3"/>
    <n v="3"/>
    <n v="3"/>
    <n v="1"/>
    <n v="3"/>
    <n v="3"/>
    <n v="3"/>
    <n v="3"/>
    <n v="3"/>
    <n v="3"/>
    <n v="3"/>
    <n v="3"/>
    <n v="3"/>
    <n v="3"/>
    <n v="3"/>
    <n v="3"/>
    <n v="1"/>
  </r>
  <r>
    <x v="5"/>
    <m/>
    <n v="34.983266262626266"/>
    <n v="12.328452659932662"/>
    <n v="7.6642263299663309"/>
    <n v="35.279562558922564"/>
    <n v="15.553163217358776"/>
    <n v="9.276581608679388"/>
    <n v="35.279562558922557"/>
    <n v="21.829744826038159"/>
    <n v="12.414872413019079"/>
    <n v="34.649528740490268"/>
    <n v="18.279082840236683"/>
    <n v="10.639541420118341"/>
    <n v="2.091363060016906"/>
    <n v="40.833919413919403"/>
    <n v="23.372110453648911"/>
    <n v="13.186055226824456"/>
    <n v="40.106344040574804"/>
    <n v="18.279082840236683"/>
    <n v="16.908630708920732"/>
    <n v="7.7492885347534219"/>
    <n v="30.817261417841468"/>
    <n v="12.498577069506844"/>
    <n v="40.623765183557573"/>
    <n v="20.557757085660203"/>
    <n v="11.778878542830101"/>
    <n v="2.2541255061185859"/>
  </r>
  <r>
    <x v="6"/>
    <m/>
    <n v="18.991633131313133"/>
    <n v="7.6642263299663309"/>
    <n v="5.3321131649831655"/>
    <n v="19.139781279461282"/>
    <n v="9.276581608679388"/>
    <n v="6.138290804339694"/>
    <n v="19.139781279461278"/>
    <n v="12.414872413019079"/>
    <n v="7.7074362065095396"/>
    <n v="18.824764370245134"/>
    <n v="10.639541420118341"/>
    <n v="6.8197707100591707"/>
    <n v="1.545681530008453"/>
    <n v="21.916959706959702"/>
    <n v="13.186055226824456"/>
    <n v="8.0930276134122288"/>
    <n v="21.553172020287402"/>
    <n v="10.639541420118341"/>
    <n v="9.9543153544603662"/>
    <n v="5.374644267376711"/>
    <n v="16.908630708920732"/>
    <n v="7.7492885347534219"/>
    <n v="21.811882591778787"/>
    <n v="11.778878542830101"/>
    <n v="7.3894392714150507"/>
    <n v="1.6270627530592929"/>
  </r>
  <r>
    <x v="7"/>
    <m/>
    <n v="0.66631804713804721"/>
    <n v="0.66631804713804721"/>
    <n v="0.66631804713804721"/>
    <n v="0.89665451552562681"/>
    <n v="0.89665451552562681"/>
    <n v="0.89665451552562681"/>
    <n v="1.3449817732884399"/>
    <n v="1.3449817732884399"/>
    <n v="1.3449817732884399"/>
    <n v="1.091363060016906"/>
    <n v="1.091363060016906"/>
    <n v="1.091363060016906"/>
    <n v="1.091363060016906"/>
    <n v="1.455150746689208"/>
    <n v="1.455150746689208"/>
    <n v="1.455150746689208"/>
    <n v="2.1827261200338119"/>
    <n v="2.1827261200338119"/>
    <n v="0.33923489533953011"/>
    <n v="0.33923489533953011"/>
    <n v="0.67846979067906021"/>
    <n v="0.67846979067906021"/>
    <n v="1.2541255061185859"/>
    <n v="1.2541255061185859"/>
    <n v="1.2541255061185859"/>
    <n v="1.2541255061185859"/>
  </r>
  <r>
    <x v="8"/>
    <m/>
    <n v="28.502354413009712"/>
    <n v="11.502354413009712"/>
    <n v="8.0023544130097122"/>
    <n v="21.345770247129547"/>
    <n v="10.345770247129547"/>
    <n v="6.8457702471295461"/>
    <n v="14.230513498086363"/>
    <n v="9.2305134980863652"/>
    <n v="5.7305134980863643"/>
    <n v="17.248856095563216"/>
    <n v="9.7488560955632195"/>
    <n v="6.2488560955632195"/>
    <n v="1.4162853651877398"/>
    <n v="15.061642071672413"/>
    <n v="9.0616420716724146"/>
    <n v="5.5616420716724155"/>
    <n v="9.8744280477816098"/>
    <n v="4.8744280477816098"/>
    <n v="29.343429851157818"/>
    <n v="15.843429851157822"/>
    <n v="24.921714925578907"/>
    <n v="11.421714925578911"/>
    <n v="17.392105084669517"/>
    <n v="9.3921050846695167"/>
    <n v="5.8921050846695167"/>
    <n v="1.2973683615565055"/>
  </r>
  <r>
    <x v="9"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m/>
    <n v="2.2319676845651402"/>
    <n v="1.0524802678758369"/>
    <n v="0.7569420080108179"/>
    <n v="1.7664248850021071"/>
    <n v="0.94826727460404547"/>
    <n v="0.64873004925528832"/>
    <n v="1.2575421865470393"/>
    <n v="0.8550417771827854"/>
    <n v="0.54888699616563597"/>
    <n v="1.6600775504114069"/>
    <n v="1.0065313909816871"/>
    <n v="0.66707849285377019"/>
    <n v="0.15842772403517322"/>
    <n v="1.4793000759372277"/>
    <n v="0.94170467629622079"/>
    <n v="0.59765009295238603"/>
    <n v="1.0182828904507604"/>
    <n v="0.52728050903650925"/>
    <n v="2.1695121201681711"/>
    <n v="1.3240865634840513"/>
    <n v="1.9168285064711323"/>
    <n v="0.99489028388565004"/>
    <n v="1.8064333230329532"/>
    <n v="1.0514384696868919"/>
    <n v="0.68204257131631385"/>
    <n v="0.15700888268685223"/>
  </r>
  <r>
    <x v="11"/>
    <s v="En årlig udbringning, april"/>
    <n v="1.7074671326337918"/>
    <n v="2.0933284081957919"/>
    <n v="2.1900117371701522"/>
    <n v="1.8373910244393954"/>
    <n v="2.1050457146819395"/>
    <n v="2.203037277979659"/>
    <n v="2.0038685335326774"/>
    <n v="2.1355438012582586"/>
    <n v="2.2357002528245413"/>
    <n v="2.1622084148405061"/>
    <n v="2.3760115899723235"/>
    <n v="2.4870612937771401"/>
    <n v="2.6534629286693896"/>
    <n v="2.2213485344437141"/>
    <n v="2.3972192081843424"/>
    <n v="2.5097743219681261"/>
    <n v="2.3721671669536954"/>
    <n v="2.532795252099592"/>
    <n v="1.6090198688843615"/>
    <n v="1.8855950820481486"/>
    <n v="1.691683592223123"/>
    <n v="1.9932894029529424"/>
    <n v="2.3324551979016719"/>
    <n v="2.5794466223397299"/>
    <n v="2.7002919747494447"/>
    <n v="2.8720531702832091"/>
  </r>
  <r>
    <x v="12"/>
    <m/>
    <n v="3.939434817198932"/>
    <n v="3.1458086760716286"/>
    <n v="2.94695374518097"/>
    <n v="3.6038159094415025"/>
    <n v="3.0533129892859847"/>
    <n v="2.8517673272349473"/>
    <n v="3.2614107200797164"/>
    <n v="2.9905855784410438"/>
    <n v="2.7845872489901771"/>
    <n v="3.822285965251913"/>
    <n v="3.3825429809540104"/>
    <n v="3.1541397866309104"/>
    <n v="2.8118906527045628"/>
    <n v="3.7006486103809415"/>
    <n v="3.3389238844805633"/>
    <n v="3.1074244149205121"/>
    <n v="3.3904500574044558"/>
    <n v="3.0600757611361011"/>
    <n v="3.7785319890525324"/>
    <n v="3.2096816455321999"/>
    <n v="3.6085120986942556"/>
    <n v="2.9881796868385924"/>
    <n v="4.1388885209346249"/>
    <n v="3.630885092026622"/>
    <n v="3.3823345460657586"/>
    <n v="3.0290620529700614"/>
  </r>
  <r>
    <x v="13"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m/>
    <n v="2.3466394048663863"/>
    <n v="1.2124792834162057"/>
    <n v="0.92829845710224523"/>
    <n v="1.8971473521938373"/>
    <n v="1.1104312570115484"/>
    <n v="0.82240514408025134"/>
    <n v="1.4078208405946657"/>
    <n v="1.0207883833517928"/>
    <n v="0.72639902513752941"/>
    <n v="1.8187355951124053"/>
    <n v="1.1903049895255708"/>
    <n v="0.86389714937411621"/>
    <n v="0.37479365443535673"/>
    <n v="1.6449053367272914"/>
    <n v="1.127969543160863"/>
    <n v="0.79713685897163855"/>
    <n v="1.2016048829169523"/>
    <n v="0.72947155393222685"/>
    <n v="2.2768086335927413"/>
    <n v="1.4638724899098079"/>
    <n v="2.0338355641525312"/>
    <n v="1.1473271099698876"/>
    <n v="1.9774033227505921"/>
    <n v="1.2514226616183763"/>
    <n v="0.89622252041200934"/>
    <n v="0.3913656956288718"/>
  </r>
  <r>
    <x v="15"/>
    <m/>
    <n v="0.10113342049322667"/>
    <n v="0.12398801598594943"/>
    <n v="0.12971457761455679"/>
    <n v="0.10882882342717623"/>
    <n v="0.12468203302514341"/>
    <n v="0.13048608148169571"/>
    <n v="0.11868930015789105"/>
    <n v="0.12648843723346576"/>
    <n v="0.13242071220249427"/>
    <n v="0.12806778451703141"/>
    <n v="0.14073136438930681"/>
    <n v="0.14730884759580171"/>
    <n v="0.15716483029126924"/>
    <n v="0.13157065872733908"/>
    <n v="0.1419874933825411"/>
    <n v="0.14865414214748671"/>
    <n v="0.14050365889368358"/>
    <n v="0.15001767375675373"/>
    <n v="9.5302380860960934E-2"/>
    <n v="0.11168395377460844"/>
    <n v="0.10019856007997713"/>
    <n v="0.11806269737244081"/>
    <n v="0.13815151565883416"/>
    <n v="0.15278083830200828"/>
    <n v="0.15993851859132197"/>
    <n v="0.17011194851002312"/>
  </r>
  <r>
    <x v="16"/>
    <m/>
    <n v="2.4477728253596132"/>
    <n v="1.3364672994021551"/>
    <n v="1.058013034716802"/>
    <n v="2.0059761756210137"/>
    <n v="1.2351132900366919"/>
    <n v="0.95289122556194705"/>
    <n v="1.5265101407525568"/>
    <n v="1.1472768205852586"/>
    <n v="0.8588197373400237"/>
    <n v="1.9468033796294368"/>
    <n v="1.3310363539148777"/>
    <n v="1.0112059969699179"/>
    <n v="0.53195848472662599"/>
    <n v="1.7764759954546305"/>
    <n v="1.2699570365434041"/>
    <n v="0.94579100111912529"/>
    <n v="1.342108541810636"/>
    <n v="0.87948922768898052"/>
    <n v="2.3721110144537021"/>
    <n v="1.5755564436844163"/>
    <n v="2.1340341242325085"/>
    <n v="1.2653898073423284"/>
    <n v="2.1155548384094263"/>
    <n v="1.4042034999203845"/>
    <n v="1.0561610390033314"/>
    <n v="0.56147764413889489"/>
  </r>
  <r>
    <x v="17"/>
    <s v="Baseret på indberetninger til gødningsregnskab. Uden biogas"/>
    <n v="19.2"/>
    <n v="19.2"/>
    <n v="19.2"/>
    <n v="78.599999999999994"/>
    <n v="78.599999999999994"/>
    <n v="78.599999999999994"/>
    <n v="78.599999999999994"/>
    <n v="78.599999999999994"/>
    <n v="78.599999999999994"/>
    <n v="49.2"/>
    <n v="49.2"/>
    <n v="49.2"/>
    <n v="49.2"/>
    <n v="38.299999999999997"/>
    <n v="38.299999999999997"/>
    <n v="38.299999999999997"/>
    <n v="10.6"/>
    <n v="10.6"/>
    <n v="16.8"/>
    <n v="16.8"/>
    <n v="83.3"/>
    <n v="83.3"/>
    <n v="89.7"/>
    <n v="89.7"/>
    <n v="89.7"/>
    <n v="89.7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Fra DCE-rapport 197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</r>
  <r>
    <x v="20"/>
    <m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</r>
  <r>
    <x v="21"/>
    <s v="Arrheniusparameter for substratet. Sættes til 31,3 i stalden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</r>
  <r>
    <x v="22"/>
    <s v="30,3 estimeret ud fra Husted (1994), og xx. Gælder for VS_tot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</r>
  <r>
    <x v="23"/>
    <s v="Fra bæredygtig biogas. 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</r>
  <r>
    <x v="24"/>
    <s v="Aktiveringsenergi. Sættes til 81 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</r>
  <r>
    <x v="25"/>
    <s v="8,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</r>
  <r>
    <x v="26"/>
    <s v="Forholdet mellem CH4 og sum af CO2 og CH4 i gassen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</r>
  <r>
    <x v="27"/>
    <s v="Andel af kulstof i organisk materiale, sættes til 0,45 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</r>
  <r>
    <x v="28"/>
    <m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</r>
  <r>
    <x v="29"/>
    <s v="Beregnes, bør være 6,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</r>
  <r>
    <x v="30"/>
    <m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Gennemsnitlig resthøjde ved udslusning"/>
    <n v="3"/>
    <n v="3"/>
    <n v="3"/>
    <n v="3"/>
    <n v="3"/>
    <n v="3"/>
    <n v="3"/>
    <n v="3"/>
    <n v="3"/>
    <n v="3"/>
    <n v="3"/>
    <n v="3"/>
    <n v="1"/>
    <n v="3"/>
    <n v="3"/>
    <n v="3"/>
    <n v="3"/>
    <n v="3"/>
    <n v="3"/>
    <n v="3"/>
    <n v="3"/>
    <n v="3"/>
    <n v="3"/>
    <n v="3"/>
    <n v="3"/>
    <n v="1"/>
  </r>
  <r>
    <x v="33"/>
    <m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</r>
  <r>
    <x v="34"/>
    <m/>
    <n v="1"/>
    <n v="1"/>
    <n v="1"/>
    <n v="0.75"/>
    <n v="0.75"/>
    <n v="0.75"/>
    <n v="0.5"/>
    <n v="0.5"/>
    <n v="0.5"/>
    <n v="1"/>
    <n v="1"/>
    <n v="1"/>
    <n v="1"/>
    <n v="0.75"/>
    <n v="0.75"/>
    <n v="0.75"/>
    <n v="0.5"/>
    <n v="0.5"/>
    <n v="1"/>
    <n v="1"/>
    <n v="0.5"/>
    <n v="0.5"/>
    <n v="0.39"/>
    <n v="0.39"/>
    <n v="0.39"/>
    <n v="0.39"/>
  </r>
  <r>
    <x v="35"/>
    <m/>
    <n v="0.3"/>
    <n v="0.3"/>
    <n v="0.3"/>
    <n v="0.3"/>
    <n v="0.3"/>
    <n v="0.3"/>
    <n v="0.3"/>
    <n v="0.3"/>
    <n v="0.3"/>
    <n v="0.65"/>
    <n v="0.65"/>
    <n v="0.65"/>
    <n v="0.65"/>
    <n v="0.65"/>
    <n v="0.65"/>
    <n v="0.65"/>
    <n v="0.65"/>
    <n v="0.65"/>
    <n v="4.9000000000000004"/>
    <n v="4.9000000000000004"/>
    <n v="4.9000000000000004"/>
    <n v="4.9000000000000004"/>
    <n v="2.14"/>
    <n v="2.14"/>
    <n v="2.14"/>
    <n v="2.14"/>
  </r>
  <r>
    <x v="36"/>
    <m/>
    <n v="0.3"/>
    <n v="0.3"/>
    <n v="0.3"/>
    <n v="0.22499999999999998"/>
    <n v="0.22499999999999998"/>
    <n v="0.22499999999999998"/>
    <n v="0.15"/>
    <n v="0.15"/>
    <n v="0.15"/>
    <n v="0.65"/>
    <n v="0.65"/>
    <n v="0.65"/>
    <n v="0.65"/>
    <n v="0.48750000000000004"/>
    <n v="0.48750000000000004"/>
    <n v="0.48750000000000004"/>
    <n v="0.32500000000000001"/>
    <n v="0.32500000000000001"/>
    <n v="4.9000000000000004"/>
    <n v="4.9000000000000004"/>
    <n v="2.4500000000000002"/>
    <n v="2.4500000000000002"/>
    <n v="0.83460000000000012"/>
    <n v="0.83460000000000012"/>
    <n v="0.83460000000000012"/>
    <n v="0.83460000000000012"/>
  </r>
  <r>
    <x v="37"/>
    <m/>
    <n v="54"/>
    <n v="54"/>
    <n v="54"/>
    <n v="54"/>
    <n v="54"/>
    <n v="54"/>
    <n v="54"/>
    <n v="54"/>
    <n v="54"/>
    <n v="84"/>
    <n v="84"/>
    <n v="84"/>
    <n v="84"/>
    <n v="84"/>
    <n v="84"/>
    <n v="84"/>
    <n v="84"/>
    <n v="84"/>
    <n v="92.66"/>
    <n v="92.66"/>
    <n v="92.66"/>
    <n v="92.66"/>
    <n v="272.34000000000003"/>
    <n v="272.34000000000003"/>
    <n v="272.34000000000003"/>
    <n v="272.34000000000003"/>
  </r>
  <r>
    <x v="38"/>
    <s v="Normtal 2021/22 (smg. Og sl.) Søer: 1 kg for årsdyr"/>
    <n v="24.3"/>
    <n v="24.3"/>
    <n v="24.3"/>
    <n v="24.3"/>
    <n v="24.3"/>
    <n v="24.3"/>
    <n v="24.3"/>
    <n v="24.3"/>
    <n v="24.3"/>
    <n v="84"/>
    <n v="84"/>
    <n v="84"/>
    <n v="84"/>
    <n v="84"/>
    <n v="84"/>
    <n v="84"/>
    <n v="84"/>
    <n v="84"/>
    <n v="1"/>
    <n v="1"/>
    <n v="1"/>
    <n v="1"/>
    <n v="1"/>
    <n v="1"/>
    <n v="1"/>
    <n v="1"/>
  </r>
  <r>
    <x v="39"/>
    <s v="Normtal 2021/22"/>
    <n v="1.86"/>
    <n v="1.86"/>
    <n v="1.86"/>
    <n v="1.86"/>
    <n v="1.86"/>
    <n v="1.86"/>
    <n v="1.86"/>
    <n v="1.86"/>
    <n v="1.86"/>
    <n v="2.75"/>
    <n v="2.75"/>
    <n v="2.75"/>
    <n v="2.75"/>
    <n v="2.75"/>
    <n v="2.75"/>
    <n v="2.75"/>
    <n v="2.75"/>
    <n v="2.75"/>
    <n v="449.09999999999997"/>
    <n v="449.09999999999997"/>
    <n v="449.09999999999997"/>
    <n v="449.09999999999997"/>
    <n v="1047.8999999999999"/>
    <n v="1047.8999999999999"/>
    <n v="1047.8999999999999"/>
    <n v="1047.8999999999999"/>
  </r>
  <r>
    <x v="40"/>
    <s v="Normtal 2021/22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04"/>
    <n v="1.04"/>
    <n v="1.04"/>
    <n v="1.04"/>
    <n v="1.04"/>
    <n v="1.04"/>
    <n v="1.04"/>
    <n v="1.04"/>
    <n v="1.04"/>
    <n v="1.02"/>
    <n v="1.02"/>
    <n v="1.02"/>
    <n v="1.02"/>
    <n v="1.02"/>
    <n v="1.02"/>
    <n v="1.02"/>
    <n v="1.02"/>
  </r>
  <r>
    <x v="41"/>
    <s v="0,87 jf. normtal 2021/22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</r>
  <r>
    <x v="42"/>
    <m/>
    <n v="41.089090909090906"/>
    <n v="41.089090909090906"/>
    <n v="41.089090909090906"/>
    <n v="41.089090909090906"/>
    <n v="41.089090909090906"/>
    <n v="41.089090909090906"/>
    <n v="41.089090909090906"/>
    <n v="41.089090909090906"/>
    <n v="41.089090909090906"/>
    <n v="222.11538461538461"/>
    <n v="222.11538461538461"/>
    <n v="222.11538461538461"/>
    <n v="222.11538461538461"/>
    <n v="222.11538461538461"/>
    <n v="222.11538461538461"/>
    <n v="222.11538461538461"/>
    <n v="222.11538461538461"/>
    <n v="222.11538461538461"/>
    <n v="440.29411764705878"/>
    <n v="440.29411764705878"/>
    <n v="440.29411764705878"/>
    <n v="440.29411764705878"/>
    <n v="1027.3529411764705"/>
    <n v="1027.3529411764705"/>
    <n v="1027.3529411764705"/>
    <n v="1027.3529411764705"/>
  </r>
  <r>
    <x v="43"/>
    <m/>
    <n v="35.747509090909091"/>
    <n v="35.747509090909091"/>
    <n v="35.747509090909091"/>
    <n v="35.747509090909091"/>
    <n v="35.747509090909091"/>
    <n v="35.747509090909091"/>
    <n v="35.747509090909091"/>
    <n v="35.747509090909091"/>
    <n v="35.747509090909091"/>
    <n v="193.24038461538461"/>
    <n v="193.24038461538461"/>
    <n v="193.24038461538461"/>
    <n v="193.24038461538461"/>
    <n v="193.24038461538461"/>
    <n v="193.24038461538461"/>
    <n v="193.24038461538461"/>
    <n v="193.24038461538461"/>
    <n v="193.24038461538461"/>
    <n v="383.05588235294113"/>
    <n v="383.05588235294113"/>
    <n v="383.05588235294113"/>
    <n v="383.05588235294113"/>
    <n v="893.79705882352937"/>
    <n v="893.79705882352937"/>
    <n v="893.79705882352937"/>
    <n v="893.79705882352937"/>
  </r>
  <r>
    <x v="44"/>
    <s v="Normtal 2021/22 tabel 2.2.8: Søer 81%, smågrise 85%, sl. svin 83%"/>
    <n v="0.85"/>
    <n v="0.85"/>
    <n v="0.85"/>
    <n v="0.85"/>
    <n v="0.85"/>
    <n v="0.85"/>
    <n v="0.85"/>
    <n v="0.85"/>
    <n v="0.85"/>
    <n v="0.83"/>
    <n v="0.83"/>
    <n v="0.83"/>
    <n v="0.83"/>
    <n v="0.83"/>
    <n v="0.83"/>
    <n v="0.83"/>
    <n v="0.83"/>
    <n v="0.83"/>
    <n v="0.81"/>
    <n v="0.81"/>
    <n v="0.81"/>
    <n v="0.81"/>
    <n v="0.81"/>
    <n v="0.81"/>
    <n v="0.81"/>
    <n v="0.81"/>
  </r>
  <r>
    <x v="45"/>
    <s v="som fæces-TS. Salte kommer fra urin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46"/>
    <m/>
    <n v="5.3621263636363645"/>
    <n v="5.3621263636363645"/>
    <n v="5.3621263636363645"/>
    <n v="5.3621263636363645"/>
    <n v="5.3621263636363645"/>
    <n v="5.3621263636363645"/>
    <n v="5.3621263636363645"/>
    <n v="5.3621263636363645"/>
    <n v="5.3621263636363645"/>
    <n v="32.850865384615389"/>
    <n v="32.850865384615389"/>
    <n v="32.850865384615389"/>
    <n v="32.850865384615389"/>
    <n v="32.850865384615389"/>
    <n v="32.850865384615389"/>
    <n v="32.850865384615389"/>
    <n v="32.850865384615389"/>
    <n v="32.850865384615389"/>
    <n v="72.78061764705879"/>
    <n v="72.78061764705879"/>
    <n v="72.78061764705879"/>
    <n v="72.78061764705879"/>
    <n v="169.82144117647053"/>
    <n v="169.82144117647053"/>
    <n v="169.82144117647053"/>
    <n v="169.82144117647053"/>
  </r>
  <r>
    <x v="47"/>
    <s v="Normtal 2021/22, tabel 2.2.9: Søer, 30%, Sl. &amp; smågrise, 25%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3"/>
    <n v="0.3"/>
    <n v="0.3"/>
    <n v="0.3"/>
    <n v="0.3"/>
    <n v="0.3"/>
    <n v="0.3"/>
    <n v="0.3"/>
  </r>
  <r>
    <x v="48"/>
    <m/>
    <n v="21.448505454545458"/>
    <n v="21.448505454545458"/>
    <n v="21.448505454545458"/>
    <n v="21.448505454545458"/>
    <n v="21.448505454545458"/>
    <n v="21.448505454545458"/>
    <n v="21.448505454545458"/>
    <n v="21.448505454545458"/>
    <n v="21.448505454545458"/>
    <n v="131.40346153846156"/>
    <n v="131.40346153846156"/>
    <n v="131.40346153846156"/>
    <n v="131.40346153846156"/>
    <n v="131.40346153846156"/>
    <n v="131.40346153846156"/>
    <n v="131.40346153846156"/>
    <n v="131.40346153846156"/>
    <n v="131.40346153846156"/>
    <n v="242.60205882352932"/>
    <n v="242.60205882352932"/>
    <n v="242.60205882352932"/>
    <n v="242.60205882352932"/>
    <n v="566.07147058823512"/>
    <n v="566.07147058823512"/>
    <n v="566.07147058823512"/>
    <n v="566.07147058823512"/>
  </r>
  <r>
    <x v="49"/>
    <s v="Normtal 2021/22, tabel 2.2.9: Søer 2,5 kg/kg, Sl. &amp; smågrise, 2,0 kg/kg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.5"/>
    <n v="2.5"/>
    <n v="2.5"/>
    <n v="2.5"/>
    <n v="2.5"/>
    <n v="2.5"/>
    <n v="2.5"/>
    <n v="2.5"/>
  </r>
  <r>
    <x v="50"/>
    <s v="Normtal 2021/22, tabel 2.2.9: Søer, sl. &amp; smågrise: 2%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</r>
  <r>
    <x v="51"/>
    <m/>
    <n v="71.495018181818182"/>
    <n v="71.495018181818182"/>
    <n v="71.495018181818182"/>
    <n v="71.495018181818182"/>
    <n v="71.495018181818182"/>
    <n v="71.495018181818182"/>
    <n v="71.495018181818182"/>
    <n v="71.495018181818182"/>
    <n v="71.495018181818182"/>
    <n v="386.48076923076923"/>
    <n v="386.48076923076923"/>
    <n v="386.48076923076923"/>
    <n v="386.48076923076923"/>
    <n v="386.48076923076923"/>
    <n v="386.48076923076923"/>
    <n v="386.48076923076923"/>
    <n v="386.48076923076923"/>
    <n v="386.48076923076923"/>
    <n v="957.63970588235281"/>
    <n v="957.63970588235281"/>
    <n v="957.63970588235281"/>
    <n v="957.63970588235281"/>
    <n v="2234.4926470588234"/>
    <n v="2234.4926470588234"/>
    <n v="2234.4926470588234"/>
    <n v="2234.4926470588234"/>
  </r>
  <r>
    <x v="52"/>
    <s v="OK sammenlignet med Normtal 2021/22"/>
    <n v="92.943523636363636"/>
    <n v="92.943523636363636"/>
    <n v="92.943523636363636"/>
    <n v="92.943523636363636"/>
    <n v="92.943523636363636"/>
    <n v="92.943523636363636"/>
    <n v="92.943523636363636"/>
    <n v="92.943523636363636"/>
    <n v="92.943523636363636"/>
    <n v="517.88423076923073"/>
    <n v="517.88423076923073"/>
    <n v="517.88423076923073"/>
    <n v="517.88423076923073"/>
    <n v="517.88423076923073"/>
    <n v="517.88423076923073"/>
    <n v="517.88423076923073"/>
    <n v="517.88423076923073"/>
    <n v="517.88423076923073"/>
    <n v="1200.2417647058821"/>
    <n v="1200.2417647058821"/>
    <n v="1200.2417647058821"/>
    <n v="1200.2417647058821"/>
    <n v="2800.5641176470585"/>
    <n v="2800.5641176470585"/>
    <n v="2800.5641176470585"/>
    <n v="2800.5641176470585"/>
  </r>
  <r>
    <x v="53"/>
    <s v="Djf rapport 36. drikkevandspild ikke vaskevand"/>
    <n v="15"/>
    <n v="15"/>
    <n v="15"/>
    <n v="15"/>
    <n v="15"/>
    <n v="15"/>
    <n v="15"/>
    <n v="15"/>
    <n v="15"/>
    <n v="75"/>
    <n v="75"/>
    <n v="75"/>
    <n v="75"/>
    <n v="75"/>
    <n v="75"/>
    <n v="75"/>
    <n v="75"/>
    <n v="75"/>
    <n v="340"/>
    <n v="340"/>
    <n v="340"/>
    <n v="340"/>
    <n v="0"/>
    <n v="0"/>
    <n v="0"/>
    <n v="0"/>
  </r>
  <r>
    <x v="54"/>
    <s v="Normtal 2021/22 kap. 8 Tabel 8,5"/>
    <n v="0"/>
    <n v="0"/>
    <n v="0"/>
    <n v="1"/>
    <n v="1"/>
    <n v="1"/>
    <n v="1"/>
    <n v="1"/>
    <n v="1"/>
    <n v="3"/>
    <n v="3"/>
    <n v="3"/>
    <n v="3"/>
    <n v="3"/>
    <n v="3"/>
    <n v="3"/>
    <n v="3"/>
    <n v="3"/>
    <n v="0"/>
    <n v="0"/>
    <n v="0"/>
    <n v="0"/>
    <n v="50"/>
    <n v="50"/>
    <n v="50"/>
    <n v="50"/>
  </r>
  <r>
    <x v="55"/>
    <m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</r>
  <r>
    <x v="56"/>
    <m/>
    <n v="0"/>
    <n v="0"/>
    <n v="0"/>
    <n v="0.85"/>
    <n v="0.85"/>
    <n v="0.85"/>
    <n v="0.85"/>
    <n v="0.85"/>
    <n v="0.85"/>
    <n v="2.5499999999999998"/>
    <n v="2.5499999999999998"/>
    <n v="2.5499999999999998"/>
    <n v="2.5499999999999998"/>
    <n v="2.5499999999999998"/>
    <n v="2.5499999999999998"/>
    <n v="2.5499999999999998"/>
    <n v="2.5499999999999998"/>
    <n v="2.5499999999999998"/>
    <n v="0"/>
    <n v="0"/>
    <n v="0"/>
    <n v="0"/>
    <n v="42.5"/>
    <n v="42.5"/>
    <n v="42.5"/>
    <n v="42.5"/>
  </r>
  <r>
    <x v="57"/>
    <s v="Formel opdateret pga. fejl i tidligere version"/>
    <n v="107.94352363636364"/>
    <n v="107.94352363636364"/>
    <n v="107.94352363636364"/>
    <n v="108.94352363636364"/>
    <n v="108.94352363636364"/>
    <n v="108.94352363636364"/>
    <n v="108.94352363636364"/>
    <n v="108.94352363636364"/>
    <n v="108.94352363636364"/>
    <n v="595.88423076923073"/>
    <n v="595.88423076923073"/>
    <n v="595.88423076923073"/>
    <n v="595.88423076923073"/>
    <n v="595.88423076923073"/>
    <n v="595.88423076923073"/>
    <n v="595.88423076923073"/>
    <n v="595.88423076923073"/>
    <n v="595.88423076923073"/>
    <n v="1540.2417647058821"/>
    <n v="1540.2417647058821"/>
    <n v="1540.2417647058821"/>
    <n v="1540.2417647058821"/>
    <n v="2850.5641176470585"/>
    <n v="2850.5641176470585"/>
    <n v="2850.5641176470585"/>
    <n v="2850.5641176470585"/>
  </r>
  <r>
    <x v="58"/>
    <m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59"/>
    <m/>
    <n v="0.66631804713804721"/>
    <n v="0.66631804713804721"/>
    <n v="0.66631804713804721"/>
    <n v="0.89665451552562681"/>
    <n v="0.89665451552562681"/>
    <n v="0.89665451552562681"/>
    <n v="1.3449817732884399"/>
    <n v="1.3449817732884399"/>
    <n v="1.3449817732884399"/>
    <n v="1.091363060016906"/>
    <n v="1.091363060016906"/>
    <n v="1.091363060016906"/>
    <n v="1.091363060016906"/>
    <n v="1.455150746689208"/>
    <n v="1.455150746689208"/>
    <n v="1.455150746689208"/>
    <n v="2.1827261200338119"/>
    <n v="2.1827261200338119"/>
    <n v="0.33923489533953011"/>
    <n v="0.33923489533953011"/>
    <n v="0.67846979067906021"/>
    <n v="0.67846979067906021"/>
    <n v="1.2541255061185859"/>
    <n v="1.2541255061185859"/>
    <n v="1.2541255061185859"/>
    <n v="1.2541255061185859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m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</r>
  <r>
    <x v="61"/>
    <m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</r>
  <r>
    <x v="62"/>
    <m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m/>
    <n v="3.753488454545455"/>
    <n v="3.753488454545455"/>
    <n v="3.753488454545455"/>
    <n v="3.753488454545455"/>
    <n v="3.753488454545455"/>
    <n v="3.753488454545455"/>
    <n v="3.753488454545455"/>
    <n v="3.753488454545455"/>
    <n v="3.753488454545455"/>
    <n v="22.995605769230771"/>
    <n v="22.995605769230771"/>
    <n v="22.995605769230771"/>
    <n v="22.995605769230771"/>
    <n v="22.995605769230771"/>
    <n v="22.995605769230771"/>
    <n v="22.995605769230771"/>
    <n v="22.995605769230771"/>
    <n v="22.995605769230771"/>
    <n v="50.946432352941152"/>
    <n v="50.946432352941152"/>
    <n v="50.946432352941152"/>
    <n v="50.946432352941152"/>
    <n v="118.87500882352936"/>
    <n v="118.87500882352936"/>
    <n v="118.87500882352936"/>
    <n v="118.87500882352936"/>
  </r>
  <r>
    <x v="64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m/>
    <n v="0.57208436998974233"/>
    <n v="0.79821716953343758"/>
    <n v="0.85487813355044773"/>
    <n v="0.65820142419239636"/>
    <n v="0.81651277294803626"/>
    <n v="0.87447243933115804"/>
    <n v="0.75666888978455193"/>
    <n v="0.8345516618462212"/>
    <n v="0.89379180787044665"/>
    <n v="0.71321650345685139"/>
    <n v="0.82611861017298183"/>
    <n v="0.8847601411139332"/>
    <n v="0.9726311239875991"/>
    <n v="0.74444636751536886"/>
    <n v="0.83731762428066359"/>
    <n v="0.89675411047890685"/>
    <n v="0.82408850253943755"/>
    <n v="0.90891067227367384"/>
    <n v="0.56273376797427321"/>
    <n v="0.7331297036286275"/>
    <n v="0.61366227426322806"/>
    <n v="0.79947937526158552"/>
    <n v="0.71121746207655134"/>
    <n v="0.83191349169936191"/>
    <n v="0.89096636880797464"/>
    <n v="0.97490002922294017"/>
  </r>
  <r>
    <x v="66"/>
    <m/>
    <n v="0.42791563001025767"/>
    <n v="0.20178283046656242"/>
    <n v="0.14512186644955227"/>
    <n v="0.34179857580760364"/>
    <n v="0.18348722705196374"/>
    <n v="0.12552756066884196"/>
    <n v="0.24333111021544807"/>
    <n v="0.1654483381537788"/>
    <n v="0.10620819212955335"/>
    <n v="0.28678349654314861"/>
    <n v="0.17388138982701817"/>
    <n v="0.1152398588860668"/>
    <n v="2.73688760124009E-2"/>
    <n v="0.25555363248463114"/>
    <n v="0.16268237571933641"/>
    <n v="0.10324588952109315"/>
    <n v="0.17591149746056245"/>
    <n v="9.1089327726326164E-2"/>
    <n v="0.43726623202572679"/>
    <n v="0.2668702963713725"/>
    <n v="0.38633772573677194"/>
    <n v="0.20052062473841448"/>
    <n v="0.28878253792344866"/>
    <n v="0.16808650830063809"/>
    <n v="0.10903363119202536"/>
    <n v="2.5099970777059832E-2"/>
  </r>
  <r>
    <x v="67"/>
    <m/>
    <n v="6.4187344501538651E-2"/>
    <n v="3.0267424569984363E-2"/>
    <n v="2.176827996743284E-2"/>
    <n v="5.1269786371140547E-2"/>
    <n v="2.7523084057794561E-2"/>
    <n v="1.8829134100326293E-2"/>
    <n v="3.6499666532317211E-2"/>
    <n v="2.4817250723066817E-2"/>
    <n v="1.5931228819433003E-2"/>
    <n v="4.3017524481472287E-2"/>
    <n v="2.6082208474052723E-2"/>
    <n v="1.7285978832910019E-2"/>
    <n v="4.1053314018601348E-3"/>
    <n v="3.833304487269467E-2"/>
    <n v="2.4402356357900459E-2"/>
    <n v="1.5486883428163971E-2"/>
    <n v="2.6386724619084367E-2"/>
    <n v="1.3663399158948923E-2"/>
    <n v="6.558993480385901E-2"/>
    <n v="4.003054445570587E-2"/>
    <n v="5.7950658860515786E-2"/>
    <n v="3.0078093710762172E-2"/>
    <n v="4.3317380688517294E-2"/>
    <n v="2.5212976245095713E-2"/>
    <n v="1.6355044678803804E-2"/>
    <n v="3.7649956165589746E-3"/>
  </r>
  <r>
    <x v="68"/>
    <m/>
    <n v="0.24092645651445704"/>
    <n v="0.11360842867226173"/>
    <n v="8.1706987533072276E-2"/>
    <n v="0.19244055121108797"/>
    <n v="0.10330757824441596"/>
    <n v="7.0674937454662856E-2"/>
    <n v="0.13700107692381178"/>
    <n v="9.3151264062591152E-2"/>
    <n v="5.9797683440463593E-2"/>
    <n v="0.98921403414417008"/>
    <n v="0.59977618366020646"/>
    <n v="0.39750155457686664"/>
    <n v="9.4404582469219164E-2"/>
    <n v="0.88149158782671955"/>
    <n v="0.56114696664656094"/>
    <n v="0.35613026590809183"/>
    <n v="0.60677871688172014"/>
    <n v="0.31419814052682871"/>
    <n v="3.3415731765186232"/>
    <n v="2.0394134251640224"/>
    <n v="2.9523793214456373"/>
    <n v="1.5323715665407696"/>
    <n v="5.1493540115596739"/>
    <n v="2.9971927736031887"/>
    <n v="1.9442060805020192"/>
    <n v="0.44756388713899747"/>
  </r>
  <r>
    <x v="69"/>
    <m/>
    <n v="2.2319676845651402"/>
    <n v="1.0524802678758369"/>
    <n v="0.7569420080108179"/>
    <n v="1.7664248850021071"/>
    <n v="0.94826727460404547"/>
    <n v="0.64873004925528832"/>
    <n v="1.2575421865470393"/>
    <n v="0.8550417771827854"/>
    <n v="0.54888699616563597"/>
    <n v="1.6600775504114069"/>
    <n v="1.0065313909816871"/>
    <n v="0.66707849285377019"/>
    <n v="0.15842772403517322"/>
    <n v="1.4793000759372277"/>
    <n v="0.94170467629622079"/>
    <n v="0.59765009295238603"/>
    <n v="1.0182828904507604"/>
    <n v="0.52728050903650925"/>
    <n v="2.1695121201681711"/>
    <n v="1.3240865634840513"/>
    <n v="1.9168285064711323"/>
    <n v="0.99489028388565004"/>
    <n v="1.8064333230329532"/>
    <n v="1.0514384696868919"/>
    <n v="0.68204257131631385"/>
    <n v="0.15700888268685223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m/>
    <n v="0.55009936466175158"/>
    <n v="0.76754195859313346"/>
    <n v="0.82202546127550613"/>
    <n v="0.6329069701278317"/>
    <n v="0.78513446826903055"/>
    <n v="0.84086676463282406"/>
    <n v="0.72759036492686968"/>
    <n v="0.80248012887897424"/>
    <n v="0.85944369649222696"/>
    <n v="0.68580783884189089"/>
    <n v="0.79437115647741763"/>
    <n v="0.85075911357889933"/>
    <n v="0.93525324484117089"/>
    <n v="0.7158375499793781"/>
    <n v="0.8051397963295851"/>
    <n v="0.86229215883158272"/>
    <n v="0.79241906518111516"/>
    <n v="0.87398154814297491"/>
    <n v="0.54110810306163704"/>
    <n v="0.70495578158864469"/>
    <n v="0.59007944439233695"/>
    <n v="0.76875565818981884"/>
    <n v="0.68388561993341879"/>
    <n v="0.79994334270234269"/>
    <n v="0.85672683807991923"/>
    <n v="0.93743495682966882"/>
  </r>
  <r>
    <x v="72"/>
    <m/>
    <n v="0.44990063533824842"/>
    <n v="0.23245804140686654"/>
    <n v="0.17797453872449387"/>
    <n v="0.3670930298721683"/>
    <n v="0.21486553173096945"/>
    <n v="0.15913323536717594"/>
    <n v="0.27240963507313032"/>
    <n v="0.19751987112102576"/>
    <n v="0.14055630350777304"/>
    <n v="0.31419216115810911"/>
    <n v="0.20562884352258237"/>
    <n v="0.14924088642110067"/>
    <n v="6.4746755158829106E-2"/>
    <n v="0.2841624500206219"/>
    <n v="0.1948602036704149"/>
    <n v="0.13770784116841728"/>
    <n v="0.20758093481888484"/>
    <n v="0.12601845185702509"/>
    <n v="0.45889189693836296"/>
    <n v="0.29504421841135531"/>
    <n v="0.40992055560766305"/>
    <n v="0.23124434181018116"/>
    <n v="0.31611438006658121"/>
    <n v="0.20005665729765731"/>
    <n v="0.14327316192008077"/>
    <n v="6.256504317033118E-2"/>
  </r>
  <r>
    <x v="67"/>
    <m/>
    <n v="6.7485095300737263E-2"/>
    <n v="3.4868706211029978E-2"/>
    <n v="2.6696180808674079E-2"/>
    <n v="5.5063954480825239E-2"/>
    <n v="3.2229829759645418E-2"/>
    <n v="2.3869985305076391E-2"/>
    <n v="4.0861445260969548E-2"/>
    <n v="2.9627980668153864E-2"/>
    <n v="2.1083445526165954E-2"/>
    <n v="4.712882417371636E-2"/>
    <n v="3.0844326528387353E-2"/>
    <n v="2.2386132963165099E-2"/>
    <n v="9.7120132738243662E-3"/>
    <n v="4.2624367503093286E-2"/>
    <n v="2.9229030550562234E-2"/>
    <n v="2.0656176175262591E-2"/>
    <n v="3.1137140222832725E-2"/>
    <n v="1.8902767778553764E-2"/>
    <n v="6.8833784540754436E-2"/>
    <n v="4.4256632761703295E-2"/>
    <n v="6.1488083341149455E-2"/>
    <n v="3.4686651271527175E-2"/>
    <n v="4.7417157009987179E-2"/>
    <n v="3.0008498594648596E-2"/>
    <n v="2.1490974288012114E-2"/>
    <n v="9.3847564755496771E-3"/>
  </r>
  <r>
    <x v="68"/>
    <m/>
    <n v="0.25330452606521708"/>
    <n v="0.13087928618803843"/>
    <n v="0.1002038064458161"/>
    <n v="0.20668191740539402"/>
    <n v="0.1209742938947946"/>
    <n v="8.9595714252773906E-2"/>
    <n v="0.15337296302309028"/>
    <n v="0.11120828336941146"/>
    <n v="7.913646936450193E-2"/>
    <n v="1.0837558610661746"/>
    <n v="0.70928397306422197"/>
    <n v="0.51478268831852647"/>
    <n v="0.22333362847040142"/>
    <n v="0.98017315126394455"/>
    <n v="0.6721392635575314"/>
    <n v="0.47500128402611563"/>
    <n v="0.71601740134551972"/>
    <n v="0.43468059578294044"/>
    <n v="3.5068357477024721"/>
    <n v="2.254717547163076"/>
    <n v="3.1325984784518783"/>
    <n v="1.7671611325549195"/>
    <n v="5.6367149579489029"/>
    <n v="3.5672605352197202"/>
    <n v="2.5547397581136826"/>
    <n v="1.1156130088376421"/>
  </r>
  <r>
    <x v="69"/>
    <m/>
    <n v="2.3466394048663863"/>
    <n v="1.2124792834162057"/>
    <n v="0.92829845710224523"/>
    <n v="1.8971473521938373"/>
    <n v="1.1104312570115484"/>
    <n v="0.82240514408025134"/>
    <n v="1.4078208405946657"/>
    <n v="1.0207883833517928"/>
    <n v="0.72639902513752941"/>
    <n v="1.8187355951124053"/>
    <n v="1.1903049895255708"/>
    <n v="0.86389714937411621"/>
    <n v="0.37479365443535673"/>
    <n v="1.6449053367272914"/>
    <n v="1.127969543160863"/>
    <n v="0.79713685897163855"/>
    <n v="1.2016048829169523"/>
    <n v="0.72947155393222685"/>
    <n v="2.2768086335927413"/>
    <n v="1.4638724899098079"/>
    <n v="2.0338355641525312"/>
    <n v="1.1473271099698876"/>
    <n v="1.9774033227505921"/>
    <n v="1.2514226616183763"/>
    <n v="0.89622252041200934"/>
    <n v="0.3913656956288718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m/>
    <n v="2.1473120777824084"/>
    <n v="2.99609893006371"/>
    <n v="3.2087752043249731"/>
    <n v="2.4705514464715352"/>
    <n v="3.0647712662493487"/>
    <n v="3.2823222048477025"/>
    <n v="2.8401479417200433"/>
    <n v="3.1324800274615141"/>
    <n v="3.3548372316090309"/>
    <n v="16.400845541602969"/>
    <n v="18.997097878162727"/>
    <n v="20.345595405384994"/>
    <n v="22.366241886102642"/>
    <n v="17.118995183719306"/>
    <n v="19.25462599158703"/>
    <n v="20.621403996510157"/>
    <n v="18.950414323352636"/>
    <n v="20.900951499051914"/>
    <n v="28.669277842816992"/>
    <n v="37.350342851847664"/>
    <n v="31.263903543303567"/>
    <n v="40.730621909336023"/>
    <n v="84.545982079798193"/>
    <n v="98.893723666174765"/>
    <n v="105.9136349535159"/>
    <n v="115.89124957593604"/>
  </r>
  <r>
    <x v="75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76"/>
    <m/>
    <n v="19.892921830273007"/>
    <n v="27.756171274868354"/>
    <n v="29.72642634063515"/>
    <n v="22.677359461199803"/>
    <n v="28.131743530520215"/>
    <n v="30.128658366178591"/>
    <n v="26.069910784233588"/>
    <n v="28.753246846661948"/>
    <n v="30.79427872010961"/>
    <n v="27.52354349171317"/>
    <n v="31.880517887911303"/>
    <n v="34.14353720876408"/>
    <n v="37.534542334221392"/>
    <n v="28.728726654874368"/>
    <n v="32.312695985814408"/>
    <n v="34.606393208106645"/>
    <n v="31.802174558117486"/>
    <n v="35.075523767545825"/>
    <n v="18.613492050250663"/>
    <n v="24.249662428144795"/>
    <n v="20.298049474897589"/>
    <n v="26.444304292134138"/>
    <n v="29.659386209346167"/>
    <n v="34.692685231653243"/>
    <n v="37.155324554123766"/>
    <n v="40.655549144986843"/>
  </r>
  <r>
    <x v="77"/>
    <m/>
    <n v="14.902588454588832"/>
    <n v="14.902588454588832"/>
    <n v="14.902588454588832"/>
    <n v="14.765796583377366"/>
    <n v="14.765796583377366"/>
    <n v="14.765796583377366"/>
    <n v="14.765796583377366"/>
    <n v="14.765796583377366"/>
    <n v="14.765796583377366"/>
    <n v="16.538883069052527"/>
    <n v="16.538883069052527"/>
    <n v="16.538883069052527"/>
    <n v="16.538883069052527"/>
    <n v="16.538883069052527"/>
    <n v="16.538883069052527"/>
    <n v="16.538883069052527"/>
    <n v="16.538883069052527"/>
    <n v="16.538883069052527"/>
    <n v="14.175816936302205"/>
    <n v="14.175816936302205"/>
    <n v="14.175816936302205"/>
    <n v="14.175816936302205"/>
    <n v="17.872403584099658"/>
    <n v="17.872403584099658"/>
    <n v="17.872403584099658"/>
    <n v="17.872403584099658"/>
  </r>
  <r>
    <x v="78"/>
    <m/>
    <n v="34.795510284861841"/>
    <n v="42.658759729457188"/>
    <n v="44.629014795223981"/>
    <n v="37.443156044577165"/>
    <n v="42.897540113897577"/>
    <n v="44.894454949555957"/>
    <n v="40.835707367610951"/>
    <n v="43.519043430039318"/>
    <n v="45.560075303486975"/>
    <n v="44.062426560765701"/>
    <n v="48.419400956963827"/>
    <n v="50.682420277816604"/>
    <n v="54.073425403273916"/>
    <n v="45.267609723926896"/>
    <n v="48.851579054866932"/>
    <n v="51.145276277159169"/>
    <n v="48.341057627170017"/>
    <n v="51.614406836598349"/>
    <n v="32.789308986552868"/>
    <n v="38.425479364447"/>
    <n v="34.473866411199793"/>
    <n v="40.620121228436346"/>
    <n v="47.531789793445824"/>
    <n v="52.565088815752901"/>
    <n v="55.027728138223424"/>
    <n v="58.5279527290865"/>
  </r>
  <r>
    <x v="79"/>
    <s v="Beregnet i særskilt ark. Udbringning kun i april.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</r>
  <r>
    <x v="80"/>
    <m/>
    <n v="6.5078338975669343"/>
    <n v="9.0802424013136012"/>
    <n v="9.7247979278093357"/>
    <n v="7.4187437053273211"/>
    <n v="9.2031083069442818"/>
    <n v="9.8563853955957459"/>
    <n v="8.5285937659492017"/>
    <n v="9.4064288841197428"/>
    <n v="10.074138561228294"/>
    <n v="9.0041398063479221"/>
    <n v="10.429494307226706"/>
    <n v="11.169825665925485"/>
    <n v="12.279169898540481"/>
    <n v="9.398407270369308"/>
    <n v="10.570878428640167"/>
    <n v="11.321245853865388"/>
    <n v="10.403864820435853"/>
    <n v="11.474718721408495"/>
    <n v="6.0892771584902725"/>
    <n v="7.9331119129155194"/>
    <n v="6.6403686474153494"/>
    <n v="8.6510740522808121"/>
    <n v="9.7028662054297783"/>
    <n v="11.349475701683501"/>
    <n v="12.15511138441493"/>
    <n v="13.300186021306692"/>
  </r>
  <r>
    <x v="81"/>
    <m/>
    <n v="4.8752803199916785"/>
    <n v="4.8752803199916785"/>
    <n v="4.8752803199916785"/>
    <n v="4.8305297909353158"/>
    <n v="4.8305297909353158"/>
    <n v="4.8305297909353158"/>
    <n v="4.8305297909353158"/>
    <n v="4.8305297909353158"/>
    <n v="4.8305297909353158"/>
    <n v="5.4105829592554517"/>
    <n v="5.4105829592554517"/>
    <n v="5.4105829592554517"/>
    <n v="5.4105829592554517"/>
    <n v="5.4105829592554517"/>
    <n v="5.4105829592554517"/>
    <n v="5.4105829592554517"/>
    <n v="5.4105829592554517"/>
    <n v="5.4105829592554517"/>
    <n v="4.6375219674054717"/>
    <n v="4.6375219674054717"/>
    <n v="4.6375219674054717"/>
    <n v="4.6375219674054717"/>
    <n v="5.8468351139147012"/>
    <n v="5.8468351139147012"/>
    <n v="5.8468351139147012"/>
    <n v="5.8468351139147012"/>
  </r>
  <r>
    <x v="82"/>
    <m/>
    <n v="0.9761750846350401"/>
    <n v="1.3620363601970402"/>
    <n v="1.4587196891714003"/>
    <n v="1.1128115557990981"/>
    <n v="1.3804662460416421"/>
    <n v="1.4784578093393619"/>
    <n v="1.2792890648923803"/>
    <n v="1.4109643326179613"/>
    <n v="1.511120784184244"/>
    <n v="1.3506209709521884"/>
    <n v="1.5644241460840058"/>
    <n v="1.6754738498888226"/>
    <n v="1.8418754847810721"/>
    <n v="1.4097610905553961"/>
    <n v="1.5856317642960249"/>
    <n v="1.6981868780798082"/>
    <n v="1.560579723065378"/>
    <n v="1.7212078082112741"/>
    <n v="0.91339157377354085"/>
    <n v="1.1899667869373278"/>
    <n v="0.99605529711230234"/>
    <n v="1.2976611078421219"/>
    <n v="1.4554299308144667"/>
    <n v="1.7024213552525249"/>
    <n v="1.8232667076622393"/>
    <n v="1.9950279031960036"/>
  </r>
  <r>
    <x v="83"/>
    <m/>
    <n v="0.7312920479987518"/>
    <n v="0.7312920479987518"/>
    <n v="0.7312920479987518"/>
    <n v="0.72457946864029732"/>
    <n v="0.72457946864029732"/>
    <n v="0.72457946864029732"/>
    <n v="0.72457946864029732"/>
    <n v="0.72457946864029732"/>
    <n v="0.72457946864029732"/>
    <n v="0.81158744388831772"/>
    <n v="0.81158744388831772"/>
    <n v="0.81158744388831772"/>
    <n v="0.81158744388831772"/>
    <n v="0.81158744388831772"/>
    <n v="0.81158744388831772"/>
    <n v="0.81158744388831772"/>
    <n v="0.81158744388831772"/>
    <n v="0.81158744388831772"/>
    <n v="0.69562829511082069"/>
    <n v="0.69562829511082069"/>
    <n v="0.69562829511082069"/>
    <n v="0.69562829511082069"/>
    <n v="0.87702526708720518"/>
    <n v="0.87702526708720518"/>
    <n v="0.87702526708720518"/>
    <n v="0.87702526708720518"/>
  </r>
  <r>
    <x v="69"/>
    <m/>
    <n v="1.7074671326337918"/>
    <n v="2.0933284081957919"/>
    <n v="2.1900117371701522"/>
    <n v="1.8373910244393954"/>
    <n v="2.1050457146819395"/>
    <n v="2.203037277979659"/>
    <n v="2.0038685335326774"/>
    <n v="2.1355438012582586"/>
    <n v="2.2357002528245413"/>
    <n v="2.1622084148405061"/>
    <n v="2.3760115899723235"/>
    <n v="2.4870612937771401"/>
    <n v="2.6534629286693896"/>
    <n v="2.2213485344437141"/>
    <n v="2.3972192081843424"/>
    <n v="2.5097743219681261"/>
    <n v="2.3721671669536954"/>
    <n v="2.532795252099592"/>
    <n v="1.6090198688843615"/>
    <n v="1.8855950820481486"/>
    <n v="1.691683592223123"/>
    <n v="1.9932894029529424"/>
    <n v="2.3324551979016719"/>
    <n v="2.5794466223397299"/>
    <n v="2.7002919747494447"/>
    <n v="2.8720531702832091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m/>
    <n v="2.1473120777824084"/>
    <n v="2.99609893006371"/>
    <n v="3.2087752043249731"/>
    <n v="2.4705514464715352"/>
    <n v="3.0647712662493487"/>
    <n v="3.2823222048477025"/>
    <n v="2.8401479417200433"/>
    <n v="3.1324800274615141"/>
    <n v="3.3548372316090309"/>
    <n v="16.400845541602969"/>
    <n v="18.997097878162727"/>
    <n v="20.345595405384994"/>
    <n v="22.366241886102642"/>
    <n v="17.118995183719306"/>
    <n v="19.25462599158703"/>
    <n v="20.621403996510157"/>
    <n v="18.950414323352636"/>
    <n v="20.900951499051914"/>
    <n v="28.669277842816992"/>
    <n v="37.350342851847664"/>
    <n v="31.263903543303567"/>
    <n v="40.730621909336023"/>
    <n v="84.545982079798193"/>
    <n v="98.893723666174765"/>
    <n v="105.9136349535159"/>
    <n v="115.89124957593604"/>
  </r>
  <r>
    <x v="75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76"/>
    <m/>
    <n v="19.892921830273007"/>
    <n v="27.756171274868354"/>
    <n v="29.72642634063515"/>
    <n v="22.677359461199803"/>
    <n v="28.131743530520215"/>
    <n v="30.128658366178591"/>
    <n v="26.069910784233588"/>
    <n v="28.753246846661948"/>
    <n v="30.79427872010961"/>
    <n v="27.52354349171317"/>
    <n v="31.880517887911303"/>
    <n v="34.14353720876408"/>
    <n v="37.534542334221392"/>
    <n v="28.728726654874368"/>
    <n v="32.312695985814408"/>
    <n v="34.606393208106645"/>
    <n v="31.802174558117486"/>
    <n v="35.075523767545825"/>
    <n v="18.613492050250663"/>
    <n v="24.249662428144795"/>
    <n v="20.298049474897589"/>
    <n v="26.444304292134138"/>
    <n v="29.659386209346167"/>
    <n v="34.692685231653243"/>
    <n v="37.155324554123766"/>
    <n v="40.655549144986843"/>
  </r>
  <r>
    <x v="77"/>
    <m/>
    <n v="14.902588454588832"/>
    <n v="14.902588454588832"/>
    <n v="14.902588454588832"/>
    <n v="14.765796583377366"/>
    <n v="14.765796583377366"/>
    <n v="14.765796583377366"/>
    <n v="14.765796583377366"/>
    <n v="14.765796583377366"/>
    <n v="14.765796583377366"/>
    <n v="16.538883069052527"/>
    <n v="16.538883069052527"/>
    <n v="16.538883069052527"/>
    <n v="16.538883069052527"/>
    <n v="16.538883069052527"/>
    <n v="16.538883069052527"/>
    <n v="16.538883069052527"/>
    <n v="16.538883069052527"/>
    <n v="16.538883069052527"/>
    <n v="14.175816936302205"/>
    <n v="14.175816936302205"/>
    <n v="14.175816936302205"/>
    <n v="14.175816936302205"/>
    <n v="17.872403584099658"/>
    <n v="17.872403584099658"/>
    <n v="17.872403584099658"/>
    <n v="17.872403584099658"/>
  </r>
  <r>
    <x v="85"/>
    <m/>
    <n v="34.795510284861841"/>
    <n v="42.658759729457188"/>
    <n v="44.629014795223981"/>
    <n v="37.443156044577165"/>
    <n v="42.897540113897577"/>
    <n v="44.894454949555957"/>
    <n v="40.835707367610951"/>
    <n v="43.519043430039318"/>
    <n v="45.560075303486975"/>
    <n v="44.062426560765701"/>
    <n v="48.419400956963827"/>
    <n v="50.682420277816604"/>
    <n v="54.073425403273916"/>
    <n v="45.267609723926896"/>
    <n v="48.851579054866932"/>
    <n v="51.145276277159169"/>
    <n v="48.341057627170017"/>
    <n v="51.614406836598349"/>
    <n v="32.789308986552868"/>
    <n v="38.425479364447"/>
    <n v="34.473866411199793"/>
    <n v="40.620121228436346"/>
    <n v="47.531789793445824"/>
    <n v="52.565088815752901"/>
    <n v="55.027728138223424"/>
    <n v="58.5279527290865"/>
  </r>
  <r>
    <x v="86"/>
    <s v="HML, personlig kommunikation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</r>
  <r>
    <x v="87"/>
    <m/>
    <n v="12.874338805398882"/>
    <n v="15.78374109989916"/>
    <n v="16.512735474232873"/>
    <n v="13.853967736493551"/>
    <n v="15.872089842142103"/>
    <n v="16.610948331335702"/>
    <n v="15.109211726016051"/>
    <n v="16.102046069114547"/>
    <n v="16.857227862290181"/>
    <n v="16.30309782748331"/>
    <n v="17.915178354076616"/>
    <n v="18.752495502792144"/>
    <n v="20.007167399211347"/>
    <n v="16.749015597852953"/>
    <n v="18.075084250300765"/>
    <n v="18.923752222548892"/>
    <n v="17.886191322052905"/>
    <n v="19.097330529541388"/>
    <n v="12.132044325024561"/>
    <n v="14.21742736484539"/>
    <n v="12.755330572143924"/>
    <n v="15.029444854521447"/>
    <n v="17.586762223574954"/>
    <n v="19.449082861828572"/>
    <n v="20.360259411142668"/>
    <n v="21.655342509762004"/>
  </r>
  <r>
    <x v="88"/>
    <s v="Beregnet i særskilt ark.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</r>
  <r>
    <x v="89"/>
    <m/>
    <n v="1.6855570082204445"/>
    <n v="2.0664669330991572"/>
    <n v="2.1619096269092801"/>
    <n v="1.8138137237862706"/>
    <n v="2.0780338837523904"/>
    <n v="2.1747680246949286"/>
    <n v="1.9781550026315176"/>
    <n v="2.1081406205577626"/>
    <n v="2.2070118700415713"/>
    <n v="2.1344630752838571"/>
    <n v="2.3455227398217802"/>
    <n v="2.4551474599300285"/>
    <n v="2.6194138381878207"/>
    <n v="2.1928443121223182"/>
    <n v="2.3664582230423519"/>
    <n v="2.4775690357914453"/>
    <n v="2.3417276482280598"/>
    <n v="2.5002945626125626"/>
    <n v="1.5883730143493491"/>
    <n v="1.8613992295768074"/>
    <n v="1.6699760013329523"/>
    <n v="1.9677116228740137"/>
    <n v="2.3025252609805693"/>
    <n v="2.5463473050334717"/>
    <n v="2.6656419765220329"/>
    <n v="2.8351991418337188"/>
  </r>
  <r>
    <x v="69"/>
    <m/>
    <n v="0.10113342049322667"/>
    <n v="0.12398801598594943"/>
    <n v="0.12971457761455679"/>
    <n v="0.10882882342717623"/>
    <n v="0.12468203302514341"/>
    <n v="0.13048608148169571"/>
    <n v="0.11868930015789105"/>
    <n v="0.12648843723346576"/>
    <n v="0.13242071220249427"/>
    <n v="0.12806778451703141"/>
    <n v="0.14073136438930681"/>
    <n v="0.14730884759580171"/>
    <n v="0.15716483029126924"/>
    <n v="0.13157065872733908"/>
    <n v="0.1419874933825411"/>
    <n v="0.14865414214748671"/>
    <n v="0.14050365889368358"/>
    <n v="0.15001767375675373"/>
    <n v="9.5302380860960934E-2"/>
    <n v="0.11168395377460844"/>
    <n v="0.10019856007997713"/>
    <n v="0.11806269737244081"/>
    <n v="0.13815151565883416"/>
    <n v="0.15278083830200828"/>
    <n v="0.15993851859132197"/>
    <n v="0.170111948510023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N4" firstHeaderRow="1" firstDataRow="2" firstDataCol="0"/>
  <pivotFields count="28">
    <pivotField axis="axisCol" showAll="0">
      <items count="91">
        <item x="26"/>
        <item x="28"/>
        <item x="8"/>
        <item x="68"/>
        <item x="67"/>
        <item x="69"/>
        <item x="82"/>
        <item x="83"/>
        <item x="11"/>
        <item x="16"/>
        <item x="12"/>
        <item x="14"/>
        <item x="10"/>
        <item x="15"/>
        <item x="13"/>
        <item x="9"/>
        <item x="58"/>
        <item x="24"/>
        <item x="61"/>
        <item x="52"/>
        <item x="48"/>
        <item x="47"/>
        <item x="46"/>
        <item x="40"/>
        <item x="39"/>
        <item x="42"/>
        <item x="43"/>
        <item x="41"/>
        <item x="44"/>
        <item x="6"/>
        <item x="57"/>
        <item x="59"/>
        <item x="5"/>
        <item x="7"/>
        <item x="37"/>
        <item x="27"/>
        <item x="34"/>
        <item x="36"/>
        <item x="22"/>
        <item x="73"/>
        <item x="84"/>
        <item x="23"/>
        <item x="21"/>
        <item x="3"/>
        <item x="33"/>
        <item x="45"/>
        <item x="35"/>
        <item x="25"/>
        <item x="32"/>
        <item x="4"/>
        <item x="70"/>
        <item x="31"/>
        <item x="0"/>
        <item x="56"/>
        <item x="54"/>
        <item x="19"/>
        <item x="20"/>
        <item x="2"/>
        <item x="38"/>
        <item x="55"/>
        <item x="17"/>
        <item x="1"/>
        <item x="51"/>
        <item x="50"/>
        <item x="49"/>
        <item x="53"/>
        <item x="65"/>
        <item x="71"/>
        <item x="63"/>
        <item x="62"/>
        <item x="66"/>
        <item x="79"/>
        <item x="80"/>
        <item x="72"/>
        <item x="74"/>
        <item x="76"/>
        <item x="60"/>
        <item x="64"/>
        <item x="81"/>
        <item x="75"/>
        <item x="77"/>
        <item x="87"/>
        <item x="88"/>
        <item x="89"/>
        <item x="85"/>
        <item x="78"/>
        <item x="86"/>
        <item x="29"/>
        <item x="30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5"/>
  <sheetViews>
    <sheetView tabSelected="1" zoomScaleNormal="100" workbookViewId="0">
      <pane xSplit="2" ySplit="6" topLeftCell="C25" activePane="bottomRight" state="frozen"/>
      <selection pane="topRight" activeCell="C1" sqref="C1"/>
      <selection pane="bottomLeft" activeCell="A3" sqref="A3"/>
      <selection pane="bottomRight" activeCell="B27" sqref="B27"/>
    </sheetView>
  </sheetViews>
  <sheetFormatPr defaultColWidth="9.140625" defaultRowHeight="15" x14ac:dyDescent="0.25"/>
  <cols>
    <col min="1" max="1" width="40.28515625" style="2" customWidth="1"/>
    <col min="2" max="2" width="63" style="2" bestFit="1" customWidth="1"/>
    <col min="3" max="5" width="27.85546875" style="2" bestFit="1" customWidth="1"/>
    <col min="6" max="8" width="29.42578125" style="2" bestFit="1" customWidth="1"/>
    <col min="9" max="11" width="27.140625" style="2" customWidth="1"/>
    <col min="12" max="17" width="33.28515625" style="2" bestFit="1" customWidth="1"/>
    <col min="18" max="19" width="36.42578125" style="2" bestFit="1" customWidth="1"/>
    <col min="20" max="22" width="39" style="2" bestFit="1" customWidth="1"/>
    <col min="23" max="26" width="43.85546875" style="2" bestFit="1" customWidth="1"/>
    <col min="27" max="74" width="12.5703125" style="2" customWidth="1"/>
    <col min="75" max="16384" width="9.140625" style="2"/>
  </cols>
  <sheetData>
    <row r="1" spans="1:26" x14ac:dyDescent="0.25">
      <c r="A1" s="2" t="s">
        <v>0</v>
      </c>
      <c r="B1" s="2" t="s">
        <v>1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3</v>
      </c>
      <c r="J1" s="6" t="s">
        <v>3</v>
      </c>
      <c r="K1" s="6" t="s">
        <v>3</v>
      </c>
      <c r="L1" s="6" t="s">
        <v>3</v>
      </c>
      <c r="M1" s="6" t="s">
        <v>3</v>
      </c>
      <c r="N1" s="6" t="s">
        <v>3</v>
      </c>
      <c r="O1" s="6" t="s">
        <v>3</v>
      </c>
      <c r="P1" s="6" t="s">
        <v>3</v>
      </c>
      <c r="Q1" s="6" t="s">
        <v>3</v>
      </c>
      <c r="R1" s="6" t="s">
        <v>4</v>
      </c>
      <c r="S1" s="6" t="s">
        <v>4</v>
      </c>
      <c r="T1" s="6" t="s">
        <v>4</v>
      </c>
      <c r="U1" s="6" t="s">
        <v>4</v>
      </c>
      <c r="V1" s="6" t="s">
        <v>4</v>
      </c>
      <c r="W1" s="6" t="s">
        <v>4</v>
      </c>
      <c r="X1" s="6" t="s">
        <v>4</v>
      </c>
      <c r="Y1" s="6" t="s">
        <v>4</v>
      </c>
      <c r="Z1" s="6" t="s">
        <v>4</v>
      </c>
    </row>
    <row r="2" spans="1:26" ht="15.75" customHeight="1" x14ac:dyDescent="0.25">
      <c r="A2" s="2" t="s">
        <v>5</v>
      </c>
      <c r="B2" s="2" t="s">
        <v>6</v>
      </c>
      <c r="C2" s="6" t="s">
        <v>7</v>
      </c>
      <c r="D2" s="6" t="s">
        <v>7</v>
      </c>
      <c r="E2" s="6" t="s">
        <v>7</v>
      </c>
      <c r="F2" s="6" t="s">
        <v>9</v>
      </c>
      <c r="G2" s="6" t="s">
        <v>9</v>
      </c>
      <c r="H2" s="6" t="s">
        <v>9</v>
      </c>
      <c r="I2" s="6" t="s">
        <v>10</v>
      </c>
      <c r="J2" s="6" t="s">
        <v>10</v>
      </c>
      <c r="K2" s="6" t="s">
        <v>10</v>
      </c>
      <c r="L2" s="6" t="s">
        <v>11</v>
      </c>
      <c r="M2" s="6" t="s">
        <v>11</v>
      </c>
      <c r="N2" s="6" t="s">
        <v>11</v>
      </c>
      <c r="O2" s="6" t="s">
        <v>12</v>
      </c>
      <c r="P2" s="6" t="s">
        <v>12</v>
      </c>
      <c r="Q2" s="6" t="s">
        <v>12</v>
      </c>
      <c r="R2" s="6" t="s">
        <v>13</v>
      </c>
      <c r="S2" s="6" t="s">
        <v>13</v>
      </c>
      <c r="T2" s="6" t="s">
        <v>14</v>
      </c>
      <c r="U2" s="6" t="s">
        <v>14</v>
      </c>
      <c r="V2" s="6" t="s">
        <v>14</v>
      </c>
      <c r="W2" s="6" t="s">
        <v>15</v>
      </c>
      <c r="X2" s="6" t="s">
        <v>15</v>
      </c>
      <c r="Y2" s="6" t="s">
        <v>15</v>
      </c>
      <c r="Z2" s="6" t="s">
        <v>15</v>
      </c>
    </row>
    <row r="3" spans="1:26" x14ac:dyDescent="0.25">
      <c r="A3" s="2" t="s">
        <v>252</v>
      </c>
      <c r="C3" s="6" t="s">
        <v>250</v>
      </c>
      <c r="D3" s="6" t="s">
        <v>249</v>
      </c>
      <c r="E3" s="6" t="s">
        <v>270</v>
      </c>
      <c r="F3" s="6" t="s">
        <v>250</v>
      </c>
      <c r="G3" s="6" t="s">
        <v>249</v>
      </c>
      <c r="H3" s="6" t="s">
        <v>270</v>
      </c>
      <c r="I3" s="6" t="s">
        <v>250</v>
      </c>
      <c r="J3" s="6" t="s">
        <v>249</v>
      </c>
      <c r="K3" s="6" t="s">
        <v>270</v>
      </c>
      <c r="L3" s="6" t="s">
        <v>250</v>
      </c>
      <c r="M3" s="6" t="s">
        <v>249</v>
      </c>
      <c r="N3" s="6" t="s">
        <v>270</v>
      </c>
      <c r="O3" s="6" t="s">
        <v>250</v>
      </c>
      <c r="P3" s="6" t="s">
        <v>249</v>
      </c>
      <c r="Q3" s="6" t="s">
        <v>270</v>
      </c>
      <c r="R3" s="6" t="s">
        <v>250</v>
      </c>
      <c r="S3" s="6" t="s">
        <v>270</v>
      </c>
      <c r="T3" s="6" t="s">
        <v>250</v>
      </c>
      <c r="U3" s="6" t="s">
        <v>249</v>
      </c>
      <c r="V3" s="6" t="s">
        <v>270</v>
      </c>
      <c r="W3" s="6" t="s">
        <v>250</v>
      </c>
      <c r="X3" s="6" t="s">
        <v>249</v>
      </c>
      <c r="Y3" s="6" t="s">
        <v>251</v>
      </c>
      <c r="Z3" s="6" t="s">
        <v>270</v>
      </c>
    </row>
    <row r="4" spans="1:26" s="73" customFormat="1" x14ac:dyDescent="0.25">
      <c r="A4" s="73" t="s">
        <v>248</v>
      </c>
      <c r="C4" s="74">
        <v>46</v>
      </c>
      <c r="D4" s="74">
        <v>46</v>
      </c>
      <c r="E4" s="74">
        <v>46</v>
      </c>
      <c r="F4" s="74">
        <v>20</v>
      </c>
      <c r="G4" s="74">
        <v>20</v>
      </c>
      <c r="H4" s="74">
        <v>20</v>
      </c>
      <c r="I4" s="74">
        <v>47</v>
      </c>
      <c r="J4" s="74">
        <v>47</v>
      </c>
      <c r="K4" s="74">
        <v>47</v>
      </c>
      <c r="L4" s="74">
        <v>73</v>
      </c>
      <c r="M4" s="74">
        <v>73</v>
      </c>
      <c r="N4" s="74">
        <v>73</v>
      </c>
      <c r="O4" s="74" t="s">
        <v>256</v>
      </c>
      <c r="P4" s="74" t="s">
        <v>256</v>
      </c>
      <c r="Q4" s="74" t="s">
        <v>256</v>
      </c>
      <c r="R4" s="74">
        <v>65</v>
      </c>
      <c r="S4" s="74">
        <v>65</v>
      </c>
      <c r="T4" s="74">
        <v>64</v>
      </c>
      <c r="U4" s="74">
        <v>64</v>
      </c>
      <c r="V4" s="74">
        <v>64</v>
      </c>
      <c r="W4" s="74" t="s">
        <v>257</v>
      </c>
      <c r="X4" s="74" t="s">
        <v>257</v>
      </c>
      <c r="Y4" s="74" t="s">
        <v>257</v>
      </c>
      <c r="Z4" s="74" t="s">
        <v>257</v>
      </c>
    </row>
    <row r="5" spans="1:26" s="73" customFormat="1" x14ac:dyDescent="0.25">
      <c r="A5" s="73" t="s">
        <v>253</v>
      </c>
      <c r="C5" s="74">
        <v>10</v>
      </c>
      <c r="D5" s="74">
        <v>10</v>
      </c>
      <c r="E5" s="74">
        <v>10</v>
      </c>
      <c r="F5" s="74">
        <v>10</v>
      </c>
      <c r="G5" s="74">
        <v>10</v>
      </c>
      <c r="H5" s="74">
        <v>10</v>
      </c>
      <c r="I5" s="74">
        <v>10</v>
      </c>
      <c r="J5" s="74">
        <v>10</v>
      </c>
      <c r="K5" s="74">
        <v>10</v>
      </c>
      <c r="L5" s="74">
        <v>10</v>
      </c>
      <c r="M5" s="74">
        <v>10</v>
      </c>
      <c r="N5" s="74">
        <v>10</v>
      </c>
      <c r="O5" s="74">
        <v>10</v>
      </c>
      <c r="P5" s="74">
        <v>10</v>
      </c>
      <c r="Q5" s="74">
        <v>10</v>
      </c>
      <c r="R5" s="74">
        <v>10</v>
      </c>
      <c r="S5" s="74">
        <v>10</v>
      </c>
      <c r="T5" s="74">
        <v>10</v>
      </c>
      <c r="U5" s="74">
        <v>10</v>
      </c>
      <c r="V5" s="74">
        <v>10</v>
      </c>
      <c r="W5" s="74">
        <v>10</v>
      </c>
      <c r="X5" s="74">
        <v>10</v>
      </c>
      <c r="Y5" s="74">
        <v>10</v>
      </c>
      <c r="Z5" s="74">
        <v>10</v>
      </c>
    </row>
    <row r="6" spans="1:26" x14ac:dyDescent="0.25">
      <c r="A6" s="2" t="s">
        <v>16</v>
      </c>
      <c r="B6" s="2" t="s">
        <v>17</v>
      </c>
      <c r="C6" s="10">
        <v>48</v>
      </c>
      <c r="D6" s="10">
        <v>7</v>
      </c>
      <c r="E6" s="10">
        <v>48</v>
      </c>
      <c r="F6" s="10">
        <v>24</v>
      </c>
      <c r="G6" s="10">
        <v>7</v>
      </c>
      <c r="H6" s="10">
        <v>24</v>
      </c>
      <c r="I6" s="10">
        <v>29</v>
      </c>
      <c r="J6" s="10">
        <v>7</v>
      </c>
      <c r="K6" s="10">
        <v>29</v>
      </c>
      <c r="L6" s="10">
        <v>22</v>
      </c>
      <c r="M6" s="10">
        <v>7</v>
      </c>
      <c r="N6" s="10">
        <v>22</v>
      </c>
      <c r="O6" s="10">
        <v>15</v>
      </c>
      <c r="P6" s="10">
        <v>7</v>
      </c>
      <c r="Q6" s="10">
        <v>15</v>
      </c>
      <c r="R6" s="10">
        <v>41</v>
      </c>
      <c r="S6" s="10">
        <v>41</v>
      </c>
      <c r="T6" s="10">
        <v>41</v>
      </c>
      <c r="U6" s="10">
        <v>7</v>
      </c>
      <c r="V6" s="10">
        <v>41</v>
      </c>
      <c r="W6" s="10">
        <v>30</v>
      </c>
      <c r="X6" s="10">
        <v>7</v>
      </c>
      <c r="Y6" s="10">
        <v>1</v>
      </c>
      <c r="Z6" s="10">
        <v>30</v>
      </c>
    </row>
    <row r="7" spans="1:26" x14ac:dyDescent="0.25">
      <c r="A7" s="2" t="s">
        <v>18</v>
      </c>
      <c r="B7" s="2" t="s">
        <v>19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</row>
    <row r="8" spans="1:26" x14ac:dyDescent="0.25">
      <c r="A8" s="2" t="s">
        <v>20</v>
      </c>
      <c r="B8" s="2" t="s">
        <v>21</v>
      </c>
      <c r="C8" s="3">
        <v>35</v>
      </c>
      <c r="D8" s="3">
        <v>35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  <c r="S8" s="3">
        <v>35</v>
      </c>
      <c r="T8" s="3">
        <v>35</v>
      </c>
      <c r="U8" s="3">
        <v>35</v>
      </c>
      <c r="V8" s="3">
        <v>35</v>
      </c>
      <c r="W8" s="3">
        <v>35</v>
      </c>
      <c r="X8" s="3">
        <v>35</v>
      </c>
      <c r="Y8" s="3">
        <v>35</v>
      </c>
      <c r="Z8" s="3">
        <v>35</v>
      </c>
    </row>
    <row r="9" spans="1:26" x14ac:dyDescent="0.25">
      <c r="A9" s="2" t="s">
        <v>22</v>
      </c>
      <c r="B9" s="2" t="s">
        <v>23</v>
      </c>
      <c r="C9" s="3">
        <v>3</v>
      </c>
      <c r="D9" s="3">
        <v>3</v>
      </c>
      <c r="E9" s="3">
        <v>3</v>
      </c>
      <c r="F9" s="3">
        <v>3</v>
      </c>
      <c r="G9" s="3">
        <v>3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3</v>
      </c>
      <c r="Y9" s="3">
        <v>1</v>
      </c>
      <c r="Z9" s="3">
        <v>3</v>
      </c>
    </row>
    <row r="10" spans="1:26" s="17" customFormat="1" x14ac:dyDescent="0.25">
      <c r="A10" s="17" t="s">
        <v>24</v>
      </c>
      <c r="C10" s="20">
        <f t="shared" ref="C10:W10" si="0">+C6*C12+C9</f>
        <v>33.946858989898992</v>
      </c>
      <c r="D10" s="20">
        <f t="shared" si="0"/>
        <v>7.5130836026936034</v>
      </c>
      <c r="E10" s="20">
        <f t="shared" ref="E10" si="1">+E6*E12+E9</f>
        <v>33.946858989898992</v>
      </c>
      <c r="F10" s="20">
        <f t="shared" ref="F10:G10" si="2">+F6*F12+F9</f>
        <v>34.243155286195282</v>
      </c>
      <c r="G10" s="20">
        <f t="shared" si="2"/>
        <v>12.112586958473624</v>
      </c>
      <c r="H10" s="20">
        <f t="shared" ref="H10" si="3">+H6*H12+H9</f>
        <v>34.243155286195282</v>
      </c>
      <c r="I10" s="20">
        <f t="shared" si="0"/>
        <v>33.349213355874895</v>
      </c>
      <c r="J10" s="20">
        <f t="shared" ref="J10:K10" si="4">+J6*J12+J9</f>
        <v>10.325672189349113</v>
      </c>
      <c r="K10" s="20">
        <f t="shared" si="4"/>
        <v>33.349213355874895</v>
      </c>
      <c r="L10" s="20">
        <f t="shared" si="0"/>
        <v>33.698054888701037</v>
      </c>
      <c r="M10" s="20">
        <f t="shared" ref="M10:N10" si="5">+M6*M12+M9</f>
        <v>12.767562919132148</v>
      </c>
      <c r="N10" s="20">
        <f t="shared" si="5"/>
        <v>33.698054888701037</v>
      </c>
      <c r="O10" s="20">
        <f t="shared" si="0"/>
        <v>34.395737954353343</v>
      </c>
      <c r="P10" s="20">
        <f t="shared" ref="P10:Q10" si="6">+P6*P12+P9</f>
        <v>17.651344378698226</v>
      </c>
      <c r="Q10" s="20">
        <f t="shared" si="6"/>
        <v>34.395737954353343</v>
      </c>
      <c r="R10" s="20">
        <f t="shared" si="0"/>
        <v>19.063756476041739</v>
      </c>
      <c r="S10" s="20">
        <f t="shared" ref="S10" si="7">+S6*S12+S9</f>
        <v>19.063756476041739</v>
      </c>
      <c r="T10" s="20">
        <f t="shared" si="0"/>
        <v>35.127512952083478</v>
      </c>
      <c r="U10" s="20">
        <f t="shared" ref="U10" si="8">+U6*U12+U9</f>
        <v>8.4851851381605936</v>
      </c>
      <c r="V10" s="20">
        <f t="shared" ref="V10" si="9">+V6*V12+V9</f>
        <v>35.127512952083478</v>
      </c>
      <c r="W10" s="20">
        <f t="shared" si="0"/>
        <v>32.938320157207443</v>
      </c>
      <c r="X10" s="20">
        <f t="shared" ref="X10" si="10">+X6*X12+X9</f>
        <v>9.9856080366817359</v>
      </c>
      <c r="Y10" s="20">
        <f t="shared" ref="Y10:Z10" si="11">+Y6*Y12+Y9</f>
        <v>1.997944005240248</v>
      </c>
      <c r="Z10" s="20">
        <f t="shared" si="11"/>
        <v>32.938320157207443</v>
      </c>
    </row>
    <row r="11" spans="1:26" s="17" customFormat="1" x14ac:dyDescent="0.25">
      <c r="A11" s="17" t="s">
        <v>25</v>
      </c>
      <c r="C11" s="20">
        <f t="shared" ref="C11:W11" si="12">0.5*(C10-C9)+C9</f>
        <v>18.473429494949496</v>
      </c>
      <c r="D11" s="20">
        <f t="shared" si="12"/>
        <v>5.2565418013468017</v>
      </c>
      <c r="E11" s="20">
        <f t="shared" ref="E11" si="13">0.5*(E10-E9)+E9</f>
        <v>18.473429494949496</v>
      </c>
      <c r="F11" s="20">
        <f t="shared" ref="F11:G11" si="14">0.5*(F10-F9)+F9</f>
        <v>18.621577643097641</v>
      </c>
      <c r="G11" s="20">
        <f t="shared" si="14"/>
        <v>7.5562934792368122</v>
      </c>
      <c r="H11" s="20">
        <f t="shared" ref="H11" si="15">0.5*(H10-H9)+H9</f>
        <v>18.621577643097641</v>
      </c>
      <c r="I11" s="20">
        <f t="shared" si="12"/>
        <v>18.174606677937447</v>
      </c>
      <c r="J11" s="20">
        <f t="shared" ref="J11:K11" si="16">0.5*(J10-J9)+J9</f>
        <v>6.6628360946745566</v>
      </c>
      <c r="K11" s="20">
        <f t="shared" si="16"/>
        <v>18.174606677937447</v>
      </c>
      <c r="L11" s="20">
        <f t="shared" si="12"/>
        <v>18.349027444350519</v>
      </c>
      <c r="M11" s="20">
        <f t="shared" ref="M11:N11" si="17">0.5*(M10-M9)+M9</f>
        <v>7.883781459566074</v>
      </c>
      <c r="N11" s="20">
        <f t="shared" si="17"/>
        <v>18.349027444350519</v>
      </c>
      <c r="O11" s="20">
        <f t="shared" si="12"/>
        <v>18.697868977176672</v>
      </c>
      <c r="P11" s="20">
        <f t="shared" ref="P11:Q11" si="18">0.5*(P10-P9)+P9</f>
        <v>10.325672189349113</v>
      </c>
      <c r="Q11" s="20">
        <f t="shared" si="18"/>
        <v>18.697868977176672</v>
      </c>
      <c r="R11" s="20">
        <f t="shared" si="12"/>
        <v>11.03187823802087</v>
      </c>
      <c r="S11" s="20">
        <f t="shared" ref="S11" si="19">0.5*(S10-S9)+S9</f>
        <v>11.03187823802087</v>
      </c>
      <c r="T11" s="20">
        <f t="shared" si="12"/>
        <v>19.063756476041739</v>
      </c>
      <c r="U11" s="20">
        <f t="shared" ref="U11" si="20">0.5*(U10-U9)+U9</f>
        <v>5.7425925690802968</v>
      </c>
      <c r="V11" s="20">
        <f t="shared" ref="V11" si="21">0.5*(V10-V9)+V9</f>
        <v>19.063756476041739</v>
      </c>
      <c r="W11" s="20">
        <f t="shared" si="12"/>
        <v>17.969160078603721</v>
      </c>
      <c r="X11" s="20">
        <f t="shared" ref="X11" si="22">0.5*(X10-X9)+X9</f>
        <v>6.492804018340868</v>
      </c>
      <c r="Y11" s="20">
        <f t="shared" ref="Y11:Z11" si="23">0.5*(Y10-Y9)+Y9</f>
        <v>1.4989720026201239</v>
      </c>
      <c r="Z11" s="20">
        <f t="shared" si="23"/>
        <v>17.969160078603721</v>
      </c>
    </row>
    <row r="12" spans="1:26" x14ac:dyDescent="0.25">
      <c r="A12" s="2" t="s">
        <v>26</v>
      </c>
      <c r="C12" s="4">
        <f t="shared" ref="C12:W12" si="24">+C89</f>
        <v>0.644726228956229</v>
      </c>
      <c r="D12" s="4">
        <f t="shared" si="24"/>
        <v>0.644726228956229</v>
      </c>
      <c r="E12" s="4">
        <f t="shared" ref="E12" si="25">+E89</f>
        <v>0.644726228956229</v>
      </c>
      <c r="F12" s="4">
        <f t="shared" ref="F12:G12" si="26">+F89</f>
        <v>1.3017981369248035</v>
      </c>
      <c r="G12" s="4">
        <f t="shared" si="26"/>
        <v>1.3017981369248035</v>
      </c>
      <c r="H12" s="4">
        <f t="shared" ref="H12" si="27">+H89</f>
        <v>1.3017981369248035</v>
      </c>
      <c r="I12" s="4">
        <f t="shared" si="24"/>
        <v>1.0465245984784448</v>
      </c>
      <c r="J12" s="4">
        <f t="shared" ref="J12:K12" si="28">+J89</f>
        <v>1.0465245984784448</v>
      </c>
      <c r="K12" s="4">
        <f t="shared" si="28"/>
        <v>1.0465245984784448</v>
      </c>
      <c r="L12" s="4">
        <f t="shared" si="24"/>
        <v>1.3953661313045926</v>
      </c>
      <c r="M12" s="4">
        <f t="shared" ref="M12:N12" si="29">+M89</f>
        <v>1.3953661313045926</v>
      </c>
      <c r="N12" s="4">
        <f t="shared" si="29"/>
        <v>1.3953661313045926</v>
      </c>
      <c r="O12" s="4">
        <f t="shared" si="24"/>
        <v>2.0930491969568896</v>
      </c>
      <c r="P12" s="4">
        <f t="shared" ref="P12:Q12" si="30">+P89</f>
        <v>2.0930491969568896</v>
      </c>
      <c r="Q12" s="4">
        <f t="shared" si="30"/>
        <v>2.0930491969568896</v>
      </c>
      <c r="R12" s="4">
        <f t="shared" si="24"/>
        <v>0.39179893844004243</v>
      </c>
      <c r="S12" s="4">
        <f t="shared" ref="S12" si="31">+S89</f>
        <v>0.39179893844004243</v>
      </c>
      <c r="T12" s="4">
        <f t="shared" si="24"/>
        <v>0.78359787688008486</v>
      </c>
      <c r="U12" s="4">
        <f t="shared" ref="U12" si="32">+U89</f>
        <v>0.78359787688008486</v>
      </c>
      <c r="V12" s="4">
        <f t="shared" ref="V12" si="33">+V89</f>
        <v>0.78359787688008486</v>
      </c>
      <c r="W12" s="4">
        <f t="shared" si="24"/>
        <v>0.99794400524024796</v>
      </c>
      <c r="X12" s="4">
        <f t="shared" ref="X12" si="34">+X89</f>
        <v>0.99794400524024796</v>
      </c>
      <c r="Y12" s="4">
        <f t="shared" ref="Y12:Z12" si="35">+Y89</f>
        <v>0.99794400524024796</v>
      </c>
      <c r="Z12" s="4">
        <f t="shared" si="35"/>
        <v>0.99794400524024796</v>
      </c>
    </row>
    <row r="13" spans="1:26" x14ac:dyDescent="0.25">
      <c r="A13" s="2" t="s">
        <v>27</v>
      </c>
      <c r="C13" s="4">
        <f>+C11/C12</f>
        <v>28.653137820772098</v>
      </c>
      <c r="D13" s="4">
        <f t="shared" ref="D13:W13" si="36">+D11/D12</f>
        <v>8.1531378207720984</v>
      </c>
      <c r="E13" s="4">
        <f t="shared" ref="E13" si="37">+E11/E12</f>
        <v>28.653137820772098</v>
      </c>
      <c r="F13" s="4">
        <f t="shared" ref="F13:G13" si="38">+F11/F12</f>
        <v>14.304504757616879</v>
      </c>
      <c r="G13" s="4">
        <f t="shared" si="38"/>
        <v>5.80450475761688</v>
      </c>
      <c r="H13" s="4">
        <f t="shared" ref="H13" si="39">+H11/H12</f>
        <v>14.304504757616879</v>
      </c>
      <c r="I13" s="4">
        <f t="shared" si="36"/>
        <v>17.366631137349028</v>
      </c>
      <c r="J13" s="4">
        <f t="shared" ref="J13:K13" si="40">+J11/J12</f>
        <v>6.366631137349029</v>
      </c>
      <c r="K13" s="4">
        <f t="shared" si="40"/>
        <v>17.366631137349028</v>
      </c>
      <c r="L13" s="4">
        <f t="shared" si="36"/>
        <v>13.149973353011772</v>
      </c>
      <c r="M13" s="4">
        <f t="shared" ref="M13:N13" si="41">+M11/M12</f>
        <v>5.6499733530117719</v>
      </c>
      <c r="N13" s="4">
        <f t="shared" si="41"/>
        <v>13.149973353011772</v>
      </c>
      <c r="O13" s="4">
        <f t="shared" si="36"/>
        <v>8.933315568674514</v>
      </c>
      <c r="P13" s="4">
        <f t="shared" ref="P13:Q13" si="42">+P11/P12</f>
        <v>4.933315568674514</v>
      </c>
      <c r="Q13" s="4">
        <f t="shared" si="42"/>
        <v>8.933315568674514</v>
      </c>
      <c r="R13" s="4">
        <f t="shared" si="36"/>
        <v>28.156988586912913</v>
      </c>
      <c r="S13" s="4">
        <f t="shared" ref="S13" si="43">+S11/S12</f>
        <v>28.156988586912913</v>
      </c>
      <c r="T13" s="4">
        <f t="shared" si="36"/>
        <v>24.328494293456455</v>
      </c>
      <c r="U13" s="4">
        <f t="shared" ref="U13" si="44">+U11/U12</f>
        <v>7.3284942934564565</v>
      </c>
      <c r="V13" s="4">
        <f t="shared" ref="V13" si="45">+V11/V12</f>
        <v>24.328494293456455</v>
      </c>
      <c r="W13" s="4">
        <f t="shared" si="36"/>
        <v>18.006180691749105</v>
      </c>
      <c r="X13" s="4">
        <f t="shared" ref="X13" si="46">+X11/X12</f>
        <v>6.5061806917491039</v>
      </c>
      <c r="Y13" s="4">
        <f t="shared" ref="Y13:Z13" si="47">+Y11/Y12</f>
        <v>1.5020602305830346</v>
      </c>
      <c r="Z13" s="4">
        <f t="shared" si="47"/>
        <v>18.006180691749105</v>
      </c>
    </row>
    <row r="14" spans="1:26" s="70" customFormat="1" x14ac:dyDescent="0.25">
      <c r="A14" s="70" t="s">
        <v>28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spans="1:26" x14ac:dyDescent="0.25">
      <c r="A15" s="16" t="s">
        <v>29</v>
      </c>
      <c r="C15" s="4">
        <f>+C103</f>
        <v>2.228659377351442</v>
      </c>
      <c r="D15" s="4">
        <f t="shared" ref="D15:E15" si="48">+D103</f>
        <v>0.76593392695188633</v>
      </c>
      <c r="E15" s="4">
        <f t="shared" si="48"/>
        <v>1.8977678416709445</v>
      </c>
      <c r="F15" s="4">
        <f t="shared" ref="F15:G15" si="49">+F103</f>
        <v>1.2559937948972177</v>
      </c>
      <c r="G15" s="4">
        <f t="shared" si="49"/>
        <v>0.55240617999303054</v>
      </c>
      <c r="H15" s="4">
        <f t="shared" ref="H15" si="50">+H103</f>
        <v>1.0450008508515014</v>
      </c>
      <c r="I15" s="4">
        <f t="shared" ref="I15:J15" si="51">+I103</f>
        <v>1.658819878497882</v>
      </c>
      <c r="J15" s="4">
        <f t="shared" si="51"/>
        <v>0.67450275635499135</v>
      </c>
      <c r="K15" s="4">
        <f t="shared" ref="K15" si="52">+K103</f>
        <v>1.3872620118158281</v>
      </c>
      <c r="L15" s="4">
        <f t="shared" ref="L15:M15" si="53">+L103</f>
        <v>1.3063413890652427</v>
      </c>
      <c r="M15" s="4">
        <f t="shared" si="53"/>
        <v>0.60271196654481007</v>
      </c>
      <c r="N15" s="4">
        <f t="shared" ref="N15" si="54">+N103</f>
        <v>1.0847596473597807</v>
      </c>
      <c r="O15" s="4">
        <f t="shared" ref="O15:P15" si="55">+O103</f>
        <v>0.92350418157975989</v>
      </c>
      <c r="P15" s="4">
        <f t="shared" si="55"/>
        <v>0.52990597701564612</v>
      </c>
      <c r="Q15" s="4">
        <f t="shared" ref="Q15" si="56">+Q103</f>
        <v>0.76128848673319316</v>
      </c>
      <c r="R15" s="4">
        <f t="shared" ref="R15:T15" si="57">+R103</f>
        <v>2.1838017454020617</v>
      </c>
      <c r="S15" s="4">
        <f t="shared" ref="S15" si="58">+S103</f>
        <v>1.8581484969638515</v>
      </c>
      <c r="T15" s="4">
        <f t="shared" si="57"/>
        <v>1.9527274717022072</v>
      </c>
      <c r="U15" s="4">
        <f t="shared" ref="U15" si="59">+U103</f>
        <v>0.68887524981159864</v>
      </c>
      <c r="V15" s="4">
        <f t="shared" ref="V15" si="60">+V103</f>
        <v>1.651608860232775</v>
      </c>
      <c r="W15" s="4">
        <f t="shared" ref="W15:Y15" si="61">+W103</f>
        <v>1.8571273428996962</v>
      </c>
      <c r="X15" s="4">
        <f t="shared" ref="X15" si="62">+X103</f>
        <v>0.74768657586477361</v>
      </c>
      <c r="Y15" s="4">
        <f t="shared" si="61"/>
        <v>0.18117307363993121</v>
      </c>
      <c r="Z15" s="4">
        <f t="shared" ref="Z15" si="63">+Z103</f>
        <v>1.5547520873157981</v>
      </c>
    </row>
    <row r="16" spans="1:26" x14ac:dyDescent="0.25">
      <c r="A16" s="16" t="s">
        <v>30</v>
      </c>
      <c r="B16" s="2" t="s">
        <v>31</v>
      </c>
      <c r="C16" s="4">
        <f>+C123</f>
        <v>1.7913186325326469</v>
      </c>
      <c r="D16" s="4">
        <f t="shared" ref="D16:E16" si="64">+D123</f>
        <v>2.6768064458763443</v>
      </c>
      <c r="E16" s="4">
        <f t="shared" si="64"/>
        <v>1.9916299228733096</v>
      </c>
      <c r="F16" s="4">
        <f t="shared" ref="F16:I16" si="65">+F123</f>
        <v>2.3503567580022531</v>
      </c>
      <c r="G16" s="4">
        <f t="shared" ref="G16:H16" si="66">+G123</f>
        <v>2.7762864896870565</v>
      </c>
      <c r="H16" s="4">
        <f t="shared" si="66"/>
        <v>2.478085225844906</v>
      </c>
      <c r="I16" s="4">
        <f t="shared" si="65"/>
        <v>2.4774310654317739</v>
      </c>
      <c r="J16" s="4">
        <f t="shared" ref="J16:K16" si="67">+J123</f>
        <v>3.0733055789195811</v>
      </c>
      <c r="K16" s="4">
        <f t="shared" si="67"/>
        <v>2.6418236255659311</v>
      </c>
      <c r="L16" s="4">
        <f t="shared" ref="L16:M16" si="68">+L123</f>
        <v>2.6908104161316206</v>
      </c>
      <c r="M16" s="4">
        <f t="shared" si="68"/>
        <v>3.1167654568275429</v>
      </c>
      <c r="N16" s="4">
        <f t="shared" ref="N16" si="69">+N123</f>
        <v>2.824949007817477</v>
      </c>
      <c r="O16" s="4">
        <f t="shared" ref="O16:P16" si="70">+O123</f>
        <v>2.9225679763971693</v>
      </c>
      <c r="P16" s="4">
        <f t="shared" si="70"/>
        <v>3.1608399045982405</v>
      </c>
      <c r="Q16" s="4">
        <f t="shared" ref="Q16" si="71">+Q123</f>
        <v>3.020768237341886</v>
      </c>
      <c r="R16" s="4">
        <f t="shared" ref="R16:T16" si="72">+R123</f>
        <v>1.7957014542795169</v>
      </c>
      <c r="S16" s="4">
        <f t="shared" ref="S16" si="73">+S123</f>
        <v>1.9928416508824089</v>
      </c>
      <c r="T16" s="4">
        <f t="shared" si="72"/>
        <v>1.9355865251809463</v>
      </c>
      <c r="U16" s="4">
        <f t="shared" ref="U16" si="74">+U123</f>
        <v>2.7006827638809625</v>
      </c>
      <c r="V16" s="4">
        <f t="shared" ref="V16" si="75">+V123</f>
        <v>2.1178742270557747</v>
      </c>
      <c r="W16" s="4">
        <f t="shared" ref="W16:Y16" si="76">+W123</f>
        <v>2.6574190522697032</v>
      </c>
      <c r="X16" s="4">
        <f t="shared" ref="X16" si="77">+X123</f>
        <v>3.3290394705565092</v>
      </c>
      <c r="Y16" s="4">
        <f t="shared" si="76"/>
        <v>3.6719888614881624</v>
      </c>
      <c r="Z16" s="4">
        <f t="shared" ref="Z16" si="78">+Z123</f>
        <v>2.8404674868225372</v>
      </c>
    </row>
    <row r="17" spans="1:26" x14ac:dyDescent="0.25">
      <c r="A17" s="16" t="s">
        <v>32</v>
      </c>
      <c r="C17" s="4">
        <f>+C15+C16</f>
        <v>4.0199780098840892</v>
      </c>
      <c r="D17" s="4">
        <f t="shared" ref="D17:E17" si="79">+D15+D16</f>
        <v>3.4427403728282306</v>
      </c>
      <c r="E17" s="4">
        <f t="shared" si="79"/>
        <v>3.8893977645442543</v>
      </c>
      <c r="F17" s="4">
        <f t="shared" ref="F17:I17" si="80">+F15+F16</f>
        <v>3.606350552899471</v>
      </c>
      <c r="G17" s="4">
        <f t="shared" ref="G17:H17" si="81">+G15+G16</f>
        <v>3.3286926696800871</v>
      </c>
      <c r="H17" s="4">
        <f t="shared" si="81"/>
        <v>3.5230860766964076</v>
      </c>
      <c r="I17" s="4">
        <f t="shared" si="80"/>
        <v>4.1362509439296558</v>
      </c>
      <c r="J17" s="4">
        <f t="shared" ref="J17:K17" si="82">+J15+J16</f>
        <v>3.7478083352745726</v>
      </c>
      <c r="K17" s="4">
        <f t="shared" si="82"/>
        <v>4.0290856373817592</v>
      </c>
      <c r="L17" s="4">
        <f t="shared" ref="L17:M17" si="83">+L15+L16</f>
        <v>3.9971518051968635</v>
      </c>
      <c r="M17" s="4">
        <f t="shared" si="83"/>
        <v>3.7194774233723531</v>
      </c>
      <c r="N17" s="4">
        <f t="shared" ref="N17" si="84">+N15+N16</f>
        <v>3.9097086551772575</v>
      </c>
      <c r="O17" s="4">
        <f t="shared" ref="O17:P17" si="85">+O15+O16</f>
        <v>3.8460721579769293</v>
      </c>
      <c r="P17" s="4">
        <f t="shared" si="85"/>
        <v>3.6907458816138865</v>
      </c>
      <c r="Q17" s="4">
        <f t="shared" ref="Q17" si="86">+Q15+Q16</f>
        <v>3.7820567240750793</v>
      </c>
      <c r="R17" s="4">
        <f t="shared" ref="R17:T17" si="87">+R15+R16</f>
        <v>3.9795031996815786</v>
      </c>
      <c r="S17" s="4">
        <f t="shared" ref="S17" si="88">+S15+S16</f>
        <v>3.8509901478462605</v>
      </c>
      <c r="T17" s="4">
        <f t="shared" si="87"/>
        <v>3.8883139968831535</v>
      </c>
      <c r="U17" s="4">
        <f t="shared" ref="U17" si="89">+U15+U16</f>
        <v>3.3895580136925609</v>
      </c>
      <c r="V17" s="4">
        <f t="shared" ref="V17" si="90">+V15+V16</f>
        <v>3.7694830872885499</v>
      </c>
      <c r="W17" s="4">
        <f t="shared" ref="W17:Y17" si="91">+W15+W16</f>
        <v>4.5145463951693996</v>
      </c>
      <c r="X17" s="4">
        <f t="shared" ref="X17" si="92">+X15+X16</f>
        <v>4.0767260464212827</v>
      </c>
      <c r="Y17" s="4">
        <f t="shared" si="91"/>
        <v>3.8531619351280937</v>
      </c>
      <c r="Z17" s="4">
        <f t="shared" ref="Z17" si="93">+Z15+Z16</f>
        <v>4.3952195741383351</v>
      </c>
    </row>
    <row r="18" spans="1:26" x14ac:dyDescent="0.25">
      <c r="A18" s="2" t="s">
        <v>33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x14ac:dyDescent="0.25">
      <c r="A19" s="16" t="s">
        <v>34</v>
      </c>
      <c r="C19" s="4">
        <f>+C110</f>
        <v>2.3423748511847924</v>
      </c>
      <c r="D19" s="4">
        <f t="shared" ref="D19:E19" si="94">+D110</f>
        <v>0.93586143612016182</v>
      </c>
      <c r="E19" s="4">
        <f t="shared" si="94"/>
        <v>2.0007059149725213</v>
      </c>
      <c r="F19" s="4">
        <f t="shared" ref="F19:I19" si="95">+F110</f>
        <v>1.405197810062158</v>
      </c>
      <c r="G19" s="4">
        <f t="shared" ref="G19:H19" si="96">+G110</f>
        <v>0.72864882490178795</v>
      </c>
      <c r="H19" s="4">
        <f t="shared" si="96"/>
        <v>1.173081532757285</v>
      </c>
      <c r="I19" s="4">
        <f t="shared" si="95"/>
        <v>1.8160907528016472</v>
      </c>
      <c r="J19" s="4">
        <f t="shared" ref="J19:K19" si="97">+J110</f>
        <v>0.86960059868994455</v>
      </c>
      <c r="K19" s="4">
        <f t="shared" si="97"/>
        <v>1.5238055688768766</v>
      </c>
      <c r="L19" s="4">
        <f>+L110</f>
        <v>1.4771578903336426</v>
      </c>
      <c r="M19" s="4">
        <f>+M110</f>
        <v>0.80056870420932091</v>
      </c>
      <c r="N19" s="4">
        <f>+N110</f>
        <v>1.2307681023946426</v>
      </c>
      <c r="O19" s="4">
        <f t="shared" ref="O19:P19" si="98">+O110</f>
        <v>1.1090329848928255</v>
      </c>
      <c r="P19" s="4">
        <f t="shared" si="98"/>
        <v>0.73056062378530728</v>
      </c>
      <c r="Q19" s="4">
        <f t="shared" ref="Q19" si="99">+Q110</f>
        <v>0.91741792557691504</v>
      </c>
      <c r="R19" s="4">
        <f t="shared" ref="R19:T19" si="100">+R110</f>
        <v>2.2977954470406834</v>
      </c>
      <c r="S19" s="4">
        <f t="shared" ref="S19" si="101">+S110</f>
        <v>1.9611491988417469</v>
      </c>
      <c r="T19" s="4">
        <f t="shared" si="100"/>
        <v>2.0756012781032513</v>
      </c>
      <c r="U19" s="4">
        <f t="shared" ref="U19" si="102">+U110</f>
        <v>0.8603184618626456</v>
      </c>
      <c r="V19" s="4">
        <f t="shared" ref="V19" si="103">+V110</f>
        <v>1.7610719135462469</v>
      </c>
      <c r="W19" s="4">
        <f t="shared" ref="W19:Y19" si="104">+W110</f>
        <v>2.0258241125388148</v>
      </c>
      <c r="X19" s="4">
        <f t="shared" ref="X19" si="105">+X110</f>
        <v>0.95901877211900965</v>
      </c>
      <c r="Y19" s="4">
        <f t="shared" si="104"/>
        <v>0.41427618869241234</v>
      </c>
      <c r="Z19" s="4">
        <f t="shared" ref="Z19" si="106">+Z110</f>
        <v>1.7015626202422429</v>
      </c>
    </row>
    <row r="20" spans="1:26" x14ac:dyDescent="0.25">
      <c r="A20" s="16" t="s">
        <v>35</v>
      </c>
      <c r="C20" s="4">
        <f>+C143</f>
        <v>7.3277386549361778E-2</v>
      </c>
      <c r="D20" s="4">
        <f t="shared" ref="D20:E20" si="107">+D143</f>
        <v>9.3959984273359998E-2</v>
      </c>
      <c r="E20" s="4">
        <f t="shared" si="107"/>
        <v>7.7956115917806365E-2</v>
      </c>
      <c r="F20" s="4">
        <f t="shared" ref="F20:G20" si="108">+F143</f>
        <v>8.603686852548191E-2</v>
      </c>
      <c r="G20" s="4">
        <f t="shared" si="108"/>
        <v>9.5985433786772517E-2</v>
      </c>
      <c r="H20" s="4">
        <f t="shared" ref="H20" si="109">+H143</f>
        <v>8.9020259689632078E-2</v>
      </c>
      <c r="I20" s="4">
        <f t="shared" ref="I20:J20" si="110">+I143</f>
        <v>9.2718114086362671E-2</v>
      </c>
      <c r="J20" s="4">
        <f t="shared" si="110"/>
        <v>0.1066361292986939</v>
      </c>
      <c r="K20" s="4">
        <f t="shared" ref="K20" si="111">+K143</f>
        <v>9.6557879172721045E-2</v>
      </c>
      <c r="L20" s="4">
        <f t="shared" ref="L20:M20" si="112">+L143</f>
        <v>9.7702077960995809E-2</v>
      </c>
      <c r="M20" s="4">
        <f t="shared" si="112"/>
        <v>0.10765123437225808</v>
      </c>
      <c r="N20" s="4">
        <f t="shared" ref="N20" si="113">+N143</f>
        <v>0.10083519226171783</v>
      </c>
      <c r="O20" s="4">
        <f t="shared" ref="O20:P20" si="114">+O143</f>
        <v>0.10311530704922843</v>
      </c>
      <c r="P20" s="4">
        <f t="shared" si="114"/>
        <v>0.10868069413377246</v>
      </c>
      <c r="Q20" s="4">
        <f t="shared" ref="Q20" si="115">+Q143</f>
        <v>0.10540899925244672</v>
      </c>
      <c r="R20" s="4">
        <f t="shared" ref="R20:T20" si="116">+R143</f>
        <v>7.3151797840059304E-2</v>
      </c>
      <c r="S20" s="4">
        <f t="shared" ref="S20" si="117">+S143</f>
        <v>7.7756459045018128E-2</v>
      </c>
      <c r="T20" s="4">
        <f t="shared" si="116"/>
        <v>7.6419134335772604E-2</v>
      </c>
      <c r="U20" s="4">
        <f t="shared" ref="U20" si="118">+U143</f>
        <v>9.4289710854971398E-2</v>
      </c>
      <c r="V20" s="4">
        <f t="shared" ref="V20" si="119">+V143</f>
        <v>8.0676881479318924E-2</v>
      </c>
      <c r="W20" s="4">
        <f t="shared" ref="W20:Y20" si="120">+W143</f>
        <v>9.9925597595914531E-2</v>
      </c>
      <c r="X20" s="4">
        <f t="shared" ref="X20" si="121">+X143</f>
        <v>0.11561283205055491</v>
      </c>
      <c r="Y20" s="4">
        <f t="shared" si="120"/>
        <v>0.12362320123400568</v>
      </c>
      <c r="Z20" s="4">
        <f t="shared" ref="Z20" si="122">+Z143</f>
        <v>0.10420111339501723</v>
      </c>
    </row>
    <row r="21" spans="1:26" x14ac:dyDescent="0.25">
      <c r="A21" s="16" t="s">
        <v>36</v>
      </c>
      <c r="C21" s="4">
        <f>+C19+C20</f>
        <v>2.4156522377341543</v>
      </c>
      <c r="D21" s="4">
        <f t="shared" ref="D21:E21" si="123">+D19+D20</f>
        <v>1.0298214203935219</v>
      </c>
      <c r="E21" s="4">
        <f t="shared" si="123"/>
        <v>2.0786620308903276</v>
      </c>
      <c r="F21" s="4">
        <f t="shared" ref="F21:I21" si="124">+F19+F20</f>
        <v>1.49123467858764</v>
      </c>
      <c r="G21" s="4">
        <f t="shared" ref="G21:H21" si="125">+G19+G20</f>
        <v>0.82463425868856044</v>
      </c>
      <c r="H21" s="4">
        <f t="shared" si="125"/>
        <v>1.2621017924469171</v>
      </c>
      <c r="I21" s="4">
        <f t="shared" si="124"/>
        <v>1.9088088668880099</v>
      </c>
      <c r="J21" s="4">
        <f t="shared" ref="J21:K21" si="126">+J19+J20</f>
        <v>0.97623672798863848</v>
      </c>
      <c r="K21" s="4">
        <f t="shared" si="126"/>
        <v>1.6203634480495976</v>
      </c>
      <c r="L21" s="4">
        <f t="shared" ref="L21:M21" si="127">+L19+L20</f>
        <v>1.5748599682946385</v>
      </c>
      <c r="M21" s="4">
        <f t="shared" si="127"/>
        <v>0.90821993858157901</v>
      </c>
      <c r="N21" s="4">
        <f t="shared" ref="N21" si="128">+N19+N20</f>
        <v>1.3316032946563605</v>
      </c>
      <c r="O21" s="4">
        <f t="shared" ref="O21:P21" si="129">+O19+O20</f>
        <v>1.2121482919420539</v>
      </c>
      <c r="P21" s="4">
        <f t="shared" si="129"/>
        <v>0.83924131791907974</v>
      </c>
      <c r="Q21" s="4">
        <f t="shared" ref="Q21" si="130">+Q19+Q20</f>
        <v>1.0228269248293618</v>
      </c>
      <c r="R21" s="4">
        <f t="shared" ref="R21:T21" si="131">+R19+R20</f>
        <v>2.3709472448807425</v>
      </c>
      <c r="S21" s="4">
        <f t="shared" ref="S21" si="132">+S19+S20</f>
        <v>2.0389056578867648</v>
      </c>
      <c r="T21" s="4">
        <f t="shared" si="131"/>
        <v>2.1520204124390241</v>
      </c>
      <c r="U21" s="4">
        <f t="shared" ref="U21" si="133">+U19+U20</f>
        <v>0.954608172717617</v>
      </c>
      <c r="V21" s="4">
        <f t="shared" ref="V21" si="134">+V19+V20</f>
        <v>1.8417487950255658</v>
      </c>
      <c r="W21" s="4">
        <f t="shared" ref="W21:Y21" si="135">+W19+W20</f>
        <v>2.1257497101347291</v>
      </c>
      <c r="X21" s="4">
        <f t="shared" ref="X21" si="136">+X19+X20</f>
        <v>1.0746316041695645</v>
      </c>
      <c r="Y21" s="4">
        <f t="shared" si="135"/>
        <v>0.53789938992641806</v>
      </c>
      <c r="Z21" s="4">
        <f t="shared" ref="Z21" si="137">+Z19+Z20</f>
        <v>1.8057637336372601</v>
      </c>
    </row>
    <row r="22" spans="1:26" x14ac:dyDescent="0.25">
      <c r="A22" s="68" t="s">
        <v>37</v>
      </c>
      <c r="C22" s="4">
        <f>+C117</f>
        <v>34.54907669235061</v>
      </c>
      <c r="D22" s="4">
        <f t="shared" ref="D22:W22" si="138">+D117</f>
        <v>44.300579695014321</v>
      </c>
      <c r="E22" s="4">
        <f t="shared" ref="E22" si="139">+E117</f>
        <v>36.755020263553931</v>
      </c>
      <c r="F22" s="4">
        <f t="shared" si="138"/>
        <v>40.564961566338106</v>
      </c>
      <c r="G22" s="4">
        <f t="shared" ref="G22:H22" si="140">+G117</f>
        <v>45.255545665699351</v>
      </c>
      <c r="H22" s="4">
        <f t="shared" si="140"/>
        <v>41.97158119330954</v>
      </c>
      <c r="I22" s="4">
        <f t="shared" si="138"/>
        <v>43.715058426408326</v>
      </c>
      <c r="J22" s="4">
        <f t="shared" ref="J22:K22" si="141">+J117</f>
        <v>50.277172574027603</v>
      </c>
      <c r="K22" s="4">
        <f t="shared" si="141"/>
        <v>45.525444204288682</v>
      </c>
      <c r="L22" s="4">
        <f t="shared" si="138"/>
        <v>46.064915022625925</v>
      </c>
      <c r="M22" s="4">
        <f t="shared" ref="M22:N22" si="142">+M117</f>
        <v>50.755777839428802</v>
      </c>
      <c r="N22" s="4">
        <f t="shared" si="142"/>
        <v>47.542126633995665</v>
      </c>
      <c r="O22" s="4">
        <f t="shared" si="138"/>
        <v>48.617163072529138</v>
      </c>
      <c r="P22" s="4">
        <f t="shared" ref="P22:Q22" si="143">+P117</f>
        <v>51.241151102956565</v>
      </c>
      <c r="Q22" s="4">
        <f t="shared" si="143"/>
        <v>49.698601038172924</v>
      </c>
      <c r="R22" s="4">
        <f t="shared" si="138"/>
        <v>34.489863691536755</v>
      </c>
      <c r="S22" s="4">
        <f t="shared" ref="S22" si="144">+S117</f>
        <v>36.660885347791492</v>
      </c>
      <c r="T22" s="4">
        <f t="shared" si="138"/>
        <v>36.030358849535787</v>
      </c>
      <c r="U22" s="4">
        <f t="shared" ref="U22" si="145">+U117</f>
        <v>44.456040328806509</v>
      </c>
      <c r="V22" s="4">
        <f t="shared" ref="V22" si="146">+V117</f>
        <v>38.037816259332004</v>
      </c>
      <c r="W22" s="4">
        <f t="shared" si="138"/>
        <v>47.113267782068377</v>
      </c>
      <c r="X22" s="4">
        <f t="shared" ref="X22" si="147">+X117</f>
        <v>54.509539562301178</v>
      </c>
      <c r="Y22" s="4">
        <f t="shared" ref="Y22:Z22" si="148">+Y117</f>
        <v>58.28629624380013</v>
      </c>
      <c r="Z22" s="4">
        <f t="shared" si="148"/>
        <v>49.12910281929436</v>
      </c>
    </row>
    <row r="23" spans="1:26" x14ac:dyDescent="0.25">
      <c r="A23" s="68" t="s">
        <v>38</v>
      </c>
      <c r="C23" s="4">
        <f>+C138</f>
        <v>8.2985154761191549</v>
      </c>
      <c r="D23" s="4">
        <f t="shared" ref="D23:W23" si="149">+D138</f>
        <v>10.640777739843964</v>
      </c>
      <c r="E23" s="4">
        <f t="shared" ref="E23" si="150">+E138</f>
        <v>8.8283720922043365</v>
      </c>
      <c r="F23" s="4">
        <f t="shared" si="149"/>
        <v>9.7435009434265805</v>
      </c>
      <c r="G23" s="4">
        <f t="shared" ref="G23:H23" si="151">+G138</f>
        <v>10.870155791172655</v>
      </c>
      <c r="H23" s="4">
        <f t="shared" si="151"/>
        <v>10.081363944726984</v>
      </c>
      <c r="I23" s="4">
        <f t="shared" si="149"/>
        <v>10.500138458731147</v>
      </c>
      <c r="J23" s="4">
        <f t="shared" ref="J23:K23" si="152">+J138</f>
        <v>12.07632546641856</v>
      </c>
      <c r="K23" s="4">
        <f t="shared" si="152"/>
        <v>10.93498407064912</v>
      </c>
      <c r="L23" s="4">
        <f t="shared" si="149"/>
        <v>11.064562263859633</v>
      </c>
      <c r="M23" s="4">
        <f t="shared" ref="M23:N23" si="153">+M138</f>
        <v>12.191284058141601</v>
      </c>
      <c r="N23" s="4">
        <f t="shared" si="153"/>
        <v>11.419381106852589</v>
      </c>
      <c r="O23" s="4">
        <f t="shared" si="149"/>
        <v>11.677599484206135</v>
      </c>
      <c r="P23" s="4">
        <f t="shared" ref="P23:Q23" si="154">+P138</f>
        <v>12.307868289174651</v>
      </c>
      <c r="Q23" s="4">
        <f t="shared" si="154"/>
        <v>11.937355476363946</v>
      </c>
      <c r="R23" s="4">
        <f t="shared" si="149"/>
        <v>8.2842928093886705</v>
      </c>
      <c r="S23" s="4">
        <f t="shared" ref="S23" si="155">+S138</f>
        <v>8.805761356112777</v>
      </c>
      <c r="T23" s="4">
        <f t="shared" si="149"/>
        <v>8.6543120438642482</v>
      </c>
      <c r="U23" s="4">
        <f t="shared" ref="U23" si="156">+U138</f>
        <v>10.678118606777678</v>
      </c>
      <c r="V23" s="4">
        <f t="shared" ref="V23" si="157">+V138</f>
        <v>9.1364932764102509</v>
      </c>
      <c r="W23" s="4">
        <f t="shared" si="149"/>
        <v>11.316371354913914</v>
      </c>
      <c r="X23" s="4">
        <f t="shared" ref="X23" si="158">+X138</f>
        <v>13.09291885516693</v>
      </c>
      <c r="Y23" s="4">
        <f t="shared" ref="Y23:Z23" si="159">+Y138</f>
        <v>14.000076926279572</v>
      </c>
      <c r="Z23" s="4">
        <f t="shared" si="159"/>
        <v>11.800564851680408</v>
      </c>
    </row>
    <row r="24" spans="1:26" x14ac:dyDescent="0.25">
      <c r="A24" s="68" t="s">
        <v>39</v>
      </c>
      <c r="C24" s="4">
        <f>+C139</f>
        <v>8.2985154761191549</v>
      </c>
      <c r="D24" s="4">
        <f t="shared" ref="D24:W24" si="160">+D139</f>
        <v>10.640777739843964</v>
      </c>
      <c r="E24" s="4">
        <f t="shared" ref="E24" si="161">+E139</f>
        <v>8.8283720922043365</v>
      </c>
      <c r="F24" s="4">
        <f t="shared" si="160"/>
        <v>11.679718812634064</v>
      </c>
      <c r="G24" s="4">
        <f t="shared" ref="G24:H24" si="162">+G139</f>
        <v>12.806373660380139</v>
      </c>
      <c r="H24" s="4">
        <f t="shared" si="162"/>
        <v>12.017581813934468</v>
      </c>
      <c r="I24" s="4">
        <f t="shared" si="160"/>
        <v>11.572057682412865</v>
      </c>
      <c r="J24" s="4">
        <f t="shared" ref="J24:K24" si="163">+J139</f>
        <v>13.148244690100276</v>
      </c>
      <c r="K24" s="4">
        <f t="shared" si="163"/>
        <v>12.006903294330836</v>
      </c>
      <c r="L24" s="4">
        <f t="shared" si="160"/>
        <v>12.136481487541349</v>
      </c>
      <c r="M24" s="4">
        <f t="shared" ref="M24:N24" si="164">+M139</f>
        <v>13.263203281823317</v>
      </c>
      <c r="N24" s="4">
        <f t="shared" si="164"/>
        <v>12.491300330534305</v>
      </c>
      <c r="O24" s="4">
        <f t="shared" si="160"/>
        <v>12.749518707887852</v>
      </c>
      <c r="P24" s="4">
        <f t="shared" ref="P24:Q24" si="165">+P139</f>
        <v>13.379787512856367</v>
      </c>
      <c r="Q24" s="4">
        <f t="shared" si="165"/>
        <v>13.009274700045662</v>
      </c>
      <c r="R24" s="4">
        <f t="shared" si="160"/>
        <v>8.2842928093886705</v>
      </c>
      <c r="S24" s="4">
        <f t="shared" ref="S24" si="166">+S139</f>
        <v>8.805761356112777</v>
      </c>
      <c r="T24" s="4">
        <f t="shared" si="160"/>
        <v>8.6543120438642482</v>
      </c>
      <c r="U24" s="4">
        <f t="shared" ref="U24" si="167">+U139</f>
        <v>10.678118606777678</v>
      </c>
      <c r="V24" s="4">
        <f t="shared" ref="V24" si="168">+V139</f>
        <v>9.1364932764102509</v>
      </c>
      <c r="W24" s="4">
        <f t="shared" si="160"/>
        <v>15.168765110874283</v>
      </c>
      <c r="X24" s="4">
        <f t="shared" ref="X24" si="169">+X139</f>
        <v>16.945312611127303</v>
      </c>
      <c r="Y24" s="4">
        <f t="shared" ref="Y24:Z24" si="170">+Y139</f>
        <v>17.852470682239943</v>
      </c>
      <c r="Z24" s="4">
        <f t="shared" si="170"/>
        <v>15.652958607640779</v>
      </c>
    </row>
    <row r="25" spans="1:26" x14ac:dyDescent="0.25">
      <c r="A25" s="70" t="s">
        <v>40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x14ac:dyDescent="0.25">
      <c r="A26" s="16" t="s">
        <v>41</v>
      </c>
      <c r="C26" s="4">
        <f t="shared" ref="C26:Y26" si="171">+C15*C$85/C$80</f>
        <v>2.602404674076773</v>
      </c>
      <c r="D26" s="4">
        <f t="shared" si="171"/>
        <v>0.894380743773589</v>
      </c>
      <c r="E26" s="4">
        <f t="shared" ref="E26" si="172">+E15*E$85/E$80</f>
        <v>2.2160227586444008</v>
      </c>
      <c r="F26" s="4">
        <f t="shared" si="171"/>
        <v>1.4806654354141398</v>
      </c>
      <c r="G26" s="4">
        <f t="shared" si="171"/>
        <v>0.65122036458132038</v>
      </c>
      <c r="H26" s="4">
        <f t="shared" ref="H26" si="173">+H15*H$85/H$80</f>
        <v>1.2319301624900187</v>
      </c>
      <c r="I26" s="4">
        <f t="shared" si="171"/>
        <v>1.9210560217635622</v>
      </c>
      <c r="J26" s="4">
        <f t="shared" si="171"/>
        <v>0.78113217630670639</v>
      </c>
      <c r="K26" s="4">
        <f t="shared" ref="K26" si="174">+K15*K$85/K$80</f>
        <v>1.6065686673443329</v>
      </c>
      <c r="L26" s="4">
        <f t="shared" si="171"/>
        <v>1.5128556297596629</v>
      </c>
      <c r="M26" s="4">
        <f t="shared" si="171"/>
        <v>0.69799227012418763</v>
      </c>
      <c r="N26" s="4">
        <f t="shared" ref="N26" si="175">+N15*N$85/N$80</f>
        <v>1.2562449243215321</v>
      </c>
      <c r="O26" s="4">
        <f t="shared" si="171"/>
        <v>1.0694972324265482</v>
      </c>
      <c r="P26" s="4">
        <f t="shared" si="171"/>
        <v>0.61367667539421189</v>
      </c>
      <c r="Q26" s="4">
        <f t="shared" ref="Q26" si="176">+Q15*Q$85/Q$80</f>
        <v>0.88163751272524771</v>
      </c>
      <c r="R26" s="4">
        <f t="shared" si="171"/>
        <v>2.6998156387082761</v>
      </c>
      <c r="S26" s="4">
        <f t="shared" ref="S26" si="177">+S15*S$85/S$80</f>
        <v>2.2972132803299239</v>
      </c>
      <c r="T26" s="4">
        <f t="shared" si="171"/>
        <v>2.4141404673464337</v>
      </c>
      <c r="U26" s="4">
        <f t="shared" si="171"/>
        <v>0.85165064845115246</v>
      </c>
      <c r="V26" s="4">
        <f t="shared" ref="V26" si="178">+V15*V$85/V$80</f>
        <v>2.0418700732674062</v>
      </c>
      <c r="W26" s="4">
        <f t="shared" si="171"/>
        <v>1.8928433126880209</v>
      </c>
      <c r="X26" s="4">
        <f t="shared" si="171"/>
        <v>0.76206596199401255</v>
      </c>
      <c r="Y26" s="4">
        <f t="shared" si="171"/>
        <v>0.18465736460647222</v>
      </c>
      <c r="Z26" s="4">
        <f t="shared" ref="Z26" si="179">+Z15*Z$85/Z$80</f>
        <v>1.5846528255668448</v>
      </c>
    </row>
    <row r="27" spans="1:26" x14ac:dyDescent="0.25">
      <c r="A27" s="16" t="s">
        <v>42</v>
      </c>
      <c r="B27" s="2" t="s">
        <v>31</v>
      </c>
      <c r="C27" s="4">
        <f t="shared" ref="C27:Y27" si="180">+C16*C$85/C$80</f>
        <v>2.0917220592066523</v>
      </c>
      <c r="D27" s="4">
        <f t="shared" si="180"/>
        <v>3.1257058288674178</v>
      </c>
      <c r="E27" s="4">
        <f t="shared" ref="E27" si="181">+E16*E$85/E$80</f>
        <v>2.325625473766304</v>
      </c>
      <c r="F27" s="4">
        <f t="shared" si="180"/>
        <v>2.7707875839870368</v>
      </c>
      <c r="G27" s="4">
        <f t="shared" si="180"/>
        <v>3.2729074465079475</v>
      </c>
      <c r="H27" s="4">
        <f t="shared" ref="H27" si="182">+H16*H$85/H$80</f>
        <v>2.9213640663083522</v>
      </c>
      <c r="I27" s="4">
        <f t="shared" si="180"/>
        <v>2.8690781491366746</v>
      </c>
      <c r="J27" s="4">
        <f t="shared" si="180"/>
        <v>3.5591520608309071</v>
      </c>
      <c r="K27" s="4">
        <f t="shared" ref="K27" si="183">+K16*K$85/K$80</f>
        <v>3.0594588659778696</v>
      </c>
      <c r="L27" s="4">
        <f t="shared" si="180"/>
        <v>3.1161897806618102</v>
      </c>
      <c r="M27" s="4">
        <f t="shared" si="180"/>
        <v>3.6094823355294481</v>
      </c>
      <c r="N27" s="4">
        <f t="shared" ref="N27" si="184">+N16*N$85/N$80</f>
        <v>3.2715338012207775</v>
      </c>
      <c r="O27" s="4">
        <f t="shared" si="180"/>
        <v>3.3845849587691075</v>
      </c>
      <c r="P27" s="4">
        <f t="shared" si="180"/>
        <v>3.660524334961281</v>
      </c>
      <c r="Q27" s="4">
        <f t="shared" ref="Q27" si="185">+Q16*Q$85/Q$80</f>
        <v>3.4983093028476393</v>
      </c>
      <c r="R27" s="4">
        <f t="shared" si="180"/>
        <v>2.2200105293085808</v>
      </c>
      <c r="S27" s="4">
        <f t="shared" ref="S27" si="186">+S16*S$85/S$80</f>
        <v>2.4637332879917508</v>
      </c>
      <c r="T27" s="4">
        <f t="shared" si="180"/>
        <v>2.3929492600503512</v>
      </c>
      <c r="U27" s="4">
        <f t="shared" si="180"/>
        <v>3.3388312727872176</v>
      </c>
      <c r="V27" s="4">
        <f t="shared" ref="V27" si="187">+V16*V$85/V$80</f>
        <v>2.6183100050456551</v>
      </c>
      <c r="W27" s="4">
        <f t="shared" si="180"/>
        <v>2.7085261015243809</v>
      </c>
      <c r="X27" s="4">
        <f t="shared" si="180"/>
        <v>3.3930630140195488</v>
      </c>
      <c r="Y27" s="4">
        <f t="shared" si="180"/>
        <v>3.7426079516337003</v>
      </c>
      <c r="Z27" s="4">
        <f t="shared" ref="Z27" si="188">+Z16*Z$85/Z$80</f>
        <v>2.8950948936785852</v>
      </c>
    </row>
    <row r="28" spans="1:26" x14ac:dyDescent="0.25">
      <c r="A28" s="16" t="s">
        <v>43</v>
      </c>
      <c r="C28" s="4">
        <f t="shared" ref="C28:Y28" si="189">+C17*C$85/C$80</f>
        <v>4.6941267332834249</v>
      </c>
      <c r="D28" s="4">
        <f t="shared" si="189"/>
        <v>4.0200865726410067</v>
      </c>
      <c r="E28" s="4">
        <f t="shared" ref="E28" si="190">+E17*E$85/E$80</f>
        <v>4.5416482324107053</v>
      </c>
      <c r="F28" s="4">
        <f t="shared" si="189"/>
        <v>4.2514530194011773</v>
      </c>
      <c r="G28" s="4">
        <f t="shared" si="189"/>
        <v>3.9241278110892681</v>
      </c>
      <c r="H28" s="4">
        <f t="shared" ref="H28" si="191">+H17*H$85/H$80</f>
        <v>4.1532942287983712</v>
      </c>
      <c r="I28" s="4">
        <f t="shared" si="189"/>
        <v>4.7901341709002363</v>
      </c>
      <c r="J28" s="4">
        <f t="shared" si="189"/>
        <v>4.3402842371376131</v>
      </c>
      <c r="K28" s="4">
        <f t="shared" ref="K28" si="192">+K17*K$85/K$80</f>
        <v>4.6660275333222021</v>
      </c>
      <c r="L28" s="4">
        <f t="shared" si="189"/>
        <v>4.6290454104214742</v>
      </c>
      <c r="M28" s="4">
        <f t="shared" si="189"/>
        <v>4.3074746056536357</v>
      </c>
      <c r="N28" s="4">
        <f t="shared" ref="N28" si="193">+N17*N$85/N$80</f>
        <v>4.5277787255423094</v>
      </c>
      <c r="O28" s="4">
        <f t="shared" si="189"/>
        <v>4.4540821911956563</v>
      </c>
      <c r="P28" s="4">
        <f t="shared" si="189"/>
        <v>4.274201010355493</v>
      </c>
      <c r="Q28" s="4">
        <f t="shared" ref="Q28" si="194">+Q17*Q$85/Q$80</f>
        <v>4.3799468155728869</v>
      </c>
      <c r="R28" s="4">
        <f t="shared" si="189"/>
        <v>4.9198261680168569</v>
      </c>
      <c r="S28" s="4">
        <f t="shared" ref="S28" si="195">+S17*S$85/S$80</f>
        <v>4.7609465683216747</v>
      </c>
      <c r="T28" s="4">
        <f t="shared" si="189"/>
        <v>4.807089727396785</v>
      </c>
      <c r="U28" s="4">
        <f t="shared" si="189"/>
        <v>4.1904819212383693</v>
      </c>
      <c r="V28" s="4">
        <f t="shared" ref="V28" si="196">+V17*V$85/V$80</f>
        <v>4.6601800783130614</v>
      </c>
      <c r="W28" s="4">
        <f t="shared" si="189"/>
        <v>4.6013694142124022</v>
      </c>
      <c r="X28" s="4">
        <f t="shared" si="189"/>
        <v>4.155128976013561</v>
      </c>
      <c r="Y28" s="4">
        <f t="shared" si="189"/>
        <v>3.9272653162401721</v>
      </c>
      <c r="Z28" s="4">
        <f t="shared" ref="Z28" si="197">+Z17*Z$85/Z$80</f>
        <v>4.47974771924543</v>
      </c>
    </row>
    <row r="29" spans="1:26" x14ac:dyDescent="0.25">
      <c r="A29" s="2" t="s">
        <v>33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x14ac:dyDescent="0.25">
      <c r="A30" s="16" t="s">
        <v>44</v>
      </c>
      <c r="C30" s="4">
        <f t="shared" ref="C30:Y30" si="198">+C19*C$85/C$80</f>
        <v>2.735190187927012</v>
      </c>
      <c r="D30" s="4">
        <f t="shared" si="198"/>
        <v>1.092805029067146</v>
      </c>
      <c r="E30" s="4">
        <f t="shared" ref="E30" si="199">+E19*E$85/E$80</f>
        <v>2.3362235061533534</v>
      </c>
      <c r="F30" s="4">
        <f t="shared" si="198"/>
        <v>1.6565590019088796</v>
      </c>
      <c r="G30" s="4">
        <f t="shared" si="198"/>
        <v>0.85898921950923812</v>
      </c>
      <c r="H30" s="4">
        <f t="shared" ref="H30" si="200">+H19*H$85/H$80</f>
        <v>1.3829218627775877</v>
      </c>
      <c r="I30" s="4">
        <f t="shared" si="198"/>
        <v>2.1031892141888022</v>
      </c>
      <c r="J30" s="4">
        <f t="shared" si="198"/>
        <v>1.0070722495532536</v>
      </c>
      <c r="K30" s="4">
        <f t="shared" ref="K30" si="201">+K19*K$85/K$80</f>
        <v>1.764697844553538</v>
      </c>
      <c r="L30" s="4">
        <f t="shared" si="198"/>
        <v>1.7106758226762031</v>
      </c>
      <c r="M30" s="4">
        <f t="shared" si="198"/>
        <v>0.92712738133414618</v>
      </c>
      <c r="N30" s="4">
        <f t="shared" ref="N30" si="202">+N19*N$85/N$80</f>
        <v>1.4253352670458483</v>
      </c>
      <c r="O30" s="4">
        <f t="shared" si="198"/>
        <v>1.2843555358717027</v>
      </c>
      <c r="P30" s="4">
        <f t="shared" si="198"/>
        <v>0.84605200587358453</v>
      </c>
      <c r="Q30" s="4">
        <f t="shared" ref="Q30" si="203">+Q19*Q$85/Q$80</f>
        <v>1.0624488247628738</v>
      </c>
      <c r="R30" s="4">
        <f t="shared" si="198"/>
        <v>2.8407450884837333</v>
      </c>
      <c r="S30" s="4">
        <f t="shared" ref="S30" si="204">+S19*S$85/S$80</f>
        <v>2.4245521774222847</v>
      </c>
      <c r="T30" s="4">
        <f t="shared" si="198"/>
        <v>2.5660483155783602</v>
      </c>
      <c r="U30" s="4">
        <f t="shared" si="198"/>
        <v>1.063604442343087</v>
      </c>
      <c r="V30" s="4">
        <f t="shared" ref="V30" si="205">+V19*V$85/V$80</f>
        <v>2.1771983208149228</v>
      </c>
      <c r="W30" s="4">
        <f t="shared" si="198"/>
        <v>2.064784431052527</v>
      </c>
      <c r="X30" s="4">
        <f t="shared" si="198"/>
        <v>0.97746246453590002</v>
      </c>
      <c r="Y30" s="4">
        <f t="shared" si="198"/>
        <v>0.42224348070172485</v>
      </c>
      <c r="Z30" s="4">
        <f t="shared" ref="Z30" si="206">+Z19*Z$85/Z$80</f>
        <v>1.7342867946882583</v>
      </c>
    </row>
    <row r="31" spans="1:26" x14ac:dyDescent="0.25">
      <c r="A31" s="16" t="s">
        <v>45</v>
      </c>
      <c r="C31" s="4">
        <f t="shared" ref="C31:Y31" si="207">+C20*C$85/C$80</f>
        <v>8.55659753114969E-2</v>
      </c>
      <c r="D31" s="4">
        <f t="shared" si="207"/>
        <v>0.1097170364992088</v>
      </c>
      <c r="E31" s="4">
        <f t="shared" ref="E31" si="208">+E20*E$85/E$80</f>
        <v>9.1029325745806175E-2</v>
      </c>
      <c r="F31" s="4">
        <f t="shared" si="207"/>
        <v>0.10142710729504574</v>
      </c>
      <c r="G31" s="4">
        <f t="shared" si="207"/>
        <v>0.11315526771606141</v>
      </c>
      <c r="H31" s="4">
        <f t="shared" ref="H31" si="209">+H20*H$85/H$80</f>
        <v>0.10494416621287152</v>
      </c>
      <c r="I31" s="4">
        <f t="shared" si="207"/>
        <v>0.1073755467371531</v>
      </c>
      <c r="J31" s="4">
        <f t="shared" si="207"/>
        <v>0.12349380483209303</v>
      </c>
      <c r="K31" s="4">
        <f t="shared" ref="K31" si="210">+K20*K$85/K$80</f>
        <v>0.1118223247972194</v>
      </c>
      <c r="L31" s="4">
        <f t="shared" si="207"/>
        <v>0.11314740535647834</v>
      </c>
      <c r="M31" s="4">
        <f t="shared" si="207"/>
        <v>0.12466938377201935</v>
      </c>
      <c r="N31" s="4">
        <f t="shared" ref="N31" si="211">+N20*N$85/N$80</f>
        <v>0.11677582105868579</v>
      </c>
      <c r="O31" s="4">
        <f t="shared" si="207"/>
        <v>0.11941638999545658</v>
      </c>
      <c r="P31" s="4">
        <f t="shared" si="207"/>
        <v>0.12586158667461012</v>
      </c>
      <c r="Q31" s="4">
        <f t="shared" ref="Q31" si="212">+Q20*Q$85/Q$80</f>
        <v>0.12207268274681586</v>
      </c>
      <c r="R31" s="4">
        <f t="shared" si="207"/>
        <v>9.0436949335736136E-2</v>
      </c>
      <c r="S31" s="4">
        <f t="shared" ref="S31" si="213">+S20*S$85/S$80</f>
        <v>9.6129653061372305E-2</v>
      </c>
      <c r="T31" s="4">
        <f t="shared" si="207"/>
        <v>9.4476329827404795E-2</v>
      </c>
      <c r="U31" s="4">
        <f t="shared" si="207"/>
        <v>0.11656957252255749</v>
      </c>
      <c r="V31" s="4">
        <f t="shared" ref="V31" si="214">+V20*V$85/V$80</f>
        <v>9.9740146631294865E-2</v>
      </c>
      <c r="W31" s="4">
        <f t="shared" si="207"/>
        <v>0.10184735037095229</v>
      </c>
      <c r="X31" s="4">
        <f t="shared" si="207"/>
        <v>0.11783627915688685</v>
      </c>
      <c r="Y31" s="4">
        <f t="shared" si="207"/>
        <v>0.12600070245237432</v>
      </c>
      <c r="Z31" s="4">
        <f t="shared" ref="Z31" si="215">+Z20*Z$85/Z$80</f>
        <v>0.1062050921917083</v>
      </c>
    </row>
    <row r="32" spans="1:26" x14ac:dyDescent="0.25">
      <c r="A32" s="16" t="s">
        <v>46</v>
      </c>
      <c r="C32" s="4">
        <f t="shared" ref="C32:Y32" si="216">+C21*C$85/C$80</f>
        <v>2.8207561632385092</v>
      </c>
      <c r="D32" s="4">
        <f t="shared" si="216"/>
        <v>1.2025220655663549</v>
      </c>
      <c r="E32" s="4">
        <f t="shared" ref="E32" si="217">+E21*E$85/E$80</f>
        <v>2.42725283189916</v>
      </c>
      <c r="F32" s="4">
        <f t="shared" si="216"/>
        <v>1.7579861092039255</v>
      </c>
      <c r="G32" s="4">
        <f t="shared" si="216"/>
        <v>0.97214448722529956</v>
      </c>
      <c r="H32" s="4">
        <f t="shared" ref="H32" si="218">+H21*H$85/H$80</f>
        <v>1.4878660289904595</v>
      </c>
      <c r="I32" s="4">
        <f t="shared" si="216"/>
        <v>2.2105647609259553</v>
      </c>
      <c r="J32" s="4">
        <f t="shared" si="216"/>
        <v>1.1305660543853466</v>
      </c>
      <c r="K32" s="4">
        <f t="shared" ref="K32" si="219">+K21*K$85/K$80</f>
        <v>1.8765201693507572</v>
      </c>
      <c r="L32" s="4">
        <f t="shared" si="216"/>
        <v>1.8238232280326814</v>
      </c>
      <c r="M32" s="4">
        <f t="shared" si="216"/>
        <v>1.0517967651061655</v>
      </c>
      <c r="N32" s="4">
        <f t="shared" ref="N32" si="220">+N21*N$85/N$80</f>
        <v>1.5421110881045343</v>
      </c>
      <c r="O32" s="4">
        <f t="shared" si="216"/>
        <v>1.403771925867159</v>
      </c>
      <c r="P32" s="4">
        <f t="shared" si="216"/>
        <v>0.97191359254819465</v>
      </c>
      <c r="Q32" s="4">
        <f t="shared" ref="Q32" si="221">+Q21*Q$85/Q$80</f>
        <v>1.1845215075096898</v>
      </c>
      <c r="R32" s="4">
        <f t="shared" si="216"/>
        <v>2.9311820378194691</v>
      </c>
      <c r="S32" s="4">
        <f t="shared" ref="S32" si="222">+S21*S$85/S$80</f>
        <v>2.5206818304836567</v>
      </c>
      <c r="T32" s="4">
        <f t="shared" si="216"/>
        <v>2.6605246454057649</v>
      </c>
      <c r="U32" s="4">
        <f t="shared" si="216"/>
        <v>1.1801740148656445</v>
      </c>
      <c r="V32" s="4">
        <f t="shared" ref="V32" si="223">+V21*V$85/V$80</f>
        <v>2.2769384674462176</v>
      </c>
      <c r="W32" s="4">
        <f t="shared" si="216"/>
        <v>2.1666317814234795</v>
      </c>
      <c r="X32" s="4">
        <f t="shared" si="216"/>
        <v>1.0952987436927868</v>
      </c>
      <c r="Y32" s="4">
        <f t="shared" si="216"/>
        <v>0.54824418315409928</v>
      </c>
      <c r="Z32" s="4">
        <f t="shared" ref="Z32" si="224">+Z21*Z$85/Z$80</f>
        <v>1.8404918868799665</v>
      </c>
    </row>
    <row r="33" spans="1:26" x14ac:dyDescent="0.25">
      <c r="A33" s="68" t="s">
        <v>47</v>
      </c>
      <c r="B33" s="69" t="s">
        <v>48</v>
      </c>
      <c r="C33" s="4">
        <f t="shared" ref="C33:Y33" si="225">+C22*C$85/C$80</f>
        <v>40.342943198462542</v>
      </c>
      <c r="D33" s="4">
        <f t="shared" si="225"/>
        <v>51.729769400483775</v>
      </c>
      <c r="E33" s="4">
        <f t="shared" ref="E33" si="226">+E22*E$85/E$80</f>
        <v>42.918822634678357</v>
      </c>
      <c r="F33" s="4">
        <f t="shared" si="225"/>
        <v>47.821204789546769</v>
      </c>
      <c r="G33" s="4">
        <f t="shared" si="225"/>
        <v>53.350838595098899</v>
      </c>
      <c r="H33" s="4">
        <f t="shared" ref="H33" si="227">+H22*H$85/H$80</f>
        <v>49.479439942374235</v>
      </c>
      <c r="I33" s="4">
        <f t="shared" si="225"/>
        <v>50.625795675805122</v>
      </c>
      <c r="J33" s="4">
        <f t="shared" si="225"/>
        <v>58.225287978850837</v>
      </c>
      <c r="K33" s="4">
        <f t="shared" ref="K33" si="228">+K22*K$85/K$80</f>
        <v>52.722378038599992</v>
      </c>
      <c r="L33" s="4">
        <f t="shared" si="225"/>
        <v>53.347131622497791</v>
      </c>
      <c r="M33" s="4">
        <f t="shared" si="225"/>
        <v>58.779554020067621</v>
      </c>
      <c r="N33" s="4">
        <f t="shared" ref="N33" si="229">+N22*N$85/N$80</f>
        <v>55.05786965875199</v>
      </c>
      <c r="O33" s="4">
        <f t="shared" si="225"/>
        <v>56.302854271385215</v>
      </c>
      <c r="P33" s="4">
        <f t="shared" si="225"/>
        <v>59.34165798493413</v>
      </c>
      <c r="Q33" s="4">
        <f t="shared" ref="Q33" si="230">+Q22*Q$85/Q$80</f>
        <v>57.555252402727227</v>
      </c>
      <c r="R33" s="4">
        <f t="shared" si="225"/>
        <v>42.63952694761857</v>
      </c>
      <c r="S33" s="4">
        <f t="shared" ref="S33" si="231">+S22*S$85/S$80</f>
        <v>45.323542670140917</v>
      </c>
      <c r="T33" s="4">
        <f t="shared" si="225"/>
        <v>44.544028090030857</v>
      </c>
      <c r="U33" s="4">
        <f t="shared" si="225"/>
        <v>54.960626882666062</v>
      </c>
      <c r="V33" s="4">
        <f t="shared" ref="V33" si="232">+V22*V$85/V$80</f>
        <v>47.025830717224373</v>
      </c>
      <c r="W33" s="4">
        <f t="shared" si="225"/>
        <v>48.019342454420283</v>
      </c>
      <c r="X33" s="4">
        <f t="shared" si="225"/>
        <v>55.557858125713658</v>
      </c>
      <c r="Y33" s="4">
        <f t="shared" si="225"/>
        <v>59.407248774963925</v>
      </c>
      <c r="Z33" s="4">
        <f t="shared" ref="Z33" si="233">+Z22*Z$85/Z$80</f>
        <v>50.073945701894786</v>
      </c>
    </row>
    <row r="34" spans="1:26" x14ac:dyDescent="0.25">
      <c r="A34" s="68" t="s">
        <v>49</v>
      </c>
      <c r="B34" s="69" t="s">
        <v>48</v>
      </c>
      <c r="C34" s="4">
        <f t="shared" ref="C34:Y34" si="234">+C23*C$85/C$80</f>
        <v>9.6901732415547102</v>
      </c>
      <c r="D34" s="4">
        <f t="shared" si="234"/>
        <v>12.425231961149199</v>
      </c>
      <c r="E34" s="4">
        <f t="shared" ref="E34" si="235">+E23*E$85/E$80</f>
        <v>10.308886602736568</v>
      </c>
      <c r="F34" s="4">
        <f t="shared" si="234"/>
        <v>11.486414284425187</v>
      </c>
      <c r="G34" s="4">
        <f t="shared" si="234"/>
        <v>12.814604676349781</v>
      </c>
      <c r="H34" s="4">
        <f t="shared" ref="H34" si="236">+H23*H$85/H$80</f>
        <v>11.884714076958579</v>
      </c>
      <c r="I34" s="4">
        <f t="shared" si="234"/>
        <v>12.160062992350012</v>
      </c>
      <c r="J34" s="4">
        <f t="shared" si="234"/>
        <v>13.985423046080076</v>
      </c>
      <c r="K34" s="4">
        <f t="shared" ref="K34" si="237">+K23*K$85/K$80</f>
        <v>12.663651592981523</v>
      </c>
      <c r="L34" s="4">
        <f t="shared" si="234"/>
        <v>12.813714280065856</v>
      </c>
      <c r="M34" s="4">
        <f t="shared" si="234"/>
        <v>14.118554977850142</v>
      </c>
      <c r="N34" s="4">
        <f t="shared" ref="N34" si="238">+N23*N$85/N$80</f>
        <v>13.224625002683933</v>
      </c>
      <c r="O34" s="4">
        <f t="shared" si="234"/>
        <v>13.523664081715371</v>
      </c>
      <c r="P34" s="4">
        <f t="shared" si="234"/>
        <v>14.253569539691252</v>
      </c>
      <c r="Q34" s="4">
        <f t="shared" ref="Q34" si="239">+Q23*Q$85/Q$80</f>
        <v>13.824483850873067</v>
      </c>
      <c r="R34" s="4">
        <f t="shared" si="234"/>
        <v>10.241801175183243</v>
      </c>
      <c r="S34" s="4">
        <f t="shared" ref="S34" si="240">+S23*S$85/S$80</f>
        <v>10.886488331654498</v>
      </c>
      <c r="T34" s="4">
        <f t="shared" si="234"/>
        <v>10.69925282708496</v>
      </c>
      <c r="U34" s="4">
        <f t="shared" si="234"/>
        <v>13.201267774081973</v>
      </c>
      <c r="V34" s="4">
        <f t="shared" ref="V34" si="241">+V23*V$85/V$80</f>
        <v>11.295369409123708</v>
      </c>
      <c r="W34" s="4">
        <f t="shared" si="234"/>
        <v>11.53400596083948</v>
      </c>
      <c r="X34" s="4">
        <f t="shared" si="234"/>
        <v>13.344719732505791</v>
      </c>
      <c r="Y34" s="4">
        <f t="shared" si="234"/>
        <v>14.26932411950246</v>
      </c>
      <c r="Z34" s="4">
        <f t="shared" ref="Z34" si="242">+Z23*Z$85/Z$80</f>
        <v>12.027511387866618</v>
      </c>
    </row>
    <row r="35" spans="1:26" x14ac:dyDescent="0.25">
      <c r="A35" s="75" t="s">
        <v>260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16" t="s">
        <v>262</v>
      </c>
      <c r="B36" s="2" t="s">
        <v>261</v>
      </c>
      <c r="C36" s="4">
        <v>0.04</v>
      </c>
      <c r="D36" s="4">
        <v>0.04</v>
      </c>
      <c r="E36" s="4">
        <v>0.04</v>
      </c>
      <c r="F36" s="4">
        <v>0.02</v>
      </c>
      <c r="G36" s="4">
        <v>0.02</v>
      </c>
      <c r="H36" s="4">
        <v>0.02</v>
      </c>
      <c r="I36" s="4">
        <v>0.35</v>
      </c>
      <c r="J36" s="4">
        <v>0.35</v>
      </c>
      <c r="K36" s="4">
        <v>0.35</v>
      </c>
      <c r="L36" s="4">
        <v>0.28000000000000003</v>
      </c>
      <c r="M36" s="4">
        <v>0.28000000000000003</v>
      </c>
      <c r="N36" s="4">
        <v>0.28000000000000003</v>
      </c>
      <c r="O36" s="4">
        <v>0.22</v>
      </c>
      <c r="P36" s="4">
        <v>0.22</v>
      </c>
      <c r="Q36" s="4">
        <v>0.22</v>
      </c>
      <c r="R36" s="4">
        <v>1.33</v>
      </c>
      <c r="S36" s="4">
        <v>1.33</v>
      </c>
      <c r="T36" s="4">
        <v>0.66</v>
      </c>
      <c r="U36" s="4">
        <v>0.66</v>
      </c>
      <c r="V36" s="4">
        <v>0.66</v>
      </c>
      <c r="W36" s="4">
        <v>1.9</v>
      </c>
      <c r="X36" s="4">
        <v>1.9</v>
      </c>
      <c r="Y36" s="4">
        <v>1.9</v>
      </c>
      <c r="Z36" s="4">
        <v>1.9</v>
      </c>
    </row>
    <row r="37" spans="1:26" x14ac:dyDescent="0.25">
      <c r="A37" s="16" t="s">
        <v>263</v>
      </c>
      <c r="B37" s="2" t="s">
        <v>261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0.03</v>
      </c>
      <c r="J37" s="4">
        <v>0.03</v>
      </c>
      <c r="K37" s="4">
        <v>0.03</v>
      </c>
      <c r="L37" s="4">
        <v>0.03</v>
      </c>
      <c r="M37" s="4">
        <v>0.03</v>
      </c>
      <c r="N37" s="4">
        <v>0.03</v>
      </c>
      <c r="O37" s="4">
        <v>0.04</v>
      </c>
      <c r="P37" s="4">
        <v>0.04</v>
      </c>
      <c r="Q37" s="4">
        <v>0.04</v>
      </c>
      <c r="R37" s="4">
        <v>0.09</v>
      </c>
      <c r="S37" s="4">
        <v>0.09</v>
      </c>
      <c r="T37" s="4">
        <v>0.11</v>
      </c>
      <c r="U37" s="4">
        <v>0.11</v>
      </c>
      <c r="V37" s="4">
        <v>0.11</v>
      </c>
      <c r="W37" s="4">
        <v>0.25</v>
      </c>
      <c r="X37" s="4">
        <v>0.25</v>
      </c>
      <c r="Y37" s="4">
        <v>0.25</v>
      </c>
      <c r="Z37" s="4">
        <v>0.25</v>
      </c>
    </row>
    <row r="38" spans="1:26" x14ac:dyDescent="0.25">
      <c r="A38" s="16" t="s">
        <v>266</v>
      </c>
      <c r="B38" s="2" t="s">
        <v>271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</row>
    <row r="39" spans="1:26" x14ac:dyDescent="0.25">
      <c r="A39" s="16" t="s">
        <v>264</v>
      </c>
      <c r="B39" s="2" t="s">
        <v>261</v>
      </c>
      <c r="C39" s="4">
        <f>C36*C38</f>
        <v>0.04</v>
      </c>
      <c r="D39" s="4">
        <f t="shared" ref="D39:Y39" si="243">D36*D38</f>
        <v>0.04</v>
      </c>
      <c r="E39" s="4">
        <f t="shared" ref="E39" si="244">E36*E38</f>
        <v>0.04</v>
      </c>
      <c r="F39" s="4">
        <f t="shared" si="243"/>
        <v>0.02</v>
      </c>
      <c r="G39" s="4">
        <f t="shared" si="243"/>
        <v>0.02</v>
      </c>
      <c r="H39" s="4">
        <f t="shared" ref="H39" si="245">H36*H38</f>
        <v>0.02</v>
      </c>
      <c r="I39" s="4">
        <f t="shared" si="243"/>
        <v>0.35</v>
      </c>
      <c r="J39" s="4">
        <f t="shared" si="243"/>
        <v>0.35</v>
      </c>
      <c r="K39" s="4">
        <f t="shared" ref="K39" si="246">K36*K38</f>
        <v>0.35</v>
      </c>
      <c r="L39" s="4">
        <f t="shared" si="243"/>
        <v>0.28000000000000003</v>
      </c>
      <c r="M39" s="4">
        <f t="shared" si="243"/>
        <v>0.28000000000000003</v>
      </c>
      <c r="N39" s="4">
        <f t="shared" ref="N39" si="247">N36*N38</f>
        <v>0.28000000000000003</v>
      </c>
      <c r="O39" s="4">
        <f t="shared" si="243"/>
        <v>0.22</v>
      </c>
      <c r="P39" s="4">
        <f t="shared" si="243"/>
        <v>0.22</v>
      </c>
      <c r="Q39" s="4">
        <f t="shared" ref="Q39" si="248">Q36*Q38</f>
        <v>0.22</v>
      </c>
      <c r="R39" s="4">
        <f t="shared" si="243"/>
        <v>1.33</v>
      </c>
      <c r="S39" s="4">
        <f t="shared" ref="S39" si="249">S36*S38</f>
        <v>1.33</v>
      </c>
      <c r="T39" s="4">
        <f t="shared" si="243"/>
        <v>0.66</v>
      </c>
      <c r="U39" s="4">
        <f t="shared" si="243"/>
        <v>0.66</v>
      </c>
      <c r="V39" s="4">
        <f t="shared" ref="V39" si="250">V36*V38</f>
        <v>0.66</v>
      </c>
      <c r="W39" s="4">
        <f t="shared" si="243"/>
        <v>1.9</v>
      </c>
      <c r="X39" s="4">
        <f t="shared" si="243"/>
        <v>1.9</v>
      </c>
      <c r="Y39" s="4">
        <f t="shared" si="243"/>
        <v>1.9</v>
      </c>
      <c r="Z39" s="4">
        <f t="shared" ref="Z39" si="251">Z36*Z38</f>
        <v>1.9</v>
      </c>
    </row>
    <row r="40" spans="1:26" x14ac:dyDescent="0.25">
      <c r="A40" s="16" t="s">
        <v>265</v>
      </c>
      <c r="B40" s="2" t="s">
        <v>261</v>
      </c>
      <c r="C40" s="4">
        <f>C37</f>
        <v>0</v>
      </c>
      <c r="D40" s="4">
        <f t="shared" ref="D40:Y40" si="252">D37</f>
        <v>0</v>
      </c>
      <c r="E40" s="4">
        <f t="shared" ref="E40" si="253">E37</f>
        <v>0</v>
      </c>
      <c r="F40" s="4">
        <f t="shared" si="252"/>
        <v>0</v>
      </c>
      <c r="G40" s="4">
        <f t="shared" si="252"/>
        <v>0</v>
      </c>
      <c r="H40" s="4">
        <f t="shared" ref="H40" si="254">H37</f>
        <v>0</v>
      </c>
      <c r="I40" s="4">
        <f t="shared" si="252"/>
        <v>0.03</v>
      </c>
      <c r="J40" s="4">
        <f t="shared" si="252"/>
        <v>0.03</v>
      </c>
      <c r="K40" s="4">
        <f t="shared" ref="K40" si="255">K37</f>
        <v>0.03</v>
      </c>
      <c r="L40" s="4">
        <f t="shared" si="252"/>
        <v>0.03</v>
      </c>
      <c r="M40" s="4">
        <f t="shared" si="252"/>
        <v>0.03</v>
      </c>
      <c r="N40" s="4">
        <f t="shared" ref="N40" si="256">N37</f>
        <v>0.03</v>
      </c>
      <c r="O40" s="4">
        <f t="shared" si="252"/>
        <v>0.04</v>
      </c>
      <c r="P40" s="4">
        <f t="shared" si="252"/>
        <v>0.04</v>
      </c>
      <c r="Q40" s="4">
        <f t="shared" ref="Q40" si="257">Q37</f>
        <v>0.04</v>
      </c>
      <c r="R40" s="4">
        <f t="shared" si="252"/>
        <v>0.09</v>
      </c>
      <c r="S40" s="4">
        <f t="shared" ref="S40" si="258">S37</f>
        <v>0.09</v>
      </c>
      <c r="T40" s="4">
        <f t="shared" si="252"/>
        <v>0.11</v>
      </c>
      <c r="U40" s="4">
        <f t="shared" si="252"/>
        <v>0.11</v>
      </c>
      <c r="V40" s="4">
        <f t="shared" ref="V40" si="259">V37</f>
        <v>0.11</v>
      </c>
      <c r="W40" s="4">
        <f t="shared" si="252"/>
        <v>0.25</v>
      </c>
      <c r="X40" s="4">
        <f t="shared" si="252"/>
        <v>0.25</v>
      </c>
      <c r="Y40" s="4">
        <f t="shared" si="252"/>
        <v>0.25</v>
      </c>
      <c r="Z40" s="4">
        <f t="shared" ref="Z40" si="260">Z37</f>
        <v>0.25</v>
      </c>
    </row>
    <row r="41" spans="1:26" x14ac:dyDescent="0.25">
      <c r="A41" s="16" t="s">
        <v>267</v>
      </c>
      <c r="C41" s="4">
        <f>C39/((C79+C80)/1000)</f>
        <v>0.25276462166645258</v>
      </c>
      <c r="D41" s="4">
        <f t="shared" ref="D41:Y41" si="261">D39/((D79+D80)/1000)</f>
        <v>0.25276462166645258</v>
      </c>
      <c r="E41" s="4">
        <f t="shared" ref="E41" si="262">E39/((E79+E80)/1000)</f>
        <v>0.25276462166645258</v>
      </c>
      <c r="F41" s="4">
        <f t="shared" si="261"/>
        <v>0.12638231083322629</v>
      </c>
      <c r="G41" s="4">
        <f t="shared" si="261"/>
        <v>0.12638231083322629</v>
      </c>
      <c r="H41" s="4">
        <f t="shared" ref="H41" si="263">H39/((H79+H80)/1000)</f>
        <v>0.12638231083322629</v>
      </c>
      <c r="I41" s="4">
        <f t="shared" si="261"/>
        <v>0.40621476086949454</v>
      </c>
      <c r="J41" s="4">
        <f t="shared" si="261"/>
        <v>0.40621476086949454</v>
      </c>
      <c r="K41" s="4">
        <f t="shared" ref="K41" si="264">K39/((K79+K80)/1000)</f>
        <v>0.40621476086949454</v>
      </c>
      <c r="L41" s="4">
        <f t="shared" si="261"/>
        <v>0.32497180869559572</v>
      </c>
      <c r="M41" s="4">
        <f t="shared" si="261"/>
        <v>0.32497180869559572</v>
      </c>
      <c r="N41" s="4">
        <f t="shared" ref="N41" si="265">N39/((N79+N80)/1000)</f>
        <v>0.32497180869559572</v>
      </c>
      <c r="O41" s="4">
        <f t="shared" si="261"/>
        <v>0.25533499254653946</v>
      </c>
      <c r="P41" s="4">
        <f t="shared" si="261"/>
        <v>0.25533499254653946</v>
      </c>
      <c r="Q41" s="4">
        <f t="shared" ref="Q41" si="266">Q39/((Q79+Q80)/1000)</f>
        <v>0.25533499254653946</v>
      </c>
      <c r="R41" s="4">
        <f t="shared" si="261"/>
        <v>0.51411711167900076</v>
      </c>
      <c r="S41" s="4">
        <f t="shared" ref="S41" si="267">S39/((S79+S80)/1000)</f>
        <v>0.51411711167900076</v>
      </c>
      <c r="T41" s="4">
        <f t="shared" si="261"/>
        <v>0.25512578474296277</v>
      </c>
      <c r="U41" s="4">
        <f t="shared" si="261"/>
        <v>0.25512578474296277</v>
      </c>
      <c r="V41" s="4">
        <f t="shared" ref="V41" si="268">V39/((V79+V80)/1000)</f>
        <v>0.25512578474296277</v>
      </c>
      <c r="W41" s="4">
        <f t="shared" si="261"/>
        <v>0.40648592124056321</v>
      </c>
      <c r="X41" s="4">
        <f t="shared" si="261"/>
        <v>0.40648592124056321</v>
      </c>
      <c r="Y41" s="4">
        <f t="shared" si="261"/>
        <v>0.40648592124056321</v>
      </c>
      <c r="Z41" s="4">
        <f t="shared" ref="Z41" si="269">Z39/((Z79+Z80)/1000)</f>
        <v>0.40648592124056321</v>
      </c>
    </row>
    <row r="42" spans="1:26" x14ac:dyDescent="0.25">
      <c r="A42" s="16" t="s">
        <v>268</v>
      </c>
      <c r="C42" s="4">
        <f>C40/((C79+C80)/1000)</f>
        <v>0</v>
      </c>
      <c r="D42" s="4">
        <f t="shared" ref="D42:Y42" si="270">D40/((D79+D80)/1000)</f>
        <v>0</v>
      </c>
      <c r="E42" s="4">
        <f t="shared" ref="E42" si="271">E40/((E79+E80)/1000)</f>
        <v>0</v>
      </c>
      <c r="F42" s="4">
        <f t="shared" si="270"/>
        <v>0</v>
      </c>
      <c r="G42" s="4">
        <f t="shared" si="270"/>
        <v>0</v>
      </c>
      <c r="H42" s="4">
        <f t="shared" ref="H42" si="272">H40/((H79+H80)/1000)</f>
        <v>0</v>
      </c>
      <c r="I42" s="4">
        <f t="shared" si="270"/>
        <v>3.4818408074528108E-2</v>
      </c>
      <c r="J42" s="4">
        <f t="shared" si="270"/>
        <v>3.4818408074528108E-2</v>
      </c>
      <c r="K42" s="4">
        <f t="shared" ref="K42" si="273">K40/((K79+K80)/1000)</f>
        <v>3.4818408074528108E-2</v>
      </c>
      <c r="L42" s="4">
        <f t="shared" si="270"/>
        <v>3.4818408074528108E-2</v>
      </c>
      <c r="M42" s="4">
        <f t="shared" si="270"/>
        <v>3.4818408074528108E-2</v>
      </c>
      <c r="N42" s="4">
        <f t="shared" ref="N42" si="274">N40/((N79+N80)/1000)</f>
        <v>3.4818408074528108E-2</v>
      </c>
      <c r="O42" s="4">
        <f t="shared" si="270"/>
        <v>4.6424544099370808E-2</v>
      </c>
      <c r="P42" s="4">
        <f t="shared" si="270"/>
        <v>4.6424544099370808E-2</v>
      </c>
      <c r="Q42" s="4">
        <f t="shared" ref="Q42" si="275">Q40/((Q79+Q80)/1000)</f>
        <v>4.6424544099370808E-2</v>
      </c>
      <c r="R42" s="4">
        <f t="shared" si="270"/>
        <v>3.4789879737676742E-2</v>
      </c>
      <c r="S42" s="4">
        <f t="shared" ref="S42" si="276">S40/((S79+S80)/1000)</f>
        <v>3.4789879737676742E-2</v>
      </c>
      <c r="T42" s="4">
        <f t="shared" si="270"/>
        <v>4.252096412382713E-2</v>
      </c>
      <c r="U42" s="4">
        <f t="shared" si="270"/>
        <v>4.252096412382713E-2</v>
      </c>
      <c r="V42" s="4">
        <f t="shared" ref="V42" si="277">V40/((V79+V80)/1000)</f>
        <v>4.252096412382713E-2</v>
      </c>
      <c r="W42" s="4">
        <f t="shared" si="270"/>
        <v>5.3484989636916218E-2</v>
      </c>
      <c r="X42" s="4">
        <f t="shared" si="270"/>
        <v>5.3484989636916218E-2</v>
      </c>
      <c r="Y42" s="4">
        <f t="shared" si="270"/>
        <v>5.3484989636916218E-2</v>
      </c>
      <c r="Z42" s="4">
        <f t="shared" ref="Z42" si="278">Z40/((Z79+Z80)/1000)</f>
        <v>5.3484989636916218E-2</v>
      </c>
    </row>
    <row r="43" spans="1:26" x14ac:dyDescent="0.25">
      <c r="A43" s="1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2" t="s">
        <v>50</v>
      </c>
      <c r="B44" t="s">
        <v>51</v>
      </c>
      <c r="C44" s="1">
        <v>19.2</v>
      </c>
      <c r="D44" s="1">
        <v>19.2</v>
      </c>
      <c r="E44" s="1">
        <v>19.2</v>
      </c>
      <c r="F44" s="1">
        <v>78.599999999999994</v>
      </c>
      <c r="G44" s="1">
        <v>78.599999999999994</v>
      </c>
      <c r="H44" s="1">
        <v>78.599999999999994</v>
      </c>
      <c r="I44" s="1">
        <v>49.2</v>
      </c>
      <c r="J44" s="1">
        <v>49.2</v>
      </c>
      <c r="K44" s="1">
        <v>49.2</v>
      </c>
      <c r="L44" s="1">
        <f>17.6+20.7</f>
        <v>38.299999999999997</v>
      </c>
      <c r="M44" s="1">
        <f>17.6+20.7</f>
        <v>38.299999999999997</v>
      </c>
      <c r="N44" s="1">
        <f>17.6+20.7</f>
        <v>38.299999999999997</v>
      </c>
      <c r="O44" s="1">
        <v>10.6</v>
      </c>
      <c r="P44" s="1">
        <v>10.6</v>
      </c>
      <c r="Q44" s="1">
        <v>10.6</v>
      </c>
      <c r="R44" s="1">
        <v>16.8</v>
      </c>
      <c r="S44" s="1">
        <v>16.8</v>
      </c>
      <c r="T44" s="1">
        <v>83.3</v>
      </c>
      <c r="U44" s="1">
        <v>83.3</v>
      </c>
      <c r="V44" s="1">
        <v>83.3</v>
      </c>
      <c r="W44" s="1">
        <f>57.9+31.8</f>
        <v>89.7</v>
      </c>
      <c r="X44" s="1">
        <f>57.9+31.8</f>
        <v>89.7</v>
      </c>
      <c r="Y44" s="1">
        <f>57.9+31.8</f>
        <v>89.7</v>
      </c>
      <c r="Z44" s="1">
        <f>57.9+31.8</f>
        <v>89.7</v>
      </c>
    </row>
    <row r="45" spans="1:26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x14ac:dyDescent="0.25">
      <c r="A46" s="2" t="s">
        <v>52</v>
      </c>
      <c r="B46" s="2" t="s">
        <v>53</v>
      </c>
      <c r="C46" s="3">
        <v>18.600000000000001</v>
      </c>
      <c r="D46" s="3">
        <v>18.600000000000001</v>
      </c>
      <c r="E46" s="3">
        <f>18.6-1.8</f>
        <v>16.8</v>
      </c>
      <c r="F46" s="3">
        <v>18.600000000000001</v>
      </c>
      <c r="G46" s="3">
        <v>18.600000000000001</v>
      </c>
      <c r="H46" s="3">
        <f>18.6-1.8</f>
        <v>16.8</v>
      </c>
      <c r="I46" s="3">
        <v>18.600000000000001</v>
      </c>
      <c r="J46" s="3">
        <v>18.600000000000001</v>
      </c>
      <c r="K46" s="3">
        <f>18.6-1.8</f>
        <v>16.8</v>
      </c>
      <c r="L46" s="3">
        <v>18.600000000000001</v>
      </c>
      <c r="M46" s="3">
        <v>18.600000000000001</v>
      </c>
      <c r="N46" s="3">
        <v>16.8</v>
      </c>
      <c r="O46" s="3">
        <v>18.600000000000001</v>
      </c>
      <c r="P46" s="3">
        <v>18.600000000000001</v>
      </c>
      <c r="Q46" s="3">
        <v>16.8</v>
      </c>
      <c r="R46" s="3">
        <v>18.600000000000001</v>
      </c>
      <c r="S46" s="3">
        <v>16.8</v>
      </c>
      <c r="T46" s="3">
        <v>18.600000000000001</v>
      </c>
      <c r="U46" s="3">
        <v>18.600000000000001</v>
      </c>
      <c r="V46" s="3">
        <v>16.8</v>
      </c>
      <c r="W46" s="3">
        <v>18.600000000000001</v>
      </c>
      <c r="X46" s="3">
        <v>18.600000000000001</v>
      </c>
      <c r="Y46" s="3">
        <v>18.600000000000001</v>
      </c>
      <c r="Z46" s="3">
        <v>16.8</v>
      </c>
    </row>
    <row r="47" spans="1:26" x14ac:dyDescent="0.25">
      <c r="A47" s="2" t="s">
        <v>54</v>
      </c>
      <c r="C47" s="4">
        <f>+C46+273.15</f>
        <v>291.75</v>
      </c>
      <c r="D47" s="4">
        <f t="shared" ref="D47:W47" si="279">+D46+273.15</f>
        <v>291.75</v>
      </c>
      <c r="E47" s="4">
        <f t="shared" ref="E47" si="280">+E46+273.15</f>
        <v>289.95</v>
      </c>
      <c r="F47" s="4">
        <f t="shared" si="279"/>
        <v>291.75</v>
      </c>
      <c r="G47" s="4">
        <f t="shared" ref="G47:H47" si="281">+G46+273.15</f>
        <v>291.75</v>
      </c>
      <c r="H47" s="4">
        <f t="shared" si="281"/>
        <v>289.95</v>
      </c>
      <c r="I47" s="4">
        <f t="shared" si="279"/>
        <v>291.75</v>
      </c>
      <c r="J47" s="4">
        <f t="shared" ref="J47:K47" si="282">+J46+273.15</f>
        <v>291.75</v>
      </c>
      <c r="K47" s="4">
        <f t="shared" si="282"/>
        <v>289.95</v>
      </c>
      <c r="L47" s="4">
        <f t="shared" si="279"/>
        <v>291.75</v>
      </c>
      <c r="M47" s="4">
        <f t="shared" ref="M47:N47" si="283">+M46+273.15</f>
        <v>291.75</v>
      </c>
      <c r="N47" s="4">
        <f t="shared" si="283"/>
        <v>289.95</v>
      </c>
      <c r="O47" s="4">
        <f t="shared" si="279"/>
        <v>291.75</v>
      </c>
      <c r="P47" s="4">
        <f t="shared" ref="P47:Q47" si="284">+P46+273.15</f>
        <v>291.75</v>
      </c>
      <c r="Q47" s="4">
        <f t="shared" si="284"/>
        <v>289.95</v>
      </c>
      <c r="R47" s="4">
        <f t="shared" si="279"/>
        <v>291.75</v>
      </c>
      <c r="S47" s="4">
        <f t="shared" ref="S47" si="285">+S46+273.15</f>
        <v>289.95</v>
      </c>
      <c r="T47" s="4">
        <f t="shared" si="279"/>
        <v>291.75</v>
      </c>
      <c r="U47" s="4">
        <f t="shared" ref="U47" si="286">+U46+273.15</f>
        <v>291.75</v>
      </c>
      <c r="V47" s="4">
        <f t="shared" ref="V47" si="287">+V46+273.15</f>
        <v>289.95</v>
      </c>
      <c r="W47" s="4">
        <f t="shared" si="279"/>
        <v>291.75</v>
      </c>
      <c r="X47" s="4">
        <f t="shared" ref="X47" si="288">+X46+273.15</f>
        <v>291.75</v>
      </c>
      <c r="Y47" s="4">
        <f t="shared" ref="Y47:Z47" si="289">+Y46+273.15</f>
        <v>291.75</v>
      </c>
      <c r="Z47" s="4">
        <f t="shared" si="289"/>
        <v>289.95</v>
      </c>
    </row>
    <row r="48" spans="1:26" x14ac:dyDescent="0.25">
      <c r="A48" s="2" t="s">
        <v>55</v>
      </c>
      <c r="B48" s="2" t="s">
        <v>56</v>
      </c>
      <c r="C48" s="3">
        <v>31.3</v>
      </c>
      <c r="D48" s="3">
        <v>31.3</v>
      </c>
      <c r="E48" s="3">
        <v>31.3</v>
      </c>
      <c r="F48" s="3">
        <v>31.3</v>
      </c>
      <c r="G48" s="3">
        <v>31.3</v>
      </c>
      <c r="H48" s="3">
        <v>31.3</v>
      </c>
      <c r="I48" s="3">
        <v>31.3</v>
      </c>
      <c r="J48" s="3">
        <v>31.3</v>
      </c>
      <c r="K48" s="3">
        <v>31.3</v>
      </c>
      <c r="L48" s="3">
        <v>31.3</v>
      </c>
      <c r="M48" s="3">
        <v>31.3</v>
      </c>
      <c r="N48" s="3">
        <v>31.3</v>
      </c>
      <c r="O48" s="3">
        <v>31.3</v>
      </c>
      <c r="P48" s="3">
        <v>31.3</v>
      </c>
      <c r="Q48" s="3">
        <v>31.3</v>
      </c>
      <c r="R48" s="3">
        <v>31.3</v>
      </c>
      <c r="S48" s="3">
        <v>31.3</v>
      </c>
      <c r="T48" s="3">
        <v>31.3</v>
      </c>
      <c r="U48" s="3">
        <v>31.3</v>
      </c>
      <c r="V48" s="3">
        <v>31.3</v>
      </c>
      <c r="W48" s="3">
        <v>31.3</v>
      </c>
      <c r="X48" s="3">
        <v>31.3</v>
      </c>
      <c r="Y48" s="3">
        <v>31.3</v>
      </c>
      <c r="Z48" s="3">
        <v>31.3</v>
      </c>
    </row>
    <row r="49" spans="1:26" x14ac:dyDescent="0.25">
      <c r="A49" s="2" t="s">
        <v>57</v>
      </c>
      <c r="B49" s="2" t="s">
        <v>58</v>
      </c>
      <c r="C49" s="4">
        <f t="shared" ref="C49:Z49" si="290">+Ln_A</f>
        <v>31.3</v>
      </c>
      <c r="D49" s="4">
        <f t="shared" si="290"/>
        <v>31.3</v>
      </c>
      <c r="E49" s="4">
        <f t="shared" si="290"/>
        <v>31.3</v>
      </c>
      <c r="F49" s="4">
        <f t="shared" si="290"/>
        <v>31.3</v>
      </c>
      <c r="G49" s="4">
        <f t="shared" si="290"/>
        <v>31.3</v>
      </c>
      <c r="H49" s="4">
        <f t="shared" si="290"/>
        <v>31.3</v>
      </c>
      <c r="I49" s="4">
        <f t="shared" si="290"/>
        <v>31.3</v>
      </c>
      <c r="J49" s="4">
        <f t="shared" si="290"/>
        <v>31.3</v>
      </c>
      <c r="K49" s="4">
        <f t="shared" si="290"/>
        <v>31.3</v>
      </c>
      <c r="L49" s="4">
        <f t="shared" si="290"/>
        <v>31.3</v>
      </c>
      <c r="M49" s="4">
        <f t="shared" si="290"/>
        <v>31.3</v>
      </c>
      <c r="N49" s="4">
        <f t="shared" si="290"/>
        <v>31.3</v>
      </c>
      <c r="O49" s="4">
        <f t="shared" si="290"/>
        <v>31.3</v>
      </c>
      <c r="P49" s="4">
        <f t="shared" si="290"/>
        <v>31.3</v>
      </c>
      <c r="Q49" s="4">
        <f t="shared" si="290"/>
        <v>31.3</v>
      </c>
      <c r="R49" s="4">
        <f t="shared" si="290"/>
        <v>31.3</v>
      </c>
      <c r="S49" s="4">
        <f t="shared" si="290"/>
        <v>31.3</v>
      </c>
      <c r="T49" s="4">
        <f t="shared" si="290"/>
        <v>31.3</v>
      </c>
      <c r="U49" s="4">
        <f t="shared" si="290"/>
        <v>31.3</v>
      </c>
      <c r="V49" s="4">
        <f t="shared" si="290"/>
        <v>31.3</v>
      </c>
      <c r="W49" s="4">
        <f t="shared" si="290"/>
        <v>31.3</v>
      </c>
      <c r="X49" s="4">
        <f t="shared" si="290"/>
        <v>31.3</v>
      </c>
      <c r="Y49" s="4">
        <f t="shared" si="290"/>
        <v>31.3</v>
      </c>
      <c r="Z49" s="4">
        <f t="shared" si="290"/>
        <v>31.3</v>
      </c>
    </row>
    <row r="50" spans="1:26" x14ac:dyDescent="0.25">
      <c r="A50" s="2" t="s">
        <v>59</v>
      </c>
      <c r="B50" s="2" t="s">
        <v>60</v>
      </c>
      <c r="C50" s="3">
        <v>27.9</v>
      </c>
      <c r="D50" s="3">
        <v>27.9</v>
      </c>
      <c r="E50" s="3">
        <v>27.9</v>
      </c>
      <c r="F50" s="3">
        <v>27.9</v>
      </c>
      <c r="G50" s="3">
        <v>27.9</v>
      </c>
      <c r="H50" s="3">
        <v>27.9</v>
      </c>
      <c r="I50" s="3">
        <v>27.9</v>
      </c>
      <c r="J50" s="3">
        <v>27.9</v>
      </c>
      <c r="K50" s="3">
        <v>27.9</v>
      </c>
      <c r="L50" s="3">
        <v>27.9</v>
      </c>
      <c r="M50" s="3">
        <v>27.9</v>
      </c>
      <c r="N50" s="3">
        <v>27.9</v>
      </c>
      <c r="O50" s="3">
        <v>27.9</v>
      </c>
      <c r="P50" s="3">
        <v>27.9</v>
      </c>
      <c r="Q50" s="3">
        <v>27.9</v>
      </c>
      <c r="R50" s="3">
        <v>27.9</v>
      </c>
      <c r="S50" s="3">
        <v>27.9</v>
      </c>
      <c r="T50" s="3">
        <v>27.9</v>
      </c>
      <c r="U50" s="3">
        <v>27.9</v>
      </c>
      <c r="V50" s="3">
        <v>27.9</v>
      </c>
      <c r="W50" s="3">
        <v>27.9</v>
      </c>
      <c r="X50" s="3">
        <v>27.9</v>
      </c>
      <c r="Y50" s="3">
        <v>27.9</v>
      </c>
      <c r="Z50" s="3">
        <v>27.9</v>
      </c>
    </row>
    <row r="51" spans="1:26" x14ac:dyDescent="0.25">
      <c r="A51" s="2" t="s">
        <v>61</v>
      </c>
      <c r="B51" s="2" t="s">
        <v>62</v>
      </c>
      <c r="C51" s="10">
        <v>81000</v>
      </c>
      <c r="D51" s="10">
        <v>81000</v>
      </c>
      <c r="E51" s="10">
        <v>81000</v>
      </c>
      <c r="F51" s="10">
        <v>81000</v>
      </c>
      <c r="G51" s="10">
        <v>81000</v>
      </c>
      <c r="H51" s="10">
        <v>81000</v>
      </c>
      <c r="I51" s="10">
        <v>81000</v>
      </c>
      <c r="J51" s="10">
        <v>81000</v>
      </c>
      <c r="K51" s="10">
        <v>81000</v>
      </c>
      <c r="L51" s="10">
        <v>81000</v>
      </c>
      <c r="M51" s="10">
        <v>81000</v>
      </c>
      <c r="N51" s="10">
        <v>81000</v>
      </c>
      <c r="O51" s="10">
        <v>81000</v>
      </c>
      <c r="P51" s="10">
        <v>81000</v>
      </c>
      <c r="Q51" s="10">
        <v>81000</v>
      </c>
      <c r="R51" s="10">
        <v>81000</v>
      </c>
      <c r="S51" s="10">
        <v>81000</v>
      </c>
      <c r="T51" s="10">
        <v>81000</v>
      </c>
      <c r="U51" s="10">
        <v>81000</v>
      </c>
      <c r="V51" s="10">
        <v>81000</v>
      </c>
      <c r="W51" s="10">
        <v>81000</v>
      </c>
      <c r="X51" s="10">
        <v>81000</v>
      </c>
      <c r="Y51" s="10">
        <v>81000</v>
      </c>
      <c r="Z51" s="10">
        <v>81000</v>
      </c>
    </row>
    <row r="52" spans="1:26" x14ac:dyDescent="0.25">
      <c r="A52" s="2" t="s">
        <v>63</v>
      </c>
      <c r="B52" s="2" t="s">
        <v>64</v>
      </c>
      <c r="C52" s="3">
        <v>8.31</v>
      </c>
      <c r="D52" s="3">
        <v>8.31</v>
      </c>
      <c r="E52" s="3">
        <v>8.31</v>
      </c>
      <c r="F52" s="3">
        <v>8.31</v>
      </c>
      <c r="G52" s="3">
        <v>8.31</v>
      </c>
      <c r="H52" s="3">
        <v>8.31</v>
      </c>
      <c r="I52" s="3">
        <v>8.31</v>
      </c>
      <c r="J52" s="3">
        <v>8.31</v>
      </c>
      <c r="K52" s="3">
        <v>8.31</v>
      </c>
      <c r="L52" s="3">
        <v>8.31</v>
      </c>
      <c r="M52" s="3">
        <v>8.31</v>
      </c>
      <c r="N52" s="3">
        <v>8.31</v>
      </c>
      <c r="O52" s="3">
        <v>8.31</v>
      </c>
      <c r="P52" s="3">
        <v>8.31</v>
      </c>
      <c r="Q52" s="3">
        <v>8.31</v>
      </c>
      <c r="R52" s="3">
        <v>8.31</v>
      </c>
      <c r="S52" s="3">
        <v>8.31</v>
      </c>
      <c r="T52" s="3">
        <v>8.31</v>
      </c>
      <c r="U52" s="3">
        <v>8.31</v>
      </c>
      <c r="V52" s="3">
        <v>8.31</v>
      </c>
      <c r="W52" s="3">
        <v>8.31</v>
      </c>
      <c r="X52" s="3">
        <v>8.31</v>
      </c>
      <c r="Y52" s="3">
        <v>8.31</v>
      </c>
      <c r="Z52" s="3">
        <v>8.31</v>
      </c>
    </row>
    <row r="53" spans="1:26" x14ac:dyDescent="0.25">
      <c r="A53" s="2" t="s">
        <v>65</v>
      </c>
      <c r="B53" s="2" t="s">
        <v>66</v>
      </c>
      <c r="C53" s="3">
        <v>4</v>
      </c>
      <c r="D53" s="3">
        <v>4</v>
      </c>
      <c r="E53" s="3">
        <v>4</v>
      </c>
      <c r="F53" s="3">
        <v>4</v>
      </c>
      <c r="G53" s="3">
        <v>4</v>
      </c>
      <c r="H53" s="3">
        <v>4</v>
      </c>
      <c r="I53" s="3">
        <v>4</v>
      </c>
      <c r="J53" s="3">
        <v>4</v>
      </c>
      <c r="K53" s="3">
        <v>4</v>
      </c>
      <c r="L53" s="3">
        <v>4</v>
      </c>
      <c r="M53" s="3">
        <v>4</v>
      </c>
      <c r="N53" s="3">
        <v>4</v>
      </c>
      <c r="O53" s="3">
        <v>4</v>
      </c>
      <c r="P53" s="3">
        <v>4</v>
      </c>
      <c r="Q53" s="3">
        <v>4</v>
      </c>
      <c r="R53" s="3">
        <v>4</v>
      </c>
      <c r="S53" s="3">
        <v>4</v>
      </c>
      <c r="T53" s="3">
        <v>4</v>
      </c>
      <c r="U53" s="3">
        <v>4</v>
      </c>
      <c r="V53" s="3">
        <v>4</v>
      </c>
      <c r="W53" s="3">
        <v>4</v>
      </c>
      <c r="X53" s="3">
        <v>4</v>
      </c>
      <c r="Y53" s="3">
        <v>4</v>
      </c>
      <c r="Z53" s="3">
        <v>4</v>
      </c>
    </row>
    <row r="54" spans="1:26" x14ac:dyDescent="0.25">
      <c r="A54" s="2" t="s">
        <v>67</v>
      </c>
      <c r="B54" s="2" t="s">
        <v>68</v>
      </c>
      <c r="C54" s="3">
        <v>0.45</v>
      </c>
      <c r="D54" s="3">
        <v>0.45</v>
      </c>
      <c r="E54" s="3">
        <v>0.45</v>
      </c>
      <c r="F54" s="3">
        <v>0.45</v>
      </c>
      <c r="G54" s="3">
        <v>0.45</v>
      </c>
      <c r="H54" s="3">
        <v>0.45</v>
      </c>
      <c r="I54" s="3">
        <v>0.45</v>
      </c>
      <c r="J54" s="3">
        <v>0.45</v>
      </c>
      <c r="K54" s="3">
        <v>0.45</v>
      </c>
      <c r="L54" s="3">
        <v>0.45</v>
      </c>
      <c r="M54" s="3">
        <v>0.45</v>
      </c>
      <c r="N54" s="3">
        <v>0.45</v>
      </c>
      <c r="O54" s="3">
        <v>0.45</v>
      </c>
      <c r="P54" s="3">
        <v>0.45</v>
      </c>
      <c r="Q54" s="3">
        <v>0.45</v>
      </c>
      <c r="R54" s="3">
        <v>0.45</v>
      </c>
      <c r="S54" s="3">
        <v>0.45</v>
      </c>
      <c r="T54" s="3">
        <v>0.45</v>
      </c>
      <c r="U54" s="3">
        <v>0.45</v>
      </c>
      <c r="V54" s="3">
        <v>0.45</v>
      </c>
      <c r="W54" s="3">
        <v>0.45</v>
      </c>
      <c r="X54" s="3">
        <v>0.45</v>
      </c>
      <c r="Y54" s="3">
        <v>0.45</v>
      </c>
      <c r="Z54" s="3">
        <v>0.45</v>
      </c>
    </row>
    <row r="55" spans="1:26" x14ac:dyDescent="0.25">
      <c r="A55" s="2" t="s">
        <v>69</v>
      </c>
      <c r="C55" s="3">
        <v>10</v>
      </c>
      <c r="D55" s="3">
        <v>10</v>
      </c>
      <c r="E55" s="3">
        <v>10</v>
      </c>
      <c r="F55" s="3">
        <v>10</v>
      </c>
      <c r="G55" s="3">
        <v>10</v>
      </c>
      <c r="H55" s="3">
        <v>10</v>
      </c>
      <c r="I55" s="3">
        <v>10</v>
      </c>
      <c r="J55" s="3">
        <v>10</v>
      </c>
      <c r="K55" s="3">
        <v>10</v>
      </c>
      <c r="L55" s="3">
        <v>10</v>
      </c>
      <c r="M55" s="3">
        <v>10</v>
      </c>
      <c r="N55" s="3">
        <v>10</v>
      </c>
      <c r="O55" s="3">
        <v>10</v>
      </c>
      <c r="P55" s="3">
        <v>10</v>
      </c>
      <c r="Q55" s="3">
        <v>10</v>
      </c>
      <c r="R55" s="3">
        <v>10</v>
      </c>
      <c r="S55" s="3">
        <v>10</v>
      </c>
      <c r="T55" s="3">
        <v>10</v>
      </c>
      <c r="U55" s="3">
        <v>10</v>
      </c>
      <c r="V55" s="3">
        <v>10</v>
      </c>
      <c r="W55" s="3">
        <v>10</v>
      </c>
      <c r="X55" s="3">
        <v>10</v>
      </c>
      <c r="Y55" s="3">
        <v>10</v>
      </c>
      <c r="Z55" s="3">
        <v>10</v>
      </c>
    </row>
    <row r="56" spans="1:26" x14ac:dyDescent="0.25">
      <c r="A56" s="2" t="s">
        <v>70</v>
      </c>
      <c r="B56" s="2" t="s">
        <v>71</v>
      </c>
      <c r="C56" s="4">
        <f>+C53/C54*12/16</f>
        <v>6.666666666666667</v>
      </c>
      <c r="D56" s="4">
        <f t="shared" ref="D56:E56" si="291">+D53/D54*12/16</f>
        <v>6.666666666666667</v>
      </c>
      <c r="E56" s="4">
        <f t="shared" si="291"/>
        <v>6.666666666666667</v>
      </c>
      <c r="F56" s="4">
        <f t="shared" ref="F56:G56" si="292">+F53/F54*12/16</f>
        <v>6.666666666666667</v>
      </c>
      <c r="G56" s="4">
        <f t="shared" si="292"/>
        <v>6.666666666666667</v>
      </c>
      <c r="H56" s="4">
        <f t="shared" ref="H56" si="293">+H53/H54*12/16</f>
        <v>6.666666666666667</v>
      </c>
      <c r="I56" s="4">
        <f t="shared" ref="I56:J56" si="294">+I53/I54*12/16</f>
        <v>6.666666666666667</v>
      </c>
      <c r="J56" s="4">
        <f t="shared" si="294"/>
        <v>6.666666666666667</v>
      </c>
      <c r="K56" s="4">
        <f t="shared" ref="K56" si="295">+K53/K54*12/16</f>
        <v>6.666666666666667</v>
      </c>
      <c r="L56" s="4">
        <f t="shared" ref="L56:M56" si="296">+L53/L54*12/16</f>
        <v>6.666666666666667</v>
      </c>
      <c r="M56" s="4">
        <f t="shared" si="296"/>
        <v>6.666666666666667</v>
      </c>
      <c r="N56" s="4">
        <f t="shared" ref="N56" si="297">+N53/N54*12/16</f>
        <v>6.666666666666667</v>
      </c>
      <c r="O56" s="4">
        <f t="shared" ref="O56:P56" si="298">+O53/O54*12/16</f>
        <v>6.666666666666667</v>
      </c>
      <c r="P56" s="4">
        <f t="shared" si="298"/>
        <v>6.666666666666667</v>
      </c>
      <c r="Q56" s="4">
        <f t="shared" ref="Q56" si="299">+Q53/Q54*12/16</f>
        <v>6.666666666666667</v>
      </c>
      <c r="R56" s="4">
        <f t="shared" ref="R56:T56" si="300">+R53/R54*12/16</f>
        <v>6.666666666666667</v>
      </c>
      <c r="S56" s="4">
        <f t="shared" ref="S56" si="301">+S53/S54*12/16</f>
        <v>6.666666666666667</v>
      </c>
      <c r="T56" s="4">
        <f t="shared" si="300"/>
        <v>6.666666666666667</v>
      </c>
      <c r="U56" s="4">
        <f t="shared" ref="U56" si="302">+U53/U54*12/16</f>
        <v>6.666666666666667</v>
      </c>
      <c r="V56" s="4">
        <f t="shared" ref="V56" si="303">+V53/V54*12/16</f>
        <v>6.666666666666667</v>
      </c>
      <c r="W56" s="4">
        <f t="shared" ref="W56:Y56" si="304">+W53/W54*12/16</f>
        <v>6.666666666666667</v>
      </c>
      <c r="X56" s="4">
        <f t="shared" ref="X56" si="305">+X53/X54*12/16</f>
        <v>6.666666666666667</v>
      </c>
      <c r="Y56" s="4">
        <f t="shared" si="304"/>
        <v>6.666666666666667</v>
      </c>
      <c r="Z56" s="4">
        <f t="shared" ref="Z56" si="306">+Z53/Z54*12/16</f>
        <v>6.666666666666667</v>
      </c>
    </row>
    <row r="57" spans="1:26" x14ac:dyDescent="0.25">
      <c r="A57" s="2" t="s">
        <v>72</v>
      </c>
      <c r="C57" s="4">
        <f>+C55/16*12/C54</f>
        <v>16.666666666666668</v>
      </c>
      <c r="D57" s="4">
        <f t="shared" ref="D57:E57" si="307">+D55/16*12/D54</f>
        <v>16.666666666666668</v>
      </c>
      <c r="E57" s="4">
        <f t="shared" si="307"/>
        <v>16.666666666666668</v>
      </c>
      <c r="F57" s="4">
        <f t="shared" ref="F57:I57" si="308">+F55/16*12/F54</f>
        <v>16.666666666666668</v>
      </c>
      <c r="G57" s="4">
        <f t="shared" ref="G57:H57" si="309">+G55/16*12/G54</f>
        <v>16.666666666666668</v>
      </c>
      <c r="H57" s="4">
        <f t="shared" si="309"/>
        <v>16.666666666666668</v>
      </c>
      <c r="I57" s="4">
        <f t="shared" si="308"/>
        <v>16.666666666666668</v>
      </c>
      <c r="J57" s="4">
        <f t="shared" ref="J57:K57" si="310">+J55/16*12/J54</f>
        <v>16.666666666666668</v>
      </c>
      <c r="K57" s="4">
        <f t="shared" si="310"/>
        <v>16.666666666666668</v>
      </c>
      <c r="L57" s="4">
        <f t="shared" ref="L57:M57" si="311">+L55/16*12/L54</f>
        <v>16.666666666666668</v>
      </c>
      <c r="M57" s="4">
        <f t="shared" si="311"/>
        <v>16.666666666666668</v>
      </c>
      <c r="N57" s="4">
        <f t="shared" ref="N57" si="312">+N55/16*12/N54</f>
        <v>16.666666666666668</v>
      </c>
      <c r="O57" s="4">
        <f t="shared" ref="O57:P57" si="313">+O55/16*12/O54</f>
        <v>16.666666666666668</v>
      </c>
      <c r="P57" s="4">
        <f t="shared" si="313"/>
        <v>16.666666666666668</v>
      </c>
      <c r="Q57" s="4">
        <f t="shared" ref="Q57" si="314">+Q55/16*12/Q54</f>
        <v>16.666666666666668</v>
      </c>
      <c r="R57" s="4">
        <f t="shared" ref="R57:T57" si="315">+R55/16*12/R54</f>
        <v>16.666666666666668</v>
      </c>
      <c r="S57" s="4">
        <f t="shared" ref="S57" si="316">+S55/16*12/S54</f>
        <v>16.666666666666668</v>
      </c>
      <c r="T57" s="4">
        <f t="shared" si="315"/>
        <v>16.666666666666668</v>
      </c>
      <c r="U57" s="4">
        <f t="shared" ref="U57" si="317">+U55/16*12/U54</f>
        <v>16.666666666666668</v>
      </c>
      <c r="V57" s="4">
        <f t="shared" ref="V57" si="318">+V55/16*12/V54</f>
        <v>16.666666666666668</v>
      </c>
      <c r="W57" s="4">
        <f t="shared" ref="W57:Y57" si="319">+W55/16*12/W54</f>
        <v>16.666666666666668</v>
      </c>
      <c r="X57" s="4">
        <f t="shared" ref="X57" si="320">+X55/16*12/X54</f>
        <v>16.666666666666668</v>
      </c>
      <c r="Y57" s="4">
        <f t="shared" si="319"/>
        <v>16.666666666666668</v>
      </c>
      <c r="Z57" s="4">
        <f t="shared" ref="Z57" si="321">+Z55/16*12/Z54</f>
        <v>16.666666666666668</v>
      </c>
    </row>
    <row r="59" spans="1:26" x14ac:dyDescent="0.25">
      <c r="A59" s="2" t="s">
        <v>73</v>
      </c>
    </row>
    <row r="60" spans="1:26" x14ac:dyDescent="0.25">
      <c r="A60" s="2" t="s">
        <v>74</v>
      </c>
      <c r="B60" s="2" t="s">
        <v>75</v>
      </c>
      <c r="C60" s="4">
        <f t="shared" ref="C60:Y60" si="322">+C9</f>
        <v>3</v>
      </c>
      <c r="D60" s="4">
        <f t="shared" si="322"/>
        <v>3</v>
      </c>
      <c r="E60" s="4">
        <f t="shared" ref="E60" si="323">+E9</f>
        <v>3</v>
      </c>
      <c r="F60" s="4">
        <f t="shared" si="322"/>
        <v>3</v>
      </c>
      <c r="G60" s="4">
        <f t="shared" si="322"/>
        <v>3</v>
      </c>
      <c r="H60" s="4">
        <f t="shared" ref="H60" si="324">+H9</f>
        <v>3</v>
      </c>
      <c r="I60" s="4">
        <f t="shared" si="322"/>
        <v>3</v>
      </c>
      <c r="J60" s="4">
        <f t="shared" si="322"/>
        <v>3</v>
      </c>
      <c r="K60" s="4">
        <f t="shared" ref="K60" si="325">+K9</f>
        <v>3</v>
      </c>
      <c r="L60" s="4">
        <f t="shared" si="322"/>
        <v>3</v>
      </c>
      <c r="M60" s="4">
        <f t="shared" si="322"/>
        <v>3</v>
      </c>
      <c r="N60" s="4">
        <f t="shared" ref="N60" si="326">+N9</f>
        <v>3</v>
      </c>
      <c r="O60" s="4">
        <f t="shared" si="322"/>
        <v>3</v>
      </c>
      <c r="P60" s="4">
        <f t="shared" si="322"/>
        <v>3</v>
      </c>
      <c r="Q60" s="4">
        <f t="shared" ref="Q60" si="327">+Q9</f>
        <v>3</v>
      </c>
      <c r="R60" s="4">
        <f t="shared" si="322"/>
        <v>3</v>
      </c>
      <c r="S60" s="4">
        <f t="shared" ref="S60" si="328">+S9</f>
        <v>3</v>
      </c>
      <c r="T60" s="4">
        <f t="shared" si="322"/>
        <v>3</v>
      </c>
      <c r="U60" s="4">
        <f t="shared" si="322"/>
        <v>3</v>
      </c>
      <c r="V60" s="4">
        <f t="shared" ref="V60" si="329">+V9</f>
        <v>3</v>
      </c>
      <c r="W60" s="4">
        <f t="shared" si="322"/>
        <v>3</v>
      </c>
      <c r="X60" s="4">
        <f t="shared" si="322"/>
        <v>3</v>
      </c>
      <c r="Y60" s="4">
        <f t="shared" si="322"/>
        <v>1</v>
      </c>
      <c r="Z60" s="4">
        <f t="shared" ref="Z60" si="330">+Z9</f>
        <v>3</v>
      </c>
    </row>
    <row r="61" spans="1:26" x14ac:dyDescent="0.25">
      <c r="A61" s="2" t="s">
        <v>76</v>
      </c>
      <c r="C61" s="4">
        <f t="shared" ref="C61:Y61" si="331">+C8</f>
        <v>35</v>
      </c>
      <c r="D61" s="4">
        <f t="shared" si="331"/>
        <v>35</v>
      </c>
      <c r="E61" s="4">
        <f t="shared" ref="E61" si="332">+E8</f>
        <v>35</v>
      </c>
      <c r="F61" s="4">
        <f t="shared" si="331"/>
        <v>35</v>
      </c>
      <c r="G61" s="4">
        <f t="shared" si="331"/>
        <v>35</v>
      </c>
      <c r="H61" s="4">
        <f t="shared" ref="H61" si="333">+H8</f>
        <v>35</v>
      </c>
      <c r="I61" s="4">
        <f t="shared" si="331"/>
        <v>35</v>
      </c>
      <c r="J61" s="4">
        <f t="shared" si="331"/>
        <v>35</v>
      </c>
      <c r="K61" s="4">
        <f t="shared" ref="K61" si="334">+K8</f>
        <v>35</v>
      </c>
      <c r="L61" s="4">
        <f t="shared" si="331"/>
        <v>35</v>
      </c>
      <c r="M61" s="4">
        <f t="shared" si="331"/>
        <v>35</v>
      </c>
      <c r="N61" s="4">
        <f t="shared" ref="N61" si="335">+N8</f>
        <v>35</v>
      </c>
      <c r="O61" s="4">
        <f t="shared" si="331"/>
        <v>35</v>
      </c>
      <c r="P61" s="4">
        <f t="shared" si="331"/>
        <v>35</v>
      </c>
      <c r="Q61" s="4">
        <f t="shared" ref="Q61" si="336">+Q8</f>
        <v>35</v>
      </c>
      <c r="R61" s="4">
        <f t="shared" si="331"/>
        <v>35</v>
      </c>
      <c r="S61" s="4">
        <f t="shared" ref="S61" si="337">+S8</f>
        <v>35</v>
      </c>
      <c r="T61" s="4">
        <f t="shared" si="331"/>
        <v>35</v>
      </c>
      <c r="U61" s="4">
        <f t="shared" si="331"/>
        <v>35</v>
      </c>
      <c r="V61" s="4">
        <f t="shared" ref="V61" si="338">+V8</f>
        <v>35</v>
      </c>
      <c r="W61" s="4">
        <f t="shared" si="331"/>
        <v>35</v>
      </c>
      <c r="X61" s="4">
        <f t="shared" si="331"/>
        <v>35</v>
      </c>
      <c r="Y61" s="4">
        <f t="shared" si="331"/>
        <v>35</v>
      </c>
      <c r="Z61" s="4">
        <f t="shared" ref="Z61" si="339">+Z8</f>
        <v>35</v>
      </c>
    </row>
    <row r="62" spans="1:26" x14ac:dyDescent="0.25">
      <c r="A62" s="2" t="s">
        <v>77</v>
      </c>
      <c r="C62" s="5">
        <v>1</v>
      </c>
      <c r="D62" s="5">
        <v>1</v>
      </c>
      <c r="E62" s="5">
        <v>1</v>
      </c>
      <c r="F62" s="5">
        <v>0.5</v>
      </c>
      <c r="G62" s="5">
        <v>0.5</v>
      </c>
      <c r="H62" s="5">
        <v>0.5</v>
      </c>
      <c r="I62" s="5">
        <v>1</v>
      </c>
      <c r="J62" s="5">
        <v>1</v>
      </c>
      <c r="K62" s="5">
        <v>1</v>
      </c>
      <c r="L62" s="5">
        <v>0.75</v>
      </c>
      <c r="M62" s="5">
        <v>0.75</v>
      </c>
      <c r="N62" s="5">
        <v>0.75</v>
      </c>
      <c r="O62" s="5">
        <v>0.5</v>
      </c>
      <c r="P62" s="5">
        <v>0.5</v>
      </c>
      <c r="Q62" s="5">
        <v>0.5</v>
      </c>
      <c r="R62" s="5">
        <v>1</v>
      </c>
      <c r="S62" s="5">
        <v>1</v>
      </c>
      <c r="T62" s="5">
        <v>0.5</v>
      </c>
      <c r="U62" s="5">
        <v>0.5</v>
      </c>
      <c r="V62" s="5">
        <v>0.5</v>
      </c>
      <c r="W62" s="5">
        <v>0.39</v>
      </c>
      <c r="X62" s="5">
        <v>0.39</v>
      </c>
      <c r="Y62" s="5">
        <v>0.39</v>
      </c>
      <c r="Z62" s="5">
        <v>0.39</v>
      </c>
    </row>
    <row r="63" spans="1:26" x14ac:dyDescent="0.25">
      <c r="A63" s="2" t="s">
        <v>78</v>
      </c>
      <c r="C63" s="3">
        <v>0.3</v>
      </c>
      <c r="D63" s="3">
        <v>0.3</v>
      </c>
      <c r="E63" s="3">
        <v>0.3</v>
      </c>
      <c r="F63" s="3">
        <v>0.3</v>
      </c>
      <c r="G63" s="3">
        <v>0.3</v>
      </c>
      <c r="H63" s="3">
        <v>0.3</v>
      </c>
      <c r="I63" s="3">
        <v>0.65</v>
      </c>
      <c r="J63" s="3">
        <v>0.65</v>
      </c>
      <c r="K63" s="3">
        <v>0.65</v>
      </c>
      <c r="L63" s="3">
        <v>0.65</v>
      </c>
      <c r="M63" s="3">
        <v>0.65</v>
      </c>
      <c r="N63" s="3">
        <v>0.65</v>
      </c>
      <c r="O63" s="3">
        <v>0.65</v>
      </c>
      <c r="P63" s="3">
        <v>0.65</v>
      </c>
      <c r="Q63" s="3">
        <v>0.65</v>
      </c>
      <c r="R63" s="3">
        <v>4.9000000000000004</v>
      </c>
      <c r="S63" s="3">
        <v>4.9000000000000004</v>
      </c>
      <c r="T63" s="3">
        <v>4.9000000000000004</v>
      </c>
      <c r="U63" s="3">
        <v>4.9000000000000004</v>
      </c>
      <c r="V63" s="3">
        <v>4.9000000000000004</v>
      </c>
      <c r="W63" s="3">
        <v>2.5</v>
      </c>
      <c r="X63" s="3">
        <v>2.5</v>
      </c>
      <c r="Y63" s="3">
        <v>2.5</v>
      </c>
      <c r="Z63" s="3">
        <v>2.5</v>
      </c>
    </row>
    <row r="64" spans="1:26" x14ac:dyDescent="0.25">
      <c r="A64" s="2" t="s">
        <v>79</v>
      </c>
      <c r="C64" s="4">
        <f>+C62*C63</f>
        <v>0.3</v>
      </c>
      <c r="D64" s="4">
        <f t="shared" ref="D64:E64" si="340">+D62*D63</f>
        <v>0.3</v>
      </c>
      <c r="E64" s="4">
        <f t="shared" si="340"/>
        <v>0.3</v>
      </c>
      <c r="F64" s="4">
        <f t="shared" ref="F64:G64" si="341">+F62*F63</f>
        <v>0.15</v>
      </c>
      <c r="G64" s="4">
        <f t="shared" si="341"/>
        <v>0.15</v>
      </c>
      <c r="H64" s="4">
        <f t="shared" ref="H64" si="342">+H62*H63</f>
        <v>0.15</v>
      </c>
      <c r="I64" s="4">
        <f t="shared" ref="I64:J64" si="343">+I62*I63</f>
        <v>0.65</v>
      </c>
      <c r="J64" s="4">
        <f t="shared" si="343"/>
        <v>0.65</v>
      </c>
      <c r="K64" s="4">
        <f t="shared" ref="K64" si="344">+K62*K63</f>
        <v>0.65</v>
      </c>
      <c r="L64" s="4">
        <f t="shared" ref="L64:M64" si="345">+L62*L63</f>
        <v>0.48750000000000004</v>
      </c>
      <c r="M64" s="4">
        <f t="shared" si="345"/>
        <v>0.48750000000000004</v>
      </c>
      <c r="N64" s="4">
        <f t="shared" ref="N64" si="346">+N62*N63</f>
        <v>0.48750000000000004</v>
      </c>
      <c r="O64" s="4">
        <f t="shared" ref="O64:P64" si="347">+O62*O63</f>
        <v>0.32500000000000001</v>
      </c>
      <c r="P64" s="4">
        <f t="shared" si="347"/>
        <v>0.32500000000000001</v>
      </c>
      <c r="Q64" s="4">
        <f t="shared" ref="Q64" si="348">+Q62*Q63</f>
        <v>0.32500000000000001</v>
      </c>
      <c r="R64" s="4">
        <f t="shared" ref="R64:T64" si="349">+R62*R63</f>
        <v>4.9000000000000004</v>
      </c>
      <c r="S64" s="4">
        <f t="shared" ref="S64" si="350">+S62*S63</f>
        <v>4.9000000000000004</v>
      </c>
      <c r="T64" s="4">
        <f t="shared" si="349"/>
        <v>2.4500000000000002</v>
      </c>
      <c r="U64" s="4">
        <f t="shared" ref="U64" si="351">+U62*U63</f>
        <v>2.4500000000000002</v>
      </c>
      <c r="V64" s="4">
        <f t="shared" ref="V64" si="352">+V62*V63</f>
        <v>2.4500000000000002</v>
      </c>
      <c r="W64" s="4">
        <f t="shared" ref="W64:Y64" si="353">+W62*W63</f>
        <v>0.97500000000000009</v>
      </c>
      <c r="X64" s="4">
        <f t="shared" ref="X64" si="354">+X62*X63</f>
        <v>0.97500000000000009</v>
      </c>
      <c r="Y64" s="4">
        <f t="shared" si="353"/>
        <v>0.97500000000000009</v>
      </c>
      <c r="Z64" s="4">
        <f t="shared" ref="Z64" si="355">+Z62*Z63</f>
        <v>0.97500000000000009</v>
      </c>
    </row>
    <row r="65" spans="1:26" x14ac:dyDescent="0.25">
      <c r="A65" s="2" t="s">
        <v>80</v>
      </c>
      <c r="C65" s="3">
        <v>54</v>
      </c>
      <c r="D65" s="3">
        <v>54</v>
      </c>
      <c r="E65" s="3">
        <v>54</v>
      </c>
      <c r="F65" s="3">
        <v>54</v>
      </c>
      <c r="G65" s="3">
        <v>54</v>
      </c>
      <c r="H65" s="3">
        <v>54</v>
      </c>
      <c r="I65" s="3">
        <v>84</v>
      </c>
      <c r="J65" s="3">
        <v>84</v>
      </c>
      <c r="K65" s="3">
        <v>84</v>
      </c>
      <c r="L65" s="3">
        <v>84</v>
      </c>
      <c r="M65" s="3">
        <v>84</v>
      </c>
      <c r="N65" s="3">
        <v>84</v>
      </c>
      <c r="O65" s="3">
        <v>84</v>
      </c>
      <c r="P65" s="3">
        <v>84</v>
      </c>
      <c r="Q65" s="3">
        <v>84</v>
      </c>
      <c r="R65" s="3">
        <f>+(7+31+3)*2.26</f>
        <v>92.66</v>
      </c>
      <c r="S65" s="3">
        <f>+(7+31+3)*2.26</f>
        <v>92.66</v>
      </c>
      <c r="T65" s="3">
        <f t="shared" ref="T65:V65" si="356">+(7+31+3)*2.26</f>
        <v>92.66</v>
      </c>
      <c r="U65" s="3">
        <f t="shared" si="356"/>
        <v>92.66</v>
      </c>
      <c r="V65" s="3">
        <f t="shared" si="356"/>
        <v>92.66</v>
      </c>
      <c r="W65" s="3">
        <f>365-(7+31+3)*2.26</f>
        <v>272.34000000000003</v>
      </c>
      <c r="X65" s="3">
        <f>365-(7+31+3)*2.26</f>
        <v>272.34000000000003</v>
      </c>
      <c r="Y65" s="3">
        <f>365-(7+31+3)*2.26</f>
        <v>272.34000000000003</v>
      </c>
      <c r="Z65" s="3">
        <f>365-(7+31+3)*2.26</f>
        <v>272.34000000000003</v>
      </c>
    </row>
    <row r="66" spans="1:26" x14ac:dyDescent="0.25">
      <c r="A66" s="2" t="s">
        <v>81</v>
      </c>
      <c r="B66" s="2" t="s">
        <v>258</v>
      </c>
      <c r="C66" s="3">
        <v>24.3</v>
      </c>
      <c r="D66" s="3">
        <v>24.3</v>
      </c>
      <c r="E66" s="3">
        <v>24.3</v>
      </c>
      <c r="F66" s="3">
        <v>24.3</v>
      </c>
      <c r="G66" s="3">
        <v>24.3</v>
      </c>
      <c r="H66" s="3">
        <v>24.3</v>
      </c>
      <c r="I66" s="3">
        <v>84</v>
      </c>
      <c r="J66" s="3">
        <v>84</v>
      </c>
      <c r="K66" s="3">
        <v>84</v>
      </c>
      <c r="L66" s="3">
        <v>84</v>
      </c>
      <c r="M66" s="3">
        <v>84</v>
      </c>
      <c r="N66" s="3">
        <v>84</v>
      </c>
      <c r="O66" s="3">
        <v>84</v>
      </c>
      <c r="P66" s="3">
        <v>84</v>
      </c>
      <c r="Q66" s="3">
        <v>84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  <c r="Z66" s="3">
        <v>1</v>
      </c>
    </row>
    <row r="67" spans="1:26" x14ac:dyDescent="0.25">
      <c r="A67" s="2" t="s">
        <v>83</v>
      </c>
      <c r="B67" s="2" t="s">
        <v>84</v>
      </c>
      <c r="C67" s="3">
        <v>1.79</v>
      </c>
      <c r="D67" s="3">
        <v>1.79</v>
      </c>
      <c r="E67" s="3">
        <v>1.79</v>
      </c>
      <c r="F67" s="3">
        <v>1.79</v>
      </c>
      <c r="G67" s="3">
        <v>1.79</v>
      </c>
      <c r="H67" s="3">
        <v>1.79</v>
      </c>
      <c r="I67" s="3">
        <v>2.62</v>
      </c>
      <c r="J67" s="3">
        <v>2.62</v>
      </c>
      <c r="K67" s="3">
        <v>2.62</v>
      </c>
      <c r="L67" s="3">
        <v>2.62</v>
      </c>
      <c r="M67" s="3">
        <v>2.62</v>
      </c>
      <c r="N67" s="3">
        <v>2.62</v>
      </c>
      <c r="O67" s="3">
        <v>2.62</v>
      </c>
      <c r="P67" s="3">
        <v>2.62</v>
      </c>
      <c r="Q67" s="3">
        <v>2.62</v>
      </c>
      <c r="R67" s="3">
        <v>538.4</v>
      </c>
      <c r="S67" s="3">
        <v>538.4</v>
      </c>
      <c r="T67" s="3">
        <v>538.4</v>
      </c>
      <c r="U67" s="3">
        <v>538.4</v>
      </c>
      <c r="V67" s="3">
        <v>538.4</v>
      </c>
      <c r="W67" s="3">
        <v>972.8</v>
      </c>
      <c r="X67" s="3">
        <v>972.8</v>
      </c>
      <c r="Y67" s="3">
        <v>972.8</v>
      </c>
      <c r="Z67" s="3">
        <v>972.8</v>
      </c>
    </row>
    <row r="68" spans="1:26" x14ac:dyDescent="0.25">
      <c r="A68" s="2" t="s">
        <v>85</v>
      </c>
      <c r="B68" s="2" t="s">
        <v>84</v>
      </c>
      <c r="C68" s="3">
        <v>1.1000000000000001</v>
      </c>
      <c r="D68" s="3">
        <v>1.1000000000000001</v>
      </c>
      <c r="E68" s="3">
        <v>1.1000000000000001</v>
      </c>
      <c r="F68" s="3">
        <v>1.1000000000000001</v>
      </c>
      <c r="G68" s="3">
        <v>1.1000000000000001</v>
      </c>
      <c r="H68" s="3">
        <v>1.1000000000000001</v>
      </c>
      <c r="I68" s="3">
        <v>1.04</v>
      </c>
      <c r="J68" s="3">
        <v>1.04</v>
      </c>
      <c r="K68" s="3">
        <v>1.04</v>
      </c>
      <c r="L68" s="3">
        <v>1.04</v>
      </c>
      <c r="M68" s="3">
        <v>1.04</v>
      </c>
      <c r="N68" s="3">
        <v>1.04</v>
      </c>
      <c r="O68" s="3">
        <v>1.04</v>
      </c>
      <c r="P68" s="3">
        <v>1.04</v>
      </c>
      <c r="Q68" s="3">
        <v>1.04</v>
      </c>
      <c r="R68" s="3">
        <v>1.02</v>
      </c>
      <c r="S68" s="3">
        <v>1.02</v>
      </c>
      <c r="T68" s="3">
        <v>1.02</v>
      </c>
      <c r="U68" s="3">
        <v>1.02</v>
      </c>
      <c r="V68" s="3">
        <v>1.02</v>
      </c>
      <c r="W68" s="3">
        <v>1.02</v>
      </c>
      <c r="X68" s="3">
        <v>1.02</v>
      </c>
      <c r="Y68" s="3">
        <v>1.02</v>
      </c>
      <c r="Z68" s="3">
        <v>1.02</v>
      </c>
    </row>
    <row r="69" spans="1:26" x14ac:dyDescent="0.25">
      <c r="A69" s="2" t="s">
        <v>86</v>
      </c>
      <c r="B69" s="2" t="s">
        <v>87</v>
      </c>
      <c r="C69" s="3">
        <v>0.87</v>
      </c>
      <c r="D69" s="3">
        <v>0.87</v>
      </c>
      <c r="E69" s="3">
        <v>0.87</v>
      </c>
      <c r="F69" s="3">
        <v>0.87</v>
      </c>
      <c r="G69" s="3">
        <v>0.87</v>
      </c>
      <c r="H69" s="3">
        <v>0.87</v>
      </c>
      <c r="I69" s="3">
        <v>0.87</v>
      </c>
      <c r="J69" s="3">
        <v>0.87</v>
      </c>
      <c r="K69" s="3">
        <v>0.87</v>
      </c>
      <c r="L69" s="3">
        <v>0.87</v>
      </c>
      <c r="M69" s="3">
        <v>0.87</v>
      </c>
      <c r="N69" s="3">
        <v>0.87</v>
      </c>
      <c r="O69" s="3">
        <v>0.87</v>
      </c>
      <c r="P69" s="3">
        <v>0.87</v>
      </c>
      <c r="Q69" s="3">
        <v>0.87</v>
      </c>
      <c r="R69" s="3">
        <v>0.87</v>
      </c>
      <c r="S69" s="3">
        <v>0.87</v>
      </c>
      <c r="T69" s="3">
        <v>0.87</v>
      </c>
      <c r="U69" s="3">
        <v>0.87</v>
      </c>
      <c r="V69" s="3">
        <v>0.87</v>
      </c>
      <c r="W69" s="3">
        <v>0.87</v>
      </c>
      <c r="X69" s="3">
        <v>0.87</v>
      </c>
      <c r="Y69" s="3">
        <v>0.87</v>
      </c>
      <c r="Z69" s="3">
        <v>0.87</v>
      </c>
    </row>
    <row r="70" spans="1:26" x14ac:dyDescent="0.25">
      <c r="A70" s="2" t="s">
        <v>88</v>
      </c>
      <c r="C70" s="19">
        <f t="shared" ref="C70:W70" si="357">+C66*C67/C68</f>
        <v>39.542727272727269</v>
      </c>
      <c r="D70" s="19">
        <f t="shared" si="357"/>
        <v>39.542727272727269</v>
      </c>
      <c r="E70" s="19">
        <f t="shared" ref="E70" si="358">+E66*E67/E68</f>
        <v>39.542727272727269</v>
      </c>
      <c r="F70" s="19">
        <f t="shared" si="357"/>
        <v>39.542727272727269</v>
      </c>
      <c r="G70" s="19">
        <f t="shared" ref="G70:H70" si="359">+G66*G67/G68</f>
        <v>39.542727272727269</v>
      </c>
      <c r="H70" s="19">
        <f t="shared" si="359"/>
        <v>39.542727272727269</v>
      </c>
      <c r="I70" s="19">
        <f t="shared" si="357"/>
        <v>211.61538461538461</v>
      </c>
      <c r="J70" s="19">
        <f t="shared" ref="J70:K70" si="360">+J66*J67/J68</f>
        <v>211.61538461538461</v>
      </c>
      <c r="K70" s="19">
        <f t="shared" si="360"/>
        <v>211.61538461538461</v>
      </c>
      <c r="L70" s="19">
        <f t="shared" si="357"/>
        <v>211.61538461538461</v>
      </c>
      <c r="M70" s="19">
        <f t="shared" ref="M70:N70" si="361">+M66*M67/M68</f>
        <v>211.61538461538461</v>
      </c>
      <c r="N70" s="19">
        <f t="shared" si="361"/>
        <v>211.61538461538461</v>
      </c>
      <c r="O70" s="19">
        <f t="shared" si="357"/>
        <v>211.61538461538461</v>
      </c>
      <c r="P70" s="19">
        <f t="shared" ref="P70:Q70" si="362">+P66*P67/P68</f>
        <v>211.61538461538461</v>
      </c>
      <c r="Q70" s="19">
        <f t="shared" si="362"/>
        <v>211.61538461538461</v>
      </c>
      <c r="R70" s="19">
        <f t="shared" si="357"/>
        <v>527.84313725490188</v>
      </c>
      <c r="S70" s="19">
        <f t="shared" ref="S70" si="363">+S66*S67/S68</f>
        <v>527.84313725490188</v>
      </c>
      <c r="T70" s="19">
        <f t="shared" si="357"/>
        <v>527.84313725490188</v>
      </c>
      <c r="U70" s="19">
        <f t="shared" ref="U70" si="364">+U66*U67/U68</f>
        <v>527.84313725490188</v>
      </c>
      <c r="V70" s="19">
        <f t="shared" ref="V70" si="365">+V66*V67/V68</f>
        <v>527.84313725490188</v>
      </c>
      <c r="W70" s="19">
        <f t="shared" si="357"/>
        <v>953.72549019607834</v>
      </c>
      <c r="X70" s="19">
        <f t="shared" ref="X70" si="366">+X66*X67/X68</f>
        <v>953.72549019607834</v>
      </c>
      <c r="Y70" s="19">
        <f t="shared" ref="Y70:Z70" si="367">+Y66*Y67/Y68</f>
        <v>953.72549019607834</v>
      </c>
      <c r="Z70" s="19">
        <f t="shared" si="367"/>
        <v>953.72549019607834</v>
      </c>
    </row>
    <row r="71" spans="1:26" x14ac:dyDescent="0.25">
      <c r="A71" s="2" t="s">
        <v>89</v>
      </c>
      <c r="B71" s="2" t="s">
        <v>90</v>
      </c>
      <c r="C71" s="19">
        <f t="shared" ref="C71:W71" si="368">+C69*C70</f>
        <v>34.402172727272728</v>
      </c>
      <c r="D71" s="19">
        <f t="shared" si="368"/>
        <v>34.402172727272728</v>
      </c>
      <c r="E71" s="19">
        <f t="shared" ref="E71" si="369">+E69*E70</f>
        <v>34.402172727272728</v>
      </c>
      <c r="F71" s="19">
        <f t="shared" si="368"/>
        <v>34.402172727272728</v>
      </c>
      <c r="G71" s="19">
        <f t="shared" ref="G71:H71" si="370">+G69*G70</f>
        <v>34.402172727272728</v>
      </c>
      <c r="H71" s="19">
        <f t="shared" si="370"/>
        <v>34.402172727272728</v>
      </c>
      <c r="I71" s="19">
        <f t="shared" si="368"/>
        <v>184.10538461538462</v>
      </c>
      <c r="J71" s="19">
        <f t="shared" ref="J71:K71" si="371">+J69*J70</f>
        <v>184.10538461538462</v>
      </c>
      <c r="K71" s="19">
        <f t="shared" si="371"/>
        <v>184.10538461538462</v>
      </c>
      <c r="L71" s="19">
        <f t="shared" si="368"/>
        <v>184.10538461538462</v>
      </c>
      <c r="M71" s="19">
        <f t="shared" ref="M71:N71" si="372">+M69*M70</f>
        <v>184.10538461538462</v>
      </c>
      <c r="N71" s="19">
        <f t="shared" si="372"/>
        <v>184.10538461538462</v>
      </c>
      <c r="O71" s="19">
        <f t="shared" si="368"/>
        <v>184.10538461538462</v>
      </c>
      <c r="P71" s="19">
        <f t="shared" ref="P71:Q71" si="373">+P69*P70</f>
        <v>184.10538461538462</v>
      </c>
      <c r="Q71" s="19">
        <f t="shared" si="373"/>
        <v>184.10538461538462</v>
      </c>
      <c r="R71" s="19">
        <f t="shared" si="368"/>
        <v>459.22352941176462</v>
      </c>
      <c r="S71" s="19">
        <f t="shared" ref="S71" si="374">+S69*S70</f>
        <v>459.22352941176462</v>
      </c>
      <c r="T71" s="19">
        <f t="shared" si="368"/>
        <v>459.22352941176462</v>
      </c>
      <c r="U71" s="19">
        <f t="shared" ref="U71" si="375">+U69*U70</f>
        <v>459.22352941176462</v>
      </c>
      <c r="V71" s="19">
        <f t="shared" ref="V71" si="376">+V69*V70</f>
        <v>459.22352941176462</v>
      </c>
      <c r="W71" s="19">
        <f t="shared" si="368"/>
        <v>829.74117647058813</v>
      </c>
      <c r="X71" s="19">
        <f t="shared" ref="X71" si="377">+X69*X70</f>
        <v>829.74117647058813</v>
      </c>
      <c r="Y71" s="19">
        <f t="shared" ref="Y71:Z71" si="378">+Y69*Y70</f>
        <v>829.74117647058813</v>
      </c>
      <c r="Z71" s="19">
        <f t="shared" si="378"/>
        <v>829.74117647058813</v>
      </c>
    </row>
    <row r="72" spans="1:26" x14ac:dyDescent="0.25">
      <c r="A72" s="2" t="s">
        <v>91</v>
      </c>
      <c r="B72" s="2" t="s">
        <v>92</v>
      </c>
      <c r="C72" s="3">
        <v>0.85</v>
      </c>
      <c r="D72" s="3">
        <v>0.85</v>
      </c>
      <c r="E72" s="3">
        <v>0.85</v>
      </c>
      <c r="F72" s="3">
        <v>0.85</v>
      </c>
      <c r="G72" s="3">
        <v>0.85</v>
      </c>
      <c r="H72" s="3">
        <v>0.85</v>
      </c>
      <c r="I72" s="3">
        <v>0.83</v>
      </c>
      <c r="J72" s="3">
        <v>0.83</v>
      </c>
      <c r="K72" s="3">
        <v>0.83</v>
      </c>
      <c r="L72" s="3">
        <v>0.83</v>
      </c>
      <c r="M72" s="3">
        <v>0.83</v>
      </c>
      <c r="N72" s="3">
        <v>0.83</v>
      </c>
      <c r="O72" s="3">
        <v>0.83</v>
      </c>
      <c r="P72" s="3">
        <v>0.83</v>
      </c>
      <c r="Q72" s="3">
        <v>0.83</v>
      </c>
      <c r="R72" s="3">
        <v>0.81</v>
      </c>
      <c r="S72" s="3">
        <v>0.81</v>
      </c>
      <c r="T72" s="3">
        <v>0.81</v>
      </c>
      <c r="U72" s="3">
        <v>0.81</v>
      </c>
      <c r="V72" s="3">
        <v>0.81</v>
      </c>
      <c r="W72" s="3">
        <v>0.81</v>
      </c>
      <c r="X72" s="3">
        <v>0.81</v>
      </c>
      <c r="Y72" s="3">
        <v>0.81</v>
      </c>
      <c r="Z72" s="3">
        <v>0.81</v>
      </c>
    </row>
    <row r="73" spans="1:26" x14ac:dyDescent="0.25">
      <c r="A73" s="2" t="s">
        <v>93</v>
      </c>
      <c r="B73" s="2" t="s">
        <v>94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1</v>
      </c>
      <c r="S73" s="3">
        <v>1</v>
      </c>
      <c r="T73" s="3">
        <v>1</v>
      </c>
      <c r="U73" s="3">
        <v>1</v>
      </c>
      <c r="V73" s="3">
        <v>1</v>
      </c>
      <c r="W73" s="3">
        <v>1</v>
      </c>
      <c r="X73" s="3">
        <v>1</v>
      </c>
      <c r="Y73" s="3">
        <v>1</v>
      </c>
      <c r="Z73" s="3">
        <v>1</v>
      </c>
    </row>
    <row r="74" spans="1:26" x14ac:dyDescent="0.25">
      <c r="A74" s="2" t="s">
        <v>95</v>
      </c>
      <c r="C74" s="4">
        <f t="shared" ref="C74:W74" si="379">+C71*C73*(1-C72)</f>
        <v>5.1603259090909095</v>
      </c>
      <c r="D74" s="4">
        <f t="shared" si="379"/>
        <v>5.1603259090909095</v>
      </c>
      <c r="E74" s="4">
        <f t="shared" ref="E74" si="380">+E71*E73*(1-E72)</f>
        <v>5.1603259090909095</v>
      </c>
      <c r="F74" s="4">
        <f t="shared" si="379"/>
        <v>5.1603259090909095</v>
      </c>
      <c r="G74" s="4">
        <f t="shared" ref="G74:H74" si="381">+G71*G73*(1-G72)</f>
        <v>5.1603259090909095</v>
      </c>
      <c r="H74" s="4">
        <f t="shared" si="381"/>
        <v>5.1603259090909095</v>
      </c>
      <c r="I74" s="4">
        <f t="shared" si="379"/>
        <v>31.297915384615393</v>
      </c>
      <c r="J74" s="4">
        <f t="shared" ref="J74:K74" si="382">+J71*J73*(1-J72)</f>
        <v>31.297915384615393</v>
      </c>
      <c r="K74" s="4">
        <f t="shared" si="382"/>
        <v>31.297915384615393</v>
      </c>
      <c r="L74" s="4">
        <f t="shared" si="379"/>
        <v>31.297915384615393</v>
      </c>
      <c r="M74" s="4">
        <f t="shared" ref="M74:N74" si="383">+M71*M73*(1-M72)</f>
        <v>31.297915384615393</v>
      </c>
      <c r="N74" s="4">
        <f t="shared" si="383"/>
        <v>31.297915384615393</v>
      </c>
      <c r="O74" s="4">
        <f t="shared" si="379"/>
        <v>31.297915384615393</v>
      </c>
      <c r="P74" s="4">
        <f t="shared" ref="P74:Q74" si="384">+P71*P73*(1-P72)</f>
        <v>31.297915384615393</v>
      </c>
      <c r="Q74" s="4">
        <f t="shared" si="384"/>
        <v>31.297915384615393</v>
      </c>
      <c r="R74" s="4">
        <f t="shared" si="379"/>
        <v>87.252470588235255</v>
      </c>
      <c r="S74" s="4">
        <f t="shared" ref="S74" si="385">+S71*S73*(1-S72)</f>
        <v>87.252470588235255</v>
      </c>
      <c r="T74" s="4">
        <f t="shared" si="379"/>
        <v>87.252470588235255</v>
      </c>
      <c r="U74" s="4">
        <f t="shared" ref="U74" si="386">+U71*U73*(1-U72)</f>
        <v>87.252470588235255</v>
      </c>
      <c r="V74" s="4">
        <f t="shared" ref="V74" si="387">+V71*V73*(1-V72)</f>
        <v>87.252470588235255</v>
      </c>
      <c r="W74" s="4">
        <f t="shared" si="379"/>
        <v>157.6508235294117</v>
      </c>
      <c r="X74" s="4">
        <f t="shared" ref="X74" si="388">+X71*X73*(1-X72)</f>
        <v>157.6508235294117</v>
      </c>
      <c r="Y74" s="4">
        <f t="shared" ref="Y74:Z74" si="389">+Y71*Y73*(1-Y72)</f>
        <v>157.6508235294117</v>
      </c>
      <c r="Z74" s="4">
        <f t="shared" si="389"/>
        <v>157.6508235294117</v>
      </c>
    </row>
    <row r="75" spans="1:26" x14ac:dyDescent="0.25">
      <c r="A75" s="2" t="s">
        <v>96</v>
      </c>
      <c r="B75" s="2" t="s">
        <v>97</v>
      </c>
      <c r="C75" s="3">
        <v>0.25</v>
      </c>
      <c r="D75" s="3">
        <v>0.25</v>
      </c>
      <c r="E75" s="3">
        <v>0.25</v>
      </c>
      <c r="F75" s="3">
        <v>0.25</v>
      </c>
      <c r="G75" s="3">
        <v>0.25</v>
      </c>
      <c r="H75" s="3">
        <v>0.25</v>
      </c>
      <c r="I75" s="3">
        <v>0.25</v>
      </c>
      <c r="J75" s="3">
        <v>0.25</v>
      </c>
      <c r="K75" s="3">
        <v>0.25</v>
      </c>
      <c r="L75" s="3">
        <v>0.25</v>
      </c>
      <c r="M75" s="3">
        <v>0.25</v>
      </c>
      <c r="N75" s="3">
        <v>0.25</v>
      </c>
      <c r="O75" s="3">
        <v>0.25</v>
      </c>
      <c r="P75" s="3">
        <v>0.25</v>
      </c>
      <c r="Q75" s="3">
        <v>0.25</v>
      </c>
      <c r="R75" s="3">
        <v>0.3</v>
      </c>
      <c r="S75" s="3">
        <v>0.3</v>
      </c>
      <c r="T75" s="3">
        <v>0.3</v>
      </c>
      <c r="U75" s="3">
        <v>0.3</v>
      </c>
      <c r="V75" s="3">
        <v>0.3</v>
      </c>
      <c r="W75" s="3">
        <v>0.3</v>
      </c>
      <c r="X75" s="3">
        <v>0.3</v>
      </c>
      <c r="Y75" s="3">
        <v>0.3</v>
      </c>
      <c r="Z75" s="3">
        <v>0.3</v>
      </c>
    </row>
    <row r="76" spans="1:26" x14ac:dyDescent="0.25">
      <c r="A76" s="2" t="s">
        <v>98</v>
      </c>
      <c r="C76" s="19">
        <f t="shared" ref="C76:W76" si="390">+C71*(1-C72)/C75</f>
        <v>20.641303636363638</v>
      </c>
      <c r="D76" s="19">
        <f t="shared" si="390"/>
        <v>20.641303636363638</v>
      </c>
      <c r="E76" s="19">
        <f t="shared" ref="E76" si="391">+E71*(1-E72)/E75</f>
        <v>20.641303636363638</v>
      </c>
      <c r="F76" s="19">
        <f t="shared" si="390"/>
        <v>20.641303636363638</v>
      </c>
      <c r="G76" s="19">
        <f t="shared" ref="G76:H76" si="392">+G71*(1-G72)/G75</f>
        <v>20.641303636363638</v>
      </c>
      <c r="H76" s="19">
        <f t="shared" si="392"/>
        <v>20.641303636363638</v>
      </c>
      <c r="I76" s="19">
        <f>+I71*(1-I72)/I75</f>
        <v>125.19166153846157</v>
      </c>
      <c r="J76" s="19">
        <f>+J71*(1-J72)/J75</f>
        <v>125.19166153846157</v>
      </c>
      <c r="K76" s="19">
        <f>+K71*(1-K72)/K75</f>
        <v>125.19166153846157</v>
      </c>
      <c r="L76" s="19">
        <f t="shared" si="390"/>
        <v>125.19166153846157</v>
      </c>
      <c r="M76" s="19">
        <f t="shared" ref="M76:N76" si="393">+M71*(1-M72)/M75</f>
        <v>125.19166153846157</v>
      </c>
      <c r="N76" s="19">
        <f t="shared" si="393"/>
        <v>125.19166153846157</v>
      </c>
      <c r="O76" s="19">
        <f t="shared" si="390"/>
        <v>125.19166153846157</v>
      </c>
      <c r="P76" s="19">
        <f t="shared" ref="P76:Q76" si="394">+P71*(1-P72)/P75</f>
        <v>125.19166153846157</v>
      </c>
      <c r="Q76" s="19">
        <f t="shared" si="394"/>
        <v>125.19166153846157</v>
      </c>
      <c r="R76" s="19">
        <f t="shared" si="390"/>
        <v>290.84156862745084</v>
      </c>
      <c r="S76" s="19">
        <f t="shared" ref="S76" si="395">+S71*(1-S72)/S75</f>
        <v>290.84156862745084</v>
      </c>
      <c r="T76" s="19">
        <f t="shared" si="390"/>
        <v>290.84156862745084</v>
      </c>
      <c r="U76" s="19">
        <f t="shared" ref="U76" si="396">+U71*(1-U72)/U75</f>
        <v>290.84156862745084</v>
      </c>
      <c r="V76" s="19">
        <f t="shared" ref="V76" si="397">+V71*(1-V72)/V75</f>
        <v>290.84156862745084</v>
      </c>
      <c r="W76" s="19">
        <f t="shared" si="390"/>
        <v>525.50274509803899</v>
      </c>
      <c r="X76" s="19">
        <f t="shared" ref="X76" si="398">+X71*(1-X72)/X75</f>
        <v>525.50274509803899</v>
      </c>
      <c r="Y76" s="19">
        <f t="shared" ref="Y76:Z76" si="399">+Y71*(1-Y72)/Y75</f>
        <v>525.50274509803899</v>
      </c>
      <c r="Z76" s="19">
        <f t="shared" si="399"/>
        <v>525.50274509803899</v>
      </c>
    </row>
    <row r="77" spans="1:26" x14ac:dyDescent="0.25">
      <c r="A77" s="2" t="s">
        <v>99</v>
      </c>
      <c r="B77" s="2" t="s">
        <v>100</v>
      </c>
      <c r="C77" s="3">
        <v>2</v>
      </c>
      <c r="D77" s="3">
        <v>2</v>
      </c>
      <c r="E77" s="3">
        <v>2</v>
      </c>
      <c r="F77" s="3">
        <v>2</v>
      </c>
      <c r="G77" s="3">
        <v>2</v>
      </c>
      <c r="H77" s="3">
        <v>2</v>
      </c>
      <c r="I77" s="3">
        <v>2</v>
      </c>
      <c r="J77" s="3">
        <v>2</v>
      </c>
      <c r="K77" s="3">
        <v>2</v>
      </c>
      <c r="L77" s="3">
        <v>2</v>
      </c>
      <c r="M77" s="3">
        <v>2</v>
      </c>
      <c r="N77" s="3">
        <v>2</v>
      </c>
      <c r="O77" s="3">
        <v>2</v>
      </c>
      <c r="P77" s="3">
        <v>2</v>
      </c>
      <c r="Q77" s="3">
        <v>2</v>
      </c>
      <c r="R77" s="3">
        <v>2.5</v>
      </c>
      <c r="S77" s="3">
        <v>2.5</v>
      </c>
      <c r="T77" s="3">
        <v>2.5</v>
      </c>
      <c r="U77" s="3">
        <v>2.5</v>
      </c>
      <c r="V77" s="3">
        <v>2.5</v>
      </c>
      <c r="W77" s="3">
        <v>2.5</v>
      </c>
      <c r="X77" s="3">
        <v>2.5</v>
      </c>
      <c r="Y77" s="3">
        <v>2.5</v>
      </c>
      <c r="Z77" s="3">
        <v>2.5</v>
      </c>
    </row>
    <row r="78" spans="1:26" x14ac:dyDescent="0.25">
      <c r="A78" s="2" t="s">
        <v>101</v>
      </c>
      <c r="B78" s="2" t="s">
        <v>102</v>
      </c>
      <c r="C78" s="3">
        <v>0.02</v>
      </c>
      <c r="D78" s="3">
        <v>0.02</v>
      </c>
      <c r="E78" s="3">
        <v>0.02</v>
      </c>
      <c r="F78" s="3">
        <v>0.02</v>
      </c>
      <c r="G78" s="3">
        <v>0.02</v>
      </c>
      <c r="H78" s="3">
        <v>0.02</v>
      </c>
      <c r="I78" s="3">
        <v>0.02</v>
      </c>
      <c r="J78" s="3">
        <v>0.02</v>
      </c>
      <c r="K78" s="3">
        <v>0.02</v>
      </c>
      <c r="L78" s="3">
        <v>0.02</v>
      </c>
      <c r="M78" s="3">
        <v>0.02</v>
      </c>
      <c r="N78" s="3">
        <v>0.02</v>
      </c>
      <c r="O78" s="3">
        <v>0.02</v>
      </c>
      <c r="P78" s="3">
        <v>0.02</v>
      </c>
      <c r="Q78" s="3">
        <v>0.02</v>
      </c>
      <c r="R78" s="3">
        <v>0.02</v>
      </c>
      <c r="S78" s="3">
        <v>0.02</v>
      </c>
      <c r="T78" s="3">
        <v>0.02</v>
      </c>
      <c r="U78" s="3">
        <v>0.02</v>
      </c>
      <c r="V78" s="3">
        <v>0.02</v>
      </c>
      <c r="W78" s="3">
        <v>0.02</v>
      </c>
      <c r="X78" s="3">
        <v>0.02</v>
      </c>
      <c r="Y78" s="3">
        <v>0.02</v>
      </c>
      <c r="Z78" s="3">
        <v>0.02</v>
      </c>
    </row>
    <row r="79" spans="1:26" x14ac:dyDescent="0.25">
      <c r="A79" s="2" t="s">
        <v>103</v>
      </c>
      <c r="B79" s="2" t="s">
        <v>104</v>
      </c>
      <c r="C79" s="19">
        <f t="shared" ref="C79:W79" si="400">+C71*C77</f>
        <v>68.804345454545455</v>
      </c>
      <c r="D79" s="19">
        <f t="shared" si="400"/>
        <v>68.804345454545455</v>
      </c>
      <c r="E79" s="19">
        <f t="shared" ref="E79" si="401">+E71*E77</f>
        <v>68.804345454545455</v>
      </c>
      <c r="F79" s="19">
        <f t="shared" si="400"/>
        <v>68.804345454545455</v>
      </c>
      <c r="G79" s="19">
        <f t="shared" ref="G79:H79" si="402">+G71*G77</f>
        <v>68.804345454545455</v>
      </c>
      <c r="H79" s="19">
        <f t="shared" si="402"/>
        <v>68.804345454545455</v>
      </c>
      <c r="I79" s="19">
        <f t="shared" si="400"/>
        <v>368.21076923076924</v>
      </c>
      <c r="J79" s="19">
        <f t="shared" ref="J79:K79" si="403">+J71*J77</f>
        <v>368.21076923076924</v>
      </c>
      <c r="K79" s="19">
        <f t="shared" si="403"/>
        <v>368.21076923076924</v>
      </c>
      <c r="L79" s="19">
        <f t="shared" si="400"/>
        <v>368.21076923076924</v>
      </c>
      <c r="M79" s="19">
        <f t="shared" ref="M79:N79" si="404">+M71*M77</f>
        <v>368.21076923076924</v>
      </c>
      <c r="N79" s="19">
        <f t="shared" si="404"/>
        <v>368.21076923076924</v>
      </c>
      <c r="O79" s="19">
        <f t="shared" si="400"/>
        <v>368.21076923076924</v>
      </c>
      <c r="P79" s="19">
        <f t="shared" ref="P79:Q79" si="405">+P71*P77</f>
        <v>368.21076923076924</v>
      </c>
      <c r="Q79" s="19">
        <f t="shared" si="405"/>
        <v>368.21076923076924</v>
      </c>
      <c r="R79" s="19">
        <f t="shared" si="400"/>
        <v>1148.0588235294115</v>
      </c>
      <c r="S79" s="19">
        <f t="shared" ref="S79" si="406">+S71*S77</f>
        <v>1148.0588235294115</v>
      </c>
      <c r="T79" s="19">
        <f t="shared" si="400"/>
        <v>1148.0588235294115</v>
      </c>
      <c r="U79" s="19">
        <f t="shared" ref="U79" si="407">+U71*U77</f>
        <v>1148.0588235294115</v>
      </c>
      <c r="V79" s="19">
        <f t="shared" ref="V79" si="408">+V71*V77</f>
        <v>1148.0588235294115</v>
      </c>
      <c r="W79" s="19">
        <f t="shared" si="400"/>
        <v>2074.3529411764703</v>
      </c>
      <c r="X79" s="19">
        <f t="shared" ref="X79" si="409">+X71*X77</f>
        <v>2074.3529411764703</v>
      </c>
      <c r="Y79" s="19">
        <f t="shared" ref="Y79:Z79" si="410">+Y71*Y77</f>
        <v>2074.3529411764703</v>
      </c>
      <c r="Z79" s="19">
        <f t="shared" si="410"/>
        <v>2074.3529411764703</v>
      </c>
    </row>
    <row r="80" spans="1:26" x14ac:dyDescent="0.25">
      <c r="A80" s="2" t="s">
        <v>105</v>
      </c>
      <c r="B80" s="2" t="s">
        <v>106</v>
      </c>
      <c r="C80" s="19">
        <f t="shared" ref="C80:W80" si="411">+C79+C76</f>
        <v>89.445649090909086</v>
      </c>
      <c r="D80" s="19">
        <f t="shared" si="411"/>
        <v>89.445649090909086</v>
      </c>
      <c r="E80" s="19">
        <f t="shared" ref="E80" si="412">+E79+E76</f>
        <v>89.445649090909086</v>
      </c>
      <c r="F80" s="19">
        <f t="shared" si="411"/>
        <v>89.445649090909086</v>
      </c>
      <c r="G80" s="19">
        <f t="shared" ref="G80:H80" si="413">+G79+G76</f>
        <v>89.445649090909086</v>
      </c>
      <c r="H80" s="19">
        <f t="shared" si="413"/>
        <v>89.445649090909086</v>
      </c>
      <c r="I80" s="19">
        <f t="shared" si="411"/>
        <v>493.40243076923082</v>
      </c>
      <c r="J80" s="19">
        <f t="shared" ref="J80:K80" si="414">+J79+J76</f>
        <v>493.40243076923082</v>
      </c>
      <c r="K80" s="19">
        <f t="shared" si="414"/>
        <v>493.40243076923082</v>
      </c>
      <c r="L80" s="19">
        <f t="shared" si="411"/>
        <v>493.40243076923082</v>
      </c>
      <c r="M80" s="19">
        <f t="shared" ref="M80:N80" si="415">+M79+M76</f>
        <v>493.40243076923082</v>
      </c>
      <c r="N80" s="19">
        <f t="shared" si="415"/>
        <v>493.40243076923082</v>
      </c>
      <c r="O80" s="19">
        <f t="shared" si="411"/>
        <v>493.40243076923082</v>
      </c>
      <c r="P80" s="19">
        <f t="shared" ref="P80:Q80" si="416">+P79+P76</f>
        <v>493.40243076923082</v>
      </c>
      <c r="Q80" s="19">
        <f t="shared" si="416"/>
        <v>493.40243076923082</v>
      </c>
      <c r="R80" s="19">
        <f t="shared" si="411"/>
        <v>1438.9003921568624</v>
      </c>
      <c r="S80" s="19">
        <f t="shared" ref="S80" si="417">+S79+S76</f>
        <v>1438.9003921568624</v>
      </c>
      <c r="T80" s="19">
        <f t="shared" si="411"/>
        <v>1438.9003921568624</v>
      </c>
      <c r="U80" s="19">
        <f t="shared" ref="U80" si="418">+U79+U76</f>
        <v>1438.9003921568624</v>
      </c>
      <c r="V80" s="19">
        <f t="shared" ref="V80" si="419">+V79+V76</f>
        <v>1438.9003921568624</v>
      </c>
      <c r="W80" s="19">
        <f t="shared" si="411"/>
        <v>2599.855686274509</v>
      </c>
      <c r="X80" s="19">
        <f t="shared" ref="X80" si="420">+X79+X76</f>
        <v>2599.855686274509</v>
      </c>
      <c r="Y80" s="19">
        <f t="shared" ref="Y80:Z80" si="421">+Y79+Y76</f>
        <v>2599.855686274509</v>
      </c>
      <c r="Z80" s="19">
        <f t="shared" si="421"/>
        <v>2599.855686274509</v>
      </c>
    </row>
    <row r="81" spans="1:26" x14ac:dyDescent="0.25">
      <c r="A81" s="2" t="s">
        <v>107</v>
      </c>
      <c r="B81" s="2" t="s">
        <v>108</v>
      </c>
      <c r="C81" s="3">
        <v>15</v>
      </c>
      <c r="D81" s="3">
        <v>15</v>
      </c>
      <c r="E81" s="3">
        <v>15</v>
      </c>
      <c r="F81" s="3">
        <v>15</v>
      </c>
      <c r="G81" s="3">
        <v>15</v>
      </c>
      <c r="H81" s="3">
        <v>15</v>
      </c>
      <c r="I81" s="3">
        <v>75</v>
      </c>
      <c r="J81" s="3">
        <v>75</v>
      </c>
      <c r="K81" s="3">
        <v>75</v>
      </c>
      <c r="L81" s="3">
        <v>75</v>
      </c>
      <c r="M81" s="3">
        <v>75</v>
      </c>
      <c r="N81" s="3">
        <v>75</v>
      </c>
      <c r="O81" s="3">
        <v>75</v>
      </c>
      <c r="P81" s="3">
        <v>75</v>
      </c>
      <c r="Q81" s="3">
        <v>75</v>
      </c>
      <c r="R81" s="3">
        <v>340</v>
      </c>
      <c r="S81" s="3">
        <v>340</v>
      </c>
      <c r="T81" s="3">
        <v>340</v>
      </c>
      <c r="U81" s="3">
        <v>340</v>
      </c>
      <c r="V81" s="3">
        <v>340</v>
      </c>
      <c r="W81" s="3">
        <v>0</v>
      </c>
      <c r="X81" s="3">
        <v>0</v>
      </c>
      <c r="Y81" s="3">
        <v>0</v>
      </c>
      <c r="Z81" s="3">
        <v>0</v>
      </c>
    </row>
    <row r="82" spans="1:26" x14ac:dyDescent="0.25">
      <c r="A82" s="2" t="s">
        <v>109</v>
      </c>
      <c r="B82" s="2" t="s">
        <v>110</v>
      </c>
      <c r="C82" s="3">
        <v>0</v>
      </c>
      <c r="D82" s="3">
        <v>0</v>
      </c>
      <c r="E82" s="3">
        <v>0</v>
      </c>
      <c r="F82" s="3">
        <v>1</v>
      </c>
      <c r="G82" s="3">
        <v>1</v>
      </c>
      <c r="H82" s="3">
        <v>1</v>
      </c>
      <c r="I82" s="3">
        <v>3</v>
      </c>
      <c r="J82" s="3">
        <v>3</v>
      </c>
      <c r="K82" s="3">
        <v>3</v>
      </c>
      <c r="L82" s="3">
        <v>3</v>
      </c>
      <c r="M82" s="3">
        <v>3</v>
      </c>
      <c r="N82" s="3">
        <v>3</v>
      </c>
      <c r="O82" s="3">
        <v>3</v>
      </c>
      <c r="P82" s="3">
        <v>3</v>
      </c>
      <c r="Q82" s="3">
        <v>3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50</v>
      </c>
      <c r="X82" s="3">
        <v>50</v>
      </c>
      <c r="Y82" s="3">
        <v>50</v>
      </c>
      <c r="Z82" s="3">
        <v>50</v>
      </c>
    </row>
    <row r="83" spans="1:26" x14ac:dyDescent="0.25">
      <c r="A83" s="2" t="s">
        <v>111</v>
      </c>
      <c r="C83" s="3">
        <v>0.85</v>
      </c>
      <c r="D83" s="3">
        <f t="shared" ref="D83:Z83" si="422">$C$83</f>
        <v>0.85</v>
      </c>
      <c r="E83" s="3">
        <f t="shared" si="422"/>
        <v>0.85</v>
      </c>
      <c r="F83" s="3">
        <f t="shared" si="422"/>
        <v>0.85</v>
      </c>
      <c r="G83" s="3">
        <f t="shared" si="422"/>
        <v>0.85</v>
      </c>
      <c r="H83" s="3">
        <f t="shared" si="422"/>
        <v>0.85</v>
      </c>
      <c r="I83" s="3">
        <f t="shared" si="422"/>
        <v>0.85</v>
      </c>
      <c r="J83" s="3">
        <f t="shared" si="422"/>
        <v>0.85</v>
      </c>
      <c r="K83" s="3">
        <f t="shared" si="422"/>
        <v>0.85</v>
      </c>
      <c r="L83" s="3">
        <f t="shared" si="422"/>
        <v>0.85</v>
      </c>
      <c r="M83" s="3">
        <f t="shared" si="422"/>
        <v>0.85</v>
      </c>
      <c r="N83" s="3">
        <f t="shared" si="422"/>
        <v>0.85</v>
      </c>
      <c r="O83" s="3">
        <f t="shared" si="422"/>
        <v>0.85</v>
      </c>
      <c r="P83" s="3">
        <f t="shared" si="422"/>
        <v>0.85</v>
      </c>
      <c r="Q83" s="3">
        <f t="shared" si="422"/>
        <v>0.85</v>
      </c>
      <c r="R83" s="3">
        <f t="shared" si="422"/>
        <v>0.85</v>
      </c>
      <c r="S83" s="3">
        <f t="shared" si="422"/>
        <v>0.85</v>
      </c>
      <c r="T83" s="3">
        <f t="shared" si="422"/>
        <v>0.85</v>
      </c>
      <c r="U83" s="3">
        <f t="shared" si="422"/>
        <v>0.85</v>
      </c>
      <c r="V83" s="3">
        <f t="shared" si="422"/>
        <v>0.85</v>
      </c>
      <c r="W83" s="3">
        <f t="shared" si="422"/>
        <v>0.85</v>
      </c>
      <c r="X83" s="3">
        <f t="shared" si="422"/>
        <v>0.85</v>
      </c>
      <c r="Y83" s="3">
        <f t="shared" si="422"/>
        <v>0.85</v>
      </c>
      <c r="Z83" s="3">
        <f t="shared" si="422"/>
        <v>0.85</v>
      </c>
    </row>
    <row r="84" spans="1:26" x14ac:dyDescent="0.25">
      <c r="A84" s="2" t="s">
        <v>112</v>
      </c>
      <c r="C84" s="3">
        <f>C82*C83</f>
        <v>0</v>
      </c>
      <c r="D84" s="3">
        <f t="shared" ref="D84:W84" si="423">D82*D83</f>
        <v>0</v>
      </c>
      <c r="E84" s="3">
        <f t="shared" ref="E84" si="424">E82*E83</f>
        <v>0</v>
      </c>
      <c r="F84" s="3">
        <f t="shared" si="423"/>
        <v>0.85</v>
      </c>
      <c r="G84" s="3">
        <f t="shared" ref="G84:H84" si="425">G82*G83</f>
        <v>0.85</v>
      </c>
      <c r="H84" s="3">
        <f t="shared" si="425"/>
        <v>0.85</v>
      </c>
      <c r="I84" s="3">
        <f t="shared" si="423"/>
        <v>2.5499999999999998</v>
      </c>
      <c r="J84" s="3">
        <f t="shared" ref="J84:K84" si="426">J82*J83</f>
        <v>2.5499999999999998</v>
      </c>
      <c r="K84" s="3">
        <f t="shared" si="426"/>
        <v>2.5499999999999998</v>
      </c>
      <c r="L84" s="3">
        <f t="shared" si="423"/>
        <v>2.5499999999999998</v>
      </c>
      <c r="M84" s="3">
        <f t="shared" ref="M84:N84" si="427">M82*M83</f>
        <v>2.5499999999999998</v>
      </c>
      <c r="N84" s="3">
        <f t="shared" si="427"/>
        <v>2.5499999999999998</v>
      </c>
      <c r="O84" s="3">
        <f t="shared" si="423"/>
        <v>2.5499999999999998</v>
      </c>
      <c r="P84" s="3">
        <f t="shared" ref="P84:Q84" si="428">P82*P83</f>
        <v>2.5499999999999998</v>
      </c>
      <c r="Q84" s="3">
        <f t="shared" si="428"/>
        <v>2.5499999999999998</v>
      </c>
      <c r="R84" s="3">
        <f t="shared" si="423"/>
        <v>0</v>
      </c>
      <c r="S84" s="3">
        <f t="shared" ref="S84" si="429">S82*S83</f>
        <v>0</v>
      </c>
      <c r="T84" s="3">
        <f t="shared" si="423"/>
        <v>0</v>
      </c>
      <c r="U84" s="3">
        <f t="shared" ref="U84" si="430">U82*U83</f>
        <v>0</v>
      </c>
      <c r="V84" s="3">
        <f t="shared" ref="V84" si="431">V82*V83</f>
        <v>0</v>
      </c>
      <c r="W84" s="3">
        <f t="shared" si="423"/>
        <v>42.5</v>
      </c>
      <c r="X84" s="3">
        <f t="shared" ref="X84" si="432">X82*X83</f>
        <v>42.5</v>
      </c>
      <c r="Y84" s="3">
        <f t="shared" ref="Y84:Z84" si="433">Y82*Y83</f>
        <v>42.5</v>
      </c>
      <c r="Z84" s="3">
        <f t="shared" si="433"/>
        <v>42.5</v>
      </c>
    </row>
    <row r="85" spans="1:26" x14ac:dyDescent="0.25">
      <c r="A85" s="2" t="s">
        <v>113</v>
      </c>
      <c r="B85" s="2" t="s">
        <v>114</v>
      </c>
      <c r="C85" s="19">
        <f>+C80+C81+C82</f>
        <v>104.44564909090909</v>
      </c>
      <c r="D85" s="19">
        <f t="shared" ref="D85:W85" si="434">+D80+D81+D82</f>
        <v>104.44564909090909</v>
      </c>
      <c r="E85" s="19">
        <f t="shared" ref="E85" si="435">+E80+E81+E82</f>
        <v>104.44564909090909</v>
      </c>
      <c r="F85" s="19">
        <f t="shared" si="434"/>
        <v>105.44564909090909</v>
      </c>
      <c r="G85" s="19">
        <f t="shared" ref="G85:H85" si="436">+G80+G81+G82</f>
        <v>105.44564909090909</v>
      </c>
      <c r="H85" s="19">
        <f t="shared" si="436"/>
        <v>105.44564909090909</v>
      </c>
      <c r="I85" s="19">
        <f>+I80+I81+I82</f>
        <v>571.40243076923082</v>
      </c>
      <c r="J85" s="19">
        <f>+J80+J81+J82</f>
        <v>571.40243076923082</v>
      </c>
      <c r="K85" s="19">
        <f>+K80+K81+K82</f>
        <v>571.40243076923082</v>
      </c>
      <c r="L85" s="19">
        <f t="shared" si="434"/>
        <v>571.40243076923082</v>
      </c>
      <c r="M85" s="19">
        <f t="shared" ref="M85:N85" si="437">+M80+M81+M82</f>
        <v>571.40243076923082</v>
      </c>
      <c r="N85" s="19">
        <f t="shared" si="437"/>
        <v>571.40243076923082</v>
      </c>
      <c r="O85" s="19">
        <f t="shared" si="434"/>
        <v>571.40243076923082</v>
      </c>
      <c r="P85" s="19">
        <f t="shared" ref="P85:Q85" si="438">+P80+P81+P82</f>
        <v>571.40243076923082</v>
      </c>
      <c r="Q85" s="19">
        <f t="shared" si="438"/>
        <v>571.40243076923082</v>
      </c>
      <c r="R85" s="19">
        <f t="shared" si="434"/>
        <v>1778.9003921568624</v>
      </c>
      <c r="S85" s="19">
        <f t="shared" ref="S85" si="439">+S80+S81+S82</f>
        <v>1778.9003921568624</v>
      </c>
      <c r="T85" s="19">
        <f t="shared" si="434"/>
        <v>1778.9003921568624</v>
      </c>
      <c r="U85" s="19">
        <f t="shared" ref="U85" si="440">+U80+U81+U82</f>
        <v>1778.9003921568624</v>
      </c>
      <c r="V85" s="19">
        <f t="shared" ref="V85" si="441">+V80+V81+V82</f>
        <v>1778.9003921568624</v>
      </c>
      <c r="W85" s="19">
        <f t="shared" si="434"/>
        <v>2649.855686274509</v>
      </c>
      <c r="X85" s="19">
        <f t="shared" ref="X85" si="442">+X80+X81+X82</f>
        <v>2649.855686274509</v>
      </c>
      <c r="Y85" s="19">
        <f t="shared" ref="Y85:Z85" si="443">+Y80+Y81+Y82</f>
        <v>2649.855686274509</v>
      </c>
      <c r="Z85" s="19">
        <f t="shared" si="443"/>
        <v>2649.855686274509</v>
      </c>
    </row>
    <row r="86" spans="1:26" x14ac:dyDescent="0.25">
      <c r="A86" s="2" t="s">
        <v>115</v>
      </c>
      <c r="C86" s="4">
        <f>C85/C80</f>
        <v>1.1676996047594734</v>
      </c>
      <c r="D86" s="4">
        <f t="shared" ref="D86:W86" si="444">D85/D80</f>
        <v>1.1676996047594734</v>
      </c>
      <c r="E86" s="4">
        <f t="shared" ref="E86" si="445">E85/E80</f>
        <v>1.1676996047594734</v>
      </c>
      <c r="F86" s="4">
        <f t="shared" si="444"/>
        <v>1.1788795784101049</v>
      </c>
      <c r="G86" s="4">
        <f t="shared" ref="G86:H86" si="446">G85/G80</f>
        <v>1.1788795784101049</v>
      </c>
      <c r="H86" s="4">
        <f t="shared" si="446"/>
        <v>1.1788795784101049</v>
      </c>
      <c r="I86" s="4">
        <f t="shared" si="444"/>
        <v>1.1580859662130067</v>
      </c>
      <c r="J86" s="4">
        <f t="shared" ref="J86:K86" si="447">J85/J80</f>
        <v>1.1580859662130067</v>
      </c>
      <c r="K86" s="4">
        <f t="shared" si="447"/>
        <v>1.1580859662130067</v>
      </c>
      <c r="L86" s="4">
        <f t="shared" si="444"/>
        <v>1.1580859662130067</v>
      </c>
      <c r="M86" s="4">
        <f t="shared" ref="M86:N86" si="448">M85/M80</f>
        <v>1.1580859662130067</v>
      </c>
      <c r="N86" s="4">
        <f t="shared" si="448"/>
        <v>1.1580859662130067</v>
      </c>
      <c r="O86" s="4">
        <f t="shared" si="444"/>
        <v>1.1580859662130067</v>
      </c>
      <c r="P86" s="4">
        <f t="shared" ref="P86:Q86" si="449">P85/P80</f>
        <v>1.1580859662130067</v>
      </c>
      <c r="Q86" s="4">
        <f t="shared" si="449"/>
        <v>1.1580859662130067</v>
      </c>
      <c r="R86" s="4">
        <f t="shared" si="444"/>
        <v>1.2362915472490432</v>
      </c>
      <c r="S86" s="4">
        <f t="shared" ref="S86" si="450">S85/S80</f>
        <v>1.2362915472490432</v>
      </c>
      <c r="T86" s="4">
        <f t="shared" si="444"/>
        <v>1.2362915472490432</v>
      </c>
      <c r="U86" s="4">
        <f t="shared" ref="U86" si="451">U85/U80</f>
        <v>1.2362915472490432</v>
      </c>
      <c r="V86" s="4">
        <f t="shared" ref="V86" si="452">V85/V80</f>
        <v>1.2362915472490432</v>
      </c>
      <c r="W86" s="4">
        <f t="shared" si="444"/>
        <v>1.0192318366992317</v>
      </c>
      <c r="X86" s="4">
        <f t="shared" ref="X86" si="453">X85/X80</f>
        <v>1.0192318366992317</v>
      </c>
      <c r="Y86" s="4">
        <f t="shared" ref="Y86:Z86" si="454">Y85/Y80</f>
        <v>1.0192318366992317</v>
      </c>
      <c r="Z86" s="4">
        <f t="shared" si="454"/>
        <v>1.0192318366992317</v>
      </c>
    </row>
    <row r="87" spans="1:26" x14ac:dyDescent="0.25">
      <c r="A87" s="2" t="s">
        <v>116</v>
      </c>
      <c r="C87" s="4">
        <f>+C84/C85*1000</f>
        <v>0</v>
      </c>
      <c r="D87" s="4">
        <f t="shared" ref="D87:W87" si="455">+D84/D85*1000</f>
        <v>0</v>
      </c>
      <c r="E87" s="4">
        <f t="shared" ref="E87" si="456">+E84/E85*1000</f>
        <v>0</v>
      </c>
      <c r="F87" s="4">
        <f t="shared" si="455"/>
        <v>8.0610248723224185</v>
      </c>
      <c r="G87" s="4">
        <f t="shared" ref="G87:H87" si="457">+G84/G85*1000</f>
        <v>8.0610248723224185</v>
      </c>
      <c r="H87" s="4">
        <f t="shared" si="457"/>
        <v>8.0610248723224185</v>
      </c>
      <c r="I87" s="4">
        <f t="shared" si="455"/>
        <v>4.4627041515506853</v>
      </c>
      <c r="J87" s="4">
        <f t="shared" ref="J87:K87" si="458">+J84/J85*1000</f>
        <v>4.4627041515506853</v>
      </c>
      <c r="K87" s="4">
        <f t="shared" si="458"/>
        <v>4.4627041515506853</v>
      </c>
      <c r="L87" s="4">
        <f t="shared" si="455"/>
        <v>4.4627041515506853</v>
      </c>
      <c r="M87" s="4">
        <f t="shared" ref="M87:N87" si="459">+M84/M85*1000</f>
        <v>4.4627041515506853</v>
      </c>
      <c r="N87" s="4">
        <f t="shared" si="459"/>
        <v>4.4627041515506853</v>
      </c>
      <c r="O87" s="4">
        <f t="shared" si="455"/>
        <v>4.4627041515506853</v>
      </c>
      <c r="P87" s="4">
        <f t="shared" ref="P87:Q87" si="460">+P84/P85*1000</f>
        <v>4.4627041515506853</v>
      </c>
      <c r="Q87" s="4">
        <f t="shared" si="460"/>
        <v>4.4627041515506853</v>
      </c>
      <c r="R87" s="4">
        <f t="shared" si="455"/>
        <v>0</v>
      </c>
      <c r="S87" s="4">
        <f t="shared" ref="S87" si="461">+S84/S85*1000</f>
        <v>0</v>
      </c>
      <c r="T87" s="4">
        <f t="shared" si="455"/>
        <v>0</v>
      </c>
      <c r="U87" s="4">
        <f t="shared" ref="U87" si="462">+U84/U85*1000</f>
        <v>0</v>
      </c>
      <c r="V87" s="4">
        <f t="shared" ref="V87" si="463">+V84/V85*1000</f>
        <v>0</v>
      </c>
      <c r="W87" s="4">
        <f t="shared" si="455"/>
        <v>16.038609279795043</v>
      </c>
      <c r="X87" s="4">
        <f t="shared" ref="X87" si="464">+X84/X85*1000</f>
        <v>16.038609279795043</v>
      </c>
      <c r="Y87" s="4">
        <f t="shared" ref="Y87:Z87" si="465">+Y84/Y85*1000</f>
        <v>16.038609279795043</v>
      </c>
      <c r="Z87" s="4">
        <f t="shared" si="465"/>
        <v>16.038609279795043</v>
      </c>
    </row>
    <row r="88" spans="1:26" x14ac:dyDescent="0.25">
      <c r="A88" s="2" t="s">
        <v>117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I88" s="3">
        <v>1</v>
      </c>
      <c r="J88" s="3">
        <v>1</v>
      </c>
      <c r="K88" s="3">
        <v>1</v>
      </c>
      <c r="L88" s="3">
        <v>1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1</v>
      </c>
      <c r="S88" s="3">
        <v>1</v>
      </c>
      <c r="T88" s="3">
        <v>1</v>
      </c>
      <c r="U88" s="3">
        <v>1</v>
      </c>
      <c r="V88" s="3">
        <v>1</v>
      </c>
      <c r="W88" s="3">
        <v>1</v>
      </c>
      <c r="X88" s="3">
        <v>1</v>
      </c>
      <c r="Y88" s="3">
        <v>1</v>
      </c>
      <c r="Z88" s="3">
        <v>1</v>
      </c>
    </row>
    <row r="89" spans="1:26" x14ac:dyDescent="0.25">
      <c r="A89" s="2" t="s">
        <v>118</v>
      </c>
      <c r="C89" s="4">
        <f t="shared" ref="C89:W89" si="466">+C85/C88/C64/C65/10</f>
        <v>0.644726228956229</v>
      </c>
      <c r="D89" s="4">
        <f t="shared" si="466"/>
        <v>0.644726228956229</v>
      </c>
      <c r="E89" s="4">
        <f t="shared" ref="E89" si="467">+E85/E88/E64/E65/10</f>
        <v>0.644726228956229</v>
      </c>
      <c r="F89" s="4">
        <f t="shared" si="466"/>
        <v>1.3017981369248035</v>
      </c>
      <c r="G89" s="4">
        <f t="shared" ref="G89:H89" si="468">+G85/G88/G64/G65/10</f>
        <v>1.3017981369248035</v>
      </c>
      <c r="H89" s="4">
        <f t="shared" si="468"/>
        <v>1.3017981369248035</v>
      </c>
      <c r="I89" s="4">
        <f t="shared" si="466"/>
        <v>1.0465245984784448</v>
      </c>
      <c r="J89" s="4">
        <f t="shared" ref="J89:K89" si="469">+J85/J88/J64/J65/10</f>
        <v>1.0465245984784448</v>
      </c>
      <c r="K89" s="4">
        <f t="shared" si="469"/>
        <v>1.0465245984784448</v>
      </c>
      <c r="L89" s="4">
        <f t="shared" si="466"/>
        <v>1.3953661313045926</v>
      </c>
      <c r="M89" s="4">
        <f t="shared" ref="M89:N89" si="470">+M85/M88/M64/M65/10</f>
        <v>1.3953661313045926</v>
      </c>
      <c r="N89" s="4">
        <f t="shared" si="470"/>
        <v>1.3953661313045926</v>
      </c>
      <c r="O89" s="4">
        <f t="shared" si="466"/>
        <v>2.0930491969568896</v>
      </c>
      <c r="P89" s="4">
        <f t="shared" ref="P89:Q89" si="471">+P85/P88/P64/P65/10</f>
        <v>2.0930491969568896</v>
      </c>
      <c r="Q89" s="4">
        <f t="shared" si="471"/>
        <v>2.0930491969568896</v>
      </c>
      <c r="R89" s="4">
        <f>+R85/R88/R64/R65/10</f>
        <v>0.39179893844004243</v>
      </c>
      <c r="S89" s="4">
        <f>+S85/S88/S64/S65/10</f>
        <v>0.39179893844004243</v>
      </c>
      <c r="T89" s="4">
        <f t="shared" si="466"/>
        <v>0.78359787688008486</v>
      </c>
      <c r="U89" s="4">
        <f t="shared" ref="U89" si="472">+U85/U88/U64/U65/10</f>
        <v>0.78359787688008486</v>
      </c>
      <c r="V89" s="4">
        <f t="shared" ref="V89" si="473">+V85/V88/V64/V65/10</f>
        <v>0.78359787688008486</v>
      </c>
      <c r="W89" s="4">
        <f t="shared" si="466"/>
        <v>0.99794400524024796</v>
      </c>
      <c r="X89" s="4">
        <f t="shared" ref="X89" si="474">+X85/X88/X64/X65/10</f>
        <v>0.99794400524024796</v>
      </c>
      <c r="Y89" s="4">
        <f t="shared" ref="Y89:Z89" si="475">+Y85/Y88/Y64/Y65/10</f>
        <v>0.99794400524024796</v>
      </c>
      <c r="Z89" s="4">
        <f t="shared" si="475"/>
        <v>0.99794400524024796</v>
      </c>
    </row>
    <row r="92" spans="1:26" x14ac:dyDescent="0.25">
      <c r="A92" s="2" t="s">
        <v>119</v>
      </c>
      <c r="C92" s="3">
        <v>0.7</v>
      </c>
      <c r="D92" s="3">
        <v>0.7</v>
      </c>
      <c r="E92" s="3">
        <v>0.7</v>
      </c>
      <c r="F92" s="3">
        <v>0.7</v>
      </c>
      <c r="G92" s="3">
        <v>0.7</v>
      </c>
      <c r="H92" s="3">
        <v>0.7</v>
      </c>
      <c r="I92" s="3">
        <v>0.7</v>
      </c>
      <c r="J92" s="3">
        <v>0.7</v>
      </c>
      <c r="K92" s="3">
        <v>0.7</v>
      </c>
      <c r="L92" s="3">
        <v>0.7</v>
      </c>
      <c r="M92" s="3">
        <v>0.7</v>
      </c>
      <c r="N92" s="3">
        <v>0.7</v>
      </c>
      <c r="O92" s="3">
        <v>0.7</v>
      </c>
      <c r="P92" s="3">
        <v>0.7</v>
      </c>
      <c r="Q92" s="3">
        <v>0.7</v>
      </c>
      <c r="R92" s="3">
        <v>0.7</v>
      </c>
      <c r="S92" s="3">
        <v>0.7</v>
      </c>
      <c r="T92" s="3">
        <v>0.7</v>
      </c>
      <c r="U92" s="3">
        <v>0.7</v>
      </c>
      <c r="V92" s="3">
        <v>0.7</v>
      </c>
      <c r="W92" s="3">
        <v>0.7</v>
      </c>
      <c r="X92" s="3">
        <v>0.7</v>
      </c>
      <c r="Y92" s="3">
        <v>0.7</v>
      </c>
      <c r="Z92" s="3">
        <v>0.7</v>
      </c>
    </row>
    <row r="93" spans="1:26" x14ac:dyDescent="0.25">
      <c r="A93" s="2" t="s">
        <v>120</v>
      </c>
      <c r="C93" s="9">
        <f t="shared" ref="C93:W93" si="476">+EXP(C48-C51/(C52*C47))*24/1000</f>
        <v>2.9104600986036597E-3</v>
      </c>
      <c r="D93" s="9">
        <f t="shared" si="476"/>
        <v>2.9104600986036597E-3</v>
      </c>
      <c r="E93" s="9">
        <f t="shared" ref="E93" si="477">+EXP(E48-E51/(E52*E47))*24/1000</f>
        <v>2.3652993806734289E-3</v>
      </c>
      <c r="F93" s="9">
        <f t="shared" si="476"/>
        <v>2.9104600986036597E-3</v>
      </c>
      <c r="G93" s="9">
        <f t="shared" ref="G93:H93" si="478">+EXP(G48-G51/(G52*G47))*24/1000</f>
        <v>2.9104600986036597E-3</v>
      </c>
      <c r="H93" s="9">
        <f t="shared" si="478"/>
        <v>2.3652993806734289E-3</v>
      </c>
      <c r="I93" s="9">
        <f t="shared" si="476"/>
        <v>2.9104600986036597E-3</v>
      </c>
      <c r="J93" s="9">
        <f t="shared" ref="J93:K93" si="479">+EXP(J48-J51/(J52*J47))*24/1000</f>
        <v>2.9104600986036597E-3</v>
      </c>
      <c r="K93" s="9">
        <f t="shared" si="479"/>
        <v>2.3652993806734289E-3</v>
      </c>
      <c r="L93" s="9">
        <f t="shared" si="476"/>
        <v>2.9104600986036597E-3</v>
      </c>
      <c r="M93" s="9">
        <f t="shared" ref="M93:N93" si="480">+EXP(M48-M51/(M52*M47))*24/1000</f>
        <v>2.9104600986036597E-3</v>
      </c>
      <c r="N93" s="9">
        <f t="shared" si="480"/>
        <v>2.3652993806734289E-3</v>
      </c>
      <c r="O93" s="9">
        <f t="shared" si="476"/>
        <v>2.9104600986036597E-3</v>
      </c>
      <c r="P93" s="9">
        <f t="shared" ref="P93:Q93" si="481">+EXP(P48-P51/(P52*P47))*24/1000</f>
        <v>2.9104600986036597E-3</v>
      </c>
      <c r="Q93" s="9">
        <f t="shared" si="481"/>
        <v>2.3652993806734289E-3</v>
      </c>
      <c r="R93" s="9">
        <f t="shared" si="476"/>
        <v>2.9104600986036597E-3</v>
      </c>
      <c r="S93" s="9">
        <f t="shared" ref="S93" si="482">+EXP(S48-S51/(S52*S47))*24/1000</f>
        <v>2.3652993806734289E-3</v>
      </c>
      <c r="T93" s="9">
        <f t="shared" si="476"/>
        <v>2.9104600986036597E-3</v>
      </c>
      <c r="U93" s="9">
        <f t="shared" ref="U93" si="483">+EXP(U48-U51/(U52*U47))*24/1000</f>
        <v>2.9104600986036597E-3</v>
      </c>
      <c r="V93" s="9">
        <f t="shared" ref="V93" si="484">+EXP(V48-V51/(V52*V47))*24/1000</f>
        <v>2.3652993806734289E-3</v>
      </c>
      <c r="W93" s="9">
        <f t="shared" si="476"/>
        <v>2.9104600986036597E-3</v>
      </c>
      <c r="X93" s="9">
        <f t="shared" ref="X93" si="485">+EXP(X48-X51/(X52*X47))*24/1000</f>
        <v>2.9104600986036597E-3</v>
      </c>
      <c r="Y93" s="9">
        <f t="shared" ref="Y93:Z93" si="486">+EXP(Y48-Y51/(Y52*Y47))*24/1000</f>
        <v>2.9104600986036597E-3</v>
      </c>
      <c r="Z93" s="9">
        <f t="shared" si="486"/>
        <v>2.3652993806734289E-3</v>
      </c>
    </row>
    <row r="94" spans="1:26" x14ac:dyDescent="0.25">
      <c r="A94" s="2" t="s">
        <v>121</v>
      </c>
      <c r="C94" s="9">
        <f t="shared" ref="C94:W94" si="487">+C93*C56</f>
        <v>1.9403067324024397E-2</v>
      </c>
      <c r="D94" s="9">
        <f t="shared" si="487"/>
        <v>1.9403067324024397E-2</v>
      </c>
      <c r="E94" s="9">
        <f t="shared" ref="E94" si="488">+E93*E56</f>
        <v>1.5768662537822862E-2</v>
      </c>
      <c r="F94" s="9">
        <f t="shared" si="487"/>
        <v>1.9403067324024397E-2</v>
      </c>
      <c r="G94" s="9">
        <f t="shared" ref="G94:H94" si="489">+G93*G56</f>
        <v>1.9403067324024397E-2</v>
      </c>
      <c r="H94" s="9">
        <f t="shared" si="489"/>
        <v>1.5768662537822862E-2</v>
      </c>
      <c r="I94" s="9">
        <f t="shared" si="487"/>
        <v>1.9403067324024397E-2</v>
      </c>
      <c r="J94" s="9">
        <f t="shared" ref="J94:K94" si="490">+J93*J56</f>
        <v>1.9403067324024397E-2</v>
      </c>
      <c r="K94" s="9">
        <f t="shared" si="490"/>
        <v>1.5768662537822862E-2</v>
      </c>
      <c r="L94" s="9">
        <f t="shared" si="487"/>
        <v>1.9403067324024397E-2</v>
      </c>
      <c r="M94" s="9">
        <f t="shared" ref="M94:N94" si="491">+M93*M56</f>
        <v>1.9403067324024397E-2</v>
      </c>
      <c r="N94" s="9">
        <f t="shared" si="491"/>
        <v>1.5768662537822862E-2</v>
      </c>
      <c r="O94" s="9">
        <f t="shared" si="487"/>
        <v>1.9403067324024397E-2</v>
      </c>
      <c r="P94" s="9">
        <f t="shared" ref="P94:Q94" si="492">+P93*P56</f>
        <v>1.9403067324024397E-2</v>
      </c>
      <c r="Q94" s="9">
        <f t="shared" si="492"/>
        <v>1.5768662537822862E-2</v>
      </c>
      <c r="R94" s="9">
        <f t="shared" si="487"/>
        <v>1.9403067324024397E-2</v>
      </c>
      <c r="S94" s="9">
        <f t="shared" ref="S94" si="493">+S93*S56</f>
        <v>1.5768662537822862E-2</v>
      </c>
      <c r="T94" s="9">
        <f t="shared" si="487"/>
        <v>1.9403067324024397E-2</v>
      </c>
      <c r="U94" s="9">
        <f t="shared" ref="U94" si="494">+U93*U56</f>
        <v>1.9403067324024397E-2</v>
      </c>
      <c r="V94" s="9">
        <f t="shared" ref="V94" si="495">+V93*V56</f>
        <v>1.5768662537822862E-2</v>
      </c>
      <c r="W94" s="9">
        <f t="shared" si="487"/>
        <v>1.9403067324024397E-2</v>
      </c>
      <c r="X94" s="9">
        <f t="shared" ref="X94" si="496">+X93*X56</f>
        <v>1.9403067324024397E-2</v>
      </c>
      <c r="Y94" s="9">
        <f t="shared" ref="Y94:Z94" si="497">+Y93*Y56</f>
        <v>1.9403067324024397E-2</v>
      </c>
      <c r="Z94" s="9">
        <f t="shared" si="497"/>
        <v>1.5768662537822862E-2</v>
      </c>
    </row>
    <row r="96" spans="1:26" x14ac:dyDescent="0.25">
      <c r="A96" s="2" t="s">
        <v>122</v>
      </c>
      <c r="C96" s="4">
        <f t="shared" ref="C96:W96" si="498">+C92*C74</f>
        <v>3.6122281363636364</v>
      </c>
      <c r="D96" s="4">
        <f t="shared" si="498"/>
        <v>3.6122281363636364</v>
      </c>
      <c r="E96" s="4">
        <f t="shared" ref="E96" si="499">+E92*E74</f>
        <v>3.6122281363636364</v>
      </c>
      <c r="F96" s="4">
        <f t="shared" si="498"/>
        <v>3.6122281363636364</v>
      </c>
      <c r="G96" s="4">
        <f t="shared" ref="G96:H96" si="500">+G92*G74</f>
        <v>3.6122281363636364</v>
      </c>
      <c r="H96" s="4">
        <f t="shared" si="500"/>
        <v>3.6122281363636364</v>
      </c>
      <c r="I96" s="4">
        <f>+I92*I74</f>
        <v>21.908540769230775</v>
      </c>
      <c r="J96" s="4">
        <f>+J92*J74</f>
        <v>21.908540769230775</v>
      </c>
      <c r="K96" s="4">
        <f>+K92*K74</f>
        <v>21.908540769230775</v>
      </c>
      <c r="L96" s="4">
        <f t="shared" si="498"/>
        <v>21.908540769230775</v>
      </c>
      <c r="M96" s="4">
        <f t="shared" ref="M96:N96" si="501">+M92*M74</f>
        <v>21.908540769230775</v>
      </c>
      <c r="N96" s="4">
        <f t="shared" si="501"/>
        <v>21.908540769230775</v>
      </c>
      <c r="O96" s="4">
        <f t="shared" si="498"/>
        <v>21.908540769230775</v>
      </c>
      <c r="P96" s="4">
        <f t="shared" ref="P96:Q96" si="502">+P92*P74</f>
        <v>21.908540769230775</v>
      </c>
      <c r="Q96" s="4">
        <f t="shared" si="502"/>
        <v>21.908540769230775</v>
      </c>
      <c r="R96" s="4">
        <f t="shared" si="498"/>
        <v>61.076729411764674</v>
      </c>
      <c r="S96" s="4">
        <f t="shared" ref="S96" si="503">+S92*S74</f>
        <v>61.076729411764674</v>
      </c>
      <c r="T96" s="4">
        <f t="shared" si="498"/>
        <v>61.076729411764674</v>
      </c>
      <c r="U96" s="4">
        <f t="shared" ref="U96" si="504">+U92*U74</f>
        <v>61.076729411764674</v>
      </c>
      <c r="V96" s="4">
        <f t="shared" ref="V96" si="505">+V92*V74</f>
        <v>61.076729411764674</v>
      </c>
      <c r="W96" s="4">
        <f t="shared" si="498"/>
        <v>110.35557647058818</v>
      </c>
      <c r="X96" s="4">
        <f t="shared" ref="X96" si="506">+X92*X74</f>
        <v>110.35557647058818</v>
      </c>
      <c r="Y96" s="4">
        <f t="shared" ref="Y96:Z96" si="507">+Y92*Y74</f>
        <v>110.35557647058818</v>
      </c>
      <c r="Z96" s="4">
        <f t="shared" si="507"/>
        <v>110.35557647058818</v>
      </c>
    </row>
    <row r="97" spans="1:26" x14ac:dyDescent="0.25">
      <c r="A97" s="2" t="s">
        <v>123</v>
      </c>
      <c r="C97" s="4">
        <f t="shared" ref="C97:W97" si="508">+C74*(1-C92)</f>
        <v>1.5480977727272731</v>
      </c>
      <c r="D97" s="4">
        <f t="shared" si="508"/>
        <v>1.5480977727272731</v>
      </c>
      <c r="E97" s="4">
        <f t="shared" ref="E97" si="509">+E74*(1-E92)</f>
        <v>1.5480977727272731</v>
      </c>
      <c r="F97" s="4">
        <f t="shared" si="508"/>
        <v>1.5480977727272731</v>
      </c>
      <c r="G97" s="4">
        <f t="shared" ref="G97:H97" si="510">+G74*(1-G92)</f>
        <v>1.5480977727272731</v>
      </c>
      <c r="H97" s="4">
        <f t="shared" si="510"/>
        <v>1.5480977727272731</v>
      </c>
      <c r="I97" s="4">
        <f t="shared" si="508"/>
        <v>9.3893746153846198</v>
      </c>
      <c r="J97" s="4">
        <f t="shared" ref="J97:K97" si="511">+J74*(1-J92)</f>
        <v>9.3893746153846198</v>
      </c>
      <c r="K97" s="4">
        <f t="shared" si="511"/>
        <v>9.3893746153846198</v>
      </c>
      <c r="L97" s="4">
        <f t="shared" si="508"/>
        <v>9.3893746153846198</v>
      </c>
      <c r="M97" s="4">
        <f t="shared" ref="M97:N97" si="512">+M74*(1-M92)</f>
        <v>9.3893746153846198</v>
      </c>
      <c r="N97" s="4">
        <f t="shared" si="512"/>
        <v>9.3893746153846198</v>
      </c>
      <c r="O97" s="4">
        <f t="shared" si="508"/>
        <v>9.3893746153846198</v>
      </c>
      <c r="P97" s="4">
        <f t="shared" ref="P97:Q97" si="513">+P74*(1-P92)</f>
        <v>9.3893746153846198</v>
      </c>
      <c r="Q97" s="4">
        <f t="shared" si="513"/>
        <v>9.3893746153846198</v>
      </c>
      <c r="R97" s="4">
        <f t="shared" si="508"/>
        <v>26.175741176470581</v>
      </c>
      <c r="S97" s="4">
        <f t="shared" ref="S97" si="514">+S74*(1-S92)</f>
        <v>26.175741176470581</v>
      </c>
      <c r="T97" s="4">
        <f t="shared" si="508"/>
        <v>26.175741176470581</v>
      </c>
      <c r="U97" s="4">
        <f t="shared" ref="U97" si="515">+U74*(1-U92)</f>
        <v>26.175741176470581</v>
      </c>
      <c r="V97" s="4">
        <f t="shared" ref="V97" si="516">+V74*(1-V92)</f>
        <v>26.175741176470581</v>
      </c>
      <c r="W97" s="4">
        <f t="shared" si="508"/>
        <v>47.295247058823513</v>
      </c>
      <c r="X97" s="4">
        <f t="shared" ref="X97" si="517">+X74*(1-X92)</f>
        <v>47.295247058823513</v>
      </c>
      <c r="Y97" s="4">
        <f t="shared" ref="Y97:Z97" si="518">+Y74*(1-Y92)</f>
        <v>47.295247058823513</v>
      </c>
      <c r="Z97" s="4">
        <f t="shared" si="518"/>
        <v>47.295247058823513</v>
      </c>
    </row>
    <row r="99" spans="1:26" x14ac:dyDescent="0.25">
      <c r="A99" s="2" t="s">
        <v>124</v>
      </c>
      <c r="C99" s="4">
        <f t="shared" ref="C99:Y99" si="519">+(1-C94)^C13</f>
        <v>0.57039668872383431</v>
      </c>
      <c r="D99" s="4">
        <f t="shared" si="519"/>
        <v>0.85235619467864565</v>
      </c>
      <c r="E99" s="4">
        <f t="shared" ref="E99" si="520">+(1-E94)^E13</f>
        <v>0.63418037000155925</v>
      </c>
      <c r="F99" s="4">
        <f t="shared" si="519"/>
        <v>0.75557269002687222</v>
      </c>
      <c r="G99" s="4">
        <f t="shared" si="519"/>
        <v>0.89249695568816301</v>
      </c>
      <c r="H99" s="4">
        <f t="shared" ref="H99" si="521">+(1-H94)^H13</f>
        <v>0.79663375095402866</v>
      </c>
      <c r="I99" s="4">
        <f t="shared" si="519"/>
        <v>0.71157254127023273</v>
      </c>
      <c r="J99" s="4">
        <f t="shared" si="519"/>
        <v>0.88272077128840487</v>
      </c>
      <c r="K99" s="4">
        <f t="shared" ref="K99" si="522">+(1-K94)^K13</f>
        <v>0.75878969028107501</v>
      </c>
      <c r="L99" s="4">
        <f t="shared" si="519"/>
        <v>0.77285977099406744</v>
      </c>
      <c r="M99" s="4">
        <f t="shared" si="519"/>
        <v>0.89520340146034605</v>
      </c>
      <c r="N99" s="4">
        <f t="shared" ref="N99" si="523">+(1-N94)^N13</f>
        <v>0.81138731668449826</v>
      </c>
      <c r="O99" s="4">
        <f t="shared" si="519"/>
        <v>0.83942562560766676</v>
      </c>
      <c r="P99" s="4">
        <f t="shared" si="519"/>
        <v>0.90786254957666734</v>
      </c>
      <c r="Q99" s="4">
        <f t="shared" ref="Q99" si="524">+(1-Q94)^Q13</f>
        <v>0.86763089444797403</v>
      </c>
      <c r="R99" s="4">
        <f t="shared" si="519"/>
        <v>0.57596880528224226</v>
      </c>
      <c r="S99" s="4">
        <f t="shared" ref="S99" si="525">+(1-S94)^S13</f>
        <v>0.63920125588803189</v>
      </c>
      <c r="T99" s="4">
        <f t="shared" si="519"/>
        <v>0.62083675199571453</v>
      </c>
      <c r="U99" s="4">
        <f t="shared" si="519"/>
        <v>0.86624033257408795</v>
      </c>
      <c r="V99" s="4">
        <f t="shared" ref="V99" si="526">+(1-V94)^V13</f>
        <v>0.67930528506744159</v>
      </c>
      <c r="W99" s="4">
        <f t="shared" si="519"/>
        <v>0.70271132599386132</v>
      </c>
      <c r="X99" s="4">
        <f t="shared" si="519"/>
        <v>0.88031044205941988</v>
      </c>
      <c r="Y99" s="4">
        <f t="shared" si="519"/>
        <v>0.9709978408136869</v>
      </c>
      <c r="Z99" s="4">
        <f t="shared" ref="Z99" si="527">+(1-Z94)^Z13</f>
        <v>0.75111551277646871</v>
      </c>
    </row>
    <row r="100" spans="1:26" x14ac:dyDescent="0.25">
      <c r="A100" s="2" t="s">
        <v>125</v>
      </c>
      <c r="C100" s="4">
        <f>1-C99</f>
        <v>0.42960331127616569</v>
      </c>
      <c r="D100" s="4">
        <f t="shared" ref="D100:E100" si="528">1-D99</f>
        <v>0.14764380532135435</v>
      </c>
      <c r="E100" s="4">
        <f t="shared" si="528"/>
        <v>0.36581962999844075</v>
      </c>
      <c r="F100" s="4">
        <f t="shared" ref="F100:G100" si="529">1-F99</f>
        <v>0.24442730997312778</v>
      </c>
      <c r="G100" s="4">
        <f t="shared" si="529"/>
        <v>0.10750304431183699</v>
      </c>
      <c r="H100" s="4">
        <f t="shared" ref="H100" si="530">1-H99</f>
        <v>0.20336624904597134</v>
      </c>
      <c r="I100" s="4">
        <f t="shared" ref="I100:J100" si="531">1-I99</f>
        <v>0.28842745872976727</v>
      </c>
      <c r="J100" s="4">
        <f t="shared" si="531"/>
        <v>0.11727922871159513</v>
      </c>
      <c r="K100" s="4">
        <f t="shared" ref="K100" si="532">1-K99</f>
        <v>0.24121030971892499</v>
      </c>
      <c r="L100" s="4">
        <f t="shared" ref="L100:M100" si="533">1-L99</f>
        <v>0.22714022900593256</v>
      </c>
      <c r="M100" s="4">
        <f t="shared" si="533"/>
        <v>0.10479659853965395</v>
      </c>
      <c r="N100" s="4">
        <f t="shared" ref="N100" si="534">1-N99</f>
        <v>0.18861268331550174</v>
      </c>
      <c r="O100" s="4">
        <f t="shared" ref="O100:P100" si="535">1-O99</f>
        <v>0.16057437439233324</v>
      </c>
      <c r="P100" s="4">
        <f t="shared" si="535"/>
        <v>9.2137450423332656E-2</v>
      </c>
      <c r="Q100" s="4">
        <f t="shared" ref="Q100" si="536">1-Q99</f>
        <v>0.13236910555202597</v>
      </c>
      <c r="R100" s="4">
        <f t="shared" ref="R100:T100" si="537">1-R99</f>
        <v>0.42403119471775774</v>
      </c>
      <c r="S100" s="4">
        <f t="shared" ref="S100" si="538">1-S99</f>
        <v>0.36079874411196811</v>
      </c>
      <c r="T100" s="4">
        <f t="shared" si="537"/>
        <v>0.37916324800428547</v>
      </c>
      <c r="U100" s="4">
        <f t="shared" ref="U100" si="539">1-U99</f>
        <v>0.13375966742591205</v>
      </c>
      <c r="V100" s="4">
        <f t="shared" ref="V100" si="540">1-V99</f>
        <v>0.32069471493255841</v>
      </c>
      <c r="W100" s="4">
        <f t="shared" ref="W100:Y100" si="541">1-W99</f>
        <v>0.29728867400613868</v>
      </c>
      <c r="X100" s="4">
        <f t="shared" ref="X100" si="542">1-X99</f>
        <v>0.11968955794058012</v>
      </c>
      <c r="Y100" s="4">
        <f t="shared" si="541"/>
        <v>2.9002159186313103E-2</v>
      </c>
      <c r="Z100" s="4">
        <f t="shared" ref="Z100" si="543">1-Z99</f>
        <v>0.24888448722353129</v>
      </c>
    </row>
    <row r="101" spans="1:26" x14ac:dyDescent="0.25">
      <c r="A101" s="2" t="s">
        <v>126</v>
      </c>
      <c r="C101" s="4">
        <f>+C100/C56</f>
        <v>6.4440496691424848E-2</v>
      </c>
      <c r="D101" s="4">
        <f t="shared" ref="D101:W101" si="544">+D100/D56</f>
        <v>2.214657079820315E-2</v>
      </c>
      <c r="E101" s="4">
        <f t="shared" ref="E101" si="545">+E100/E56</f>
        <v>5.487294449976611E-2</v>
      </c>
      <c r="F101" s="4">
        <f t="shared" si="544"/>
        <v>3.6664096495969169E-2</v>
      </c>
      <c r="G101" s="4">
        <f t="shared" ref="G101:H101" si="546">+G100/G56</f>
        <v>1.612545664677555E-2</v>
      </c>
      <c r="H101" s="4">
        <f t="shared" si="546"/>
        <v>3.05049373568957E-2</v>
      </c>
      <c r="I101" s="4">
        <f t="shared" si="544"/>
        <v>4.3264118809465089E-2</v>
      </c>
      <c r="J101" s="4">
        <f t="shared" ref="J101:K101" si="547">+J100/J56</f>
        <v>1.7591884306739268E-2</v>
      </c>
      <c r="K101" s="4">
        <f t="shared" si="547"/>
        <v>3.6181546457838748E-2</v>
      </c>
      <c r="L101" s="4">
        <f t="shared" si="544"/>
        <v>3.407103435088988E-2</v>
      </c>
      <c r="M101" s="4">
        <f t="shared" ref="M101:N101" si="548">+M100/M56</f>
        <v>1.5719489780948091E-2</v>
      </c>
      <c r="N101" s="4">
        <f t="shared" si="548"/>
        <v>2.8291902497325258E-2</v>
      </c>
      <c r="O101" s="4">
        <f t="shared" si="544"/>
        <v>2.4086156158849986E-2</v>
      </c>
      <c r="P101" s="4">
        <f t="shared" ref="P101:Q101" si="549">+P100/P56</f>
        <v>1.3820617563499898E-2</v>
      </c>
      <c r="Q101" s="4">
        <f t="shared" si="549"/>
        <v>1.9855365832803895E-2</v>
      </c>
      <c r="R101" s="4">
        <f t="shared" si="544"/>
        <v>6.3604679207663661E-2</v>
      </c>
      <c r="S101" s="4">
        <f t="shared" ref="S101" si="550">+S100/S56</f>
        <v>5.4119811616795216E-2</v>
      </c>
      <c r="T101" s="4">
        <f t="shared" si="544"/>
        <v>5.6874487200642816E-2</v>
      </c>
      <c r="U101" s="4">
        <f t="shared" ref="U101" si="551">+U100/U56</f>
        <v>2.0063950113886807E-2</v>
      </c>
      <c r="V101" s="4">
        <f t="shared" ref="V101" si="552">+V100/V56</f>
        <v>4.8104207239883762E-2</v>
      </c>
      <c r="W101" s="4">
        <f t="shared" si="544"/>
        <v>4.4593301100920801E-2</v>
      </c>
      <c r="X101" s="4">
        <f t="shared" ref="X101" si="553">+X100/X56</f>
        <v>1.7953433691087015E-2</v>
      </c>
      <c r="Y101" s="4">
        <f t="shared" ref="Y101:Z101" si="554">+Y100/Y56</f>
        <v>4.3503238779469657E-3</v>
      </c>
      <c r="Z101" s="4">
        <f t="shared" si="554"/>
        <v>3.7332673083529694E-2</v>
      </c>
    </row>
    <row r="102" spans="1:26" x14ac:dyDescent="0.25">
      <c r="A102" s="2" t="s">
        <v>127</v>
      </c>
      <c r="C102" s="4">
        <f t="shared" ref="C102:W102" si="555">+C101*C74*C92</f>
        <v>0.23277377527001267</v>
      </c>
      <c r="D102" s="4">
        <f t="shared" si="555"/>
        <v>7.9998466161238707E-2</v>
      </c>
      <c r="E102" s="4">
        <f t="shared" ref="E102" si="556">+E101*E74*E92</f>
        <v>0.19821359404717537</v>
      </c>
      <c r="F102" s="4">
        <f t="shared" si="555"/>
        <v>0.13243908095709125</v>
      </c>
      <c r="G102" s="4">
        <f t="shared" ref="G102:H102" si="557">+G101*G74*G92</f>
        <v>5.8248828211194661E-2</v>
      </c>
      <c r="H102" s="4">
        <f t="shared" si="557"/>
        <v>0.11019079301858883</v>
      </c>
      <c r="I102" s="4">
        <f>+I101*I74*I92</f>
        <v>0.94785371078200986</v>
      </c>
      <c r="J102" s="4">
        <f>+J101*J74*J92</f>
        <v>0.38541251454178832</v>
      </c>
      <c r="K102" s="4">
        <f>+K101*K74*K92</f>
        <v>0.79268488566537754</v>
      </c>
      <c r="L102" s="4">
        <f t="shared" si="555"/>
        <v>0.74644664512633307</v>
      </c>
      <c r="M102" s="4">
        <f t="shared" ref="M102:N102" si="558">+M101*M74*M92</f>
        <v>0.34439108273740776</v>
      </c>
      <c r="N102" s="4">
        <f t="shared" si="558"/>
        <v>0.61983429930175238</v>
      </c>
      <c r="O102" s="4">
        <f t="shared" si="555"/>
        <v>0.52769253418022388</v>
      </c>
      <c r="P102" s="4">
        <f t="shared" ref="P102:Q102" si="559">+P101*P74*P92</f>
        <v>0.30278956334588436</v>
      </c>
      <c r="Q102" s="4">
        <f t="shared" si="559"/>
        <v>0.43500209183597588</v>
      </c>
      <c r="R102" s="4">
        <f t="shared" si="555"/>
        <v>3.8847657812885683</v>
      </c>
      <c r="S102" s="4">
        <f t="shared" ref="S102" si="560">+S101*S74*S92</f>
        <v>3.3054610899346799</v>
      </c>
      <c r="T102" s="4">
        <f t="shared" si="555"/>
        <v>3.4737076651865344</v>
      </c>
      <c r="U102" s="4">
        <f t="shared" ref="U102" si="561">+U101*U74*U92</f>
        <v>1.2254404520370095</v>
      </c>
      <c r="V102" s="4">
        <f t="shared" ref="V102" si="562">+V101*V74*V92</f>
        <v>2.938047649157832</v>
      </c>
      <c r="W102" s="4">
        <f t="shared" si="555"/>
        <v>4.9211194497186295</v>
      </c>
      <c r="X102" s="4">
        <f t="shared" ref="X102" si="563">+X101*X74*X92</f>
        <v>1.9812615246063874</v>
      </c>
      <c r="Y102" s="4">
        <f t="shared" ref="Y102:Z102" si="564">+Y101*Y74*Y92</f>
        <v>0.48008249938460207</v>
      </c>
      <c r="Z102" s="4">
        <f t="shared" si="564"/>
        <v>4.1198686593209297</v>
      </c>
    </row>
    <row r="103" spans="1:26" x14ac:dyDescent="0.25">
      <c r="A103" s="2" t="s">
        <v>128</v>
      </c>
      <c r="C103" s="4">
        <f>+C102*1000/C85</f>
        <v>2.228659377351442</v>
      </c>
      <c r="D103" s="4">
        <f t="shared" ref="D103:E103" si="565">+D102*1000/D85</f>
        <v>0.76593392695188633</v>
      </c>
      <c r="E103" s="4">
        <f t="shared" si="565"/>
        <v>1.8977678416709445</v>
      </c>
      <c r="F103" s="4">
        <f t="shared" ref="F103:G103" si="566">+F102*1000/F85</f>
        <v>1.2559937948972177</v>
      </c>
      <c r="G103" s="4">
        <f t="shared" si="566"/>
        <v>0.55240617999303054</v>
      </c>
      <c r="H103" s="4">
        <f t="shared" ref="H103" si="567">+H102*1000/H85</f>
        <v>1.0450008508515014</v>
      </c>
      <c r="I103" s="4">
        <f>+I102*1000/I85</f>
        <v>1.658819878497882</v>
      </c>
      <c r="J103" s="4">
        <f>+J102*1000/J85</f>
        <v>0.67450275635499135</v>
      </c>
      <c r="K103" s="4">
        <f>+K102*1000/K85</f>
        <v>1.3872620118158281</v>
      </c>
      <c r="L103" s="4">
        <f t="shared" ref="L103:M103" si="568">+L102*1000/L85</f>
        <v>1.3063413890652427</v>
      </c>
      <c r="M103" s="4">
        <f t="shared" si="568"/>
        <v>0.60271196654481007</v>
      </c>
      <c r="N103" s="4">
        <f t="shared" ref="N103" si="569">+N102*1000/N85</f>
        <v>1.0847596473597807</v>
      </c>
      <c r="O103" s="4">
        <f t="shared" ref="O103:P103" si="570">+O102*1000/O85</f>
        <v>0.92350418157975989</v>
      </c>
      <c r="P103" s="4">
        <f t="shared" si="570"/>
        <v>0.52990597701564612</v>
      </c>
      <c r="Q103" s="4">
        <f t="shared" ref="Q103" si="571">+Q102*1000/Q85</f>
        <v>0.76128848673319316</v>
      </c>
      <c r="R103" s="4">
        <f t="shared" ref="R103:T103" si="572">+R102*1000/R85</f>
        <v>2.1838017454020617</v>
      </c>
      <c r="S103" s="4">
        <f t="shared" ref="S103" si="573">+S102*1000/S85</f>
        <v>1.8581484969638515</v>
      </c>
      <c r="T103" s="4">
        <f t="shared" si="572"/>
        <v>1.9527274717022072</v>
      </c>
      <c r="U103" s="4">
        <f t="shared" ref="U103" si="574">+U102*1000/U85</f>
        <v>0.68887524981159864</v>
      </c>
      <c r="V103" s="4">
        <f t="shared" ref="V103" si="575">+V102*1000/V85</f>
        <v>1.651608860232775</v>
      </c>
      <c r="W103" s="4">
        <f t="shared" ref="W103:Y103" si="576">+W102*1000/W85</f>
        <v>1.8571273428996962</v>
      </c>
      <c r="X103" s="4">
        <f t="shared" ref="X103" si="577">+X102*1000/X85</f>
        <v>0.74768657586477361</v>
      </c>
      <c r="Y103" s="4">
        <f t="shared" si="576"/>
        <v>0.18117307363993121</v>
      </c>
      <c r="Z103" s="4">
        <f t="shared" ref="Z103" si="578">+Z102*1000/Z85</f>
        <v>1.5547520873157981</v>
      </c>
    </row>
    <row r="104" spans="1:26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x14ac:dyDescent="0.25">
      <c r="A105" s="2" t="s">
        <v>129</v>
      </c>
    </row>
    <row r="106" spans="1:26" x14ac:dyDescent="0.25">
      <c r="A106" s="2" t="s">
        <v>130</v>
      </c>
      <c r="C106" s="4">
        <f t="shared" ref="C106:Y106" si="579">+(1-C94)^(C7+C13)</f>
        <v>0.5484765404056996</v>
      </c>
      <c r="D106" s="4">
        <f t="shared" si="579"/>
        <v>0.81960043964605844</v>
      </c>
      <c r="E106" s="4">
        <f t="shared" ref="E106" si="580">+(1-E94)^(E7+E13)</f>
        <v>0.61433770692071621</v>
      </c>
      <c r="F106" s="4">
        <f t="shared" si="579"/>
        <v>0.72653629174837542</v>
      </c>
      <c r="G106" s="4">
        <f t="shared" si="579"/>
        <v>0.85819860503339562</v>
      </c>
      <c r="H106" s="4">
        <f t="shared" ref="H106" si="581">+(1-H94)^(H7+H13)</f>
        <v>0.77170813693830298</v>
      </c>
      <c r="I106" s="4">
        <f t="shared" si="579"/>
        <v>0.68422705355596691</v>
      </c>
      <c r="J106" s="4">
        <f t="shared" si="579"/>
        <v>0.84879811603346111</v>
      </c>
      <c r="K106" s="4">
        <f t="shared" ref="K106" si="582">+(1-K94)^(K7+K13)</f>
        <v>0.73504816675610751</v>
      </c>
      <c r="L106" s="4">
        <f t="shared" si="579"/>
        <v>0.74315903614721435</v>
      </c>
      <c r="M106" s="4">
        <f t="shared" si="579"/>
        <v>0.860801043026582</v>
      </c>
      <c r="N106" s="4">
        <f t="shared" ref="N106" si="583">+(1-N94)^(N7+N13)</f>
        <v>0.78600008315502112</v>
      </c>
      <c r="O106" s="4">
        <f t="shared" si="579"/>
        <v>0.80716678789153151</v>
      </c>
      <c r="P106" s="4">
        <f t="shared" si="579"/>
        <v>0.87297370444026856</v>
      </c>
      <c r="Q106" s="4">
        <f t="shared" ref="Q106" si="584">+(1-Q94)^(Q7+Q13)</f>
        <v>0.84048387392915958</v>
      </c>
      <c r="R106" s="4">
        <f t="shared" si="579"/>
        <v>0.55383452244365738</v>
      </c>
      <c r="S106" s="4">
        <f t="shared" ref="S106" si="585">+(1-S94)^(S7+S13)</f>
        <v>0.61920149594370122</v>
      </c>
      <c r="T106" s="4">
        <f t="shared" si="579"/>
        <v>0.59697820941626412</v>
      </c>
      <c r="U106" s="4">
        <f t="shared" si="579"/>
        <v>0.83295101490350842</v>
      </c>
      <c r="V106" s="4">
        <f t="shared" ref="V106" si="586">+(1-V94)^(V7+V13)</f>
        <v>0.65805072321369618</v>
      </c>
      <c r="W106" s="4">
        <f t="shared" si="579"/>
        <v>0.67570637173109838</v>
      </c>
      <c r="X106" s="4">
        <f t="shared" si="579"/>
        <v>0.84648041492669235</v>
      </c>
      <c r="Y106" s="4">
        <f t="shared" si="579"/>
        <v>0.93368272817717268</v>
      </c>
      <c r="Z106" s="4">
        <f t="shared" ref="Z106" si="587">+(1-Z94)^(Z7+Z13)</f>
        <v>0.72761410409240379</v>
      </c>
    </row>
    <row r="107" spans="1:26" x14ac:dyDescent="0.25">
      <c r="A107" s="2" t="s">
        <v>131</v>
      </c>
      <c r="C107" s="4">
        <f>1-C106</f>
        <v>0.4515234595943004</v>
      </c>
      <c r="D107" s="4">
        <f t="shared" ref="D107:E107" si="588">1-D106</f>
        <v>0.18039956035394156</v>
      </c>
      <c r="E107" s="4">
        <f t="shared" si="588"/>
        <v>0.38566229307928379</v>
      </c>
      <c r="F107" s="4">
        <f t="shared" ref="F107:I107" si="589">1-F106</f>
        <v>0.27346370825162458</v>
      </c>
      <c r="G107" s="4">
        <f t="shared" ref="G107:H107" si="590">1-G106</f>
        <v>0.14180139496660438</v>
      </c>
      <c r="H107" s="4">
        <f t="shared" si="590"/>
        <v>0.22829186306169702</v>
      </c>
      <c r="I107" s="4">
        <f t="shared" si="589"/>
        <v>0.31577294644403309</v>
      </c>
      <c r="J107" s="4">
        <f t="shared" ref="J107:K107" si="591">1-J106</f>
        <v>0.15120188396653889</v>
      </c>
      <c r="K107" s="4">
        <f t="shared" si="591"/>
        <v>0.26495183324389249</v>
      </c>
      <c r="L107" s="4">
        <f t="shared" ref="L107:M107" si="592">1-L106</f>
        <v>0.25684096385278565</v>
      </c>
      <c r="M107" s="4">
        <f t="shared" si="592"/>
        <v>0.139198956973418</v>
      </c>
      <c r="N107" s="4">
        <f t="shared" ref="N107" si="593">1-N106</f>
        <v>0.21399991684497888</v>
      </c>
      <c r="O107" s="4">
        <f t="shared" ref="O107:P107" si="594">1-O106</f>
        <v>0.19283321210846849</v>
      </c>
      <c r="P107" s="4">
        <f t="shared" si="594"/>
        <v>0.12702629555973144</v>
      </c>
      <c r="Q107" s="4">
        <f t="shared" ref="Q107" si="595">1-Q106</f>
        <v>0.15951612607084042</v>
      </c>
      <c r="R107" s="4">
        <f t="shared" ref="R107:T107" si="596">1-R106</f>
        <v>0.44616547755634262</v>
      </c>
      <c r="S107" s="4">
        <f t="shared" ref="S107" si="597">1-S106</f>
        <v>0.38079850405629878</v>
      </c>
      <c r="T107" s="4">
        <f t="shared" si="596"/>
        <v>0.40302179058373588</v>
      </c>
      <c r="U107" s="4">
        <f t="shared" ref="U107" si="598">1-U106</f>
        <v>0.16704898509649158</v>
      </c>
      <c r="V107" s="4">
        <f t="shared" ref="V107" si="599">1-V106</f>
        <v>0.34194927678630382</v>
      </c>
      <c r="W107" s="4">
        <f t="shared" ref="W107:Y107" si="600">1-W106</f>
        <v>0.32429362826890162</v>
      </c>
      <c r="X107" s="4">
        <f t="shared" ref="X107" si="601">1-X106</f>
        <v>0.15351958507330765</v>
      </c>
      <c r="Y107" s="4">
        <f t="shared" si="600"/>
        <v>6.6317271822827317E-2</v>
      </c>
      <c r="Z107" s="4">
        <f t="shared" ref="Z107" si="602">1-Z106</f>
        <v>0.27238589590759621</v>
      </c>
    </row>
    <row r="108" spans="1:26" x14ac:dyDescent="0.25">
      <c r="A108" s="2" t="s">
        <v>126</v>
      </c>
      <c r="C108" s="4">
        <f t="shared" ref="C108:W108" si="603">+C107/C56</f>
        <v>6.7728518939145055E-2</v>
      </c>
      <c r="D108" s="4">
        <f t="shared" si="603"/>
        <v>2.7059934053091234E-2</v>
      </c>
      <c r="E108" s="4">
        <f t="shared" ref="E108" si="604">+E107/E56</f>
        <v>5.7849343961892563E-2</v>
      </c>
      <c r="F108" s="4">
        <f t="shared" si="603"/>
        <v>4.1019556237743685E-2</v>
      </c>
      <c r="G108" s="4">
        <f t="shared" ref="G108:H108" si="605">+G107/G56</f>
        <v>2.1270209244990654E-2</v>
      </c>
      <c r="H108" s="4">
        <f t="shared" si="605"/>
        <v>3.4243779459254553E-2</v>
      </c>
      <c r="I108" s="4">
        <f t="shared" si="603"/>
        <v>4.7365941966604957E-2</v>
      </c>
      <c r="J108" s="4">
        <f t="shared" ref="J108:K108" si="606">+J107/J56</f>
        <v>2.2680282594980831E-2</v>
      </c>
      <c r="K108" s="4">
        <f t="shared" si="606"/>
        <v>3.9742774986583872E-2</v>
      </c>
      <c r="L108" s="4">
        <f t="shared" si="603"/>
        <v>3.8526144577917844E-2</v>
      </c>
      <c r="M108" s="4">
        <f t="shared" ref="M108:N108" si="607">+M107/M56</f>
        <v>2.0879843546012699E-2</v>
      </c>
      <c r="N108" s="4">
        <f t="shared" si="607"/>
        <v>3.209998752674683E-2</v>
      </c>
      <c r="O108" s="4">
        <f t="shared" si="603"/>
        <v>2.8924981816270273E-2</v>
      </c>
      <c r="P108" s="4">
        <f t="shared" ref="P108:Q108" si="608">+P107/P56</f>
        <v>1.9053944333959714E-2</v>
      </c>
      <c r="Q108" s="4">
        <f t="shared" si="608"/>
        <v>2.3927418910626063E-2</v>
      </c>
      <c r="R108" s="4">
        <f t="shared" si="603"/>
        <v>6.6924821633451384E-2</v>
      </c>
      <c r="S108" s="4">
        <f t="shared" ref="S108" si="609">+S107/S56</f>
        <v>5.7119775608444813E-2</v>
      </c>
      <c r="T108" s="4">
        <f t="shared" si="603"/>
        <v>6.045326858756038E-2</v>
      </c>
      <c r="U108" s="4">
        <f t="shared" ref="U108" si="610">+U107/U56</f>
        <v>2.5057347764473735E-2</v>
      </c>
      <c r="V108" s="4">
        <f t="shared" ref="V108" si="611">+V107/V56</f>
        <v>5.1292391517945568E-2</v>
      </c>
      <c r="W108" s="4">
        <f t="shared" si="603"/>
        <v>4.8644044240335242E-2</v>
      </c>
      <c r="X108" s="4">
        <f t="shared" ref="X108" si="612">+X107/X56</f>
        <v>2.3027937760996146E-2</v>
      </c>
      <c r="Y108" s="4">
        <f t="shared" ref="Y108:Z108" si="613">+Y107/Y56</f>
        <v>9.9475907734240965E-3</v>
      </c>
      <c r="Z108" s="4">
        <f t="shared" si="613"/>
        <v>4.085788438613943E-2</v>
      </c>
    </row>
    <row r="109" spans="1:26" x14ac:dyDescent="0.25">
      <c r="A109" s="2" t="s">
        <v>127</v>
      </c>
      <c r="C109" s="4">
        <f t="shared" ref="C109:W109" si="614">+C74*C92*C108</f>
        <v>0.2446508617462172</v>
      </c>
      <c r="D109" s="4">
        <f t="shared" si="614"/>
        <v>9.7746655154720655E-2</v>
      </c>
      <c r="E109" s="4">
        <f t="shared" ref="E109" si="615">+E74*E92*E108</f>
        <v>0.20896502792932614</v>
      </c>
      <c r="F109" s="4">
        <f t="shared" si="614"/>
        <v>0.14817199518312824</v>
      </c>
      <c r="G109" s="4">
        <f t="shared" ref="G109:H109" si="616">+G74*G92*G108</f>
        <v>7.6832848301097184E-2</v>
      </c>
      <c r="H109" s="4">
        <f t="shared" si="616"/>
        <v>0.12369634365815045</v>
      </c>
      <c r="I109" s="4">
        <f t="shared" si="614"/>
        <v>1.0377186706483836</v>
      </c>
      <c r="J109" s="4">
        <f t="shared" ref="J109:K109" si="617">+J74*J92*J108</f>
        <v>0.4968918958898127</v>
      </c>
      <c r="K109" s="4">
        <f t="shared" si="617"/>
        <v>0.87070620607593785</v>
      </c>
      <c r="L109" s="4">
        <f t="shared" si="614"/>
        <v>0.84405160916659228</v>
      </c>
      <c r="M109" s="4">
        <f t="shared" ref="M109:N109" si="618">+M74*M92*M108</f>
        <v>0.45744690358297929</v>
      </c>
      <c r="N109" s="4">
        <f t="shared" si="618"/>
        <v>0.70326388542153229</v>
      </c>
      <c r="O109" s="4">
        <f t="shared" si="614"/>
        <v>0.6337041433710161</v>
      </c>
      <c r="P109" s="4">
        <f t="shared" ref="P109:Q109" si="619">+P74*P92*P108</f>
        <v>0.41744411625521011</v>
      </c>
      <c r="Q109" s="4">
        <f t="shared" si="619"/>
        <v>0.52421483270591451</v>
      </c>
      <c r="R109" s="4">
        <f t="shared" si="614"/>
        <v>4.0875492218369249</v>
      </c>
      <c r="S109" s="4">
        <f t="shared" ref="S109" si="620">+S74*S92*S108</f>
        <v>3.4886890788976999</v>
      </c>
      <c r="T109" s="4">
        <f t="shared" si="614"/>
        <v>3.6922879275791587</v>
      </c>
      <c r="U109" s="4">
        <f t="shared" ref="U109" si="621">+U74*U92*U108</f>
        <v>1.5304208491872489</v>
      </c>
      <c r="V109" s="4">
        <f t="shared" ref="V109" si="622">+V74*V92*V108</f>
        <v>3.1327715176238549</v>
      </c>
      <c r="W109" s="4">
        <f t="shared" si="614"/>
        <v>5.3681415440029898</v>
      </c>
      <c r="X109" s="4">
        <f t="shared" ref="X109" si="623">+X74*X92*X108</f>
        <v>2.5412613465435552</v>
      </c>
      <c r="Y109" s="4">
        <f t="shared" ref="Y109:Z109" si="624">+Y74*Y92*Y108</f>
        <v>1.0977721142947203</v>
      </c>
      <c r="Z109" s="4">
        <f t="shared" si="624"/>
        <v>4.5088953848010602</v>
      </c>
    </row>
    <row r="110" spans="1:26" x14ac:dyDescent="0.25">
      <c r="A110" s="2" t="s">
        <v>128</v>
      </c>
      <c r="C110" s="4">
        <f>+C109*1000/C85</f>
        <v>2.3423748511847924</v>
      </c>
      <c r="D110" s="4">
        <f t="shared" ref="D110:E110" si="625">+D109*1000/D85</f>
        <v>0.93586143612016182</v>
      </c>
      <c r="E110" s="4">
        <f t="shared" si="625"/>
        <v>2.0007059149725213</v>
      </c>
      <c r="F110" s="4">
        <f t="shared" ref="F110:I110" si="626">+F109*1000/F85</f>
        <v>1.405197810062158</v>
      </c>
      <c r="G110" s="4">
        <f t="shared" ref="G110:H110" si="627">+G109*1000/G85</f>
        <v>0.72864882490178795</v>
      </c>
      <c r="H110" s="4">
        <f t="shared" si="627"/>
        <v>1.173081532757285</v>
      </c>
      <c r="I110" s="4">
        <f t="shared" si="626"/>
        <v>1.8160907528016472</v>
      </c>
      <c r="J110" s="4">
        <f t="shared" ref="J110:K110" si="628">+J109*1000/J85</f>
        <v>0.86960059868994455</v>
      </c>
      <c r="K110" s="4">
        <f t="shared" si="628"/>
        <v>1.5238055688768766</v>
      </c>
      <c r="L110" s="4">
        <f t="shared" ref="L110:M110" si="629">+L109*1000/L85</f>
        <v>1.4771578903336426</v>
      </c>
      <c r="M110" s="4">
        <f t="shared" si="629"/>
        <v>0.80056870420932091</v>
      </c>
      <c r="N110" s="4">
        <f t="shared" ref="N110" si="630">+N109*1000/N85</f>
        <v>1.2307681023946426</v>
      </c>
      <c r="O110" s="4">
        <f t="shared" ref="O110:P110" si="631">+O109*1000/O85</f>
        <v>1.1090329848928255</v>
      </c>
      <c r="P110" s="4">
        <f t="shared" si="631"/>
        <v>0.73056062378530728</v>
      </c>
      <c r="Q110" s="4">
        <f t="shared" ref="Q110" si="632">+Q109*1000/Q85</f>
        <v>0.91741792557691504</v>
      </c>
      <c r="R110" s="4">
        <f t="shared" ref="R110:T110" si="633">+R109*1000/R85</f>
        <v>2.2977954470406834</v>
      </c>
      <c r="S110" s="4">
        <f t="shared" ref="S110" si="634">+S109*1000/S85</f>
        <v>1.9611491988417469</v>
      </c>
      <c r="T110" s="4">
        <f t="shared" si="633"/>
        <v>2.0756012781032513</v>
      </c>
      <c r="U110" s="4">
        <f t="shared" ref="U110" si="635">+U109*1000/U85</f>
        <v>0.8603184618626456</v>
      </c>
      <c r="V110" s="4">
        <f t="shared" ref="V110" si="636">+V109*1000/V85</f>
        <v>1.7610719135462469</v>
      </c>
      <c r="W110" s="4">
        <f t="shared" ref="W110:Y110" si="637">+W109*1000/W85</f>
        <v>2.0258241125388148</v>
      </c>
      <c r="X110" s="4">
        <f t="shared" ref="X110" si="638">+X109*1000/X85</f>
        <v>0.95901877211900965</v>
      </c>
      <c r="Y110" s="4">
        <f t="shared" si="637"/>
        <v>0.41427618869241234</v>
      </c>
      <c r="Z110" s="4">
        <f t="shared" ref="Z110" si="639">+Z109*1000/Z85</f>
        <v>1.7015626202422429</v>
      </c>
    </row>
    <row r="112" spans="1:26" x14ac:dyDescent="0.25">
      <c r="A112" s="2" t="s">
        <v>132</v>
      </c>
    </row>
    <row r="113" spans="1:26" x14ac:dyDescent="0.25">
      <c r="A113" s="2" t="s">
        <v>133</v>
      </c>
      <c r="C113" s="4">
        <f>C99*C96</f>
        <v>2.0604029678968852</v>
      </c>
      <c r="D113" s="4">
        <f t="shared" ref="D113:E113" si="640">D99*D96</f>
        <v>3.078905028622045</v>
      </c>
      <c r="E113" s="4">
        <f t="shared" si="640"/>
        <v>2.2908041760491336</v>
      </c>
      <c r="F113" s="4">
        <f t="shared" ref="F113:G113" si="641">F99*F96</f>
        <v>2.7293009299830282</v>
      </c>
      <c r="G113" s="4">
        <f t="shared" si="641"/>
        <v>3.223902614955672</v>
      </c>
      <c r="H113" s="4">
        <f t="shared" ref="H113" si="642">H99*H96</f>
        <v>2.877622849573044</v>
      </c>
      <c r="I113" s="4">
        <f t="shared" ref="I113:J113" si="643">I99*I96</f>
        <v>15.589516030684042</v>
      </c>
      <c r="J113" s="4">
        <f t="shared" si="643"/>
        <v>19.339124005618853</v>
      </c>
      <c r="K113" s="4">
        <f t="shared" ref="K113" si="644">K99*K96</f>
        <v>16.623974864794924</v>
      </c>
      <c r="L113" s="4">
        <f t="shared" ref="L113:M113" si="645">L99*L96</f>
        <v>16.932229801721888</v>
      </c>
      <c r="M113" s="4">
        <f t="shared" si="645"/>
        <v>19.612600217648055</v>
      </c>
      <c r="N113" s="4">
        <f t="shared" ref="N113" si="646">N99*N96</f>
        <v>17.776312107219091</v>
      </c>
      <c r="O113" s="4">
        <f t="shared" ref="O113:P113" si="647">O99*O96</f>
        <v>18.390590541362617</v>
      </c>
      <c r="P113" s="4">
        <f t="shared" si="647"/>
        <v>19.889943680258213</v>
      </c>
      <c r="Q113" s="4">
        <f t="shared" ref="Q113" si="648">Q99*Q96</f>
        <v>19.008526823657604</v>
      </c>
      <c r="R113" s="4">
        <f t="shared" ref="R113:T113" si="649">R99*R96</f>
        <v>35.178290869840886</v>
      </c>
      <c r="S113" s="4">
        <f t="shared" ref="S113" si="650">S99*S96</f>
        <v>39.040322145533473</v>
      </c>
      <c r="T113" s="4">
        <f t="shared" si="649"/>
        <v>37.918678310521109</v>
      </c>
      <c r="U113" s="4">
        <f t="shared" ref="U113" si="651">U99*U96</f>
        <v>52.907126398184609</v>
      </c>
      <c r="V113" s="4">
        <f t="shared" ref="V113" si="652">V99*V96</f>
        <v>41.489745084045794</v>
      </c>
      <c r="W113" s="4">
        <f t="shared" ref="W113:Y113" si="653">W99*W96</f>
        <v>77.548113472463982</v>
      </c>
      <c r="X113" s="4">
        <f t="shared" ref="X113" si="654">X99*X96</f>
        <v>97.147166306545586</v>
      </c>
      <c r="Y113" s="4">
        <f t="shared" si="653"/>
        <v>107.15502647469083</v>
      </c>
      <c r="Z113" s="4">
        <f t="shared" ref="Z113" si="655">Z99*Z96</f>
        <v>82.889785408448645</v>
      </c>
    </row>
    <row r="114" spans="1:26" x14ac:dyDescent="0.25">
      <c r="A114" s="2" t="s">
        <v>134</v>
      </c>
      <c r="C114" s="4">
        <f>+C97</f>
        <v>1.5480977727272731</v>
      </c>
      <c r="D114" s="4">
        <f t="shared" ref="D114:E114" si="656">+D97</f>
        <v>1.5480977727272731</v>
      </c>
      <c r="E114" s="4">
        <f t="shared" si="656"/>
        <v>1.5480977727272731</v>
      </c>
      <c r="F114" s="4">
        <f t="shared" ref="F114:G114" si="657">+F97</f>
        <v>1.5480977727272731</v>
      </c>
      <c r="G114" s="4">
        <f t="shared" si="657"/>
        <v>1.5480977727272731</v>
      </c>
      <c r="H114" s="4">
        <f t="shared" ref="H114" si="658">+H97</f>
        <v>1.5480977727272731</v>
      </c>
      <c r="I114" s="4">
        <f t="shared" ref="I114:J114" si="659">+I97</f>
        <v>9.3893746153846198</v>
      </c>
      <c r="J114" s="4">
        <f t="shared" si="659"/>
        <v>9.3893746153846198</v>
      </c>
      <c r="K114" s="4">
        <f t="shared" ref="K114" si="660">+K97</f>
        <v>9.3893746153846198</v>
      </c>
      <c r="L114" s="4">
        <f t="shared" ref="L114:M114" si="661">+L97</f>
        <v>9.3893746153846198</v>
      </c>
      <c r="M114" s="4">
        <f t="shared" si="661"/>
        <v>9.3893746153846198</v>
      </c>
      <c r="N114" s="4">
        <f t="shared" ref="N114" si="662">+N97</f>
        <v>9.3893746153846198</v>
      </c>
      <c r="O114" s="4">
        <f t="shared" ref="O114:P114" si="663">+O97</f>
        <v>9.3893746153846198</v>
      </c>
      <c r="P114" s="4">
        <f t="shared" si="663"/>
        <v>9.3893746153846198</v>
      </c>
      <c r="Q114" s="4">
        <f t="shared" ref="Q114" si="664">+Q97</f>
        <v>9.3893746153846198</v>
      </c>
      <c r="R114" s="4">
        <f t="shared" ref="R114:T114" si="665">+R97</f>
        <v>26.175741176470581</v>
      </c>
      <c r="S114" s="4">
        <f t="shared" ref="S114" si="666">+S97</f>
        <v>26.175741176470581</v>
      </c>
      <c r="T114" s="4">
        <f t="shared" si="665"/>
        <v>26.175741176470581</v>
      </c>
      <c r="U114" s="4">
        <f t="shared" ref="U114" si="667">+U97</f>
        <v>26.175741176470581</v>
      </c>
      <c r="V114" s="4">
        <f t="shared" ref="V114" si="668">+V97</f>
        <v>26.175741176470581</v>
      </c>
      <c r="W114" s="4">
        <f t="shared" ref="W114:Y114" si="669">+W97</f>
        <v>47.295247058823513</v>
      </c>
      <c r="X114" s="4">
        <f t="shared" ref="X114" si="670">+X97</f>
        <v>47.295247058823513</v>
      </c>
      <c r="Y114" s="4">
        <f t="shared" si="669"/>
        <v>47.295247058823513</v>
      </c>
      <c r="Z114" s="4">
        <f t="shared" ref="Z114" si="671">+Z97</f>
        <v>47.295247058823513</v>
      </c>
    </row>
    <row r="115" spans="1:26" x14ac:dyDescent="0.25">
      <c r="A115" s="2" t="s">
        <v>135</v>
      </c>
      <c r="C115" s="4">
        <f>+C113*1000/C85</f>
        <v>19.72703492994254</v>
      </c>
      <c r="D115" s="4">
        <f t="shared" ref="D115:E115" si="672">+D113*1000/D85</f>
        <v>29.478537932606251</v>
      </c>
      <c r="E115" s="4">
        <f t="shared" si="672"/>
        <v>21.932978501145861</v>
      </c>
      <c r="F115" s="4">
        <f t="shared" ref="F115:G115" si="673">+F113*1000/F85</f>
        <v>25.883485506642234</v>
      </c>
      <c r="G115" s="4">
        <f t="shared" si="673"/>
        <v>30.57406960600348</v>
      </c>
      <c r="H115" s="4">
        <f t="shared" ref="H115" si="674">+H113*1000/H85</f>
        <v>27.290105133613672</v>
      </c>
      <c r="I115" s="4">
        <f t="shared" ref="I115:J115" si="675">+I113*1000/I85</f>
        <v>27.282901141490061</v>
      </c>
      <c r="J115" s="4">
        <f t="shared" si="675"/>
        <v>33.845015289109334</v>
      </c>
      <c r="K115" s="4">
        <f t="shared" ref="K115" si="676">+K113*1000/K85</f>
        <v>29.093286919370417</v>
      </c>
      <c r="L115" s="4">
        <f t="shared" ref="L115:M115" si="677">+L113*1000/L85</f>
        <v>29.63275773770766</v>
      </c>
      <c r="M115" s="4">
        <f t="shared" si="677"/>
        <v>34.323620554510534</v>
      </c>
      <c r="N115" s="4">
        <f t="shared" ref="N115" si="678">+N113*1000/N85</f>
        <v>31.109969349077399</v>
      </c>
      <c r="O115" s="4">
        <f t="shared" ref="O115:P115" si="679">+O113*1000/O85</f>
        <v>32.185005787610876</v>
      </c>
      <c r="P115" s="4">
        <f t="shared" si="679"/>
        <v>34.808993818038303</v>
      </c>
      <c r="Q115" s="4">
        <f t="shared" ref="Q115" si="680">+Q113*1000/Q85</f>
        <v>33.266443753254656</v>
      </c>
      <c r="R115" s="4">
        <f t="shared" ref="R115:T115" si="681">+R113*1000/R85</f>
        <v>19.775301093271604</v>
      </c>
      <c r="S115" s="4">
        <f t="shared" ref="S115" si="682">+S113*1000/S85</f>
        <v>21.946322749526338</v>
      </c>
      <c r="T115" s="4">
        <f t="shared" si="681"/>
        <v>21.315796251270633</v>
      </c>
      <c r="U115" s="4">
        <f t="shared" ref="U115" si="683">+U113*1000/U85</f>
        <v>29.741477730541355</v>
      </c>
      <c r="V115" s="4">
        <f t="shared" ref="V115" si="684">+V113*1000/V85</f>
        <v>23.32325366106685</v>
      </c>
      <c r="W115" s="4">
        <f t="shared" ref="W115:Y115" si="685">+W113*1000/W85</f>
        <v>29.265032761648467</v>
      </c>
      <c r="X115" s="4">
        <f t="shared" ref="X115" si="686">+X113*1000/X85</f>
        <v>36.661304541881272</v>
      </c>
      <c r="Y115" s="4">
        <f t="shared" si="685"/>
        <v>40.438061223380224</v>
      </c>
      <c r="Z115" s="4">
        <f t="shared" ref="Z115" si="687">+Z113*1000/Z85</f>
        <v>31.28086779887445</v>
      </c>
    </row>
    <row r="116" spans="1:26" x14ac:dyDescent="0.25">
      <c r="A116" s="2" t="s">
        <v>136</v>
      </c>
      <c r="C116" s="4">
        <f>+C114*1000/C85</f>
        <v>14.822041762408073</v>
      </c>
      <c r="D116" s="4">
        <f t="shared" ref="D116:E116" si="688">+D114*1000/D85</f>
        <v>14.822041762408073</v>
      </c>
      <c r="E116" s="4">
        <f t="shared" si="688"/>
        <v>14.822041762408073</v>
      </c>
      <c r="F116" s="4">
        <f t="shared" ref="F116:G116" si="689">+F114*1000/F85</f>
        <v>14.68147605969587</v>
      </c>
      <c r="G116" s="4">
        <f t="shared" si="689"/>
        <v>14.68147605969587</v>
      </c>
      <c r="H116" s="4">
        <f t="shared" ref="H116" si="690">+H114*1000/H85</f>
        <v>14.68147605969587</v>
      </c>
      <c r="I116" s="4">
        <f t="shared" ref="I116:J116" si="691">+I114*1000/I85</f>
        <v>16.432157284918265</v>
      </c>
      <c r="J116" s="4">
        <f t="shared" si="691"/>
        <v>16.432157284918265</v>
      </c>
      <c r="K116" s="4">
        <f t="shared" ref="K116" si="692">+K114*1000/K85</f>
        <v>16.432157284918265</v>
      </c>
      <c r="L116" s="4">
        <f t="shared" ref="L116:M116" si="693">+L114*1000/L85</f>
        <v>16.432157284918265</v>
      </c>
      <c r="M116" s="4">
        <f t="shared" si="693"/>
        <v>16.432157284918265</v>
      </c>
      <c r="N116" s="4">
        <f t="shared" ref="N116" si="694">+N114*1000/N85</f>
        <v>16.432157284918265</v>
      </c>
      <c r="O116" s="4">
        <f t="shared" ref="O116:P116" si="695">+O114*1000/O85</f>
        <v>16.432157284918265</v>
      </c>
      <c r="P116" s="4">
        <f t="shared" si="695"/>
        <v>16.432157284918265</v>
      </c>
      <c r="Q116" s="4">
        <f t="shared" ref="Q116" si="696">+Q114*1000/Q85</f>
        <v>16.432157284918265</v>
      </c>
      <c r="R116" s="4">
        <f t="shared" ref="R116:T116" si="697">+R114*1000/R85</f>
        <v>14.714562598265152</v>
      </c>
      <c r="S116" s="4">
        <f t="shared" ref="S116" si="698">+S114*1000/S85</f>
        <v>14.714562598265152</v>
      </c>
      <c r="T116" s="4">
        <f t="shared" si="697"/>
        <v>14.714562598265152</v>
      </c>
      <c r="U116" s="4">
        <f t="shared" ref="U116" si="699">+U114*1000/U85</f>
        <v>14.714562598265152</v>
      </c>
      <c r="V116" s="4">
        <f t="shared" ref="V116" si="700">+V114*1000/V85</f>
        <v>14.714562598265152</v>
      </c>
      <c r="W116" s="4">
        <f t="shared" ref="W116:Y116" si="701">+W114*1000/W85</f>
        <v>17.848235020419907</v>
      </c>
      <c r="X116" s="4">
        <f t="shared" ref="X116" si="702">+X114*1000/X85</f>
        <v>17.848235020419907</v>
      </c>
      <c r="Y116" s="4">
        <f t="shared" si="701"/>
        <v>17.848235020419907</v>
      </c>
      <c r="Z116" s="4">
        <f t="shared" ref="Z116" si="703">+Z114*1000/Z85</f>
        <v>17.848235020419907</v>
      </c>
    </row>
    <row r="117" spans="1:26" x14ac:dyDescent="0.25">
      <c r="A117" s="2" t="s">
        <v>137</v>
      </c>
      <c r="C117" s="4">
        <f>+C115+C116</f>
        <v>34.54907669235061</v>
      </c>
      <c r="D117" s="4">
        <f t="shared" ref="D117:E117" si="704">+D115+D116</f>
        <v>44.300579695014321</v>
      </c>
      <c r="E117" s="4">
        <f t="shared" si="704"/>
        <v>36.755020263553931</v>
      </c>
      <c r="F117" s="4">
        <f t="shared" ref="F117:G117" si="705">+F115+F116</f>
        <v>40.564961566338106</v>
      </c>
      <c r="G117" s="4">
        <f t="shared" si="705"/>
        <v>45.255545665699351</v>
      </c>
      <c r="H117" s="4">
        <f t="shared" ref="H117" si="706">+H115+H116</f>
        <v>41.97158119330954</v>
      </c>
      <c r="I117" s="4">
        <f t="shared" ref="I117:J117" si="707">+I115+I116</f>
        <v>43.715058426408326</v>
      </c>
      <c r="J117" s="4">
        <f t="shared" si="707"/>
        <v>50.277172574027603</v>
      </c>
      <c r="K117" s="4">
        <f t="shared" ref="K117" si="708">+K115+K116</f>
        <v>45.525444204288682</v>
      </c>
      <c r="L117" s="4">
        <f t="shared" ref="L117:M117" si="709">+L115+L116</f>
        <v>46.064915022625925</v>
      </c>
      <c r="M117" s="4">
        <f t="shared" si="709"/>
        <v>50.755777839428802</v>
      </c>
      <c r="N117" s="4">
        <f t="shared" ref="N117" si="710">+N115+N116</f>
        <v>47.542126633995665</v>
      </c>
      <c r="O117" s="4">
        <f t="shared" ref="O117:P117" si="711">+O115+O116</f>
        <v>48.617163072529138</v>
      </c>
      <c r="P117" s="4">
        <f t="shared" si="711"/>
        <v>51.241151102956565</v>
      </c>
      <c r="Q117" s="4">
        <f t="shared" ref="Q117" si="712">+Q115+Q116</f>
        <v>49.698601038172924</v>
      </c>
      <c r="R117" s="4">
        <f t="shared" ref="R117:T117" si="713">+R115+R116</f>
        <v>34.489863691536755</v>
      </c>
      <c r="S117" s="4">
        <f t="shared" ref="S117" si="714">+S115+S116</f>
        <v>36.660885347791492</v>
      </c>
      <c r="T117" s="4">
        <f t="shared" si="713"/>
        <v>36.030358849535787</v>
      </c>
      <c r="U117" s="4">
        <f t="shared" ref="U117" si="715">+U115+U116</f>
        <v>44.456040328806509</v>
      </c>
      <c r="V117" s="4">
        <f t="shared" ref="V117" si="716">+V115+V116</f>
        <v>38.037816259332004</v>
      </c>
      <c r="W117" s="4">
        <f t="shared" ref="W117:Y117" si="717">+W115+W116</f>
        <v>47.113267782068377</v>
      </c>
      <c r="X117" s="4">
        <f t="shared" ref="X117" si="718">+X115+X116</f>
        <v>54.509539562301178</v>
      </c>
      <c r="Y117" s="4">
        <f t="shared" si="717"/>
        <v>58.28629624380013</v>
      </c>
      <c r="Z117" s="4">
        <f t="shared" ref="Z117" si="719">+Z115+Z116</f>
        <v>49.12910281929436</v>
      </c>
    </row>
    <row r="118" spans="1:26" x14ac:dyDescent="0.25">
      <c r="A118" s="2" t="s">
        <v>138</v>
      </c>
      <c r="B118" s="2" t="s">
        <v>139</v>
      </c>
      <c r="C118" s="3">
        <f t="shared" ref="C118:Z118" si="720">VS_svin_tot_omsat_lager</f>
        <v>0.60536843267601481</v>
      </c>
      <c r="D118" s="3">
        <f t="shared" si="720"/>
        <v>0.60536843267601481</v>
      </c>
      <c r="E118" s="3">
        <f t="shared" si="720"/>
        <v>0.60536843267601481</v>
      </c>
      <c r="F118" s="3">
        <f t="shared" si="720"/>
        <v>0.60536843267601481</v>
      </c>
      <c r="G118" s="3">
        <f t="shared" si="720"/>
        <v>0.60536843267601481</v>
      </c>
      <c r="H118" s="3">
        <f t="shared" si="720"/>
        <v>0.60536843267601481</v>
      </c>
      <c r="I118" s="3">
        <f t="shared" si="720"/>
        <v>0.60536843267601481</v>
      </c>
      <c r="J118" s="3">
        <f t="shared" si="720"/>
        <v>0.60536843267601481</v>
      </c>
      <c r="K118" s="3">
        <f t="shared" si="720"/>
        <v>0.60536843267601481</v>
      </c>
      <c r="L118" s="3">
        <f t="shared" si="720"/>
        <v>0.60536843267601481</v>
      </c>
      <c r="M118" s="3">
        <f t="shared" si="720"/>
        <v>0.60536843267601481</v>
      </c>
      <c r="N118" s="3">
        <f t="shared" si="720"/>
        <v>0.60536843267601481</v>
      </c>
      <c r="O118" s="3">
        <f t="shared" si="720"/>
        <v>0.60536843267601481</v>
      </c>
      <c r="P118" s="3">
        <f t="shared" si="720"/>
        <v>0.60536843267601481</v>
      </c>
      <c r="Q118" s="3">
        <f t="shared" si="720"/>
        <v>0.60536843267601481</v>
      </c>
      <c r="R118" s="3">
        <f t="shared" si="720"/>
        <v>0.60536843267601481</v>
      </c>
      <c r="S118" s="3">
        <f t="shared" si="720"/>
        <v>0.60536843267601481</v>
      </c>
      <c r="T118" s="3">
        <f t="shared" si="720"/>
        <v>0.60536843267601481</v>
      </c>
      <c r="U118" s="3">
        <f t="shared" si="720"/>
        <v>0.60536843267601481</v>
      </c>
      <c r="V118" s="3">
        <f t="shared" si="720"/>
        <v>0.60536843267601481</v>
      </c>
      <c r="W118" s="3">
        <f t="shared" si="720"/>
        <v>0.60536843267601481</v>
      </c>
      <c r="X118" s="3">
        <f t="shared" si="720"/>
        <v>0.60536843267601481</v>
      </c>
      <c r="Y118" s="3">
        <f t="shared" si="720"/>
        <v>0.60536843267601481</v>
      </c>
      <c r="Z118" s="3">
        <f t="shared" si="720"/>
        <v>0.60536843267601481</v>
      </c>
    </row>
    <row r="119" spans="1:26" x14ac:dyDescent="0.25">
      <c r="A119" s="2" t="s">
        <v>140</v>
      </c>
      <c r="C119" s="4">
        <f>+C118*C115</f>
        <v>11.942124216884313</v>
      </c>
      <c r="D119" s="4">
        <f t="shared" ref="D119:E119" si="721">+D118*D115</f>
        <v>17.845376305842297</v>
      </c>
      <c r="E119" s="4">
        <f t="shared" si="721"/>
        <v>13.277532819155399</v>
      </c>
      <c r="F119" s="4">
        <f t="shared" ref="F119:G119" si="722">+F118*F115</f>
        <v>15.669045053348354</v>
      </c>
      <c r="G119" s="4">
        <f t="shared" si="722"/>
        <v>18.508576597913709</v>
      </c>
      <c r="H119" s="4">
        <f t="shared" ref="H119" si="723">+H118*H115</f>
        <v>16.520568172299374</v>
      </c>
      <c r="I119" s="4">
        <f t="shared" ref="I119:J119" si="724">+I118*I115</f>
        <v>16.516207102878493</v>
      </c>
      <c r="J119" s="4">
        <f t="shared" si="724"/>
        <v>20.488703859463875</v>
      </c>
      <c r="K119" s="4">
        <f t="shared" ref="K119" si="725">+K118*K115</f>
        <v>17.612157503772874</v>
      </c>
      <c r="L119" s="4">
        <f t="shared" ref="L119:M119" si="726">+L118*L115</f>
        <v>17.938736107544138</v>
      </c>
      <c r="M119" s="4">
        <f t="shared" si="726"/>
        <v>20.778436378850287</v>
      </c>
      <c r="N119" s="4">
        <f t="shared" ref="N119" si="727">+N118*N115</f>
        <v>18.832993385449846</v>
      </c>
      <c r="O119" s="4">
        <f t="shared" ref="O119:P119" si="728">+O118*O115</f>
        <v>19.483786509314463</v>
      </c>
      <c r="P119" s="4">
        <f t="shared" si="728"/>
        <v>21.072266030654937</v>
      </c>
      <c r="Q119" s="4">
        <f t="shared" ref="Q119" si="729">+Q118*Q115</f>
        <v>20.138454915612574</v>
      </c>
      <c r="R119" s="4">
        <f t="shared" ref="R119:T119" si="730">+R118*R115</f>
        <v>11.971343028530113</v>
      </c>
      <c r="S119" s="4">
        <f t="shared" ref="S119" si="731">+S118*S115</f>
        <v>13.285611005882727</v>
      </c>
      <c r="T119" s="4">
        <f t="shared" si="730"/>
        <v>12.903910167872976</v>
      </c>
      <c r="U119" s="4">
        <f t="shared" ref="U119" si="732">+U118*U115</f>
        <v>18.004551759206418</v>
      </c>
      <c r="V119" s="4">
        <f t="shared" ref="V119" si="733">+V118*V115</f>
        <v>14.119161513705164</v>
      </c>
      <c r="W119" s="4">
        <f t="shared" ref="W119:Y119" si="734">+W118*W115</f>
        <v>17.716127015131356</v>
      </c>
      <c r="X119" s="4">
        <f t="shared" ref="X119" si="735">+X118*X115</f>
        <v>22.193596470376729</v>
      </c>
      <c r="Y119" s="4">
        <f t="shared" si="734"/>
        <v>24.479925743254416</v>
      </c>
      <c r="Z119" s="4">
        <f t="shared" ref="Z119" si="736">+Z118*Z115</f>
        <v>18.936449912150248</v>
      </c>
    </row>
    <row r="120" spans="1:26" x14ac:dyDescent="0.25">
      <c r="A120" s="2" t="s">
        <v>141</v>
      </c>
      <c r="C120" s="4">
        <f>+C116*C118</f>
        <v>8.9727961907674114</v>
      </c>
      <c r="D120" s="4">
        <f t="shared" ref="D120:E120" si="737">+D116*D118</f>
        <v>8.9727961907674114</v>
      </c>
      <c r="E120" s="4">
        <f t="shared" si="737"/>
        <v>8.9727961907674114</v>
      </c>
      <c r="F120" s="4">
        <f t="shared" ref="F120:I120" si="738">+F116*F118</f>
        <v>8.8877021516285222</v>
      </c>
      <c r="G120" s="4">
        <f t="shared" ref="G120:H120" si="739">+G116*G118</f>
        <v>8.8877021516285222</v>
      </c>
      <c r="H120" s="4">
        <f t="shared" si="739"/>
        <v>8.8877021516285222</v>
      </c>
      <c r="I120" s="4">
        <f t="shared" si="738"/>
        <v>9.9475093010567299</v>
      </c>
      <c r="J120" s="4">
        <f t="shared" ref="J120:K120" si="740">+J116*J118</f>
        <v>9.9475093010567299</v>
      </c>
      <c r="K120" s="4">
        <f t="shared" si="740"/>
        <v>9.9475093010567299</v>
      </c>
      <c r="L120" s="4">
        <f t="shared" ref="L120:M120" si="741">+L116*L118</f>
        <v>9.9475093010567299</v>
      </c>
      <c r="M120" s="4">
        <f t="shared" si="741"/>
        <v>9.9475093010567299</v>
      </c>
      <c r="N120" s="4">
        <f t="shared" ref="N120" si="742">+N116*N118</f>
        <v>9.9475093010567299</v>
      </c>
      <c r="O120" s="4">
        <f t="shared" ref="O120:P120" si="743">+O116*O118</f>
        <v>9.9475093010567299</v>
      </c>
      <c r="P120" s="4">
        <f t="shared" si="743"/>
        <v>9.9475093010567299</v>
      </c>
      <c r="Q120" s="4">
        <f t="shared" ref="Q120" si="744">+Q116*Q118</f>
        <v>9.9475093010567299</v>
      </c>
      <c r="R120" s="4">
        <f t="shared" ref="R120:T120" si="745">+R116*R118</f>
        <v>8.9077316976248824</v>
      </c>
      <c r="S120" s="4">
        <f t="shared" ref="S120" si="746">+S116*S118</f>
        <v>8.9077316976248824</v>
      </c>
      <c r="T120" s="4">
        <f t="shared" si="745"/>
        <v>8.9077316976248824</v>
      </c>
      <c r="U120" s="4">
        <f t="shared" ref="U120" si="747">+U116*U118</f>
        <v>8.9077316976248824</v>
      </c>
      <c r="V120" s="4">
        <f t="shared" ref="V120" si="748">+V116*V118</f>
        <v>8.9077316976248824</v>
      </c>
      <c r="W120" s="4">
        <f t="shared" ref="W120:Y120" si="749">+W116*W118</f>
        <v>10.804758060344758</v>
      </c>
      <c r="X120" s="4">
        <f t="shared" ref="X120" si="750">+X116*X118</f>
        <v>10.804758060344758</v>
      </c>
      <c r="Y120" s="4">
        <f t="shared" si="749"/>
        <v>10.804758060344758</v>
      </c>
      <c r="Z120" s="4">
        <f t="shared" ref="Z120" si="751">+Z116*Z118</f>
        <v>10.804758060344758</v>
      </c>
    </row>
    <row r="121" spans="1:26" x14ac:dyDescent="0.25">
      <c r="A121" s="2" t="s">
        <v>142</v>
      </c>
      <c r="C121" s="4">
        <f t="shared" ref="C121:W121" si="752">+C119/C56</f>
        <v>1.7913186325326469</v>
      </c>
      <c r="D121" s="4">
        <f t="shared" si="752"/>
        <v>2.6768064458763443</v>
      </c>
      <c r="E121" s="4">
        <f t="shared" ref="E121" si="753">+E119/E56</f>
        <v>1.9916299228733096</v>
      </c>
      <c r="F121" s="4">
        <f t="shared" si="752"/>
        <v>2.3503567580022531</v>
      </c>
      <c r="G121" s="4">
        <f t="shared" ref="G121:H121" si="754">+G119/G56</f>
        <v>2.7762864896870565</v>
      </c>
      <c r="H121" s="4">
        <f t="shared" si="754"/>
        <v>2.478085225844906</v>
      </c>
      <c r="I121" s="4">
        <f t="shared" si="752"/>
        <v>2.4774310654317739</v>
      </c>
      <c r="J121" s="4">
        <f t="shared" ref="J121:K121" si="755">+J119/J56</f>
        <v>3.0733055789195811</v>
      </c>
      <c r="K121" s="4">
        <f t="shared" si="755"/>
        <v>2.6418236255659311</v>
      </c>
      <c r="L121" s="4">
        <f t="shared" si="752"/>
        <v>2.6908104161316206</v>
      </c>
      <c r="M121" s="4">
        <f t="shared" ref="M121:N121" si="756">+M119/M56</f>
        <v>3.1167654568275429</v>
      </c>
      <c r="N121" s="4">
        <f t="shared" si="756"/>
        <v>2.824949007817477</v>
      </c>
      <c r="O121" s="4">
        <f t="shared" si="752"/>
        <v>2.9225679763971693</v>
      </c>
      <c r="P121" s="4">
        <f t="shared" ref="P121:Q121" si="757">+P119/P56</f>
        <v>3.1608399045982405</v>
      </c>
      <c r="Q121" s="4">
        <f t="shared" si="757"/>
        <v>3.020768237341886</v>
      </c>
      <c r="R121" s="4">
        <f t="shared" si="752"/>
        <v>1.7957014542795169</v>
      </c>
      <c r="S121" s="4">
        <f t="shared" ref="S121" si="758">+S119/S56</f>
        <v>1.9928416508824089</v>
      </c>
      <c r="T121" s="4">
        <f t="shared" si="752"/>
        <v>1.9355865251809463</v>
      </c>
      <c r="U121" s="4">
        <f t="shared" ref="U121" si="759">+U119/U56</f>
        <v>2.7006827638809625</v>
      </c>
      <c r="V121" s="4">
        <f t="shared" ref="V121" si="760">+V119/V56</f>
        <v>2.1178742270557747</v>
      </c>
      <c r="W121" s="4">
        <f t="shared" si="752"/>
        <v>2.6574190522697032</v>
      </c>
      <c r="X121" s="4">
        <f t="shared" ref="X121" si="761">+X119/X56</f>
        <v>3.3290394705565092</v>
      </c>
      <c r="Y121" s="4">
        <f t="shared" ref="Y121:Z121" si="762">+Y119/Y56</f>
        <v>3.6719888614881624</v>
      </c>
      <c r="Z121" s="4">
        <f t="shared" si="762"/>
        <v>2.8404674868225372</v>
      </c>
    </row>
    <row r="122" spans="1:26" x14ac:dyDescent="0.25">
      <c r="A122" s="2" t="s">
        <v>143</v>
      </c>
      <c r="C122" s="4">
        <f t="shared" ref="C122:W122" si="763">+C120/C56</f>
        <v>1.3459194286151117</v>
      </c>
      <c r="D122" s="4">
        <f t="shared" si="763"/>
        <v>1.3459194286151117</v>
      </c>
      <c r="E122" s="4">
        <f t="shared" ref="E122" si="764">+E120/E56</f>
        <v>1.3459194286151117</v>
      </c>
      <c r="F122" s="4">
        <f t="shared" si="763"/>
        <v>1.3331553227442783</v>
      </c>
      <c r="G122" s="4">
        <f t="shared" ref="G122:H122" si="765">+G120/G56</f>
        <v>1.3331553227442783</v>
      </c>
      <c r="H122" s="4">
        <f t="shared" si="765"/>
        <v>1.3331553227442783</v>
      </c>
      <c r="I122" s="4">
        <f t="shared" si="763"/>
        <v>1.4921263951585095</v>
      </c>
      <c r="J122" s="4">
        <f t="shared" ref="J122:K122" si="766">+J120/J56</f>
        <v>1.4921263951585095</v>
      </c>
      <c r="K122" s="4">
        <f t="shared" si="766"/>
        <v>1.4921263951585095</v>
      </c>
      <c r="L122" s="4">
        <f t="shared" si="763"/>
        <v>1.4921263951585095</v>
      </c>
      <c r="M122" s="4">
        <f t="shared" ref="M122:N122" si="767">+M120/M56</f>
        <v>1.4921263951585095</v>
      </c>
      <c r="N122" s="4">
        <f t="shared" si="767"/>
        <v>1.4921263951585095</v>
      </c>
      <c r="O122" s="4">
        <f t="shared" si="763"/>
        <v>1.4921263951585095</v>
      </c>
      <c r="P122" s="4">
        <f t="shared" ref="P122:Q122" si="768">+P120/P56</f>
        <v>1.4921263951585095</v>
      </c>
      <c r="Q122" s="4">
        <f t="shared" si="768"/>
        <v>1.4921263951585095</v>
      </c>
      <c r="R122" s="4">
        <f t="shared" si="763"/>
        <v>1.3361597546437323</v>
      </c>
      <c r="S122" s="4">
        <f t="shared" ref="S122" si="769">+S120/S56</f>
        <v>1.3361597546437323</v>
      </c>
      <c r="T122" s="4">
        <f t="shared" si="763"/>
        <v>1.3361597546437323</v>
      </c>
      <c r="U122" s="4">
        <f t="shared" ref="U122" si="770">+U120/U56</f>
        <v>1.3361597546437323</v>
      </c>
      <c r="V122" s="4">
        <f t="shared" ref="V122" si="771">+V120/V56</f>
        <v>1.3361597546437323</v>
      </c>
      <c r="W122" s="4">
        <f t="shared" si="763"/>
        <v>1.6207137090517136</v>
      </c>
      <c r="X122" s="4">
        <f t="shared" ref="X122" si="772">+X120/X56</f>
        <v>1.6207137090517136</v>
      </c>
      <c r="Y122" s="4">
        <f t="shared" ref="Y122:Z122" si="773">+Y120/Y56</f>
        <v>1.6207137090517136</v>
      </c>
      <c r="Z122" s="4">
        <f t="shared" si="773"/>
        <v>1.6207137090517136</v>
      </c>
    </row>
    <row r="123" spans="1:26" x14ac:dyDescent="0.25">
      <c r="A123" s="2" t="s">
        <v>128</v>
      </c>
      <c r="C123" s="4">
        <f>+SUM(C121)</f>
        <v>1.7913186325326469</v>
      </c>
      <c r="D123" s="4">
        <f t="shared" ref="D123:Y123" si="774">+SUM(D121)</f>
        <v>2.6768064458763443</v>
      </c>
      <c r="E123" s="4">
        <f t="shared" ref="E123" si="775">+SUM(E121)</f>
        <v>1.9916299228733096</v>
      </c>
      <c r="F123" s="4">
        <f t="shared" si="774"/>
        <v>2.3503567580022531</v>
      </c>
      <c r="G123" s="4">
        <f t="shared" si="774"/>
        <v>2.7762864896870565</v>
      </c>
      <c r="H123" s="4">
        <f t="shared" ref="H123" si="776">+SUM(H121)</f>
        <v>2.478085225844906</v>
      </c>
      <c r="I123" s="4">
        <f t="shared" si="774"/>
        <v>2.4774310654317739</v>
      </c>
      <c r="J123" s="4">
        <f t="shared" si="774"/>
        <v>3.0733055789195811</v>
      </c>
      <c r="K123" s="4">
        <f t="shared" ref="K123" si="777">+SUM(K121)</f>
        <v>2.6418236255659311</v>
      </c>
      <c r="L123" s="4">
        <f t="shared" si="774"/>
        <v>2.6908104161316206</v>
      </c>
      <c r="M123" s="4">
        <f t="shared" si="774"/>
        <v>3.1167654568275429</v>
      </c>
      <c r="N123" s="4">
        <f t="shared" ref="N123" si="778">+SUM(N121)</f>
        <v>2.824949007817477</v>
      </c>
      <c r="O123" s="4">
        <f t="shared" si="774"/>
        <v>2.9225679763971693</v>
      </c>
      <c r="P123" s="4">
        <f t="shared" si="774"/>
        <v>3.1608399045982405</v>
      </c>
      <c r="Q123" s="4">
        <f t="shared" ref="Q123" si="779">+SUM(Q121)</f>
        <v>3.020768237341886</v>
      </c>
      <c r="R123" s="4">
        <f t="shared" si="774"/>
        <v>1.7957014542795169</v>
      </c>
      <c r="S123" s="4">
        <f t="shared" ref="S123" si="780">+SUM(S121)</f>
        <v>1.9928416508824089</v>
      </c>
      <c r="T123" s="4">
        <f t="shared" si="774"/>
        <v>1.9355865251809463</v>
      </c>
      <c r="U123" s="4">
        <f t="shared" si="774"/>
        <v>2.7006827638809625</v>
      </c>
      <c r="V123" s="4">
        <f t="shared" ref="V123" si="781">+SUM(V121)</f>
        <v>2.1178742270557747</v>
      </c>
      <c r="W123" s="4">
        <f t="shared" si="774"/>
        <v>2.6574190522697032</v>
      </c>
      <c r="X123" s="4">
        <f t="shared" si="774"/>
        <v>3.3290394705565092</v>
      </c>
      <c r="Y123" s="4">
        <f t="shared" si="774"/>
        <v>3.6719888614881624</v>
      </c>
      <c r="Z123" s="4">
        <f t="shared" ref="Z123" si="782">+SUM(Z121)</f>
        <v>2.8404674868225372</v>
      </c>
    </row>
    <row r="125" spans="1:26" x14ac:dyDescent="0.25">
      <c r="A125" s="2" t="s">
        <v>144</v>
      </c>
    </row>
    <row r="126" spans="1:26" x14ac:dyDescent="0.25">
      <c r="A126" s="2" t="s">
        <v>133</v>
      </c>
      <c r="C126" s="4">
        <f>+C96*C99</f>
        <v>2.0604029678968852</v>
      </c>
      <c r="D126" s="4">
        <f t="shared" ref="D126:E126" si="783">+D96*D99</f>
        <v>3.078905028622045</v>
      </c>
      <c r="E126" s="4">
        <f t="shared" si="783"/>
        <v>2.2908041760491336</v>
      </c>
      <c r="F126" s="4">
        <f t="shared" ref="F126:G126" si="784">+F96*F99</f>
        <v>2.7293009299830282</v>
      </c>
      <c r="G126" s="4">
        <f t="shared" si="784"/>
        <v>3.223902614955672</v>
      </c>
      <c r="H126" s="4">
        <f t="shared" ref="H126" si="785">+H96*H99</f>
        <v>2.877622849573044</v>
      </c>
      <c r="I126" s="4">
        <f>+I96*I99</f>
        <v>15.589516030684042</v>
      </c>
      <c r="J126" s="4">
        <f>+J96*J99</f>
        <v>19.339124005618853</v>
      </c>
      <c r="K126" s="4">
        <f>+K96*K99</f>
        <v>16.623974864794924</v>
      </c>
      <c r="L126" s="4">
        <f t="shared" ref="L126:M126" si="786">+L96*L99</f>
        <v>16.932229801721888</v>
      </c>
      <c r="M126" s="4">
        <f t="shared" si="786"/>
        <v>19.612600217648055</v>
      </c>
      <c r="N126" s="4">
        <f t="shared" ref="N126" si="787">+N96*N99</f>
        <v>17.776312107219091</v>
      </c>
      <c r="O126" s="4">
        <f t="shared" ref="O126:P126" si="788">+O96*O99</f>
        <v>18.390590541362617</v>
      </c>
      <c r="P126" s="4">
        <f t="shared" si="788"/>
        <v>19.889943680258213</v>
      </c>
      <c r="Q126" s="4">
        <f t="shared" ref="Q126" si="789">+Q96*Q99</f>
        <v>19.008526823657604</v>
      </c>
      <c r="R126" s="4">
        <f t="shared" ref="R126:T126" si="790">+R96*R99</f>
        <v>35.178290869840886</v>
      </c>
      <c r="S126" s="4">
        <f t="shared" ref="S126" si="791">+S96*S99</f>
        <v>39.040322145533473</v>
      </c>
      <c r="T126" s="4">
        <f t="shared" si="790"/>
        <v>37.918678310521109</v>
      </c>
      <c r="U126" s="4">
        <f t="shared" ref="U126" si="792">+U96*U99</f>
        <v>52.907126398184609</v>
      </c>
      <c r="V126" s="4">
        <f t="shared" ref="V126" si="793">+V96*V99</f>
        <v>41.489745084045794</v>
      </c>
      <c r="W126" s="4">
        <f t="shared" ref="W126:Y126" si="794">+W96*W99</f>
        <v>77.548113472463982</v>
      </c>
      <c r="X126" s="4">
        <f t="shared" ref="X126" si="795">+X96*X99</f>
        <v>97.147166306545586</v>
      </c>
      <c r="Y126" s="4">
        <f t="shared" si="794"/>
        <v>107.15502647469083</v>
      </c>
      <c r="Z126" s="4">
        <f t="shared" ref="Z126" si="796">+Z96*Z99</f>
        <v>82.889785408448645</v>
      </c>
    </row>
    <row r="127" spans="1:26" x14ac:dyDescent="0.25">
      <c r="A127" s="2" t="s">
        <v>134</v>
      </c>
      <c r="C127" s="4">
        <f>+C97</f>
        <v>1.5480977727272731</v>
      </c>
      <c r="D127" s="4">
        <f t="shared" ref="D127:E127" si="797">+D97</f>
        <v>1.5480977727272731</v>
      </c>
      <c r="E127" s="4">
        <f t="shared" si="797"/>
        <v>1.5480977727272731</v>
      </c>
      <c r="F127" s="4">
        <f t="shared" ref="F127:G127" si="798">+F97</f>
        <v>1.5480977727272731</v>
      </c>
      <c r="G127" s="4">
        <f t="shared" si="798"/>
        <v>1.5480977727272731</v>
      </c>
      <c r="H127" s="4">
        <f t="shared" ref="H127" si="799">+H97</f>
        <v>1.5480977727272731</v>
      </c>
      <c r="I127" s="4">
        <f t="shared" ref="I127:J127" si="800">+I97</f>
        <v>9.3893746153846198</v>
      </c>
      <c r="J127" s="4">
        <f t="shared" si="800"/>
        <v>9.3893746153846198</v>
      </c>
      <c r="K127" s="4">
        <f t="shared" ref="K127" si="801">+K97</f>
        <v>9.3893746153846198</v>
      </c>
      <c r="L127" s="4">
        <f t="shared" ref="L127:M127" si="802">+L97</f>
        <v>9.3893746153846198</v>
      </c>
      <c r="M127" s="4">
        <f t="shared" si="802"/>
        <v>9.3893746153846198</v>
      </c>
      <c r="N127" s="4">
        <f t="shared" ref="N127" si="803">+N97</f>
        <v>9.3893746153846198</v>
      </c>
      <c r="O127" s="4">
        <f t="shared" ref="O127:P127" si="804">+O97</f>
        <v>9.3893746153846198</v>
      </c>
      <c r="P127" s="4">
        <f t="shared" si="804"/>
        <v>9.3893746153846198</v>
      </c>
      <c r="Q127" s="4">
        <f t="shared" ref="Q127" si="805">+Q97</f>
        <v>9.3893746153846198</v>
      </c>
      <c r="R127" s="4">
        <f t="shared" ref="R127:T127" si="806">+R97</f>
        <v>26.175741176470581</v>
      </c>
      <c r="S127" s="4">
        <f t="shared" ref="S127" si="807">+S97</f>
        <v>26.175741176470581</v>
      </c>
      <c r="T127" s="4">
        <f t="shared" si="806"/>
        <v>26.175741176470581</v>
      </c>
      <c r="U127" s="4">
        <f t="shared" ref="U127" si="808">+U97</f>
        <v>26.175741176470581</v>
      </c>
      <c r="V127" s="4">
        <f t="shared" ref="V127" si="809">+V97</f>
        <v>26.175741176470581</v>
      </c>
      <c r="W127" s="4">
        <f t="shared" ref="W127:Y127" si="810">+W97</f>
        <v>47.295247058823513</v>
      </c>
      <c r="X127" s="4">
        <f t="shared" ref="X127" si="811">+X97</f>
        <v>47.295247058823513</v>
      </c>
      <c r="Y127" s="4">
        <f t="shared" si="810"/>
        <v>47.295247058823513</v>
      </c>
      <c r="Z127" s="4">
        <f t="shared" ref="Z127" si="812">+Z97</f>
        <v>47.295247058823513</v>
      </c>
    </row>
    <row r="128" spans="1:26" x14ac:dyDescent="0.25">
      <c r="A128" s="2" t="s">
        <v>135</v>
      </c>
      <c r="C128" s="4">
        <f>+C126*1000/C85</f>
        <v>19.72703492994254</v>
      </c>
      <c r="D128" s="4">
        <f t="shared" ref="D128:E128" si="813">+D126*1000/D85</f>
        <v>29.478537932606251</v>
      </c>
      <c r="E128" s="4">
        <f t="shared" si="813"/>
        <v>21.932978501145861</v>
      </c>
      <c r="F128" s="4">
        <f t="shared" ref="F128:G128" si="814">+F126*1000/F85</f>
        <v>25.883485506642234</v>
      </c>
      <c r="G128" s="4">
        <f t="shared" si="814"/>
        <v>30.57406960600348</v>
      </c>
      <c r="H128" s="4">
        <f t="shared" ref="H128" si="815">+H126*1000/H85</f>
        <v>27.290105133613672</v>
      </c>
      <c r="I128" s="4">
        <f>+I126*1000/I85</f>
        <v>27.282901141490061</v>
      </c>
      <c r="J128" s="4">
        <f>+J126*1000/J85</f>
        <v>33.845015289109334</v>
      </c>
      <c r="K128" s="4">
        <f>+K126*1000/K85</f>
        <v>29.093286919370417</v>
      </c>
      <c r="L128" s="4">
        <f t="shared" ref="L128:M128" si="816">+L126*1000/L85</f>
        <v>29.63275773770766</v>
      </c>
      <c r="M128" s="4">
        <f t="shared" si="816"/>
        <v>34.323620554510534</v>
      </c>
      <c r="N128" s="4">
        <f t="shared" ref="N128" si="817">+N126*1000/N85</f>
        <v>31.109969349077399</v>
      </c>
      <c r="O128" s="4">
        <f t="shared" ref="O128:P128" si="818">+O126*1000/O85</f>
        <v>32.185005787610876</v>
      </c>
      <c r="P128" s="4">
        <f t="shared" si="818"/>
        <v>34.808993818038303</v>
      </c>
      <c r="Q128" s="4">
        <f t="shared" ref="Q128" si="819">+Q126*1000/Q85</f>
        <v>33.266443753254656</v>
      </c>
      <c r="R128" s="4">
        <f t="shared" ref="R128:T128" si="820">+R126*1000/R85</f>
        <v>19.775301093271604</v>
      </c>
      <c r="S128" s="4">
        <f t="shared" ref="S128" si="821">+S126*1000/S85</f>
        <v>21.946322749526338</v>
      </c>
      <c r="T128" s="4">
        <f t="shared" si="820"/>
        <v>21.315796251270633</v>
      </c>
      <c r="U128" s="4">
        <f t="shared" ref="U128" si="822">+U126*1000/U85</f>
        <v>29.741477730541355</v>
      </c>
      <c r="V128" s="4">
        <f t="shared" ref="V128" si="823">+V126*1000/V85</f>
        <v>23.32325366106685</v>
      </c>
      <c r="W128" s="4">
        <f t="shared" ref="W128:Y128" si="824">+W126*1000/W85</f>
        <v>29.265032761648467</v>
      </c>
      <c r="X128" s="4">
        <f t="shared" ref="X128" si="825">+X126*1000/X85</f>
        <v>36.661304541881272</v>
      </c>
      <c r="Y128" s="4">
        <f t="shared" si="824"/>
        <v>40.438061223380224</v>
      </c>
      <c r="Z128" s="4">
        <f t="shared" ref="Z128" si="826">+Z126*1000/Z85</f>
        <v>31.28086779887445</v>
      </c>
    </row>
    <row r="129" spans="1:26" x14ac:dyDescent="0.25">
      <c r="A129" s="2" t="s">
        <v>136</v>
      </c>
      <c r="C129" s="4">
        <f>+C127*1000/C85</f>
        <v>14.822041762408073</v>
      </c>
      <c r="D129" s="4">
        <f t="shared" ref="D129:E129" si="827">+D127*1000/D85</f>
        <v>14.822041762408073</v>
      </c>
      <c r="E129" s="4">
        <f t="shared" si="827"/>
        <v>14.822041762408073</v>
      </c>
      <c r="F129" s="4">
        <f t="shared" ref="F129:G129" si="828">+F127*1000/F85</f>
        <v>14.68147605969587</v>
      </c>
      <c r="G129" s="4">
        <f t="shared" si="828"/>
        <v>14.68147605969587</v>
      </c>
      <c r="H129" s="4">
        <f t="shared" ref="H129" si="829">+H127*1000/H85</f>
        <v>14.68147605969587</v>
      </c>
      <c r="I129" s="4">
        <f t="shared" ref="I129:J129" si="830">+I127*1000/I85</f>
        <v>16.432157284918265</v>
      </c>
      <c r="J129" s="4">
        <f t="shared" si="830"/>
        <v>16.432157284918265</v>
      </c>
      <c r="K129" s="4">
        <f t="shared" ref="K129" si="831">+K127*1000/K85</f>
        <v>16.432157284918265</v>
      </c>
      <c r="L129" s="4">
        <f t="shared" ref="L129:M129" si="832">+L127*1000/L85</f>
        <v>16.432157284918265</v>
      </c>
      <c r="M129" s="4">
        <f t="shared" si="832"/>
        <v>16.432157284918265</v>
      </c>
      <c r="N129" s="4">
        <f t="shared" ref="N129" si="833">+N127*1000/N85</f>
        <v>16.432157284918265</v>
      </c>
      <c r="O129" s="4">
        <f>+O127*1000/O85</f>
        <v>16.432157284918265</v>
      </c>
      <c r="P129" s="4">
        <f>+P127*1000/P85</f>
        <v>16.432157284918265</v>
      </c>
      <c r="Q129" s="4">
        <f>+Q127*1000/Q85</f>
        <v>16.432157284918265</v>
      </c>
      <c r="R129" s="4">
        <f t="shared" ref="R129:T129" si="834">+R127*1000/R85</f>
        <v>14.714562598265152</v>
      </c>
      <c r="S129" s="4">
        <f t="shared" ref="S129" si="835">+S127*1000/S85</f>
        <v>14.714562598265152</v>
      </c>
      <c r="T129" s="4">
        <f t="shared" si="834"/>
        <v>14.714562598265152</v>
      </c>
      <c r="U129" s="4">
        <f t="shared" ref="U129" si="836">+U127*1000/U85</f>
        <v>14.714562598265152</v>
      </c>
      <c r="V129" s="4">
        <f t="shared" ref="V129" si="837">+V127*1000/V85</f>
        <v>14.714562598265152</v>
      </c>
      <c r="W129" s="4">
        <f t="shared" ref="W129:Y129" si="838">+W127*1000/W85</f>
        <v>17.848235020419907</v>
      </c>
      <c r="X129" s="4">
        <f t="shared" ref="X129" si="839">+X127*1000/X85</f>
        <v>17.848235020419907</v>
      </c>
      <c r="Y129" s="4">
        <f t="shared" si="838"/>
        <v>17.848235020419907</v>
      </c>
      <c r="Z129" s="4">
        <f t="shared" ref="Z129" si="840">+Z127*1000/Z85</f>
        <v>17.848235020419907</v>
      </c>
    </row>
    <row r="130" spans="1:26" x14ac:dyDescent="0.25">
      <c r="A130" s="2" t="s">
        <v>145</v>
      </c>
      <c r="C130" s="4">
        <f>+C87</f>
        <v>0</v>
      </c>
      <c r="D130" s="4">
        <f t="shared" ref="D130:W130" si="841">+D87</f>
        <v>0</v>
      </c>
      <c r="E130" s="4">
        <f t="shared" ref="E130" si="842">+E87</f>
        <v>0</v>
      </c>
      <c r="F130" s="4">
        <f t="shared" si="841"/>
        <v>8.0610248723224185</v>
      </c>
      <c r="G130" s="4">
        <f t="shared" ref="G130:H130" si="843">+G87</f>
        <v>8.0610248723224185</v>
      </c>
      <c r="H130" s="4">
        <f t="shared" si="843"/>
        <v>8.0610248723224185</v>
      </c>
      <c r="I130" s="4">
        <f t="shared" si="841"/>
        <v>4.4627041515506853</v>
      </c>
      <c r="J130" s="4">
        <f t="shared" ref="J130:K130" si="844">+J87</f>
        <v>4.4627041515506853</v>
      </c>
      <c r="K130" s="4">
        <f t="shared" si="844"/>
        <v>4.4627041515506853</v>
      </c>
      <c r="L130" s="4">
        <f t="shared" si="841"/>
        <v>4.4627041515506853</v>
      </c>
      <c r="M130" s="4">
        <f t="shared" ref="M130:N130" si="845">+M87</f>
        <v>4.4627041515506853</v>
      </c>
      <c r="N130" s="4">
        <f t="shared" si="845"/>
        <v>4.4627041515506853</v>
      </c>
      <c r="O130" s="4">
        <f t="shared" si="841"/>
        <v>4.4627041515506853</v>
      </c>
      <c r="P130" s="4">
        <f t="shared" ref="P130:Q130" si="846">+P87</f>
        <v>4.4627041515506853</v>
      </c>
      <c r="Q130" s="4">
        <f t="shared" si="846"/>
        <v>4.4627041515506853</v>
      </c>
      <c r="R130" s="4">
        <f t="shared" si="841"/>
        <v>0</v>
      </c>
      <c r="S130" s="4">
        <f t="shared" ref="S130" si="847">+S87</f>
        <v>0</v>
      </c>
      <c r="T130" s="4">
        <f t="shared" si="841"/>
        <v>0</v>
      </c>
      <c r="U130" s="4">
        <f t="shared" ref="U130" si="848">+U87</f>
        <v>0</v>
      </c>
      <c r="V130" s="4">
        <f t="shared" ref="V130" si="849">+V87</f>
        <v>0</v>
      </c>
      <c r="W130" s="4">
        <f t="shared" si="841"/>
        <v>16.038609279795043</v>
      </c>
      <c r="X130" s="4">
        <f t="shared" ref="X130" si="850">+X87</f>
        <v>16.038609279795043</v>
      </c>
      <c r="Y130" s="4">
        <f t="shared" ref="Y130:Z130" si="851">+Y87</f>
        <v>16.038609279795043</v>
      </c>
      <c r="Z130" s="4">
        <f t="shared" si="851"/>
        <v>16.038609279795043</v>
      </c>
    </row>
    <row r="131" spans="1:26" x14ac:dyDescent="0.25">
      <c r="A131" s="2" t="s">
        <v>146</v>
      </c>
      <c r="C131" s="4">
        <f>+C128+C129+C130</f>
        <v>34.54907669235061</v>
      </c>
      <c r="D131" s="4">
        <f t="shared" ref="D131:E131" si="852">+D128+D129</f>
        <v>44.300579695014321</v>
      </c>
      <c r="E131" s="4">
        <f t="shared" si="852"/>
        <v>36.755020263553931</v>
      </c>
      <c r="F131" s="4">
        <f t="shared" ref="F131:G131" si="853">+F128+F129</f>
        <v>40.564961566338106</v>
      </c>
      <c r="G131" s="4">
        <f t="shared" si="853"/>
        <v>45.255545665699351</v>
      </c>
      <c r="H131" s="4">
        <f t="shared" ref="H131" si="854">+H128+H129</f>
        <v>41.97158119330954</v>
      </c>
      <c r="I131" s="4">
        <f>+I128+I129</f>
        <v>43.715058426408326</v>
      </c>
      <c r="J131" s="4">
        <f>+J128+J129</f>
        <v>50.277172574027603</v>
      </c>
      <c r="K131" s="4">
        <f>+K128+K129</f>
        <v>45.525444204288682</v>
      </c>
      <c r="L131" s="4">
        <f t="shared" ref="L131:M131" si="855">+L128+L129</f>
        <v>46.064915022625925</v>
      </c>
      <c r="M131" s="4">
        <f t="shared" si="855"/>
        <v>50.755777839428802</v>
      </c>
      <c r="N131" s="4">
        <f t="shared" ref="N131" si="856">+N128+N129</f>
        <v>47.542126633995665</v>
      </c>
      <c r="O131" s="4">
        <f>+O128+O129</f>
        <v>48.617163072529138</v>
      </c>
      <c r="P131" s="4">
        <f>+P128+P129</f>
        <v>51.241151102956565</v>
      </c>
      <c r="Q131" s="4">
        <f>+Q128+Q129</f>
        <v>49.698601038172924</v>
      </c>
      <c r="R131" s="4">
        <f t="shared" ref="R131:T131" si="857">+R128+R129</f>
        <v>34.489863691536755</v>
      </c>
      <c r="S131" s="4">
        <f t="shared" ref="S131" si="858">+S128+S129</f>
        <v>36.660885347791492</v>
      </c>
      <c r="T131" s="4">
        <f t="shared" si="857"/>
        <v>36.030358849535787</v>
      </c>
      <c r="U131" s="4">
        <f t="shared" ref="U131" si="859">+U128+U129</f>
        <v>44.456040328806509</v>
      </c>
      <c r="V131" s="4">
        <f t="shared" ref="V131" si="860">+V128+V129</f>
        <v>38.037816259332004</v>
      </c>
      <c r="W131" s="4">
        <f t="shared" ref="W131:Y131" si="861">+W128+W129</f>
        <v>47.113267782068377</v>
      </c>
      <c r="X131" s="4">
        <f t="shared" ref="X131" si="862">+X128+X129</f>
        <v>54.509539562301178</v>
      </c>
      <c r="Y131" s="4">
        <f t="shared" si="861"/>
        <v>58.28629624380013</v>
      </c>
      <c r="Z131" s="4">
        <f t="shared" ref="Z131" si="863">+Z128+Z129</f>
        <v>49.12910281929436</v>
      </c>
    </row>
    <row r="132" spans="1:26" x14ac:dyDescent="0.25">
      <c r="A132" s="2" t="s">
        <v>147</v>
      </c>
      <c r="C132" s="4">
        <f>+C131+C130</f>
        <v>34.54907669235061</v>
      </c>
      <c r="D132" s="4">
        <f t="shared" ref="D132:W132" si="864">+D131+D130</f>
        <v>44.300579695014321</v>
      </c>
      <c r="E132" s="4">
        <f t="shared" ref="E132" si="865">+E131+E130</f>
        <v>36.755020263553931</v>
      </c>
      <c r="F132" s="4">
        <f t="shared" si="864"/>
        <v>48.625986438660526</v>
      </c>
      <c r="G132" s="4">
        <f t="shared" ref="G132:H132" si="866">+G131+G130</f>
        <v>53.316570538021772</v>
      </c>
      <c r="H132" s="4">
        <f t="shared" si="866"/>
        <v>50.03260606563196</v>
      </c>
      <c r="I132" s="4">
        <f t="shared" si="864"/>
        <v>48.177762577959015</v>
      </c>
      <c r="J132" s="4">
        <f t="shared" ref="J132:K132" si="867">+J131+J130</f>
        <v>54.739876725578284</v>
      </c>
      <c r="K132" s="4">
        <f t="shared" si="867"/>
        <v>49.988148355839371</v>
      </c>
      <c r="L132" s="4">
        <f t="shared" si="864"/>
        <v>50.527619174176607</v>
      </c>
      <c r="M132" s="4">
        <f t="shared" ref="M132:N132" si="868">+M131+M130</f>
        <v>55.218481990979484</v>
      </c>
      <c r="N132" s="4">
        <f t="shared" si="868"/>
        <v>52.004830785546346</v>
      </c>
      <c r="O132" s="4">
        <f t="shared" si="864"/>
        <v>53.07986722407982</v>
      </c>
      <c r="P132" s="4">
        <f t="shared" ref="P132:Q132" si="869">+P131+P130</f>
        <v>55.703855254507246</v>
      </c>
      <c r="Q132" s="4">
        <f t="shared" si="869"/>
        <v>54.161305189723606</v>
      </c>
      <c r="R132" s="4">
        <f t="shared" si="864"/>
        <v>34.489863691536755</v>
      </c>
      <c r="S132" s="4">
        <f t="shared" ref="S132" si="870">+S131+S130</f>
        <v>36.660885347791492</v>
      </c>
      <c r="T132" s="4">
        <f t="shared" si="864"/>
        <v>36.030358849535787</v>
      </c>
      <c r="U132" s="4">
        <f t="shared" ref="U132" si="871">+U131+U130</f>
        <v>44.456040328806509</v>
      </c>
      <c r="V132" s="4">
        <f t="shared" ref="V132" si="872">+V131+V130</f>
        <v>38.037816259332004</v>
      </c>
      <c r="W132" s="4">
        <f t="shared" si="864"/>
        <v>63.151877061863416</v>
      </c>
      <c r="X132" s="4">
        <f t="shared" ref="X132" si="873">+X131+X130</f>
        <v>70.548148842096225</v>
      </c>
      <c r="Y132" s="4">
        <f t="shared" ref="Y132:Z132" si="874">+Y131+Y130</f>
        <v>74.324905523595177</v>
      </c>
      <c r="Z132" s="4">
        <f t="shared" si="874"/>
        <v>65.1677120990894</v>
      </c>
    </row>
    <row r="133" spans="1:26" x14ac:dyDescent="0.25">
      <c r="A133" s="2" t="s">
        <v>148</v>
      </c>
      <c r="B133" s="2" t="s">
        <v>149</v>
      </c>
      <c r="C133" s="3">
        <v>0.73</v>
      </c>
      <c r="D133" s="3">
        <v>0.73</v>
      </c>
      <c r="E133" s="3">
        <v>0.73</v>
      </c>
      <c r="F133" s="3">
        <v>0.73</v>
      </c>
      <c r="G133" s="3">
        <v>0.73</v>
      </c>
      <c r="H133" s="3">
        <v>0.73</v>
      </c>
      <c r="I133" s="3">
        <v>0.73</v>
      </c>
      <c r="J133" s="3">
        <v>0.73</v>
      </c>
      <c r="K133" s="3">
        <v>0.73</v>
      </c>
      <c r="L133" s="3">
        <v>0.73</v>
      </c>
      <c r="M133" s="3">
        <v>0.73</v>
      </c>
      <c r="N133" s="3">
        <v>0.73</v>
      </c>
      <c r="O133" s="3">
        <v>0.73</v>
      </c>
      <c r="P133" s="3">
        <v>0.73</v>
      </c>
      <c r="Q133" s="3">
        <v>0.73</v>
      </c>
      <c r="R133" s="3">
        <v>0.73</v>
      </c>
      <c r="S133" s="3">
        <v>0.73</v>
      </c>
      <c r="T133" s="3">
        <v>0.73</v>
      </c>
      <c r="U133" s="3">
        <v>0.73</v>
      </c>
      <c r="V133" s="3">
        <v>0.73</v>
      </c>
      <c r="W133" s="3">
        <v>0.73</v>
      </c>
      <c r="X133" s="3">
        <v>0.73</v>
      </c>
      <c r="Y133" s="3">
        <v>0.73</v>
      </c>
      <c r="Z133" s="3">
        <v>0.73</v>
      </c>
    </row>
    <row r="134" spans="1:26" x14ac:dyDescent="0.25">
      <c r="A134" s="2" t="s">
        <v>150</v>
      </c>
      <c r="C134" s="3">
        <v>335</v>
      </c>
      <c r="D134" s="3">
        <v>335</v>
      </c>
      <c r="E134" s="3">
        <v>335</v>
      </c>
      <c r="F134" s="3">
        <v>335</v>
      </c>
      <c r="G134" s="3">
        <v>335</v>
      </c>
      <c r="H134" s="3">
        <v>335</v>
      </c>
      <c r="I134" s="3">
        <v>335</v>
      </c>
      <c r="J134" s="3">
        <v>335</v>
      </c>
      <c r="K134" s="3">
        <v>335</v>
      </c>
      <c r="L134" s="3">
        <v>335</v>
      </c>
      <c r="M134" s="3">
        <v>335</v>
      </c>
      <c r="N134" s="3">
        <v>335</v>
      </c>
      <c r="O134" s="3">
        <v>335</v>
      </c>
      <c r="P134" s="3">
        <v>335</v>
      </c>
      <c r="Q134" s="3">
        <v>335</v>
      </c>
      <c r="R134" s="3">
        <v>335</v>
      </c>
      <c r="S134" s="3">
        <v>335</v>
      </c>
      <c r="T134" s="3">
        <v>335</v>
      </c>
      <c r="U134" s="3">
        <v>335</v>
      </c>
      <c r="V134" s="3">
        <v>335</v>
      </c>
      <c r="W134" s="3">
        <v>335</v>
      </c>
      <c r="X134" s="3">
        <v>335</v>
      </c>
      <c r="Y134" s="3">
        <v>335</v>
      </c>
      <c r="Z134" s="3">
        <v>335</v>
      </c>
    </row>
    <row r="135" spans="1:26" x14ac:dyDescent="0.25">
      <c r="A135" s="2" t="s">
        <v>151</v>
      </c>
      <c r="C135" s="3">
        <v>0.55000000000000004</v>
      </c>
      <c r="D135" s="3">
        <v>0.55000000000000004</v>
      </c>
      <c r="E135" s="3">
        <v>0.55000000000000004</v>
      </c>
      <c r="F135" s="3">
        <v>0.55000000000000004</v>
      </c>
      <c r="G135" s="3">
        <v>0.55000000000000004</v>
      </c>
      <c r="H135" s="3">
        <v>0.55000000000000004</v>
      </c>
      <c r="I135" s="3">
        <v>0.55000000000000004</v>
      </c>
      <c r="J135" s="3">
        <v>0.55000000000000004</v>
      </c>
      <c r="K135" s="3">
        <v>0.55000000000000004</v>
      </c>
      <c r="L135" s="3">
        <v>0.55000000000000004</v>
      </c>
      <c r="M135" s="3">
        <v>0.55000000000000004</v>
      </c>
      <c r="N135" s="3">
        <v>0.55000000000000004</v>
      </c>
      <c r="O135" s="3">
        <v>0.55000000000000004</v>
      </c>
      <c r="P135" s="3">
        <v>0.55000000000000004</v>
      </c>
      <c r="Q135" s="3">
        <v>0.55000000000000004</v>
      </c>
      <c r="R135" s="3">
        <v>0.55000000000000004</v>
      </c>
      <c r="S135" s="3">
        <v>0.55000000000000004</v>
      </c>
      <c r="T135" s="3">
        <v>0.55000000000000004</v>
      </c>
      <c r="U135" s="3">
        <v>0.55000000000000004</v>
      </c>
      <c r="V135" s="3">
        <v>0.55000000000000004</v>
      </c>
      <c r="W135" s="3">
        <v>0.55000000000000004</v>
      </c>
      <c r="X135" s="3">
        <v>0.55000000000000004</v>
      </c>
      <c r="Y135" s="3">
        <v>0.55000000000000004</v>
      </c>
      <c r="Z135" s="3">
        <v>0.55000000000000004</v>
      </c>
    </row>
    <row r="136" spans="1:26" x14ac:dyDescent="0.25">
      <c r="A136" s="2" t="s">
        <v>152</v>
      </c>
      <c r="C136" s="3">
        <v>0.71699999999999997</v>
      </c>
      <c r="D136" s="3">
        <v>0.71699999999999997</v>
      </c>
      <c r="E136" s="3">
        <v>0.71699999999999997</v>
      </c>
      <c r="F136" s="3">
        <v>0.71699999999999997</v>
      </c>
      <c r="G136" s="3">
        <v>0.71699999999999997</v>
      </c>
      <c r="H136" s="3">
        <v>0.71699999999999997</v>
      </c>
      <c r="I136" s="3">
        <v>0.71699999999999997</v>
      </c>
      <c r="J136" s="3">
        <v>0.71699999999999997</v>
      </c>
      <c r="K136" s="3">
        <v>0.71699999999999997</v>
      </c>
      <c r="L136" s="3">
        <v>0.71699999999999997</v>
      </c>
      <c r="M136" s="3">
        <v>0.71699999999999997</v>
      </c>
      <c r="N136" s="3">
        <v>0.71699999999999997</v>
      </c>
      <c r="O136" s="3">
        <v>0.71699999999999997</v>
      </c>
      <c r="P136" s="3">
        <v>0.71699999999999997</v>
      </c>
      <c r="Q136" s="3">
        <v>0.71699999999999997</v>
      </c>
      <c r="R136" s="3">
        <v>0.71699999999999997</v>
      </c>
      <c r="S136" s="3">
        <v>0.71699999999999997</v>
      </c>
      <c r="T136" s="3">
        <v>0.71699999999999997</v>
      </c>
      <c r="U136" s="3">
        <v>0.71699999999999997</v>
      </c>
      <c r="V136" s="3">
        <v>0.71699999999999997</v>
      </c>
      <c r="W136" s="3">
        <v>0.71699999999999997</v>
      </c>
      <c r="X136" s="3">
        <v>0.71699999999999997</v>
      </c>
      <c r="Y136" s="3">
        <v>0.71699999999999997</v>
      </c>
      <c r="Z136" s="3">
        <v>0.71699999999999997</v>
      </c>
    </row>
    <row r="137" spans="1:26" x14ac:dyDescent="0.25">
      <c r="A137" s="2" t="s">
        <v>153</v>
      </c>
      <c r="C137" s="4">
        <f>+C134*C136/1000</f>
        <v>0.24019499999999999</v>
      </c>
      <c r="D137" s="4">
        <f t="shared" ref="D137:W137" si="875">+D134*D136/1000</f>
        <v>0.24019499999999999</v>
      </c>
      <c r="E137" s="4">
        <f t="shared" ref="E137" si="876">+E134*E136/1000</f>
        <v>0.24019499999999999</v>
      </c>
      <c r="F137" s="4">
        <f t="shared" si="875"/>
        <v>0.24019499999999999</v>
      </c>
      <c r="G137" s="4">
        <f t="shared" ref="G137:H137" si="877">+G134*G136/1000</f>
        <v>0.24019499999999999</v>
      </c>
      <c r="H137" s="4">
        <f t="shared" si="877"/>
        <v>0.24019499999999999</v>
      </c>
      <c r="I137" s="4">
        <f t="shared" si="875"/>
        <v>0.24019499999999999</v>
      </c>
      <c r="J137" s="4">
        <f t="shared" ref="J137:K137" si="878">+J134*J136/1000</f>
        <v>0.24019499999999999</v>
      </c>
      <c r="K137" s="4">
        <f t="shared" si="878"/>
        <v>0.24019499999999999</v>
      </c>
      <c r="L137" s="4">
        <f t="shared" si="875"/>
        <v>0.24019499999999999</v>
      </c>
      <c r="M137" s="4">
        <f t="shared" ref="M137:N137" si="879">+M134*M136/1000</f>
        <v>0.24019499999999999</v>
      </c>
      <c r="N137" s="4">
        <f t="shared" si="879"/>
        <v>0.24019499999999999</v>
      </c>
      <c r="O137" s="4">
        <f t="shared" si="875"/>
        <v>0.24019499999999999</v>
      </c>
      <c r="P137" s="4">
        <f t="shared" ref="P137:Q137" si="880">+P134*P136/1000</f>
        <v>0.24019499999999999</v>
      </c>
      <c r="Q137" s="4">
        <f t="shared" si="880"/>
        <v>0.24019499999999999</v>
      </c>
      <c r="R137" s="4">
        <f t="shared" si="875"/>
        <v>0.24019499999999999</v>
      </c>
      <c r="S137" s="4">
        <f t="shared" ref="S137" si="881">+S134*S136/1000</f>
        <v>0.24019499999999999</v>
      </c>
      <c r="T137" s="4">
        <f t="shared" si="875"/>
        <v>0.24019499999999999</v>
      </c>
      <c r="U137" s="4">
        <f t="shared" ref="U137" si="882">+U134*U136/1000</f>
        <v>0.24019499999999999</v>
      </c>
      <c r="V137" s="4">
        <f t="shared" ref="V137" si="883">+V134*V136/1000</f>
        <v>0.24019499999999999</v>
      </c>
      <c r="W137" s="4">
        <f t="shared" si="875"/>
        <v>0.24019499999999999</v>
      </c>
      <c r="X137" s="4">
        <f t="shared" ref="X137" si="884">+X134*X136/1000</f>
        <v>0.24019499999999999</v>
      </c>
      <c r="Y137" s="4">
        <f t="shared" ref="Y137:Z137" si="885">+Y134*Y136/1000</f>
        <v>0.24019499999999999</v>
      </c>
      <c r="Z137" s="4">
        <f t="shared" si="885"/>
        <v>0.24019499999999999</v>
      </c>
    </row>
    <row r="138" spans="1:26" x14ac:dyDescent="0.25">
      <c r="A138" s="2" t="s">
        <v>154</v>
      </c>
      <c r="C138" s="72">
        <f>+C137*C131</f>
        <v>8.2985154761191549</v>
      </c>
      <c r="D138" s="4">
        <f t="shared" ref="D138:W138" si="886">+D137*D131</f>
        <v>10.640777739843964</v>
      </c>
      <c r="E138" s="4">
        <f t="shared" ref="E138" si="887">+E137*E131</f>
        <v>8.8283720922043365</v>
      </c>
      <c r="F138" s="4">
        <f t="shared" si="886"/>
        <v>9.7435009434265805</v>
      </c>
      <c r="G138" s="4">
        <f t="shared" ref="G138:H138" si="888">+G137*G131</f>
        <v>10.870155791172655</v>
      </c>
      <c r="H138" s="4">
        <f t="shared" si="888"/>
        <v>10.081363944726984</v>
      </c>
      <c r="I138" s="4">
        <f t="shared" si="886"/>
        <v>10.500138458731147</v>
      </c>
      <c r="J138" s="4">
        <f t="shared" ref="J138:K138" si="889">+J137*J131</f>
        <v>12.07632546641856</v>
      </c>
      <c r="K138" s="4">
        <f t="shared" si="889"/>
        <v>10.93498407064912</v>
      </c>
      <c r="L138" s="4">
        <f t="shared" si="886"/>
        <v>11.064562263859633</v>
      </c>
      <c r="M138" s="4">
        <f t="shared" ref="M138:N138" si="890">+M137*M131</f>
        <v>12.191284058141601</v>
      </c>
      <c r="N138" s="4">
        <f t="shared" si="890"/>
        <v>11.419381106852589</v>
      </c>
      <c r="O138" s="4">
        <f t="shared" si="886"/>
        <v>11.677599484206135</v>
      </c>
      <c r="P138" s="4">
        <f t="shared" ref="P138:Q138" si="891">+P137*P131</f>
        <v>12.307868289174651</v>
      </c>
      <c r="Q138" s="4">
        <f t="shared" si="891"/>
        <v>11.937355476363946</v>
      </c>
      <c r="R138" s="4">
        <f t="shared" si="886"/>
        <v>8.2842928093886705</v>
      </c>
      <c r="S138" s="4">
        <f t="shared" ref="S138" si="892">+S137*S131</f>
        <v>8.805761356112777</v>
      </c>
      <c r="T138" s="4">
        <f t="shared" si="886"/>
        <v>8.6543120438642482</v>
      </c>
      <c r="U138" s="4">
        <f t="shared" ref="U138" si="893">+U137*U131</f>
        <v>10.678118606777678</v>
      </c>
      <c r="V138" s="4">
        <f t="shared" ref="V138" si="894">+V137*V131</f>
        <v>9.1364932764102509</v>
      </c>
      <c r="W138" s="4">
        <f t="shared" si="886"/>
        <v>11.316371354913914</v>
      </c>
      <c r="X138" s="4">
        <f t="shared" ref="X138" si="895">+X137*X131</f>
        <v>13.09291885516693</v>
      </c>
      <c r="Y138" s="4">
        <f t="shared" ref="Y138:Z138" si="896">+Y137*Y131</f>
        <v>14.000076926279572</v>
      </c>
      <c r="Z138" s="4">
        <f t="shared" si="896"/>
        <v>11.800564851680408</v>
      </c>
    </row>
    <row r="139" spans="1:26" x14ac:dyDescent="0.25">
      <c r="A139" s="2" t="s">
        <v>155</v>
      </c>
      <c r="B139" s="2" t="s">
        <v>156</v>
      </c>
      <c r="C139" s="72">
        <f>+C132*C137</f>
        <v>8.2985154761191549</v>
      </c>
      <c r="D139" s="72">
        <f t="shared" ref="D139:W139" si="897">+D132*D137</f>
        <v>10.640777739843964</v>
      </c>
      <c r="E139" s="72">
        <f t="shared" ref="E139" si="898">+E132*E137</f>
        <v>8.8283720922043365</v>
      </c>
      <c r="F139" s="72">
        <f t="shared" si="897"/>
        <v>11.679718812634064</v>
      </c>
      <c r="G139" s="72">
        <f t="shared" ref="G139:H139" si="899">+G132*G137</f>
        <v>12.806373660380139</v>
      </c>
      <c r="H139" s="72">
        <f t="shared" si="899"/>
        <v>12.017581813934468</v>
      </c>
      <c r="I139" s="72">
        <f t="shared" si="897"/>
        <v>11.572057682412865</v>
      </c>
      <c r="J139" s="72">
        <f t="shared" ref="J139:K139" si="900">+J132*J137</f>
        <v>13.148244690100276</v>
      </c>
      <c r="K139" s="72">
        <f t="shared" si="900"/>
        <v>12.006903294330836</v>
      </c>
      <c r="L139" s="72">
        <f t="shared" si="897"/>
        <v>12.136481487541349</v>
      </c>
      <c r="M139" s="72">
        <f t="shared" ref="M139:N139" si="901">+M132*M137</f>
        <v>13.263203281823317</v>
      </c>
      <c r="N139" s="72">
        <f t="shared" si="901"/>
        <v>12.491300330534305</v>
      </c>
      <c r="O139" s="72">
        <f t="shared" si="897"/>
        <v>12.749518707887852</v>
      </c>
      <c r="P139" s="72">
        <f t="shared" ref="P139:Q139" si="902">+P132*P137</f>
        <v>13.379787512856367</v>
      </c>
      <c r="Q139" s="72">
        <f t="shared" si="902"/>
        <v>13.009274700045662</v>
      </c>
      <c r="R139" s="72">
        <f t="shared" si="897"/>
        <v>8.2842928093886705</v>
      </c>
      <c r="S139" s="72">
        <f t="shared" ref="S139" si="903">+S132*S137</f>
        <v>8.805761356112777</v>
      </c>
      <c r="T139" s="72">
        <f t="shared" si="897"/>
        <v>8.6543120438642482</v>
      </c>
      <c r="U139" s="72">
        <f t="shared" ref="U139" si="904">+U132*U137</f>
        <v>10.678118606777678</v>
      </c>
      <c r="V139" s="72">
        <f t="shared" ref="V139" si="905">+V132*V137</f>
        <v>9.1364932764102509</v>
      </c>
      <c r="W139" s="72">
        <f t="shared" si="897"/>
        <v>15.168765110874283</v>
      </c>
      <c r="X139" s="72">
        <f t="shared" ref="X139" si="906">+X132*X137</f>
        <v>16.945312611127303</v>
      </c>
      <c r="Y139" s="72">
        <f t="shared" ref="Y139:Z139" si="907">+Y132*Y137</f>
        <v>17.852470682239943</v>
      </c>
      <c r="Z139" s="72">
        <f t="shared" si="907"/>
        <v>15.652958607640779</v>
      </c>
    </row>
    <row r="140" spans="1:26" x14ac:dyDescent="0.25">
      <c r="A140" s="2" t="s">
        <v>157</v>
      </c>
      <c r="C140" s="4">
        <f>+C131*(1-C133)</f>
        <v>9.3282507069346661</v>
      </c>
      <c r="D140" s="4">
        <f t="shared" ref="D140:W140" si="908">+D131*(1-D133)</f>
        <v>11.961156517653867</v>
      </c>
      <c r="E140" s="4">
        <f t="shared" ref="E140" si="909">+E131*(1-E133)</f>
        <v>9.9238554711595626</v>
      </c>
      <c r="F140" s="4">
        <f t="shared" si="908"/>
        <v>10.952539622911289</v>
      </c>
      <c r="G140" s="4">
        <f t="shared" ref="G140:H140" si="910">+G131*(1-G133)</f>
        <v>12.218997329738826</v>
      </c>
      <c r="H140" s="4">
        <f t="shared" si="910"/>
        <v>11.332326922193577</v>
      </c>
      <c r="I140" s="4">
        <f t="shared" si="908"/>
        <v>11.803065775130248</v>
      </c>
      <c r="J140" s="4">
        <f t="shared" ref="J140:K140" si="911">+J131*(1-J133)</f>
        <v>13.574836594987454</v>
      </c>
      <c r="K140" s="4">
        <f t="shared" si="911"/>
        <v>12.291869935157944</v>
      </c>
      <c r="L140" s="4">
        <f t="shared" si="908"/>
        <v>12.437527056109001</v>
      </c>
      <c r="M140" s="4">
        <f t="shared" ref="M140:N140" si="912">+M131*(1-M133)</f>
        <v>13.704060016645778</v>
      </c>
      <c r="N140" s="4">
        <f t="shared" si="912"/>
        <v>12.83637419117883</v>
      </c>
      <c r="O140" s="4">
        <f t="shared" si="908"/>
        <v>13.126634029582869</v>
      </c>
      <c r="P140" s="4">
        <f t="shared" ref="P140:Q140" si="913">+P131*(1-P133)</f>
        <v>13.835110797798274</v>
      </c>
      <c r="Q140" s="4">
        <f t="shared" si="913"/>
        <v>13.418622280306691</v>
      </c>
      <c r="R140" s="4">
        <f t="shared" si="908"/>
        <v>9.312263196714925</v>
      </c>
      <c r="S140" s="4">
        <f t="shared" ref="S140" si="914">+S131*(1-S133)</f>
        <v>9.8984390439037035</v>
      </c>
      <c r="T140" s="4">
        <f t="shared" si="908"/>
        <v>9.7281968893746633</v>
      </c>
      <c r="U140" s="4">
        <f t="shared" ref="U140" si="915">+U131*(1-U133)</f>
        <v>12.003130888777758</v>
      </c>
      <c r="V140" s="4">
        <f t="shared" ref="V140" si="916">+V131*(1-V133)</f>
        <v>10.270210390019642</v>
      </c>
      <c r="W140" s="4">
        <f t="shared" si="908"/>
        <v>12.720582301158462</v>
      </c>
      <c r="X140" s="4">
        <f t="shared" ref="X140" si="917">+X131*(1-X133)</f>
        <v>14.717575681821319</v>
      </c>
      <c r="Y140" s="4">
        <f t="shared" ref="Y140:Z140" si="918">+Y131*(1-Y133)</f>
        <v>15.737299985826036</v>
      </c>
      <c r="Z140" s="4">
        <f t="shared" si="918"/>
        <v>13.264857761209479</v>
      </c>
    </row>
    <row r="141" spans="1:26" x14ac:dyDescent="0.25">
      <c r="A141" s="2" t="s">
        <v>158</v>
      </c>
      <c r="B141" s="2" t="s">
        <v>159</v>
      </c>
      <c r="C141" s="3">
        <f t="shared" ref="C141:H141" si="919">+VS_tot_omsat_lager_afg</f>
        <v>0.13092377276210895</v>
      </c>
      <c r="D141" s="3">
        <f t="shared" si="919"/>
        <v>0.13092377276210895</v>
      </c>
      <c r="E141" s="3">
        <f t="shared" si="919"/>
        <v>0.13092377276210895</v>
      </c>
      <c r="F141" s="3">
        <f t="shared" si="919"/>
        <v>0.13092377276210895</v>
      </c>
      <c r="G141" s="3">
        <f t="shared" si="919"/>
        <v>0.13092377276210895</v>
      </c>
      <c r="H141" s="3">
        <f t="shared" si="919"/>
        <v>0.13092377276210895</v>
      </c>
      <c r="I141" s="3">
        <f t="shared" ref="I141:Z141" si="920">+VS_tot_omsat_lager_afg</f>
        <v>0.13092377276210895</v>
      </c>
      <c r="J141" s="3">
        <f t="shared" si="920"/>
        <v>0.13092377276210895</v>
      </c>
      <c r="K141" s="3">
        <f t="shared" si="920"/>
        <v>0.13092377276210895</v>
      </c>
      <c r="L141" s="3">
        <f t="shared" si="920"/>
        <v>0.13092377276210895</v>
      </c>
      <c r="M141" s="3">
        <f t="shared" si="920"/>
        <v>0.13092377276210895</v>
      </c>
      <c r="N141" s="3">
        <f t="shared" si="920"/>
        <v>0.13092377276210895</v>
      </c>
      <c r="O141" s="3">
        <f t="shared" si="920"/>
        <v>0.13092377276210895</v>
      </c>
      <c r="P141" s="3">
        <f t="shared" si="920"/>
        <v>0.13092377276210895</v>
      </c>
      <c r="Q141" s="3">
        <f t="shared" si="920"/>
        <v>0.13092377276210895</v>
      </c>
      <c r="R141" s="3">
        <f t="shared" si="920"/>
        <v>0.13092377276210895</v>
      </c>
      <c r="S141" s="3">
        <f t="shared" si="920"/>
        <v>0.13092377276210895</v>
      </c>
      <c r="T141" s="3">
        <f t="shared" si="920"/>
        <v>0.13092377276210895</v>
      </c>
      <c r="U141" s="3">
        <f t="shared" si="920"/>
        <v>0.13092377276210895</v>
      </c>
      <c r="V141" s="3">
        <f t="shared" si="920"/>
        <v>0.13092377276210895</v>
      </c>
      <c r="W141" s="3">
        <f t="shared" si="920"/>
        <v>0.13092377276210895</v>
      </c>
      <c r="X141" s="3">
        <f t="shared" si="920"/>
        <v>0.13092377276210895</v>
      </c>
      <c r="Y141" s="3">
        <f t="shared" si="920"/>
        <v>0.13092377276210895</v>
      </c>
      <c r="Z141" s="3">
        <f t="shared" si="920"/>
        <v>0.13092377276210895</v>
      </c>
    </row>
    <row r="142" spans="1:26" x14ac:dyDescent="0.25">
      <c r="A142" s="2" t="s">
        <v>160</v>
      </c>
      <c r="C142" s="4">
        <f>+C140*C141</f>
        <v>1.2212897758226964</v>
      </c>
      <c r="D142" s="4">
        <f t="shared" ref="D142:E142" si="921">+D140*D141</f>
        <v>1.5659997378893333</v>
      </c>
      <c r="E142" s="4">
        <f t="shared" si="921"/>
        <v>1.2992685986301062</v>
      </c>
      <c r="F142" s="4">
        <f t="shared" ref="F142:G142" si="922">+F140*F141</f>
        <v>1.433947808758032</v>
      </c>
      <c r="G142" s="4">
        <f t="shared" si="922"/>
        <v>1.5997572297795422</v>
      </c>
      <c r="H142" s="4">
        <f t="shared" ref="H142" si="923">+H140*H141</f>
        <v>1.4836709948272013</v>
      </c>
      <c r="I142" s="4">
        <f t="shared" ref="I142:J142" si="924">+I140*I141</f>
        <v>1.5453019014393781</v>
      </c>
      <c r="J142" s="4">
        <f t="shared" si="924"/>
        <v>1.7772688216448984</v>
      </c>
      <c r="K142" s="4">
        <f t="shared" ref="K142" si="925">+K140*K141</f>
        <v>1.6092979862120176</v>
      </c>
      <c r="L142" s="4">
        <f t="shared" ref="L142:M142" si="926">+L140*L141</f>
        <v>1.6283679660165968</v>
      </c>
      <c r="M142" s="4">
        <f t="shared" si="926"/>
        <v>1.7941872395376348</v>
      </c>
      <c r="N142" s="4">
        <f t="shared" ref="N142" si="927">+N140*N141</f>
        <v>1.6805865376952973</v>
      </c>
      <c r="O142" s="4">
        <f t="shared" ref="O142:P142" si="928">+O140*O141</f>
        <v>1.7185884508204741</v>
      </c>
      <c r="P142" s="4">
        <f t="shared" si="928"/>
        <v>1.8113449022295411</v>
      </c>
      <c r="Q142" s="4">
        <f t="shared" ref="Q142" si="929">+Q140*Q141</f>
        <v>1.7568166542074455</v>
      </c>
      <c r="R142" s="4">
        <f t="shared" ref="R142:T142" si="930">+R140*R141</f>
        <v>1.2191966306676552</v>
      </c>
      <c r="S142" s="4">
        <f t="shared" ref="S142" si="931">+S140*S141</f>
        <v>1.2959409840836356</v>
      </c>
      <c r="T142" s="4">
        <f t="shared" si="930"/>
        <v>1.2736522389295435</v>
      </c>
      <c r="U142" s="4">
        <f t="shared" ref="U142" si="932">+U140*U141</f>
        <v>1.5714951809161901</v>
      </c>
      <c r="V142" s="4">
        <f t="shared" ref="V142" si="933">+V140*V141</f>
        <v>1.3446146913219821</v>
      </c>
      <c r="W142" s="4">
        <f t="shared" ref="W142:Y142" si="934">+W140*W141</f>
        <v>1.6654266265985755</v>
      </c>
      <c r="X142" s="4">
        <f t="shared" ref="X142" si="935">+X140*X141</f>
        <v>1.9268805341759152</v>
      </c>
      <c r="Y142" s="4">
        <f t="shared" si="934"/>
        <v>2.0603866872334282</v>
      </c>
      <c r="Z142" s="4">
        <f t="shared" ref="Z142" si="936">+Z140*Z141</f>
        <v>1.7366852232502872</v>
      </c>
    </row>
    <row r="143" spans="1:26" x14ac:dyDescent="0.25">
      <c r="A143" s="2" t="s">
        <v>128</v>
      </c>
      <c r="C143" s="4">
        <f t="shared" ref="C143:W143" si="937">+C142/C57</f>
        <v>7.3277386549361778E-2</v>
      </c>
      <c r="D143" s="4">
        <f t="shared" si="937"/>
        <v>9.3959984273359998E-2</v>
      </c>
      <c r="E143" s="4">
        <f t="shared" ref="E143" si="938">+E142/E57</f>
        <v>7.7956115917806365E-2</v>
      </c>
      <c r="F143" s="4">
        <f t="shared" si="937"/>
        <v>8.603686852548191E-2</v>
      </c>
      <c r="G143" s="4">
        <f t="shared" ref="G143:H143" si="939">+G142/G57</f>
        <v>9.5985433786772517E-2</v>
      </c>
      <c r="H143" s="4">
        <f t="shared" si="939"/>
        <v>8.9020259689632078E-2</v>
      </c>
      <c r="I143" s="4">
        <f t="shared" si="937"/>
        <v>9.2718114086362671E-2</v>
      </c>
      <c r="J143" s="4">
        <f t="shared" ref="J143:K143" si="940">+J142/J57</f>
        <v>0.1066361292986939</v>
      </c>
      <c r="K143" s="4">
        <f t="shared" si="940"/>
        <v>9.6557879172721045E-2</v>
      </c>
      <c r="L143" s="4">
        <f t="shared" si="937"/>
        <v>9.7702077960995809E-2</v>
      </c>
      <c r="M143" s="4">
        <f t="shared" ref="M143:N143" si="941">+M142/M57</f>
        <v>0.10765123437225808</v>
      </c>
      <c r="N143" s="4">
        <f t="shared" si="941"/>
        <v>0.10083519226171783</v>
      </c>
      <c r="O143" s="4">
        <f t="shared" si="937"/>
        <v>0.10311530704922843</v>
      </c>
      <c r="P143" s="4">
        <f t="shared" ref="P143:Q143" si="942">+P142/P57</f>
        <v>0.10868069413377246</v>
      </c>
      <c r="Q143" s="4">
        <f t="shared" si="942"/>
        <v>0.10540899925244672</v>
      </c>
      <c r="R143" s="4">
        <f t="shared" si="937"/>
        <v>7.3151797840059304E-2</v>
      </c>
      <c r="S143" s="4">
        <f t="shared" ref="S143" si="943">+S142/S57</f>
        <v>7.7756459045018128E-2</v>
      </c>
      <c r="T143" s="4">
        <f t="shared" si="937"/>
        <v>7.6419134335772604E-2</v>
      </c>
      <c r="U143" s="4">
        <f t="shared" ref="U143" si="944">+U142/U57</f>
        <v>9.4289710854971398E-2</v>
      </c>
      <c r="V143" s="4">
        <f t="shared" ref="V143" si="945">+V142/V57</f>
        <v>8.0676881479318924E-2</v>
      </c>
      <c r="W143" s="4">
        <f t="shared" si="937"/>
        <v>9.9925597595914531E-2</v>
      </c>
      <c r="X143" s="4">
        <f t="shared" ref="X143" si="946">+X142/X57</f>
        <v>0.11561283205055491</v>
      </c>
      <c r="Y143" s="4">
        <f t="shared" ref="Y143:Z143" si="947">+Y142/Y57</f>
        <v>0.12362320123400568</v>
      </c>
      <c r="Z143" s="4">
        <f t="shared" si="947"/>
        <v>0.10420111339501723</v>
      </c>
    </row>
    <row r="145" spans="1:1" x14ac:dyDescent="0.25">
      <c r="A145" s="2" t="s">
        <v>259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2"/>
  <sheetViews>
    <sheetView workbookViewId="0">
      <pane xSplit="1" ySplit="6" topLeftCell="C30" activePane="bottomRight" state="frozen"/>
      <selection pane="topRight" activeCell="B1" sqref="B1"/>
      <selection pane="bottomLeft" activeCell="A4" sqref="A4"/>
      <selection pane="bottomRight" activeCell="H42" sqref="H42"/>
    </sheetView>
  </sheetViews>
  <sheetFormatPr defaultRowHeight="15" x14ac:dyDescent="0.25"/>
  <cols>
    <col min="1" max="1" width="50.7109375" customWidth="1"/>
    <col min="2" max="2" width="50.7109375" hidden="1" customWidth="1"/>
    <col min="3" max="3" width="12.140625" bestFit="1" customWidth="1"/>
    <col min="4" max="4" width="13.5703125" customWidth="1"/>
  </cols>
  <sheetData>
    <row r="1" spans="1:4" x14ac:dyDescent="0.25">
      <c r="A1" t="s">
        <v>0</v>
      </c>
      <c r="B1" t="s">
        <v>1</v>
      </c>
      <c r="C1" s="6" t="s">
        <v>161</v>
      </c>
      <c r="D1" s="6" t="s">
        <v>161</v>
      </c>
    </row>
    <row r="2" spans="1:4" ht="75" x14ac:dyDescent="0.25">
      <c r="A2" s="2" t="s">
        <v>5</v>
      </c>
      <c r="B2" s="2" t="s">
        <v>6</v>
      </c>
      <c r="C2" s="6" t="s">
        <v>162</v>
      </c>
      <c r="D2" s="6" t="s">
        <v>163</v>
      </c>
    </row>
    <row r="3" spans="1:4" x14ac:dyDescent="0.25">
      <c r="A3" s="2" t="s">
        <v>252</v>
      </c>
      <c r="B3" s="2"/>
      <c r="C3" s="6" t="s">
        <v>250</v>
      </c>
      <c r="D3" s="6" t="s">
        <v>250</v>
      </c>
    </row>
    <row r="4" spans="1:4" ht="30" x14ac:dyDescent="0.25">
      <c r="A4" s="2" t="s">
        <v>248</v>
      </c>
      <c r="B4" s="2"/>
      <c r="C4" s="6" t="s">
        <v>254</v>
      </c>
      <c r="D4" s="6" t="s">
        <v>255</v>
      </c>
    </row>
    <row r="5" spans="1:4" x14ac:dyDescent="0.25">
      <c r="A5" s="2" t="s">
        <v>253</v>
      </c>
      <c r="B5" s="2"/>
      <c r="C5" s="74">
        <v>1</v>
      </c>
      <c r="D5" s="74">
        <v>1</v>
      </c>
    </row>
    <row r="6" spans="1:4" x14ac:dyDescent="0.25">
      <c r="A6" s="2" t="s">
        <v>16</v>
      </c>
      <c r="B6" s="2" t="s">
        <v>17</v>
      </c>
      <c r="C6" s="10">
        <v>28</v>
      </c>
      <c r="D6" s="22">
        <v>1</v>
      </c>
    </row>
    <row r="7" spans="1:4" x14ac:dyDescent="0.25">
      <c r="A7" s="2" t="s">
        <v>18</v>
      </c>
      <c r="B7" s="2" t="s">
        <v>19</v>
      </c>
      <c r="C7" s="3">
        <v>2</v>
      </c>
      <c r="D7" s="3">
        <v>2</v>
      </c>
    </row>
    <row r="8" spans="1:4" x14ac:dyDescent="0.25">
      <c r="A8" s="2" t="s">
        <v>20</v>
      </c>
      <c r="B8" s="2" t="s">
        <v>21</v>
      </c>
      <c r="C8" s="3">
        <v>80</v>
      </c>
      <c r="D8" s="3">
        <v>80</v>
      </c>
    </row>
    <row r="9" spans="1:4" x14ac:dyDescent="0.25">
      <c r="A9" s="2" t="s">
        <v>22</v>
      </c>
      <c r="B9" s="2" t="s">
        <v>23</v>
      </c>
      <c r="C9" s="3">
        <v>40</v>
      </c>
      <c r="D9" s="3">
        <v>40</v>
      </c>
    </row>
    <row r="10" spans="1:4" x14ac:dyDescent="0.25">
      <c r="A10" s="17" t="s">
        <v>24</v>
      </c>
      <c r="B10" s="17"/>
      <c r="C10" s="20">
        <f t="shared" ref="C10:D10" si="0">+C6*C12+C9</f>
        <v>80.920107510194427</v>
      </c>
      <c r="D10" s="20">
        <f t="shared" si="0"/>
        <v>56.075756521862097</v>
      </c>
    </row>
    <row r="11" spans="1:4" x14ac:dyDescent="0.25">
      <c r="A11" s="17" t="s">
        <v>25</v>
      </c>
      <c r="B11" s="17"/>
      <c r="C11" s="20">
        <f t="shared" ref="C11:D11" si="1">0.5*(C10-C9)+C9</f>
        <v>60.460053755097213</v>
      </c>
      <c r="D11" s="20">
        <f t="shared" si="1"/>
        <v>48.037878260931052</v>
      </c>
    </row>
    <row r="12" spans="1:4" x14ac:dyDescent="0.25">
      <c r="A12" s="2" t="s">
        <v>26</v>
      </c>
      <c r="B12" s="2"/>
      <c r="C12" s="4">
        <f t="shared" ref="C12:D12" si="2">+C88</f>
        <v>1.4614324110783725</v>
      </c>
      <c r="D12" s="4">
        <f t="shared" si="2"/>
        <v>16.075756521862097</v>
      </c>
    </row>
    <row r="13" spans="1:4" x14ac:dyDescent="0.25">
      <c r="A13" s="2" t="s">
        <v>27</v>
      </c>
      <c r="B13" s="2"/>
      <c r="C13" s="4">
        <f>+C11/C12</f>
        <v>41.370407072390371</v>
      </c>
      <c r="D13" s="4">
        <f>+D11/D12</f>
        <v>2.9882188247627615</v>
      </c>
    </row>
    <row r="14" spans="1:4" x14ac:dyDescent="0.25">
      <c r="A14" s="70" t="s">
        <v>28</v>
      </c>
      <c r="B14" s="71"/>
      <c r="C14" s="71"/>
      <c r="D14" s="71"/>
    </row>
    <row r="15" spans="1:4" x14ac:dyDescent="0.25">
      <c r="A15" s="16" t="s">
        <v>29</v>
      </c>
      <c r="B15" s="2"/>
      <c r="C15" s="4">
        <f>+C102</f>
        <v>1.7003677570445355</v>
      </c>
      <c r="D15" s="4">
        <f>+D102</f>
        <v>0.14502279974663373</v>
      </c>
    </row>
    <row r="16" spans="1:4" x14ac:dyDescent="0.25">
      <c r="A16" s="16" t="s">
        <v>30</v>
      </c>
      <c r="B16" s="2" t="s">
        <v>31</v>
      </c>
      <c r="C16" s="4">
        <f>+C122</f>
        <v>1.5314356934259297</v>
      </c>
      <c r="D16" s="4">
        <f>+D122</f>
        <v>2.1596152733526632</v>
      </c>
    </row>
    <row r="17" spans="1:4" x14ac:dyDescent="0.25">
      <c r="A17" s="16" t="s">
        <v>32</v>
      </c>
      <c r="B17" s="2"/>
      <c r="C17" s="4">
        <f>+C15+C16</f>
        <v>3.2318034504704651</v>
      </c>
      <c r="D17" s="4">
        <f>+D15+D16</f>
        <v>2.304638073099297</v>
      </c>
    </row>
    <row r="18" spans="1:4" x14ac:dyDescent="0.25">
      <c r="A18" s="2" t="s">
        <v>33</v>
      </c>
    </row>
    <row r="19" spans="1:4" x14ac:dyDescent="0.25">
      <c r="A19" s="16" t="s">
        <v>34</v>
      </c>
      <c r="B19" s="2"/>
      <c r="C19" s="4">
        <f>+C109</f>
        <v>1.7676761015807103</v>
      </c>
      <c r="D19" s="4">
        <f>+D109</f>
        <v>0.23994035293440419</v>
      </c>
    </row>
    <row r="20" spans="1:4" x14ac:dyDescent="0.25">
      <c r="A20" s="16" t="s">
        <v>35</v>
      </c>
      <c r="B20" s="2"/>
      <c r="C20" s="4">
        <f>+C142</f>
        <v>0.30260119379939865</v>
      </c>
      <c r="D20" s="4">
        <f>+D142</f>
        <v>0.34169846671254339</v>
      </c>
    </row>
    <row r="21" spans="1:4" x14ac:dyDescent="0.25">
      <c r="A21" s="16" t="s">
        <v>36</v>
      </c>
      <c r="B21" s="2"/>
      <c r="C21" s="4">
        <f>+C19+C20</f>
        <v>2.0702772953801087</v>
      </c>
      <c r="D21" s="4">
        <f>+D19+D20</f>
        <v>0.58163881964694752</v>
      </c>
    </row>
    <row r="22" spans="1:4" x14ac:dyDescent="0.25">
      <c r="A22" s="68" t="s">
        <v>37</v>
      </c>
      <c r="B22" s="2"/>
      <c r="C22" s="4">
        <f>+C116</f>
        <v>75.84096172606084</v>
      </c>
      <c r="D22" s="4">
        <f t="shared" ref="D22" si="3">+D116</f>
        <v>86.209928108046853</v>
      </c>
    </row>
    <row r="23" spans="1:4" x14ac:dyDescent="0.25">
      <c r="A23" s="68" t="s">
        <v>38</v>
      </c>
      <c r="B23" s="2"/>
      <c r="C23" s="4">
        <f>+C137</f>
        <v>12.506932998244693</v>
      </c>
      <c r="D23" s="4">
        <f t="shared" ref="D23:D24" si="4">+D137</f>
        <v>14.216879244298006</v>
      </c>
    </row>
    <row r="24" spans="1:4" x14ac:dyDescent="0.25">
      <c r="A24" s="68" t="s">
        <v>39</v>
      </c>
      <c r="B24" s="2"/>
      <c r="C24" s="4">
        <f>+C138</f>
        <v>13.234472300357508</v>
      </c>
      <c r="D24" s="4">
        <f t="shared" si="4"/>
        <v>14.944418546410821</v>
      </c>
    </row>
    <row r="25" spans="1:4" x14ac:dyDescent="0.25">
      <c r="A25" s="70" t="s">
        <v>40</v>
      </c>
    </row>
    <row r="26" spans="1:4" x14ac:dyDescent="0.25">
      <c r="A26" s="16" t="s">
        <v>41</v>
      </c>
      <c r="B26" s="2"/>
      <c r="C26" s="4">
        <f t="shared" ref="C26:D34" si="5">+C15*C$84/C$79</f>
        <v>1.7092391819685997</v>
      </c>
      <c r="D26" s="4">
        <f t="shared" si="5"/>
        <v>0.14577943540671356</v>
      </c>
    </row>
    <row r="27" spans="1:4" x14ac:dyDescent="0.25">
      <c r="A27" s="16" t="s">
        <v>42</v>
      </c>
      <c r="B27" s="2" t="s">
        <v>31</v>
      </c>
      <c r="C27" s="4">
        <f t="shared" si="5"/>
        <v>1.5394257395344695</v>
      </c>
      <c r="D27" s="4">
        <f t="shared" si="5"/>
        <v>2.1708827563327633</v>
      </c>
    </row>
    <row r="28" spans="1:4" x14ac:dyDescent="0.25">
      <c r="A28" s="16" t="s">
        <v>43</v>
      </c>
      <c r="B28" s="2"/>
      <c r="C28" s="4">
        <f t="shared" si="5"/>
        <v>3.2486649215030692</v>
      </c>
      <c r="D28" s="4">
        <f t="shared" si="5"/>
        <v>2.3166621917394772</v>
      </c>
    </row>
    <row r="29" spans="1:4" x14ac:dyDescent="0.25">
      <c r="A29" s="2" t="s">
        <v>33</v>
      </c>
      <c r="C29" s="4">
        <f t="shared" si="5"/>
        <v>0</v>
      </c>
      <c r="D29" s="4">
        <f t="shared" si="5"/>
        <v>0</v>
      </c>
    </row>
    <row r="30" spans="1:4" x14ac:dyDescent="0.25">
      <c r="A30" s="16" t="s">
        <v>44</v>
      </c>
      <c r="B30" s="2"/>
      <c r="C30" s="4">
        <f t="shared" si="5"/>
        <v>1.7768986981397588</v>
      </c>
      <c r="D30" s="4">
        <f t="shared" si="5"/>
        <v>0.24119220731619442</v>
      </c>
    </row>
    <row r="31" spans="1:4" x14ac:dyDescent="0.25">
      <c r="A31" s="16" t="s">
        <v>45</v>
      </c>
      <c r="B31" s="2"/>
      <c r="C31" s="4">
        <f t="shared" si="5"/>
        <v>0.30417997213226333</v>
      </c>
      <c r="D31" s="4">
        <f t="shared" si="5"/>
        <v>0.34348122945992521</v>
      </c>
    </row>
    <row r="32" spans="1:4" x14ac:dyDescent="0.25">
      <c r="A32" s="16" t="s">
        <v>46</v>
      </c>
      <c r="B32" s="2"/>
      <c r="C32" s="4">
        <f t="shared" si="5"/>
        <v>2.0810786702720216</v>
      </c>
      <c r="D32" s="4">
        <f t="shared" si="5"/>
        <v>0.5846734367761196</v>
      </c>
    </row>
    <row r="33" spans="1:18" x14ac:dyDescent="0.25">
      <c r="A33" s="68" t="s">
        <v>47</v>
      </c>
      <c r="B33" s="69" t="s">
        <v>48</v>
      </c>
      <c r="C33" s="4">
        <f t="shared" si="5"/>
        <v>76.236651067577768</v>
      </c>
      <c r="D33" s="4">
        <f t="shared" si="5"/>
        <v>86.659716044657003</v>
      </c>
    </row>
    <row r="34" spans="1:18" x14ac:dyDescent="0.25">
      <c r="A34" s="68" t="s">
        <v>49</v>
      </c>
      <c r="B34" s="69" t="s">
        <v>48</v>
      </c>
      <c r="C34" s="4">
        <f t="shared" si="5"/>
        <v>12.57218612755425</v>
      </c>
      <c r="D34" s="4">
        <f t="shared" si="5"/>
        <v>14.291053772924389</v>
      </c>
    </row>
    <row r="35" spans="1:18" s="2" customFormat="1" x14ac:dyDescent="0.25">
      <c r="A35" s="75" t="s">
        <v>269</v>
      </c>
      <c r="C35" s="4"/>
      <c r="D35" s="4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1:18" s="2" customFormat="1" x14ac:dyDescent="0.25">
      <c r="A36" s="16" t="s">
        <v>262</v>
      </c>
      <c r="B36" s="2" t="s">
        <v>261</v>
      </c>
      <c r="C36" s="4">
        <v>9.2200000000000006</v>
      </c>
      <c r="D36" s="4">
        <v>13.66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spans="1:18" s="2" customFormat="1" x14ac:dyDescent="0.25">
      <c r="A37" s="16" t="s">
        <v>263</v>
      </c>
      <c r="B37" s="2" t="s">
        <v>261</v>
      </c>
      <c r="C37" s="4">
        <v>2.0099999999999998</v>
      </c>
      <c r="D37" s="4">
        <v>1.86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1:18" s="2" customFormat="1" x14ac:dyDescent="0.25">
      <c r="A38" s="16" t="s">
        <v>266</v>
      </c>
      <c r="C38" s="4">
        <v>1</v>
      </c>
      <c r="D38" s="4">
        <v>1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spans="1:18" s="2" customFormat="1" x14ac:dyDescent="0.25">
      <c r="A39" s="16" t="s">
        <v>264</v>
      </c>
      <c r="B39" s="2" t="s">
        <v>261</v>
      </c>
      <c r="C39" s="4">
        <f>C36*C38</f>
        <v>9.2200000000000006</v>
      </c>
      <c r="D39" s="4">
        <f>D36*D38</f>
        <v>13.66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 s="2" customFormat="1" x14ac:dyDescent="0.25">
      <c r="A40" s="16" t="s">
        <v>265</v>
      </c>
      <c r="B40" s="2" t="s">
        <v>261</v>
      </c>
      <c r="C40" s="4">
        <f>C37</f>
        <v>2.0099999999999998</v>
      </c>
      <c r="D40" s="4">
        <f>D37</f>
        <v>1.86</v>
      </c>
      <c r="E40"/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 s="2" customFormat="1" x14ac:dyDescent="0.25">
      <c r="A41" s="16" t="s">
        <v>267</v>
      </c>
      <c r="C41" s="4">
        <f>C39/((C79)/1000)</f>
        <v>0.329479642243311</v>
      </c>
      <c r="D41" s="4">
        <f>D39/((D79)/1000)</f>
        <v>0.48814445911536092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1:18" s="2" customFormat="1" x14ac:dyDescent="0.25">
      <c r="A42" s="16" t="s">
        <v>268</v>
      </c>
      <c r="C42" s="4">
        <f>C40/((C79)/1000)</f>
        <v>7.1827991421806389E-2</v>
      </c>
      <c r="D42" s="4">
        <f>D40/((D79)/1000)</f>
        <v>6.646769355450742E-2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1:18" x14ac:dyDescent="0.25">
      <c r="A43" s="2" t="s">
        <v>50</v>
      </c>
      <c r="B43" t="s">
        <v>51</v>
      </c>
      <c r="C43" s="1" t="s">
        <v>164</v>
      </c>
      <c r="D43" s="1" t="s">
        <v>164</v>
      </c>
    </row>
    <row r="45" spans="1:18" x14ac:dyDescent="0.25">
      <c r="A45" s="2" t="s">
        <v>52</v>
      </c>
      <c r="B45" s="2" t="s">
        <v>165</v>
      </c>
      <c r="C45" s="3">
        <v>12.8</v>
      </c>
      <c r="D45" s="3">
        <v>12.8</v>
      </c>
    </row>
    <row r="46" spans="1:18" x14ac:dyDescent="0.25">
      <c r="A46" s="2" t="s">
        <v>54</v>
      </c>
      <c r="B46" s="2"/>
      <c r="C46" s="4">
        <f>+C45+273.15</f>
        <v>285.95</v>
      </c>
      <c r="D46" s="4">
        <f t="shared" ref="D46" si="6">+D45+273.15</f>
        <v>285.95</v>
      </c>
    </row>
    <row r="47" spans="1:18" x14ac:dyDescent="0.25">
      <c r="A47" s="2" t="s">
        <v>55</v>
      </c>
      <c r="B47" s="2" t="s">
        <v>56</v>
      </c>
      <c r="C47" s="3">
        <v>31.2</v>
      </c>
      <c r="D47" s="3">
        <v>31.2</v>
      </c>
    </row>
    <row r="48" spans="1:18" x14ac:dyDescent="0.25">
      <c r="A48" s="2" t="s">
        <v>166</v>
      </c>
      <c r="B48" s="2" t="s">
        <v>167</v>
      </c>
      <c r="C48" s="3">
        <f>Ln_A_kvaeg</f>
        <v>31.2</v>
      </c>
      <c r="D48" s="3">
        <f>Ln_A_kvaeg</f>
        <v>31.2</v>
      </c>
    </row>
    <row r="49" spans="1:4" x14ac:dyDescent="0.25">
      <c r="A49" s="2" t="s">
        <v>59</v>
      </c>
      <c r="B49" s="2" t="s">
        <v>60</v>
      </c>
      <c r="C49" s="3">
        <v>27.9</v>
      </c>
      <c r="D49" s="3">
        <v>27.9</v>
      </c>
    </row>
    <row r="50" spans="1:4" x14ac:dyDescent="0.25">
      <c r="A50" s="2" t="s">
        <v>61</v>
      </c>
      <c r="B50" s="2" t="s">
        <v>62</v>
      </c>
      <c r="C50" s="10">
        <v>81000</v>
      </c>
      <c r="D50" s="10">
        <v>81000</v>
      </c>
    </row>
    <row r="51" spans="1:4" x14ac:dyDescent="0.25">
      <c r="A51" s="2" t="s">
        <v>63</v>
      </c>
      <c r="B51" s="2" t="s">
        <v>64</v>
      </c>
      <c r="C51" s="3">
        <v>8.31</v>
      </c>
      <c r="D51" s="3">
        <v>8.31</v>
      </c>
    </row>
    <row r="52" spans="1:4" x14ac:dyDescent="0.25">
      <c r="A52" s="2" t="s">
        <v>65</v>
      </c>
      <c r="B52" s="2" t="s">
        <v>66</v>
      </c>
      <c r="C52" s="3">
        <v>4</v>
      </c>
      <c r="D52" s="3">
        <v>4</v>
      </c>
    </row>
    <row r="53" spans="1:4" x14ac:dyDescent="0.25">
      <c r="A53" s="2" t="s">
        <v>67</v>
      </c>
      <c r="B53" s="2" t="s">
        <v>68</v>
      </c>
      <c r="C53" s="3">
        <v>0.45</v>
      </c>
      <c r="D53" s="3">
        <v>0.45</v>
      </c>
    </row>
    <row r="54" spans="1:4" x14ac:dyDescent="0.25">
      <c r="A54" s="2" t="s">
        <v>69</v>
      </c>
      <c r="B54" s="2"/>
      <c r="C54" s="3">
        <v>10</v>
      </c>
      <c r="D54" s="3">
        <v>10</v>
      </c>
    </row>
    <row r="55" spans="1:4" x14ac:dyDescent="0.25">
      <c r="A55" s="2" t="s">
        <v>70</v>
      </c>
      <c r="B55" s="2" t="s">
        <v>71</v>
      </c>
      <c r="C55" s="4">
        <f>+C52/C53*12/16</f>
        <v>6.666666666666667</v>
      </c>
      <c r="D55" s="4">
        <f t="shared" ref="D55" si="7">+D52/D53*12/16</f>
        <v>6.666666666666667</v>
      </c>
    </row>
    <row r="56" spans="1:4" x14ac:dyDescent="0.25">
      <c r="A56" s="2" t="s">
        <v>72</v>
      </c>
      <c r="B56" s="2"/>
      <c r="C56" s="4">
        <f>+C54/16*12/C53</f>
        <v>16.666666666666668</v>
      </c>
      <c r="D56" s="4">
        <f t="shared" ref="D56" si="8">+D54/16*12/D53</f>
        <v>16.666666666666668</v>
      </c>
    </row>
    <row r="57" spans="1:4" x14ac:dyDescent="0.25">
      <c r="A57" s="2"/>
      <c r="B57" s="2"/>
      <c r="C57" s="2"/>
      <c r="D57" s="2"/>
    </row>
    <row r="58" spans="1:4" x14ac:dyDescent="0.25">
      <c r="A58" s="2" t="s">
        <v>73</v>
      </c>
      <c r="B58" s="2"/>
      <c r="C58" s="2"/>
      <c r="D58" s="2"/>
    </row>
    <row r="59" spans="1:4" x14ac:dyDescent="0.25">
      <c r="A59" s="2" t="s">
        <v>74</v>
      </c>
      <c r="B59" s="2" t="s">
        <v>75</v>
      </c>
      <c r="C59" s="4">
        <f>+C9</f>
        <v>40</v>
      </c>
      <c r="D59" s="4">
        <f>+D9</f>
        <v>40</v>
      </c>
    </row>
    <row r="60" spans="1:4" x14ac:dyDescent="0.25">
      <c r="A60" s="2" t="s">
        <v>76</v>
      </c>
      <c r="B60" s="2"/>
      <c r="C60" s="4">
        <f>+C8</f>
        <v>80</v>
      </c>
      <c r="D60" s="4">
        <f>+D8</f>
        <v>80</v>
      </c>
    </row>
    <row r="61" spans="1:4" x14ac:dyDescent="0.25">
      <c r="A61" s="2" t="s">
        <v>77</v>
      </c>
      <c r="B61" s="2"/>
      <c r="C61" s="5">
        <v>0.66</v>
      </c>
      <c r="D61" s="5">
        <v>0.06</v>
      </c>
    </row>
    <row r="62" spans="1:4" x14ac:dyDescent="0.25">
      <c r="A62" s="2" t="s">
        <v>78</v>
      </c>
      <c r="B62" s="2"/>
      <c r="C62" s="3">
        <v>7.99</v>
      </c>
      <c r="D62" s="3">
        <v>7.99</v>
      </c>
    </row>
    <row r="63" spans="1:4" x14ac:dyDescent="0.25">
      <c r="A63" s="2" t="s">
        <v>79</v>
      </c>
      <c r="B63" s="2"/>
      <c r="C63" s="4">
        <f>+C61*C62</f>
        <v>5.2734000000000005</v>
      </c>
      <c r="D63" s="4">
        <f t="shared" ref="D63" si="9">+D61*D62</f>
        <v>0.47939999999999999</v>
      </c>
    </row>
    <row r="64" spans="1:4" x14ac:dyDescent="0.25">
      <c r="A64" s="2" t="s">
        <v>80</v>
      </c>
      <c r="B64" s="2"/>
      <c r="C64" s="3">
        <v>365</v>
      </c>
      <c r="D64" s="3">
        <v>365</v>
      </c>
    </row>
    <row r="65" spans="1:4" x14ac:dyDescent="0.25">
      <c r="A65" s="2" t="s">
        <v>81</v>
      </c>
      <c r="B65" s="2" t="s">
        <v>168</v>
      </c>
      <c r="C65" s="3">
        <v>40</v>
      </c>
      <c r="D65" s="3">
        <v>40</v>
      </c>
    </row>
    <row r="66" spans="1:4" x14ac:dyDescent="0.25">
      <c r="A66" s="2" t="s">
        <v>83</v>
      </c>
      <c r="B66" s="2" t="s">
        <v>84</v>
      </c>
      <c r="C66" s="3"/>
      <c r="D66" s="3"/>
    </row>
    <row r="67" spans="1:4" x14ac:dyDescent="0.25">
      <c r="A67" s="2" t="s">
        <v>85</v>
      </c>
      <c r="B67" s="2" t="s">
        <v>84</v>
      </c>
      <c r="C67" s="3"/>
      <c r="D67" s="3"/>
    </row>
    <row r="68" spans="1:4" x14ac:dyDescent="0.25">
      <c r="A68" s="2" t="s">
        <v>86</v>
      </c>
      <c r="B68" s="2"/>
      <c r="C68" s="3"/>
      <c r="D68" s="3"/>
    </row>
    <row r="69" spans="1:4" x14ac:dyDescent="0.25">
      <c r="A69" s="2" t="s">
        <v>88</v>
      </c>
      <c r="B69" s="2"/>
      <c r="C69" s="3"/>
      <c r="D69" s="3"/>
    </row>
    <row r="70" spans="1:4" x14ac:dyDescent="0.25">
      <c r="A70" s="2" t="s">
        <v>89</v>
      </c>
      <c r="B70" s="2" t="s">
        <v>90</v>
      </c>
      <c r="C70" s="10">
        <v>8456</v>
      </c>
      <c r="D70" s="10">
        <v>8456</v>
      </c>
    </row>
    <row r="71" spans="1:4" x14ac:dyDescent="0.25">
      <c r="A71" s="2" t="s">
        <v>91</v>
      </c>
      <c r="B71" s="2" t="s">
        <v>169</v>
      </c>
      <c r="C71" s="3">
        <v>0.71</v>
      </c>
      <c r="D71" s="3">
        <v>0.71</v>
      </c>
    </row>
    <row r="72" spans="1:4" x14ac:dyDescent="0.25">
      <c r="A72" s="2" t="s">
        <v>93</v>
      </c>
      <c r="B72" s="2" t="s">
        <v>94</v>
      </c>
      <c r="C72" s="3">
        <v>1</v>
      </c>
      <c r="D72" s="3">
        <v>1</v>
      </c>
    </row>
    <row r="73" spans="1:4" x14ac:dyDescent="0.25">
      <c r="A73" s="2" t="s">
        <v>95</v>
      </c>
      <c r="B73" s="2"/>
      <c r="C73" s="19">
        <f>+C70*C72*(1-C71)</f>
        <v>2452.2400000000002</v>
      </c>
      <c r="D73" s="19">
        <f>+D70*D72*(1-D71)</f>
        <v>2452.2400000000002</v>
      </c>
    </row>
    <row r="74" spans="1:4" x14ac:dyDescent="0.25">
      <c r="A74" s="2" t="s">
        <v>96</v>
      </c>
      <c r="B74" s="2" t="s">
        <v>84</v>
      </c>
      <c r="C74" s="23">
        <v>0.13500000000000001</v>
      </c>
      <c r="D74" s="23">
        <v>0.13500000000000001</v>
      </c>
    </row>
    <row r="75" spans="1:4" x14ac:dyDescent="0.25">
      <c r="A75" s="2" t="s">
        <v>98</v>
      </c>
      <c r="B75" s="2"/>
      <c r="C75" s="19">
        <f>+C70*(1-C71)/C74</f>
        <v>18164.740740740741</v>
      </c>
      <c r="D75" s="19">
        <f>+D70*(1-D71)/D74</f>
        <v>18164.740740740741</v>
      </c>
    </row>
    <row r="76" spans="1:4" x14ac:dyDescent="0.25">
      <c r="A76" s="2" t="s">
        <v>99</v>
      </c>
      <c r="B76" s="2" t="s">
        <v>84</v>
      </c>
      <c r="C76" s="3">
        <v>1.85</v>
      </c>
      <c r="D76" s="3">
        <v>1.85</v>
      </c>
    </row>
    <row r="77" spans="1:4" x14ac:dyDescent="0.25">
      <c r="A77" s="2" t="s">
        <v>101</v>
      </c>
      <c r="B77" s="2" t="s">
        <v>84</v>
      </c>
      <c r="C77" s="3">
        <v>0.05</v>
      </c>
      <c r="D77" s="3">
        <v>0.05</v>
      </c>
    </row>
    <row r="78" spans="1:4" x14ac:dyDescent="0.25">
      <c r="A78" s="2" t="s">
        <v>103</v>
      </c>
      <c r="B78" s="2" t="s">
        <v>104</v>
      </c>
      <c r="C78" s="19">
        <f>C75/C76</f>
        <v>9818.7787787787784</v>
      </c>
      <c r="D78" s="19">
        <f>D75/D76</f>
        <v>9818.7787787787784</v>
      </c>
    </row>
    <row r="79" spans="1:4" x14ac:dyDescent="0.25">
      <c r="A79" s="2" t="s">
        <v>105</v>
      </c>
      <c r="B79" s="2" t="s">
        <v>106</v>
      </c>
      <c r="C79" s="19">
        <f>+C78+C75</f>
        <v>27983.519519519519</v>
      </c>
      <c r="D79" s="19">
        <f>+D78+D75</f>
        <v>27983.519519519519</v>
      </c>
    </row>
    <row r="80" spans="1:4" x14ac:dyDescent="0.25">
      <c r="A80" s="2" t="s">
        <v>107</v>
      </c>
      <c r="B80" s="2" t="s">
        <v>108</v>
      </c>
      <c r="C80" s="3">
        <v>0</v>
      </c>
      <c r="D80" s="3">
        <v>0</v>
      </c>
    </row>
    <row r="81" spans="1:4" x14ac:dyDescent="0.25">
      <c r="A81" s="2" t="s">
        <v>109</v>
      </c>
      <c r="B81" s="2" t="s">
        <v>110</v>
      </c>
      <c r="C81" s="10">
        <f>0.4*365</f>
        <v>146</v>
      </c>
      <c r="D81" s="10">
        <f>0.4*365</f>
        <v>146</v>
      </c>
    </row>
    <row r="82" spans="1:4" x14ac:dyDescent="0.25">
      <c r="A82" s="2" t="s">
        <v>111</v>
      </c>
      <c r="B82" s="2"/>
      <c r="C82" s="3">
        <v>0.85</v>
      </c>
      <c r="D82" s="3">
        <v>0.85</v>
      </c>
    </row>
    <row r="83" spans="1:4" x14ac:dyDescent="0.25">
      <c r="A83" s="2" t="s">
        <v>112</v>
      </c>
      <c r="B83" s="2"/>
      <c r="C83" s="22">
        <f>C81*C82</f>
        <v>124.1</v>
      </c>
      <c r="D83" s="22">
        <f>D81*D82</f>
        <v>124.1</v>
      </c>
    </row>
    <row r="84" spans="1:4" x14ac:dyDescent="0.25">
      <c r="A84" s="2" t="s">
        <v>113</v>
      </c>
      <c r="B84" s="2" t="s">
        <v>114</v>
      </c>
      <c r="C84" s="19">
        <f>+C79+C80+C81</f>
        <v>28129.519519519519</v>
      </c>
      <c r="D84" s="19">
        <f>+D79+D80+D81</f>
        <v>28129.519519519519</v>
      </c>
    </row>
    <row r="85" spans="1:4" x14ac:dyDescent="0.25">
      <c r="A85" s="2" t="s">
        <v>170</v>
      </c>
      <c r="B85" s="2"/>
      <c r="C85" s="4">
        <f>C84/C79</f>
        <v>1.0052173565908378</v>
      </c>
      <c r="D85" s="4">
        <f>D84/D79</f>
        <v>1.0052173565908378</v>
      </c>
    </row>
    <row r="86" spans="1:4" x14ac:dyDescent="0.25">
      <c r="A86" s="2" t="s">
        <v>171</v>
      </c>
      <c r="B86" s="2"/>
      <c r="C86" s="4">
        <f>+C83/C84*1000</f>
        <v>4.4117355048985116</v>
      </c>
      <c r="D86" s="4">
        <f>+D83/D84*1000</f>
        <v>4.4117355048985116</v>
      </c>
    </row>
    <row r="87" spans="1:4" x14ac:dyDescent="0.25">
      <c r="A87" s="2" t="s">
        <v>117</v>
      </c>
      <c r="B87" s="2"/>
      <c r="C87" s="3">
        <v>1</v>
      </c>
      <c r="D87" s="3">
        <v>1</v>
      </c>
    </row>
    <row r="88" spans="1:4" x14ac:dyDescent="0.25">
      <c r="A88" s="2" t="s">
        <v>118</v>
      </c>
      <c r="B88" s="2"/>
      <c r="C88" s="4">
        <f>+C84/C87/C63/C64/10</f>
        <v>1.4614324110783725</v>
      </c>
      <c r="D88" s="4">
        <f>+D84/D87/D63/D64/10</f>
        <v>16.075756521862097</v>
      </c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 t="s">
        <v>119</v>
      </c>
      <c r="B91" s="2" t="s">
        <v>172</v>
      </c>
      <c r="C91" s="3">
        <v>0.42</v>
      </c>
      <c r="D91" s="3">
        <v>0.42</v>
      </c>
    </row>
    <row r="92" spans="1:4" x14ac:dyDescent="0.25">
      <c r="A92" s="2" t="s">
        <v>120</v>
      </c>
      <c r="B92" s="2"/>
      <c r="C92" s="9">
        <f t="shared" ref="C92:D92" si="10">+EXP(C47-C50/(C51*C46))*24/1000</f>
        <v>1.3372997524243571E-3</v>
      </c>
      <c r="D92" s="9">
        <f t="shared" si="10"/>
        <v>1.3372997524243571E-3</v>
      </c>
    </row>
    <row r="93" spans="1:4" x14ac:dyDescent="0.25">
      <c r="A93" s="2" t="s">
        <v>121</v>
      </c>
      <c r="B93" s="2"/>
      <c r="C93" s="9">
        <f t="shared" ref="C93:D93" si="11">+C92*C55</f>
        <v>8.9153316828290471E-3</v>
      </c>
      <c r="D93" s="9">
        <f t="shared" si="11"/>
        <v>8.9153316828290471E-3</v>
      </c>
    </row>
    <row r="94" spans="1:4" x14ac:dyDescent="0.25">
      <c r="A94" s="2"/>
      <c r="B94" s="2"/>
      <c r="C94" s="2"/>
      <c r="D94" s="2"/>
    </row>
    <row r="95" spans="1:4" x14ac:dyDescent="0.25">
      <c r="A95" s="2" t="s">
        <v>122</v>
      </c>
      <c r="B95" s="2"/>
      <c r="C95" s="4">
        <f t="shared" ref="C95:D95" si="12">+C91*C73</f>
        <v>1029.9408000000001</v>
      </c>
      <c r="D95" s="4">
        <f t="shared" si="12"/>
        <v>1029.9408000000001</v>
      </c>
    </row>
    <row r="96" spans="1:4" x14ac:dyDescent="0.25">
      <c r="A96" s="2" t="s">
        <v>123</v>
      </c>
      <c r="B96" s="2"/>
      <c r="C96" s="4">
        <f t="shared" ref="C96:D96" si="13">+C73*(1-C91)</f>
        <v>1422.2992000000004</v>
      </c>
      <c r="D96" s="4">
        <f t="shared" si="13"/>
        <v>1422.2992000000004</v>
      </c>
    </row>
    <row r="97" spans="1:4" x14ac:dyDescent="0.25">
      <c r="A97" s="2"/>
      <c r="B97" s="2"/>
      <c r="C97" s="2"/>
      <c r="D97" s="2"/>
    </row>
    <row r="98" spans="1:4" x14ac:dyDescent="0.25">
      <c r="A98" s="2" t="s">
        <v>124</v>
      </c>
      <c r="B98" s="2"/>
      <c r="C98" s="4">
        <f>+(1-C93)^C13</f>
        <v>0.69039949990558758</v>
      </c>
      <c r="D98" s="4">
        <f>+(1-D93)^D13</f>
        <v>0.97359445852778914</v>
      </c>
    </row>
    <row r="99" spans="1:4" x14ac:dyDescent="0.25">
      <c r="A99" s="2" t="s">
        <v>125</v>
      </c>
      <c r="B99" s="2"/>
      <c r="C99" s="4">
        <f>1-C98</f>
        <v>0.30960050009441242</v>
      </c>
      <c r="D99" s="4">
        <f t="shared" ref="D99" si="14">1-D98</f>
        <v>2.6405541472210858E-2</v>
      </c>
    </row>
    <row r="100" spans="1:4" x14ac:dyDescent="0.25">
      <c r="A100" s="2" t="s">
        <v>126</v>
      </c>
      <c r="B100" s="2"/>
      <c r="C100" s="4">
        <f t="shared" ref="C100:D100" si="15">+C99/C55</f>
        <v>4.6440075014161863E-2</v>
      </c>
      <c r="D100" s="4">
        <f t="shared" si="15"/>
        <v>3.9608312208316288E-3</v>
      </c>
    </row>
    <row r="101" spans="1:4" x14ac:dyDescent="0.25">
      <c r="A101" s="2" t="s">
        <v>127</v>
      </c>
      <c r="B101" s="2"/>
      <c r="C101" s="4">
        <f t="shared" ref="C101:D101" si="16">+C100*C73*C91</f>
        <v>47.830528012145884</v>
      </c>
      <c r="D101" s="4">
        <f t="shared" si="16"/>
        <v>4.0794216762483044</v>
      </c>
    </row>
    <row r="102" spans="1:4" x14ac:dyDescent="0.25">
      <c r="A102" s="2" t="s">
        <v>128</v>
      </c>
      <c r="B102" s="2"/>
      <c r="C102" s="4">
        <f>+C101*1000/C84</f>
        <v>1.7003677570445355</v>
      </c>
      <c r="D102" s="4">
        <f t="shared" ref="D102" si="17">+D101*1000/D84</f>
        <v>0.14502279974663373</v>
      </c>
    </row>
    <row r="104" spans="1:4" x14ac:dyDescent="0.25">
      <c r="A104" s="2" t="s">
        <v>129</v>
      </c>
      <c r="B104" s="2"/>
      <c r="C104" s="2"/>
      <c r="D104" s="2"/>
    </row>
    <row r="105" spans="1:4" x14ac:dyDescent="0.25">
      <c r="A105" s="2" t="s">
        <v>130</v>
      </c>
      <c r="B105" s="2"/>
      <c r="C105" s="4">
        <f>+(1-C93)^(C7+C13)</f>
        <v>0.67814409395437902</v>
      </c>
      <c r="D105" s="4">
        <f>+(1-D93)^(D7+D13)</f>
        <v>0.95631200782680115</v>
      </c>
    </row>
    <row r="106" spans="1:4" x14ac:dyDescent="0.25">
      <c r="A106" s="2" t="s">
        <v>131</v>
      </c>
      <c r="B106" s="2"/>
      <c r="C106" s="4">
        <f>1-C105</f>
        <v>0.32185590604562098</v>
      </c>
      <c r="D106" s="4">
        <f t="shared" ref="D106" si="18">1-D105</f>
        <v>4.3687992173198853E-2</v>
      </c>
    </row>
    <row r="107" spans="1:4" x14ac:dyDescent="0.25">
      <c r="A107" s="2" t="s">
        <v>126</v>
      </c>
      <c r="B107" s="2"/>
      <c r="C107" s="4">
        <f t="shared" ref="C107:D107" si="19">+C106/C55</f>
        <v>4.8278385906843142E-2</v>
      </c>
      <c r="D107" s="4">
        <f t="shared" si="19"/>
        <v>6.5531988259798276E-3</v>
      </c>
    </row>
    <row r="108" spans="1:4" x14ac:dyDescent="0.25">
      <c r="A108" s="2" t="s">
        <v>127</v>
      </c>
      <c r="B108" s="2"/>
      <c r="C108" s="4">
        <f t="shared" ref="C108:D108" si="20">+C73*C91*C107</f>
        <v>49.723879403602758</v>
      </c>
      <c r="D108" s="4">
        <f t="shared" si="20"/>
        <v>6.7494068413887254</v>
      </c>
    </row>
    <row r="109" spans="1:4" x14ac:dyDescent="0.25">
      <c r="A109" s="2" t="s">
        <v>128</v>
      </c>
      <c r="B109" s="2"/>
      <c r="C109" s="4">
        <f>+C108*1000/C84</f>
        <v>1.7676761015807103</v>
      </c>
      <c r="D109" s="4">
        <f t="shared" ref="D109" si="21">+D108*1000/D84</f>
        <v>0.23994035293440419</v>
      </c>
    </row>
    <row r="110" spans="1:4" x14ac:dyDescent="0.25">
      <c r="A110" s="2"/>
      <c r="B110" s="2"/>
      <c r="C110" s="2"/>
      <c r="D110" s="2"/>
    </row>
    <row r="111" spans="1:4" x14ac:dyDescent="0.25">
      <c r="A111" s="2" t="s">
        <v>132</v>
      </c>
      <c r="B111" s="2"/>
      <c r="C111" s="2"/>
      <c r="D111" s="2"/>
    </row>
    <row r="112" spans="1:4" x14ac:dyDescent="0.25">
      <c r="A112" s="2" t="s">
        <v>133</v>
      </c>
      <c r="B112" s="2"/>
      <c r="C112" s="4">
        <f>C98*C95</f>
        <v>711.07061325236089</v>
      </c>
      <c r="D112" s="4">
        <f t="shared" ref="D112" si="22">D98*D95</f>
        <v>1002.744655491678</v>
      </c>
    </row>
    <row r="113" spans="1:4" x14ac:dyDescent="0.25">
      <c r="A113" s="2" t="s">
        <v>134</v>
      </c>
      <c r="B113" s="2"/>
      <c r="C113" s="4">
        <f>+C96</f>
        <v>1422.2992000000004</v>
      </c>
      <c r="D113" s="4">
        <f t="shared" ref="D113" si="23">+D96</f>
        <v>1422.2992000000004</v>
      </c>
    </row>
    <row r="114" spans="1:4" x14ac:dyDescent="0.25">
      <c r="A114" s="2" t="s">
        <v>135</v>
      </c>
      <c r="B114" s="2"/>
      <c r="C114" s="4">
        <f>+C112*1000/C84</f>
        <v>25.278448597706678</v>
      </c>
      <c r="D114" s="4">
        <f t="shared" ref="D114" si="24">+D112*1000/D84</f>
        <v>35.647414979692691</v>
      </c>
    </row>
    <row r="115" spans="1:4" x14ac:dyDescent="0.25">
      <c r="A115" s="2" t="s">
        <v>136</v>
      </c>
      <c r="B115" s="2"/>
      <c r="C115" s="4">
        <f>+C113*1000/C84</f>
        <v>50.562513128354162</v>
      </c>
      <c r="D115" s="4">
        <f t="shared" ref="D115" si="25">+D113*1000/D84</f>
        <v>50.562513128354162</v>
      </c>
    </row>
    <row r="116" spans="1:4" x14ac:dyDescent="0.25">
      <c r="A116" s="2" t="s">
        <v>137</v>
      </c>
      <c r="B116" s="2"/>
      <c r="C116" s="4">
        <f>+C114+C115</f>
        <v>75.84096172606084</v>
      </c>
      <c r="D116" s="4">
        <f t="shared" ref="D116" si="26">+D114+D115</f>
        <v>86.209928108046853</v>
      </c>
    </row>
    <row r="117" spans="1:4" x14ac:dyDescent="0.25">
      <c r="A117" s="2" t="s">
        <v>138</v>
      </c>
      <c r="B117" s="2" t="s">
        <v>139</v>
      </c>
      <c r="C117" s="3">
        <f>VS_kvæg_tot_omsat_lager</f>
        <v>0.40388440967981065</v>
      </c>
      <c r="D117" s="3">
        <f>VS_kvæg_tot_omsat_lager</f>
        <v>0.40388440967981065</v>
      </c>
    </row>
    <row r="118" spans="1:4" x14ac:dyDescent="0.25">
      <c r="A118" s="2" t="s">
        <v>140</v>
      </c>
      <c r="B118" s="2"/>
      <c r="C118" s="4">
        <f>+C117*C114</f>
        <v>10.209571289506199</v>
      </c>
      <c r="D118" s="4">
        <f t="shared" ref="D118" si="27">+D117*D114</f>
        <v>14.397435155684422</v>
      </c>
    </row>
    <row r="119" spans="1:4" x14ac:dyDescent="0.25">
      <c r="A119" s="2" t="s">
        <v>141</v>
      </c>
      <c r="B119" s="2"/>
      <c r="C119" s="4">
        <f>+C115*C117</f>
        <v>20.421410766772997</v>
      </c>
      <c r="D119" s="4">
        <f t="shared" ref="D119" si="28">+D115*D117</f>
        <v>20.421410766772997</v>
      </c>
    </row>
    <row r="120" spans="1:4" x14ac:dyDescent="0.25">
      <c r="A120" s="2" t="s">
        <v>142</v>
      </c>
      <c r="B120" s="2"/>
      <c r="C120" s="4">
        <f t="shared" ref="C120:D120" si="29">+C118/C55</f>
        <v>1.5314356934259297</v>
      </c>
      <c r="D120" s="4">
        <f t="shared" si="29"/>
        <v>2.1596152733526632</v>
      </c>
    </row>
    <row r="121" spans="1:4" x14ac:dyDescent="0.25">
      <c r="A121" s="2" t="s">
        <v>143</v>
      </c>
      <c r="B121" s="2"/>
      <c r="C121" s="4">
        <f t="shared" ref="C121:D121" si="30">+C119/C55</f>
        <v>3.0632116150159492</v>
      </c>
      <c r="D121" s="4">
        <f t="shared" si="30"/>
        <v>3.0632116150159492</v>
      </c>
    </row>
    <row r="122" spans="1:4" x14ac:dyDescent="0.25">
      <c r="A122" s="2" t="s">
        <v>128</v>
      </c>
      <c r="B122" s="2"/>
      <c r="C122" s="4">
        <f>+SUM(C120)</f>
        <v>1.5314356934259297</v>
      </c>
      <c r="D122" s="4">
        <f>+SUM(D120)</f>
        <v>2.1596152733526632</v>
      </c>
    </row>
    <row r="123" spans="1:4" x14ac:dyDescent="0.25">
      <c r="A123" s="2"/>
      <c r="B123" s="2"/>
      <c r="C123" s="2"/>
      <c r="D123" s="2"/>
    </row>
    <row r="124" spans="1:4" x14ac:dyDescent="0.25">
      <c r="A124" s="2" t="s">
        <v>144</v>
      </c>
      <c r="B124" s="2"/>
      <c r="C124" s="2"/>
      <c r="D124" s="2"/>
    </row>
    <row r="125" spans="1:4" x14ac:dyDescent="0.25">
      <c r="A125" s="2" t="s">
        <v>133</v>
      </c>
      <c r="B125" s="2"/>
      <c r="C125" s="4">
        <f>+C95*C98</f>
        <v>711.07061325236089</v>
      </c>
      <c r="D125" s="4">
        <f t="shared" ref="D125" si="31">+D95*D98</f>
        <v>1002.744655491678</v>
      </c>
    </row>
    <row r="126" spans="1:4" x14ac:dyDescent="0.25">
      <c r="A126" s="2" t="s">
        <v>134</v>
      </c>
      <c r="B126" s="2"/>
      <c r="C126" s="4">
        <f>+C96</f>
        <v>1422.2992000000004</v>
      </c>
      <c r="D126" s="4">
        <f t="shared" ref="D126" si="32">+D96</f>
        <v>1422.2992000000004</v>
      </c>
    </row>
    <row r="127" spans="1:4" x14ac:dyDescent="0.25">
      <c r="A127" s="2" t="s">
        <v>135</v>
      </c>
      <c r="B127" s="2"/>
      <c r="C127" s="4">
        <f>+C125*1000/C84</f>
        <v>25.278448597706678</v>
      </c>
      <c r="D127" s="4">
        <f t="shared" ref="D127" si="33">+D125*1000/D84</f>
        <v>35.647414979692691</v>
      </c>
    </row>
    <row r="128" spans="1:4" x14ac:dyDescent="0.25">
      <c r="A128" s="2" t="s">
        <v>136</v>
      </c>
      <c r="B128" s="2"/>
      <c r="C128" s="4">
        <f>+C126*1000/C84</f>
        <v>50.562513128354162</v>
      </c>
      <c r="D128" s="4">
        <f t="shared" ref="D128" si="34">+D126*1000/D84</f>
        <v>50.562513128354162</v>
      </c>
    </row>
    <row r="129" spans="1:4" x14ac:dyDescent="0.25">
      <c r="A129" s="2" t="s">
        <v>145</v>
      </c>
      <c r="B129" s="2"/>
      <c r="C129" s="4">
        <f>+C86</f>
        <v>4.4117355048985116</v>
      </c>
      <c r="D129" s="4">
        <f>+D86</f>
        <v>4.4117355048985116</v>
      </c>
    </row>
    <row r="130" spans="1:4" x14ac:dyDescent="0.25">
      <c r="A130" s="2" t="s">
        <v>173</v>
      </c>
      <c r="B130" s="2"/>
      <c r="C130" s="4">
        <f>+C127+C128</f>
        <v>75.84096172606084</v>
      </c>
      <c r="D130" s="4">
        <f>+D127+D128</f>
        <v>86.209928108046853</v>
      </c>
    </row>
    <row r="131" spans="1:4" x14ac:dyDescent="0.25">
      <c r="A131" s="2" t="s">
        <v>174</v>
      </c>
      <c r="B131" s="2"/>
      <c r="C131" s="4">
        <f>+C127+C128+C129</f>
        <v>80.252697230959356</v>
      </c>
      <c r="D131" s="4">
        <f>+D127+D128+D129</f>
        <v>90.621663612945369</v>
      </c>
    </row>
    <row r="132" spans="1:4" x14ac:dyDescent="0.25">
      <c r="A132" s="2" t="s">
        <v>148</v>
      </c>
      <c r="B132" s="2" t="s">
        <v>149</v>
      </c>
      <c r="C132" s="3">
        <v>0.52</v>
      </c>
      <c r="D132" s="3">
        <v>0.52</v>
      </c>
    </row>
    <row r="133" spans="1:4" x14ac:dyDescent="0.25">
      <c r="A133" s="2" t="s">
        <v>150</v>
      </c>
      <c r="B133" s="2"/>
      <c r="C133" s="3">
        <v>230</v>
      </c>
      <c r="D133" s="3">
        <v>230</v>
      </c>
    </row>
    <row r="134" spans="1:4" x14ac:dyDescent="0.25">
      <c r="A134" s="2" t="s">
        <v>151</v>
      </c>
      <c r="B134" s="2"/>
      <c r="C134" s="3">
        <v>0.55000000000000004</v>
      </c>
      <c r="D134" s="3">
        <v>0.55000000000000004</v>
      </c>
    </row>
    <row r="135" spans="1:4" x14ac:dyDescent="0.25">
      <c r="A135" s="2" t="s">
        <v>152</v>
      </c>
      <c r="B135" s="2"/>
      <c r="C135" s="3">
        <v>0.71699999999999997</v>
      </c>
      <c r="D135" s="3">
        <v>0.71699999999999997</v>
      </c>
    </row>
    <row r="136" spans="1:4" x14ac:dyDescent="0.25">
      <c r="A136" s="2" t="s">
        <v>153</v>
      </c>
      <c r="B136" s="2"/>
      <c r="C136" s="4">
        <f>+C133*C135/1000</f>
        <v>0.16491</v>
      </c>
      <c r="D136" s="4">
        <f t="shared" ref="D136" si="35">+D133*D135/1000</f>
        <v>0.16491</v>
      </c>
    </row>
    <row r="137" spans="1:4" x14ac:dyDescent="0.25">
      <c r="A137" s="2" t="s">
        <v>154</v>
      </c>
      <c r="B137" s="2"/>
      <c r="C137" s="72">
        <f>+C136*C130</f>
        <v>12.506932998244693</v>
      </c>
      <c r="D137" s="72">
        <f>+D136*D130</f>
        <v>14.216879244298006</v>
      </c>
    </row>
    <row r="138" spans="1:4" x14ac:dyDescent="0.25">
      <c r="A138" s="2" t="s">
        <v>155</v>
      </c>
      <c r="B138" s="2"/>
      <c r="C138" s="72">
        <f>+C136*C131</f>
        <v>13.234472300357508</v>
      </c>
      <c r="D138" s="72">
        <f>+D136*D131</f>
        <v>14.944418546410821</v>
      </c>
    </row>
    <row r="139" spans="1:4" x14ac:dyDescent="0.25">
      <c r="A139" s="2" t="s">
        <v>157</v>
      </c>
      <c r="B139" s="2"/>
      <c r="C139" s="4">
        <f>+C131*(1-C132)</f>
        <v>38.521294670860492</v>
      </c>
      <c r="D139" s="4">
        <f t="shared" ref="D139" si="36">+D131*(1-D132)</f>
        <v>43.498398534213777</v>
      </c>
    </row>
    <row r="140" spans="1:4" x14ac:dyDescent="0.25">
      <c r="A140" s="2" t="s">
        <v>158</v>
      </c>
      <c r="B140" s="2" t="s">
        <v>159</v>
      </c>
      <c r="C140" s="3">
        <f t="shared" ref="C140:D140" si="37">+VS_tot_omsat_lager_afg</f>
        <v>0.13092377276210895</v>
      </c>
      <c r="D140" s="3">
        <f t="shared" si="37"/>
        <v>0.13092377276210895</v>
      </c>
    </row>
    <row r="141" spans="1:4" x14ac:dyDescent="0.25">
      <c r="A141" s="2" t="s">
        <v>160</v>
      </c>
      <c r="B141" s="2"/>
      <c r="C141" s="4">
        <f>+C139*C140</f>
        <v>5.0433532299899779</v>
      </c>
      <c r="D141" s="4">
        <f t="shared" ref="D141" si="38">+D139*D140</f>
        <v>5.6949744452090574</v>
      </c>
    </row>
    <row r="142" spans="1:4" x14ac:dyDescent="0.25">
      <c r="A142" s="2" t="s">
        <v>128</v>
      </c>
      <c r="B142" s="2"/>
      <c r="C142" s="4">
        <f>+C141/C56</f>
        <v>0.30260119379939865</v>
      </c>
      <c r="D142" s="4">
        <f t="shared" ref="D142" si="39">+D141/D56</f>
        <v>0.34169846671254339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topLeftCell="A16" workbookViewId="0">
      <selection activeCell="B23" sqref="B23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7" max="7" width="16.28515625" bestFit="1" customWidth="1"/>
    <col min="8" max="19" width="8.5703125" customWidth="1"/>
  </cols>
  <sheetData>
    <row r="1" spans="1:20" x14ac:dyDescent="0.25">
      <c r="A1" t="s">
        <v>175</v>
      </c>
      <c r="B1" s="1">
        <v>31.3</v>
      </c>
      <c r="C1" t="s">
        <v>61</v>
      </c>
      <c r="D1" s="1">
        <v>81000</v>
      </c>
      <c r="E1" t="s">
        <v>63</v>
      </c>
      <c r="F1" s="1">
        <v>8.31</v>
      </c>
    </row>
    <row r="2" spans="1:20" x14ac:dyDescent="0.25">
      <c r="A2" t="s">
        <v>176</v>
      </c>
      <c r="B2" s="1">
        <v>0.45</v>
      </c>
      <c r="C2" t="s">
        <v>177</v>
      </c>
      <c r="D2" s="1">
        <v>4</v>
      </c>
      <c r="E2" t="s">
        <v>178</v>
      </c>
      <c r="F2" s="1">
        <v>6.67</v>
      </c>
    </row>
    <row r="4" spans="1:20" x14ac:dyDescent="0.25">
      <c r="A4" t="s">
        <v>179</v>
      </c>
    </row>
    <row r="5" spans="1:20" x14ac:dyDescent="0.25">
      <c r="A5" t="s">
        <v>180</v>
      </c>
      <c r="B5" t="s">
        <v>181</v>
      </c>
      <c r="C5" t="s">
        <v>182</v>
      </c>
      <c r="D5" t="s">
        <v>183</v>
      </c>
      <c r="E5" t="s">
        <v>184</v>
      </c>
      <c r="G5" t="s">
        <v>180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f>+ROUND(B6*0.5011+5.1886,1)</f>
        <v>5.9</v>
      </c>
      <c r="D6" s="7">
        <v>1</v>
      </c>
      <c r="E6" s="11">
        <f>+(1-EXP(Ln_A-E_a/(R_*(C6+273.15)))*VS_tot_CH4*24/1000)^30</f>
        <v>0.88022513660353319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f t="shared" ref="C7:C17" si="0">+ROUND(B7*0.5011+5.1886,1)</f>
        <v>5.8</v>
      </c>
      <c r="D7" s="7">
        <v>1</v>
      </c>
      <c r="E7" s="11">
        <f t="shared" ref="E7:E17" si="1">+(1-EXP(Ln_A-E_a/(R_*(C7+273.15)))*VS_tot_CH4*24/1000)^30</f>
        <v>0.88162661094096018</v>
      </c>
      <c r="G7">
        <v>5</v>
      </c>
      <c r="H7" s="8">
        <f>+LOOKUP($G7,Måned_VS_tot_t30)*H6</f>
        <v>0.78948871930879538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f t="shared" si="0"/>
        <v>6.7</v>
      </c>
      <c r="D8" s="7">
        <v>1</v>
      </c>
      <c r="E8" s="11">
        <f t="shared" si="1"/>
        <v>0.86848409857811071</v>
      </c>
      <c r="G8">
        <v>6</v>
      </c>
      <c r="H8" s="8">
        <f t="shared" ref="H8:H18" si="2">+LOOKUP($G8,Måned_VS_tot_t30)*H7</f>
        <v>0.59269695352089491</v>
      </c>
      <c r="I8" s="8">
        <f t="shared" ref="I8:I18" si="3">+LOOKUP($G8,Måned_VS_tot_t30)*I7</f>
        <v>0.75073517711539506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f t="shared" si="0"/>
        <v>8.9</v>
      </c>
      <c r="D9" s="7">
        <v>1</v>
      </c>
      <c r="E9" s="11">
        <f t="shared" si="1"/>
        <v>0.83097195501232524</v>
      </c>
      <c r="G9">
        <v>7</v>
      </c>
      <c r="H9" s="8">
        <f t="shared" si="2"/>
        <v>0.42232359015942189</v>
      </c>
      <c r="I9" s="8">
        <f t="shared" si="3"/>
        <v>0.53493302669247766</v>
      </c>
      <c r="J9" s="8">
        <f t="shared" ref="J9:J18" si="4">+LOOKUP($G9,Måned_VS_tot_t30)*J8</f>
        <v>0.71254557265837759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f t="shared" si="0"/>
        <v>10.9</v>
      </c>
      <c r="D10" s="7">
        <v>1</v>
      </c>
      <c r="E10" s="11">
        <f t="shared" si="1"/>
        <v>0.78948871930879538</v>
      </c>
      <c r="G10">
        <v>8</v>
      </c>
      <c r="H10" s="8">
        <f t="shared" si="2"/>
        <v>0.30213371607958767</v>
      </c>
      <c r="I10" s="8">
        <f t="shared" si="3"/>
        <v>0.38269541880738778</v>
      </c>
      <c r="J10" s="8">
        <f t="shared" si="4"/>
        <v>0.50976087237292722</v>
      </c>
      <c r="K10" s="8">
        <f t="shared" ref="K10:K18" si="5">+LOOKUP($G10,Måned_VS_tot_t30)*K9</f>
        <v>0.71540809729699439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f t="shared" si="0"/>
        <v>12.5</v>
      </c>
      <c r="D11" s="7">
        <v>1</v>
      </c>
      <c r="E11" s="11">
        <f t="shared" si="1"/>
        <v>0.75073517711539506</v>
      </c>
      <c r="G11">
        <v>9</v>
      </c>
      <c r="H11" s="8">
        <f t="shared" si="2"/>
        <v>0.22989536968482005</v>
      </c>
      <c r="I11" s="8">
        <f t="shared" si="3"/>
        <v>0.29119525594500645</v>
      </c>
      <c r="J11" s="8">
        <f t="shared" si="4"/>
        <v>0.38788012713602604</v>
      </c>
      <c r="K11" s="8">
        <f t="shared" si="5"/>
        <v>0.54435834284804552</v>
      </c>
      <c r="L11" s="8">
        <f t="shared" ref="L11:L18" si="6">+LOOKUP($G11,Måned_VS_tot_t30)*L10</f>
        <v>0.76090604076858903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f t="shared" si="0"/>
        <v>13.9</v>
      </c>
      <c r="D12" s="7">
        <v>1</v>
      </c>
      <c r="E12" s="11">
        <f t="shared" si="1"/>
        <v>0.71254557265837759</v>
      </c>
      <c r="G12">
        <v>10</v>
      </c>
      <c r="H12" s="8">
        <f t="shared" si="2"/>
        <v>0.18648226554716929</v>
      </c>
      <c r="I12" s="8">
        <f t="shared" si="3"/>
        <v>0.23620637127080954</v>
      </c>
      <c r="J12" s="8">
        <f t="shared" si="4"/>
        <v>0.31463341331413647</v>
      </c>
      <c r="K12" s="8">
        <f t="shared" si="5"/>
        <v>0.44156251247242556</v>
      </c>
      <c r="L12" s="8">
        <f t="shared" si="6"/>
        <v>0.61721766099764375</v>
      </c>
      <c r="M12" s="8">
        <f t="shared" ref="M12:M18" si="7">+LOOKUP($G12,Måned_VS_tot_t30)*M11</f>
        <v>0.8111614679444441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f t="shared" si="0"/>
        <v>13.8</v>
      </c>
      <c r="D13" s="7">
        <v>1</v>
      </c>
      <c r="E13" s="11">
        <f t="shared" si="1"/>
        <v>0.71540809729699439</v>
      </c>
      <c r="G13">
        <v>11</v>
      </c>
      <c r="H13" s="8">
        <f t="shared" si="2"/>
        <v>0.15800423909782982</v>
      </c>
      <c r="I13" s="8">
        <f t="shared" si="3"/>
        <v>0.20013489139675605</v>
      </c>
      <c r="J13" s="8">
        <f t="shared" si="4"/>
        <v>0.26658520540591829</v>
      </c>
      <c r="K13" s="8">
        <f t="shared" si="5"/>
        <v>0.37413074424325943</v>
      </c>
      <c r="L13" s="8">
        <f t="shared" si="6"/>
        <v>0.52296129391996926</v>
      </c>
      <c r="M13" s="8">
        <f t="shared" si="7"/>
        <v>0.68728760963932889</v>
      </c>
      <c r="N13" s="8">
        <f t="shared" ref="N13:N18" si="8">+LOOKUP($G13,Måned_VS_tot_t30)*N12</f>
        <v>0.84728828574781456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f t="shared" si="0"/>
        <v>12.1</v>
      </c>
      <c r="D14" s="7">
        <v>1</v>
      </c>
      <c r="E14" s="11">
        <f t="shared" si="1"/>
        <v>0.76090604076858903</v>
      </c>
      <c r="G14">
        <v>12</v>
      </c>
      <c r="H14" s="8">
        <f t="shared" si="2"/>
        <v>0.13817055080905125</v>
      </c>
      <c r="I14" s="8">
        <f t="shared" si="3"/>
        <v>0.17501269800285532</v>
      </c>
      <c r="J14" s="8">
        <f t="shared" si="4"/>
        <v>0.23312174963656218</v>
      </c>
      <c r="K14" s="8">
        <f t="shared" si="5"/>
        <v>0.32716749437769638</v>
      </c>
      <c r="L14" s="8">
        <f t="shared" si="6"/>
        <v>0.45731589510074577</v>
      </c>
      <c r="M14" s="8">
        <f t="shared" si="7"/>
        <v>0.60101493561387986</v>
      </c>
      <c r="N14" s="8">
        <f t="shared" si="8"/>
        <v>0.74093131807272061</v>
      </c>
      <c r="O14" s="8">
        <f>+LOOKUP($G14,Måned_VS_tot_t30)*O13</f>
        <v>0.8744736951234684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f t="shared" si="0"/>
        <v>9.9</v>
      </c>
      <c r="D15" s="7">
        <v>1</v>
      </c>
      <c r="E15" s="11">
        <f t="shared" si="1"/>
        <v>0.8111614679444441</v>
      </c>
      <c r="G15">
        <v>1</v>
      </c>
      <c r="H15" s="8">
        <f t="shared" si="2"/>
        <v>0.12162119196048256</v>
      </c>
      <c r="I15" s="8">
        <f t="shared" si="3"/>
        <v>0.15405057600691621</v>
      </c>
      <c r="J15" s="8">
        <f t="shared" si="4"/>
        <v>0.2051996239190976</v>
      </c>
      <c r="K15" s="8">
        <f t="shared" si="5"/>
        <v>0.28798105243084349</v>
      </c>
      <c r="L15" s="8">
        <f t="shared" si="6"/>
        <v>0.40254094623602099</v>
      </c>
      <c r="M15" s="8">
        <f t="shared" si="7"/>
        <v>0.52902845380149111</v>
      </c>
      <c r="N15" s="8">
        <f t="shared" si="8"/>
        <v>0.65218637066439644</v>
      </c>
      <c r="O15" s="8">
        <f>+LOOKUP($G15,Måned_VS_tot_t30)*O14</f>
        <v>0.76973372774625137</v>
      </c>
      <c r="P15" s="8">
        <f>+LOOKUP($G15,Måned_VS_tot_t30)*P14</f>
        <v>0.88022513660353319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f t="shared" si="0"/>
        <v>8</v>
      </c>
      <c r="D16" s="7">
        <v>1</v>
      </c>
      <c r="E16" s="11">
        <f t="shared" si="1"/>
        <v>0.84728828574781456</v>
      </c>
      <c r="G16">
        <v>2</v>
      </c>
      <c r="H16" s="8">
        <f t="shared" si="2"/>
        <v>0.10722447928672019</v>
      </c>
      <c r="I16" s="8">
        <f t="shared" si="3"/>
        <v>0.13581508723848035</v>
      </c>
      <c r="J16" s="8">
        <f t="shared" si="4"/>
        <v>0.18090944900215361</v>
      </c>
      <c r="K16" s="8">
        <f t="shared" si="5"/>
        <v>0.2538917592698155</v>
      </c>
      <c r="L16" s="8">
        <f t="shared" si="6"/>
        <v>0.35489081019503044</v>
      </c>
      <c r="M16" s="8">
        <f t="shared" si="7"/>
        <v>0.46640556281634493</v>
      </c>
      <c r="N16" s="8">
        <f t="shared" si="8"/>
        <v>0.57498485967073665</v>
      </c>
      <c r="O16" s="8">
        <f>+LOOKUP($G16,Måned_VS_tot_t30)*O15</f>
        <v>0.67861773771987932</v>
      </c>
      <c r="P16" s="8">
        <f>+LOOKUP($G16,Måned_VS_tot_t30)*P15</f>
        <v>0.77602990404881667</v>
      </c>
      <c r="Q16" s="8">
        <f>+LOOKUP($G16,Måned_VS_tot_t30)*Q15</f>
        <v>0.88162661094096018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f t="shared" si="0"/>
        <v>6.3</v>
      </c>
      <c r="D17" s="7">
        <v>1</v>
      </c>
      <c r="E17" s="11">
        <f t="shared" si="1"/>
        <v>0.8744736951234684</v>
      </c>
      <c r="G17">
        <v>3</v>
      </c>
      <c r="H17" s="8">
        <f t="shared" si="2"/>
        <v>9.3122755238834481E-2</v>
      </c>
      <c r="I17" s="8">
        <f t="shared" si="3"/>
        <v>0.11795324361361907</v>
      </c>
      <c r="J17" s="8">
        <f t="shared" si="4"/>
        <v>0.15711697974089806</v>
      </c>
      <c r="K17" s="8">
        <f t="shared" si="5"/>
        <v>0.2205009556858564</v>
      </c>
      <c r="L17" s="8">
        <f t="shared" si="6"/>
        <v>0.30821702538588641</v>
      </c>
      <c r="M17" s="8">
        <f t="shared" si="7"/>
        <v>0.40506581479436971</v>
      </c>
      <c r="N17" s="8">
        <f t="shared" si="8"/>
        <v>0.49936520754720121</v>
      </c>
      <c r="O17" s="8">
        <f>+LOOKUP($G17,Måned_VS_tot_t30)*O16</f>
        <v>0.58936871422276615</v>
      </c>
      <c r="P17" s="8">
        <f>+LOOKUP($G17,Måned_VS_tot_t30)*P16</f>
        <v>0.67396963168749424</v>
      </c>
      <c r="Q17" s="8">
        <f>+LOOKUP($G17,Måned_VS_tot_t30)*Q16</f>
        <v>0.76567869248553455</v>
      </c>
      <c r="R17" s="8">
        <f>+LOOKUP($G17,Måned_VS_tot_t30)*R16</f>
        <v>0.86848409857811071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2"/>
        <v>7.7382397976948541E-2</v>
      </c>
      <c r="I18" s="8">
        <f t="shared" si="3"/>
        <v>9.8015837445654105E-2</v>
      </c>
      <c r="J18" s="8">
        <f t="shared" si="4"/>
        <v>0.13055980382092594</v>
      </c>
      <c r="K18" s="8">
        <f t="shared" si="5"/>
        <v>0.18323011022836219</v>
      </c>
      <c r="L18" s="8">
        <f t="shared" si="6"/>
        <v>0.25611970415299351</v>
      </c>
      <c r="M18" s="8">
        <f t="shared" si="7"/>
        <v>0.33659833202833783</v>
      </c>
      <c r="N18" s="8">
        <f t="shared" si="8"/>
        <v>0.41495848278063335</v>
      </c>
      <c r="O18" s="8">
        <f>+LOOKUP($G18,Måned_VS_tot_t30)*O17</f>
        <v>0.48974887268079242</v>
      </c>
      <c r="P18" s="8">
        <f>+LOOKUP($G18,Måned_VS_tot_t30)*P17</f>
        <v>0.56004986246229382</v>
      </c>
      <c r="Q18" s="8">
        <f>+LOOKUP($G18,Måned_VS_tot_t30)*Q17</f>
        <v>0.63625752000598568</v>
      </c>
      <c r="R18" s="8">
        <f>+LOOKUP($G18,Måned_VS_tot_t30)*R17</f>
        <v>0.72168592929256969</v>
      </c>
      <c r="S18" s="8">
        <f>+LOOKUP($G18,Måned_VS_tot_t30)*S17</f>
        <v>0.83097195501232524</v>
      </c>
      <c r="T18" s="8"/>
    </row>
    <row r="19" spans="1:20" x14ac:dyDescent="0.25">
      <c r="G19" s="12" t="s">
        <v>185</v>
      </c>
      <c r="H19" s="13">
        <f>1-MIN((H6:H18))</f>
        <v>0.92261760202305143</v>
      </c>
      <c r="I19" s="13">
        <f t="shared" ref="I19:S19" si="9">1-MIN((I6:I18))</f>
        <v>0.90198416255434588</v>
      </c>
      <c r="J19" s="13">
        <f t="shared" si="9"/>
        <v>0.86944019617907409</v>
      </c>
      <c r="K19" s="13">
        <f t="shared" si="9"/>
        <v>0.81676988977163778</v>
      </c>
      <c r="L19" s="13">
        <f t="shared" si="9"/>
        <v>0.74388029584700655</v>
      </c>
      <c r="M19" s="13">
        <f t="shared" si="9"/>
        <v>0.66340166797166211</v>
      </c>
      <c r="N19" s="13">
        <f t="shared" si="9"/>
        <v>0.58504151721936659</v>
      </c>
      <c r="O19" s="13">
        <f t="shared" si="9"/>
        <v>0.51025112731920763</v>
      </c>
      <c r="P19" s="13">
        <f t="shared" si="9"/>
        <v>0.43995013753770618</v>
      </c>
      <c r="Q19" s="13">
        <f t="shared" si="9"/>
        <v>0.36374247999401432</v>
      </c>
      <c r="R19" s="13">
        <f t="shared" si="9"/>
        <v>0.27831407070743031</v>
      </c>
      <c r="S19" s="13">
        <f t="shared" si="9"/>
        <v>0.16902804498767476</v>
      </c>
      <c r="T19" s="8">
        <f>+AVERAGE((H19:S19))</f>
        <v>0.60536843267601481</v>
      </c>
    </row>
    <row r="20" spans="1:20" x14ac:dyDescent="0.25">
      <c r="G20" s="14" t="s">
        <v>186</v>
      </c>
      <c r="H20" s="15">
        <f t="shared" ref="H20:S20" si="10">+H19/VS_tot_CH4</f>
        <v>0.13832347856417562</v>
      </c>
      <c r="I20" s="15">
        <f t="shared" si="10"/>
        <v>0.13523000937846266</v>
      </c>
      <c r="J20" s="15">
        <f t="shared" si="10"/>
        <v>0.13035085399986118</v>
      </c>
      <c r="K20" s="15">
        <f t="shared" si="10"/>
        <v>0.12245425633757688</v>
      </c>
      <c r="L20" s="15">
        <f t="shared" si="10"/>
        <v>0.11152628123643277</v>
      </c>
      <c r="M20" s="15">
        <f t="shared" si="10"/>
        <v>9.9460519935781422E-2</v>
      </c>
      <c r="N20" s="15">
        <f t="shared" si="10"/>
        <v>8.771237139720639E-2</v>
      </c>
      <c r="O20" s="15">
        <f t="shared" si="10"/>
        <v>7.6499419388187051E-2</v>
      </c>
      <c r="P20" s="15">
        <f t="shared" si="10"/>
        <v>6.5959540860225818E-2</v>
      </c>
      <c r="Q20" s="15">
        <f t="shared" si="10"/>
        <v>5.4534104946628838E-2</v>
      </c>
      <c r="R20" s="15">
        <f t="shared" si="10"/>
        <v>4.1726247482373358E-2</v>
      </c>
      <c r="S20" s="15">
        <f t="shared" si="10"/>
        <v>2.5341535980161135E-2</v>
      </c>
      <c r="T20" s="15">
        <f>+AVERAGE((H20:S20))</f>
        <v>9.0759884958922774E-2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187</v>
      </c>
      <c r="B22" s="1"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188</v>
      </c>
    </row>
    <row r="25" spans="1:20" x14ac:dyDescent="0.25">
      <c r="A25" t="s">
        <v>180</v>
      </c>
      <c r="B25" t="s">
        <v>181</v>
      </c>
      <c r="C25" t="s">
        <v>182</v>
      </c>
      <c r="D25" t="s">
        <v>183</v>
      </c>
      <c r="E25" t="s">
        <v>184</v>
      </c>
      <c r="G25" t="s">
        <v>180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f>+ROUND(B26*0.5011+5.1886,1)</f>
        <v>5.9</v>
      </c>
      <c r="D26" s="7">
        <v>1</v>
      </c>
      <c r="E26" s="11">
        <f t="shared" ref="E26:E37" si="11">+(1-EXP(Ln_A_kvaeg-E_a/(R_*(C26+273.15)))*VS_tot_CH4*24/1000)^30</f>
        <v>0.89099757627725096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f t="shared" ref="C27:C37" si="12">+ROUND(B27*0.5011+5.1886,1)</f>
        <v>5.8</v>
      </c>
      <c r="D27" s="7">
        <v>1</v>
      </c>
      <c r="E27" s="11">
        <f t="shared" si="11"/>
        <v>0.89228058750374817</v>
      </c>
      <c r="G27">
        <v>5</v>
      </c>
      <c r="H27" s="8">
        <f>+LOOKUP($G27,Måned_VS_tot_kvaeg_t30)*H26</f>
        <v>0.80751323951988851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f t="shared" si="12"/>
        <v>6.7</v>
      </c>
      <c r="D28" s="7">
        <v>1</v>
      </c>
      <c r="E28" s="11">
        <f t="shared" si="11"/>
        <v>0.88024153536534622</v>
      </c>
      <c r="G28">
        <v>6</v>
      </c>
      <c r="H28" s="8">
        <f>+LOOKUP($G28,Måned_VS_tot_kvaeg_t30)*H27</f>
        <v>0.62306991474260365</v>
      </c>
      <c r="I28" s="8">
        <f>+LOOKUP($G28,Måned_VS_tot_kvaeg_t30)*I27</f>
        <v>0.77159095882199202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f t="shared" si="12"/>
        <v>8.9</v>
      </c>
      <c r="D29" s="7">
        <v>1</v>
      </c>
      <c r="E29" s="11">
        <f t="shared" si="11"/>
        <v>0.84578531261431256</v>
      </c>
      <c r="G29">
        <v>7</v>
      </c>
      <c r="H29" s="8"/>
      <c r="I29" s="8">
        <f>+LOOKUP($G29,Måned_VS_tot_kvaeg_t30)*I28</f>
        <v>0.56790842519794371</v>
      </c>
      <c r="J29" s="8">
        <f>+LOOKUP($G29,Måned_VS_tot_kvaeg_t30)*J28</f>
        <v>0.73602265384885313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f t="shared" si="12"/>
        <v>10.9</v>
      </c>
      <c r="D30" s="7">
        <v>1</v>
      </c>
      <c r="E30" s="11">
        <f t="shared" si="11"/>
        <v>0.80751323951988851</v>
      </c>
      <c r="G30">
        <v>8</v>
      </c>
      <c r="H30" s="8"/>
      <c r="I30" s="8"/>
      <c r="J30" s="8">
        <f>+LOOKUP($G30,Måned_VS_tot_kvaeg_t30)*J29</f>
        <v>0.54369605215157424</v>
      </c>
      <c r="K30" s="8">
        <f>+LOOKUP($G30,Måned_VS_tot_kvaeg_t30)*K29</f>
        <v>0.73869472537081127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f t="shared" si="12"/>
        <v>12.5</v>
      </c>
      <c r="D31" s="7">
        <v>1</v>
      </c>
      <c r="E31" s="11">
        <f t="shared" si="11"/>
        <v>0.77159095882199202</v>
      </c>
      <c r="G31">
        <v>9</v>
      </c>
      <c r="H31" s="8"/>
      <c r="I31" s="8"/>
      <c r="J31" s="8"/>
      <c r="K31" s="8">
        <f>+LOOKUP($G31,Måned_VS_tot_kvaeg_t30)*K30</f>
        <v>0.57694647518702591</v>
      </c>
      <c r="L31" s="8">
        <f>+LOOKUP($G31,Måned_VS_tot_kvaeg_t30)*L30</f>
        <v>0.78103505463289902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f t="shared" si="12"/>
        <v>13.9</v>
      </c>
      <c r="D32" s="7">
        <v>1</v>
      </c>
      <c r="E32" s="11">
        <f t="shared" si="11"/>
        <v>0.73602265384885313</v>
      </c>
      <c r="G32">
        <v>10</v>
      </c>
      <c r="H32" s="8"/>
      <c r="I32" s="8"/>
      <c r="J32" s="8"/>
      <c r="K32" s="8"/>
      <c r="L32" s="8">
        <f>+LOOKUP($G32,Måned_VS_tot_kvaeg_t30)*L31</f>
        <v>0.64633068222308176</v>
      </c>
      <c r="M32" s="8">
        <f t="shared" ref="M32:M38" si="13">+LOOKUP($G32,Måned_VS_tot_kvaeg_t30)*M31</f>
        <v>0.8275309518941748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f t="shared" si="12"/>
        <v>13.8</v>
      </c>
      <c r="D33" s="7">
        <v>1</v>
      </c>
      <c r="E33" s="11">
        <f t="shared" si="11"/>
        <v>0.73869472537081127</v>
      </c>
      <c r="G33">
        <v>11</v>
      </c>
      <c r="H33" s="8"/>
      <c r="I33" s="8"/>
      <c r="J33" s="8"/>
      <c r="K33" s="8"/>
      <c r="L33" s="8"/>
      <c r="M33" s="8">
        <f t="shared" si="13"/>
        <v>0.71233014943883921</v>
      </c>
      <c r="N33" s="8">
        <f t="shared" ref="N33:N38" si="14">+LOOKUP($G33,Måned_VS_tot_kvaeg_t30)*N32</f>
        <v>0.8607897357897647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f t="shared" si="12"/>
        <v>12.1</v>
      </c>
      <c r="D34" s="7">
        <v>1</v>
      </c>
      <c r="E34" s="11">
        <f t="shared" si="11"/>
        <v>0.78103505463289902</v>
      </c>
      <c r="G34">
        <v>12</v>
      </c>
      <c r="H34" s="8"/>
      <c r="I34" s="8"/>
      <c r="J34" s="8"/>
      <c r="K34" s="8"/>
      <c r="L34" s="8"/>
      <c r="M34" s="8">
        <f t="shared" si="13"/>
        <v>0.63093240431763753</v>
      </c>
      <c r="N34" s="8">
        <f t="shared" si="14"/>
        <v>0.7624275598072392</v>
      </c>
      <c r="O34" s="8">
        <f>+LOOKUP($G34,Måned_VS_tot_kvaeg_t30)*O33</f>
        <v>0.88573031032685423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f t="shared" si="12"/>
        <v>9.9</v>
      </c>
      <c r="D35" s="7">
        <v>1</v>
      </c>
      <c r="E35" s="11">
        <f t="shared" si="11"/>
        <v>0.8275309518941748</v>
      </c>
      <c r="G35">
        <v>1</v>
      </c>
      <c r="H35" s="8"/>
      <c r="I35" s="8"/>
      <c r="J35" s="8"/>
      <c r="K35" s="8"/>
      <c r="L35" s="8"/>
      <c r="M35" s="8">
        <f t="shared" si="13"/>
        <v>0.56215924304179354</v>
      </c>
      <c r="N35" s="8">
        <f t="shared" si="14"/>
        <v>0.67932110787522892</v>
      </c>
      <c r="O35" s="8">
        <f>+LOOKUP($G35,Måned_VS_tot_kvaeg_t30)*O34</f>
        <v>0.78918355973652443</v>
      </c>
      <c r="P35" s="8">
        <f>+LOOKUP($G35,Måned_VS_tot_kvaeg_t30)*P34</f>
        <v>0.89099757627725096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f t="shared" si="12"/>
        <v>8</v>
      </c>
      <c r="D36" s="7">
        <v>1</v>
      </c>
      <c r="E36" s="11">
        <f t="shared" si="11"/>
        <v>0.8607897357897647</v>
      </c>
      <c r="G36">
        <v>2</v>
      </c>
      <c r="H36" s="8"/>
      <c r="I36" s="8"/>
      <c r="J36" s="8"/>
      <c r="K36" s="8"/>
      <c r="L36" s="8"/>
      <c r="M36" s="8">
        <f t="shared" si="13"/>
        <v>0.50160377965199388</v>
      </c>
      <c r="N36" s="8">
        <f t="shared" si="14"/>
        <v>0.60614503723860635</v>
      </c>
      <c r="O36" s="8">
        <f>+LOOKUP($G36,Måned_VS_tot_kvaeg_t30)*O35</f>
        <v>0.70417317033000537</v>
      </c>
      <c r="P36" s="8">
        <f>+LOOKUP($G36,Måned_VS_tot_kvaeg_t30)*P35</f>
        <v>0.79501984082508115</v>
      </c>
      <c r="Q36" s="8">
        <f>+LOOKUP($G36,Måned_VS_tot_kvaeg_t30)*Q35</f>
        <v>0.89228058750374817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f t="shared" si="12"/>
        <v>6.3</v>
      </c>
      <c r="D37" s="7">
        <v>1</v>
      </c>
      <c r="E37" s="11">
        <f t="shared" si="11"/>
        <v>0.88573031032685423</v>
      </c>
      <c r="G37">
        <v>3</v>
      </c>
      <c r="H37" s="8"/>
      <c r="I37" s="8"/>
      <c r="J37" s="8"/>
      <c r="K37" s="8"/>
      <c r="L37" s="8"/>
      <c r="M37" s="8">
        <f t="shared" si="13"/>
        <v>0.44153248114593191</v>
      </c>
      <c r="N37" s="8">
        <f t="shared" si="14"/>
        <v>0.53355403823299585</v>
      </c>
      <c r="O37" s="8">
        <f>+LOOKUP($G37,Måned_VS_tot_kvaeg_t30)*O36</f>
        <v>0.61984247261436742</v>
      </c>
      <c r="P37" s="8">
        <f>+LOOKUP($G37,Måned_VS_tot_kvaeg_t30)*P36</f>
        <v>0.69980948533378262</v>
      </c>
      <c r="Q37" s="8">
        <f>+LOOKUP($G37,Måned_VS_tot_kvaeg_t30)*Q36</f>
        <v>0.78542243432099246</v>
      </c>
      <c r="R37" s="8">
        <f>+LOOKUP($G37,Måned_VS_tot_kvaeg_t30)*R36</f>
        <v>0.88024153536534622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3"/>
        <v>0.3734416875953851</v>
      </c>
      <c r="N38" s="8">
        <f t="shared" si="14"/>
        <v>0.4512721690235233</v>
      </c>
      <c r="O38" s="8">
        <f>+LOOKUP($G38,Måned_VS_tot_kvaeg_t30)*O37</f>
        <v>0.52425365947177127</v>
      </c>
      <c r="P38" s="8">
        <f>+LOOKUP($G38,Måned_VS_tot_kvaeg_t30)*P37</f>
        <v>0.59188858432349456</v>
      </c>
      <c r="Q38" s="8">
        <f>+LOOKUP($G38,Måned_VS_tot_kvaeg_t30)*Q37</f>
        <v>0.66429875914647496</v>
      </c>
      <c r="R38" s="8">
        <f>+LOOKUP($G38,Måned_VS_tot_kvaeg_t30)*R37</f>
        <v>0.74449536216508183</v>
      </c>
      <c r="S38" s="8">
        <f>+LOOKUP($G38,Måned_VS_tot_kvaeg_t30)*S37</f>
        <v>0.84578531261431256</v>
      </c>
      <c r="T38" s="8"/>
    </row>
    <row r="39" spans="1:20" x14ac:dyDescent="0.25">
      <c r="G39" s="12" t="s">
        <v>185</v>
      </c>
      <c r="H39" s="13">
        <f>1-MIN((H26:H38))</f>
        <v>0.37693008525739635</v>
      </c>
      <c r="I39" s="13">
        <f>1-MIN((I26:I38))</f>
        <v>0.43209157480205629</v>
      </c>
      <c r="J39" s="13">
        <f t="shared" ref="J39:S39" si="15">1-MIN((J26:J38))</f>
        <v>0.45630394784842576</v>
      </c>
      <c r="K39" s="13">
        <f t="shared" si="15"/>
        <v>0.42305352481297409</v>
      </c>
      <c r="L39" s="13">
        <f t="shared" si="15"/>
        <v>0.35366931777691824</v>
      </c>
      <c r="M39" s="13">
        <f t="shared" si="15"/>
        <v>0.6265583124046149</v>
      </c>
      <c r="N39" s="13">
        <f t="shared" si="15"/>
        <v>0.5487278309764767</v>
      </c>
      <c r="O39" s="13">
        <f t="shared" si="15"/>
        <v>0.47574634052822873</v>
      </c>
      <c r="P39" s="13">
        <f t="shared" si="15"/>
        <v>0.40811141567650544</v>
      </c>
      <c r="Q39" s="13">
        <f t="shared" si="15"/>
        <v>0.33570124085352504</v>
      </c>
      <c r="R39" s="13">
        <f t="shared" si="15"/>
        <v>0.25550463783491817</v>
      </c>
      <c r="S39" s="13">
        <f t="shared" si="15"/>
        <v>0.15421468738568744</v>
      </c>
      <c r="T39" s="8">
        <f>+AVERAGE((H39:S39))</f>
        <v>0.40388440967981065</v>
      </c>
    </row>
    <row r="40" spans="1:20" x14ac:dyDescent="0.25">
      <c r="G40" s="14" t="s">
        <v>186</v>
      </c>
      <c r="H40" s="15">
        <f t="shared" ref="H40:S40" si="16">+H39/VS_tot_CH4</f>
        <v>5.6511257160029436E-2</v>
      </c>
      <c r="I40" s="15">
        <f t="shared" si="16"/>
        <v>6.4781345547534674E-2</v>
      </c>
      <c r="J40" s="15">
        <f t="shared" si="16"/>
        <v>6.8411386484021855E-2</v>
      </c>
      <c r="K40" s="15">
        <f t="shared" si="16"/>
        <v>6.3426315564164032E-2</v>
      </c>
      <c r="L40" s="15">
        <f t="shared" si="16"/>
        <v>5.3023885723675897E-2</v>
      </c>
      <c r="M40" s="15">
        <f t="shared" si="16"/>
        <v>9.3936778471456511E-2</v>
      </c>
      <c r="N40" s="15">
        <f t="shared" si="16"/>
        <v>8.2268040626158431E-2</v>
      </c>
      <c r="O40" s="15">
        <f t="shared" si="16"/>
        <v>7.1326287935266672E-2</v>
      </c>
      <c r="P40" s="15">
        <f t="shared" si="16"/>
        <v>6.1186119291829905E-2</v>
      </c>
      <c r="Q40" s="15">
        <f t="shared" si="16"/>
        <v>5.0330021117470022E-2</v>
      </c>
      <c r="R40" s="15">
        <f t="shared" si="16"/>
        <v>3.8306542404035707E-2</v>
      </c>
      <c r="S40" s="15">
        <f t="shared" si="16"/>
        <v>2.3120642786459887E-2</v>
      </c>
      <c r="T40" s="15">
        <f>+AVERAGE((H40:S40))</f>
        <v>6.0552385259341923E-2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189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190</v>
      </c>
      <c r="B43" s="1">
        <v>10</v>
      </c>
      <c r="C43" t="s">
        <v>191</v>
      </c>
      <c r="D43" s="1">
        <v>27.9</v>
      </c>
      <c r="E43" t="s">
        <v>192</v>
      </c>
      <c r="F43" s="1">
        <f>+CH4_CH4_CO2__afg/16*12/CH4_VS</f>
        <v>16.666666666666668</v>
      </c>
    </row>
    <row r="45" spans="1:20" x14ac:dyDescent="0.25">
      <c r="A45" t="s">
        <v>180</v>
      </c>
      <c r="B45" t="s">
        <v>181</v>
      </c>
      <c r="C45" t="s">
        <v>182</v>
      </c>
      <c r="D45" t="s">
        <v>183</v>
      </c>
      <c r="E45" t="s">
        <v>184</v>
      </c>
      <c r="G45" t="s">
        <v>180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 t="shared" ref="E46:E57" si="17"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8">+ROUND(B47*0.75+6.3,1)</f>
        <v>7.2</v>
      </c>
      <c r="D47" s="7">
        <v>1</v>
      </c>
      <c r="E47" s="11">
        <f t="shared" si="17"/>
        <v>0.98759207389846904</v>
      </c>
      <c r="G47">
        <v>5</v>
      </c>
      <c r="H47" s="8">
        <f t="shared" ref="H47:H58" si="19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8"/>
        <v>8.6</v>
      </c>
      <c r="D48" s="7">
        <v>1</v>
      </c>
      <c r="E48" s="11">
        <f t="shared" si="17"/>
        <v>0.9852688903511686</v>
      </c>
      <c r="G48">
        <v>6</v>
      </c>
      <c r="H48" s="8">
        <f t="shared" si="19"/>
        <v>0.92914949164158722</v>
      </c>
      <c r="I48" s="8">
        <f t="shared" ref="I48:I58" si="20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8"/>
        <v>11.9</v>
      </c>
      <c r="D49" s="7">
        <v>1</v>
      </c>
      <c r="E49" s="11">
        <f t="shared" si="17"/>
        <v>0.97808989746070729</v>
      </c>
      <c r="G49">
        <v>7</v>
      </c>
      <c r="H49" s="8">
        <f t="shared" si="19"/>
        <v>0.8809585406773901</v>
      </c>
      <c r="I49" s="8">
        <f t="shared" si="20"/>
        <v>0.90927416217785617</v>
      </c>
      <c r="J49" s="8">
        <f t="shared" ref="J49:J58" si="21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8"/>
        <v>14.9</v>
      </c>
      <c r="D50" s="7">
        <v>1</v>
      </c>
      <c r="E50" s="11">
        <f t="shared" si="17"/>
        <v>0.96885909368342138</v>
      </c>
      <c r="G50">
        <v>8</v>
      </c>
      <c r="H50" s="8">
        <f t="shared" si="19"/>
        <v>0.83627103050591678</v>
      </c>
      <c r="I50" s="8">
        <f t="shared" si="20"/>
        <v>0.86315031355753746</v>
      </c>
      <c r="J50" s="8">
        <f t="shared" si="21"/>
        <v>0.90003927035295883</v>
      </c>
      <c r="K50" s="8">
        <f t="shared" ref="K50:K58" si="22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8"/>
        <v>17.3</v>
      </c>
      <c r="D51" s="7">
        <v>1</v>
      </c>
      <c r="E51" s="11">
        <f t="shared" si="17"/>
        <v>0.95901405859662658</v>
      </c>
      <c r="G51">
        <v>9</v>
      </c>
      <c r="H51" s="8">
        <f t="shared" si="19"/>
        <v>0.80425276404547086</v>
      </c>
      <c r="I51" s="8">
        <f t="shared" si="20"/>
        <v>0.83010292135242492</v>
      </c>
      <c r="J51" s="8">
        <f t="shared" si="21"/>
        <v>0.86557951253306564</v>
      </c>
      <c r="K51" s="8">
        <f t="shared" si="22"/>
        <v>0.9129291866868805</v>
      </c>
      <c r="L51" s="8">
        <f t="shared" ref="L51:L58" si="23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8"/>
        <v>19.399999999999999</v>
      </c>
      <c r="D52" s="7">
        <v>1</v>
      </c>
      <c r="E52" s="11">
        <f t="shared" si="17"/>
        <v>0.94813434070866776</v>
      </c>
      <c r="G52">
        <v>10</v>
      </c>
      <c r="H52" s="8">
        <f t="shared" si="19"/>
        <v>0.78322138792951712</v>
      </c>
      <c r="I52" s="8">
        <f t="shared" si="20"/>
        <v>0.8083955582765453</v>
      </c>
      <c r="J52" s="8">
        <f t="shared" si="21"/>
        <v>0.84294442926051683</v>
      </c>
      <c r="K52" s="8">
        <f t="shared" si="22"/>
        <v>0.88905589964231402</v>
      </c>
      <c r="L52" s="8">
        <f t="shared" si="23"/>
        <v>0.93656405562164891</v>
      </c>
      <c r="M52" s="8">
        <f t="shared" ref="M52:M58" si="24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8"/>
        <v>19.2</v>
      </c>
      <c r="D53" s="7">
        <v>1</v>
      </c>
      <c r="E53" s="11">
        <f t="shared" si="17"/>
        <v>0.94927399178500271</v>
      </c>
      <c r="G53">
        <v>11</v>
      </c>
      <c r="H53" s="8">
        <f t="shared" si="19"/>
        <v>0.76852662437503461</v>
      </c>
      <c r="I53" s="8">
        <f t="shared" si="20"/>
        <v>0.79322847809916286</v>
      </c>
      <c r="J53" s="8">
        <f t="shared" si="21"/>
        <v>0.82712914475928934</v>
      </c>
      <c r="K53" s="8">
        <f t="shared" si="22"/>
        <v>0.87237547386066094</v>
      </c>
      <c r="L53" s="8">
        <f t="shared" si="23"/>
        <v>0.91899228400881106</v>
      </c>
      <c r="M53" s="8">
        <f t="shared" si="24"/>
        <v>0.95557846827814397</v>
      </c>
      <c r="N53" s="8">
        <f t="shared" ref="N53:N58" si="25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8"/>
        <v>16.7</v>
      </c>
      <c r="D54" s="7">
        <v>1</v>
      </c>
      <c r="E54" s="11">
        <f t="shared" si="17"/>
        <v>0.96171305080235059</v>
      </c>
      <c r="G54">
        <v>12</v>
      </c>
      <c r="H54" s="8">
        <f t="shared" si="19"/>
        <v>0.75800575556149696</v>
      </c>
      <c r="I54" s="8">
        <f t="shared" si="20"/>
        <v>0.78236944928668684</v>
      </c>
      <c r="J54" s="8">
        <f t="shared" si="21"/>
        <v>0.81580602731889795</v>
      </c>
      <c r="K54" s="8">
        <f t="shared" si="22"/>
        <v>0.86043294952183347</v>
      </c>
      <c r="L54" s="8">
        <f t="shared" si="23"/>
        <v>0.90641159135086635</v>
      </c>
      <c r="M54" s="8">
        <f t="shared" si="24"/>
        <v>0.9424969231671062</v>
      </c>
      <c r="N54" s="8">
        <f t="shared" si="25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8"/>
        <v>13.4</v>
      </c>
      <c r="D55" s="7">
        <v>1</v>
      </c>
      <c r="E55" s="11">
        <f t="shared" si="17"/>
        <v>0.97384979317924403</v>
      </c>
      <c r="G55">
        <v>1</v>
      </c>
      <c r="H55" s="8">
        <f t="shared" si="19"/>
        <v>0.74836590278694137</v>
      </c>
      <c r="I55" s="8">
        <f t="shared" si="20"/>
        <v>0.77241975398279417</v>
      </c>
      <c r="J55" s="8">
        <f t="shared" si="21"/>
        <v>0.80543110610194257</v>
      </c>
      <c r="K55" s="8">
        <f t="shared" si="22"/>
        <v>0.84949049045089542</v>
      </c>
      <c r="L55" s="8">
        <f t="shared" si="23"/>
        <v>0.89488440408392989</v>
      </c>
      <c r="M55" s="8">
        <f t="shared" si="24"/>
        <v>0.93051082475935409</v>
      </c>
      <c r="N55" s="8">
        <f t="shared" si="25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8"/>
        <v>10.6</v>
      </c>
      <c r="D56" s="7">
        <v>1</v>
      </c>
      <c r="E56" s="11">
        <f t="shared" si="17"/>
        <v>0.98123804612469934</v>
      </c>
      <c r="G56">
        <v>2</v>
      </c>
      <c r="H56" s="8">
        <f t="shared" si="19"/>
        <v>0.73908023396825551</v>
      </c>
      <c r="I56" s="8">
        <f t="shared" si="20"/>
        <v>0.76283562675601291</v>
      </c>
      <c r="J56" s="8">
        <f t="shared" si="21"/>
        <v>0.7954373764575553</v>
      </c>
      <c r="K56" s="8">
        <f t="shared" si="22"/>
        <v>0.83895007522142739</v>
      </c>
      <c r="L56" s="8">
        <f t="shared" si="23"/>
        <v>0.88378074452864386</v>
      </c>
      <c r="M56" s="8">
        <f t="shared" si="24"/>
        <v>0.91896511520906543</v>
      </c>
      <c r="N56" s="8">
        <f t="shared" si="25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8"/>
        <v>8</v>
      </c>
      <c r="D57" s="7">
        <v>1</v>
      </c>
      <c r="E57" s="11">
        <f t="shared" si="17"/>
        <v>0.98631033918689126</v>
      </c>
      <c r="G57">
        <v>3</v>
      </c>
      <c r="H57" s="8">
        <f t="shared" si="19"/>
        <v>0.72819276200238514</v>
      </c>
      <c r="I57" s="8">
        <f t="shared" si="20"/>
        <v>0.75159821149423511</v>
      </c>
      <c r="J57" s="8">
        <f t="shared" si="21"/>
        <v>0.78371970124618029</v>
      </c>
      <c r="K57" s="8">
        <f t="shared" si="22"/>
        <v>0.82659140967344524</v>
      </c>
      <c r="L57" s="8">
        <f t="shared" si="23"/>
        <v>0.87076167347546651</v>
      </c>
      <c r="M57" s="8">
        <f t="shared" si="24"/>
        <v>0.90542773933346976</v>
      </c>
      <c r="N57" s="8">
        <f t="shared" si="25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9"/>
        <v>0.71223798391854209</v>
      </c>
      <c r="I58" s="8">
        <f t="shared" si="20"/>
        <v>0.73513061761204745</v>
      </c>
      <c r="J58" s="8">
        <f t="shared" si="21"/>
        <v>0.76654832222981262</v>
      </c>
      <c r="K58" s="8">
        <f t="shared" si="22"/>
        <v>0.80848070712940157</v>
      </c>
      <c r="L58" s="8">
        <f t="shared" si="23"/>
        <v>0.85168319592233288</v>
      </c>
      <c r="M58" s="8">
        <f t="shared" si="24"/>
        <v>0.88558972472275344</v>
      </c>
      <c r="N58" s="8">
        <f t="shared" si="25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G59" s="12" t="s">
        <v>185</v>
      </c>
      <c r="H59" s="13">
        <f>1-MIN(H46:H58)</f>
        <v>0.28776201608145791</v>
      </c>
      <c r="I59" s="13">
        <f t="shared" ref="I59:S59" si="26">1-MIN(I46:I58)</f>
        <v>0.26486938238795255</v>
      </c>
      <c r="J59" s="13">
        <f t="shared" si="26"/>
        <v>0.23345167777018738</v>
      </c>
      <c r="K59" s="13">
        <f t="shared" si="26"/>
        <v>0.19151929287059843</v>
      </c>
      <c r="L59" s="13">
        <f t="shared" si="26"/>
        <v>0.14831680407766712</v>
      </c>
      <c r="M59" s="13">
        <f t="shared" si="26"/>
        <v>0.11441027527724656</v>
      </c>
      <c r="N59" s="13">
        <f t="shared" si="26"/>
        <v>9.0630063357466595E-2</v>
      </c>
      <c r="O59" s="13">
        <f t="shared" si="26"/>
        <v>7.3242277718441384E-2</v>
      </c>
      <c r="P59" s="13">
        <f t="shared" si="26"/>
        <v>6.0379187502411669E-2</v>
      </c>
      <c r="Q59" s="13">
        <f t="shared" si="26"/>
        <v>4.8275741497384672E-2</v>
      </c>
      <c r="R59" s="13">
        <f t="shared" si="26"/>
        <v>3.6318452065200679E-2</v>
      </c>
      <c r="S59" s="13">
        <f t="shared" si="26"/>
        <v>2.1910102539292708E-2</v>
      </c>
      <c r="T59" s="8">
        <f>+AVERAGE((H59:S59))</f>
        <v>0.13092377276210895</v>
      </c>
    </row>
    <row r="60" spans="1:20" x14ac:dyDescent="0.25">
      <c r="G60" s="14" t="s">
        <v>193</v>
      </c>
      <c r="H60" s="15">
        <f t="shared" ref="H60:S60" si="27">+H59/VS_tot_CH4_afg</f>
        <v>1.7265720964887474E-2</v>
      </c>
      <c r="I60" s="15">
        <f t="shared" si="27"/>
        <v>1.5892162943277152E-2</v>
      </c>
      <c r="J60" s="15">
        <f t="shared" si="27"/>
        <v>1.4007100666211242E-2</v>
      </c>
      <c r="K60" s="15">
        <f t="shared" si="27"/>
        <v>1.1491157572235905E-2</v>
      </c>
      <c r="L60" s="15">
        <f t="shared" si="27"/>
        <v>8.8990082446600265E-3</v>
      </c>
      <c r="M60" s="15">
        <f t="shared" si="27"/>
        <v>6.8646165166347936E-3</v>
      </c>
      <c r="N60" s="15">
        <f t="shared" si="27"/>
        <v>5.4378038014479954E-3</v>
      </c>
      <c r="O60" s="15">
        <f t="shared" si="27"/>
        <v>4.394536663106483E-3</v>
      </c>
      <c r="P60" s="15">
        <f t="shared" si="27"/>
        <v>3.6227512501446997E-3</v>
      </c>
      <c r="Q60" s="15">
        <f t="shared" si="27"/>
        <v>2.8965444898430802E-3</v>
      </c>
      <c r="R60" s="15">
        <f t="shared" si="27"/>
        <v>2.1791071239120408E-3</v>
      </c>
      <c r="S60" s="15">
        <f t="shared" si="27"/>
        <v>1.3146061523575624E-3</v>
      </c>
      <c r="T60" s="15">
        <f>+AVERAGE((H60:S60))</f>
        <v>7.8554263657265398E-3</v>
      </c>
    </row>
    <row r="62" spans="1:20" x14ac:dyDescent="0.25">
      <c r="B62" t="s">
        <v>194</v>
      </c>
      <c r="C62" t="s">
        <v>195</v>
      </c>
      <c r="D62" t="s">
        <v>196</v>
      </c>
      <c r="E62" t="s">
        <v>197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8">+B64+273.16</f>
        <v>292.16000000000003</v>
      </c>
      <c r="D64">
        <f t="shared" ref="D64:D73" si="29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8"/>
        <v>291.16000000000003</v>
      </c>
      <c r="D65">
        <f t="shared" si="29"/>
        <v>1.0006106220989261E-3</v>
      </c>
      <c r="E65" s="18">
        <f t="shared" ref="E65:E73" si="30">1-D65/D64</f>
        <v>0.10826474689105581</v>
      </c>
      <c r="F65" s="18">
        <f t="shared" ref="F65:F73" si="31">+D65/$D$63</f>
        <v>0.79581362997415384</v>
      </c>
    </row>
    <row r="66" spans="2:6" x14ac:dyDescent="0.25">
      <c r="B66">
        <v>17</v>
      </c>
      <c r="C66">
        <f t="shared" si="28"/>
        <v>290.16000000000003</v>
      </c>
      <c r="D66">
        <f t="shared" si="29"/>
        <v>8.915753109128053E-4</v>
      </c>
      <c r="E66" s="18">
        <f t="shared" si="30"/>
        <v>0.10896877244557268</v>
      </c>
      <c r="F66" s="18">
        <f t="shared" si="31"/>
        <v>0.70909479562041511</v>
      </c>
    </row>
    <row r="67" spans="2:6" x14ac:dyDescent="0.25">
      <c r="B67">
        <v>16</v>
      </c>
      <c r="C67">
        <f t="shared" si="28"/>
        <v>289.16000000000003</v>
      </c>
      <c r="D67">
        <f t="shared" si="29"/>
        <v>7.9378774301120227E-4</v>
      </c>
      <c r="E67" s="18">
        <f t="shared" si="30"/>
        <v>0.1096795376730284</v>
      </c>
      <c r="F67" s="18">
        <f t="shared" si="31"/>
        <v>0.63132160627041745</v>
      </c>
    </row>
    <row r="68" spans="2:6" x14ac:dyDescent="0.25">
      <c r="B68">
        <v>15</v>
      </c>
      <c r="C68">
        <f t="shared" si="28"/>
        <v>288.16000000000003</v>
      </c>
      <c r="D68">
        <f t="shared" si="29"/>
        <v>7.0615585693994823E-4</v>
      </c>
      <c r="E68" s="18">
        <f t="shared" si="30"/>
        <v>0.11039712674174829</v>
      </c>
      <c r="F68" s="18">
        <f t="shared" si="31"/>
        <v>0.56162551488817802</v>
      </c>
    </row>
    <row r="69" spans="2:6" x14ac:dyDescent="0.25">
      <c r="B69">
        <v>14</v>
      </c>
      <c r="C69">
        <f t="shared" si="28"/>
        <v>287.16000000000003</v>
      </c>
      <c r="D69">
        <f t="shared" si="29"/>
        <v>6.2768667054331751E-4</v>
      </c>
      <c r="E69" s="18">
        <f t="shared" si="30"/>
        <v>0.11112162509940604</v>
      </c>
      <c r="F69" s="18">
        <f t="shared" si="31"/>
        <v>0.49921677497651307</v>
      </c>
    </row>
    <row r="70" spans="2:6" x14ac:dyDescent="0.25">
      <c r="B70">
        <v>13</v>
      </c>
      <c r="C70">
        <f t="shared" si="28"/>
        <v>286.16000000000003</v>
      </c>
      <c r="D70">
        <f t="shared" si="29"/>
        <v>5.5747795837728358E-4</v>
      </c>
      <c r="E70" s="18">
        <f t="shared" si="30"/>
        <v>0.11185311949553134</v>
      </c>
      <c r="F70" s="18">
        <f t="shared" si="31"/>
        <v>0.44337782139089132</v>
      </c>
    </row>
    <row r="71" spans="2:6" x14ac:dyDescent="0.25">
      <c r="B71">
        <v>12</v>
      </c>
      <c r="C71">
        <f t="shared" si="28"/>
        <v>285.16000000000003</v>
      </c>
      <c r="D71">
        <f t="shared" si="29"/>
        <v>4.9471056844348346E-4</v>
      </c>
      <c r="E71" s="18">
        <f t="shared" si="30"/>
        <v>0.1125916980045355</v>
      </c>
      <c r="F71" s="18">
        <f t="shared" si="31"/>
        <v>0.3934571596229392</v>
      </c>
    </row>
    <row r="72" spans="2:6" x14ac:dyDescent="0.25">
      <c r="B72">
        <v>11</v>
      </c>
      <c r="C72">
        <f t="shared" si="28"/>
        <v>284.16000000000003</v>
      </c>
      <c r="D72">
        <f t="shared" si="29"/>
        <v>4.3864133410375289E-4</v>
      </c>
      <c r="E72" s="18">
        <f t="shared" si="30"/>
        <v>0.11333745004911089</v>
      </c>
      <c r="F72" s="18">
        <f t="shared" si="31"/>
        <v>0.3488637284477093</v>
      </c>
    </row>
    <row r="73" spans="2:6" x14ac:dyDescent="0.25">
      <c r="B73">
        <v>10</v>
      </c>
      <c r="C73">
        <f t="shared" si="28"/>
        <v>283.16000000000003</v>
      </c>
      <c r="D73">
        <f t="shared" si="29"/>
        <v>3.8859653970294949E-4</v>
      </c>
      <c r="E73" s="18">
        <f t="shared" si="30"/>
        <v>0.11409046642413823</v>
      </c>
      <c r="F73" s="18">
        <f t="shared" si="31"/>
        <v>0.30906170295064628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8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1" sqref="C21"/>
    </sheetView>
  </sheetViews>
  <sheetFormatPr defaultRowHeight="15" x14ac:dyDescent="0.25"/>
  <cols>
    <col min="1" max="1" width="45.5703125" customWidth="1"/>
    <col min="2" max="2" width="45.5703125" hidden="1" customWidth="1"/>
    <col min="3" max="11" width="12.5703125" bestFit="1" customWidth="1"/>
    <col min="12" max="24" width="13.7109375" bestFit="1" customWidth="1"/>
    <col min="25" max="28" width="14.85546875" bestFit="1" customWidth="1"/>
    <col min="29" max="30" width="16" bestFit="1" customWidth="1"/>
  </cols>
  <sheetData>
    <row r="1" spans="1:30" x14ac:dyDescent="0.25">
      <c r="A1" s="24" t="s">
        <v>0</v>
      </c>
      <c r="B1" s="24" t="s">
        <v>1</v>
      </c>
      <c r="C1" s="25" t="s">
        <v>2</v>
      </c>
      <c r="D1" s="26" t="s">
        <v>2</v>
      </c>
      <c r="E1" s="26" t="s">
        <v>2</v>
      </c>
      <c r="F1" s="26" t="s">
        <v>2</v>
      </c>
      <c r="G1" s="26" t="s">
        <v>2</v>
      </c>
      <c r="H1" s="26" t="s">
        <v>2</v>
      </c>
      <c r="I1" s="26" t="s">
        <v>2</v>
      </c>
      <c r="J1" s="26" t="s">
        <v>2</v>
      </c>
      <c r="K1" s="26" t="s">
        <v>2</v>
      </c>
      <c r="L1" s="26" t="s">
        <v>3</v>
      </c>
      <c r="M1" s="26" t="s">
        <v>3</v>
      </c>
      <c r="N1" s="26" t="s">
        <v>3</v>
      </c>
      <c r="O1" s="26" t="s">
        <v>3</v>
      </c>
      <c r="P1" s="26" t="s">
        <v>3</v>
      </c>
      <c r="Q1" s="26" t="s">
        <v>3</v>
      </c>
      <c r="R1" s="26" t="s">
        <v>3</v>
      </c>
      <c r="S1" s="26" t="s">
        <v>3</v>
      </c>
      <c r="T1" s="26" t="s">
        <v>3</v>
      </c>
      <c r="U1" s="26" t="s">
        <v>4</v>
      </c>
      <c r="V1" s="26" t="s">
        <v>4</v>
      </c>
      <c r="W1" s="26" t="s">
        <v>4</v>
      </c>
      <c r="X1" s="26" t="s">
        <v>4</v>
      </c>
      <c r="Y1" s="26" t="s">
        <v>4</v>
      </c>
      <c r="Z1" s="26" t="s">
        <v>4</v>
      </c>
      <c r="AA1" s="26" t="s">
        <v>4</v>
      </c>
      <c r="AB1" s="26" t="s">
        <v>4</v>
      </c>
      <c r="AC1" s="26" t="s">
        <v>161</v>
      </c>
      <c r="AD1" s="26" t="s">
        <v>161</v>
      </c>
    </row>
    <row r="2" spans="1:30" ht="60" x14ac:dyDescent="0.25">
      <c r="A2" s="24" t="s">
        <v>5</v>
      </c>
      <c r="B2" s="24" t="s">
        <v>6</v>
      </c>
      <c r="C2" s="27" t="s">
        <v>7</v>
      </c>
      <c r="D2" s="28" t="s">
        <v>7</v>
      </c>
      <c r="E2" s="28" t="s">
        <v>7</v>
      </c>
      <c r="F2" s="28" t="s">
        <v>8</v>
      </c>
      <c r="G2" s="28" t="s">
        <v>8</v>
      </c>
      <c r="H2" s="28" t="s">
        <v>8</v>
      </c>
      <c r="I2" s="28" t="s">
        <v>9</v>
      </c>
      <c r="J2" s="28" t="s">
        <v>9</v>
      </c>
      <c r="K2" s="28" t="s">
        <v>9</v>
      </c>
      <c r="L2" s="28" t="s">
        <v>10</v>
      </c>
      <c r="M2" s="28" t="s">
        <v>10</v>
      </c>
      <c r="N2" s="28" t="s">
        <v>10</v>
      </c>
      <c r="O2" s="28" t="s">
        <v>10</v>
      </c>
      <c r="P2" s="28" t="s">
        <v>11</v>
      </c>
      <c r="Q2" s="28" t="s">
        <v>11</v>
      </c>
      <c r="R2" s="28" t="s">
        <v>11</v>
      </c>
      <c r="S2" s="28" t="s">
        <v>12</v>
      </c>
      <c r="T2" s="28" t="s">
        <v>12</v>
      </c>
      <c r="U2" s="28" t="s">
        <v>13</v>
      </c>
      <c r="V2" s="28" t="s">
        <v>13</v>
      </c>
      <c r="W2" s="28" t="s">
        <v>14</v>
      </c>
      <c r="X2" s="28" t="s">
        <v>14</v>
      </c>
      <c r="Y2" s="28" t="s">
        <v>15</v>
      </c>
      <c r="Z2" s="28" t="s">
        <v>15</v>
      </c>
      <c r="AA2" s="28" t="s">
        <v>15</v>
      </c>
      <c r="AB2" s="28" t="s">
        <v>15</v>
      </c>
      <c r="AC2" s="28" t="s">
        <v>198</v>
      </c>
      <c r="AD2" s="28" t="s">
        <v>199</v>
      </c>
    </row>
    <row r="3" spans="1:30" x14ac:dyDescent="0.25">
      <c r="A3" s="24" t="s">
        <v>16</v>
      </c>
      <c r="B3" s="24" t="s">
        <v>17</v>
      </c>
      <c r="C3" s="29">
        <v>48</v>
      </c>
      <c r="D3" s="30">
        <v>14</v>
      </c>
      <c r="E3" s="30">
        <v>7</v>
      </c>
      <c r="F3" s="30">
        <v>36</v>
      </c>
      <c r="G3" s="30">
        <v>14</v>
      </c>
      <c r="H3" s="30">
        <v>7</v>
      </c>
      <c r="I3" s="30">
        <v>24</v>
      </c>
      <c r="J3" s="30">
        <v>14</v>
      </c>
      <c r="K3" s="30">
        <v>7</v>
      </c>
      <c r="L3" s="30">
        <v>29</v>
      </c>
      <c r="M3" s="30">
        <v>14</v>
      </c>
      <c r="N3" s="30">
        <v>7</v>
      </c>
      <c r="O3" s="30">
        <v>1</v>
      </c>
      <c r="P3" s="30">
        <v>22</v>
      </c>
      <c r="Q3" s="30">
        <v>14</v>
      </c>
      <c r="R3" s="30">
        <v>7</v>
      </c>
      <c r="S3" s="30">
        <v>17</v>
      </c>
      <c r="T3" s="30">
        <v>7</v>
      </c>
      <c r="U3" s="30">
        <v>41</v>
      </c>
      <c r="V3" s="30">
        <v>14</v>
      </c>
      <c r="W3" s="30">
        <v>41</v>
      </c>
      <c r="X3" s="30">
        <v>14</v>
      </c>
      <c r="Y3" s="30">
        <v>30</v>
      </c>
      <c r="Z3" s="30">
        <v>14</v>
      </c>
      <c r="AA3" s="30">
        <v>7</v>
      </c>
      <c r="AB3" s="30">
        <v>1</v>
      </c>
      <c r="AC3" s="30">
        <v>28</v>
      </c>
      <c r="AD3" s="30">
        <v>1</v>
      </c>
    </row>
    <row r="4" spans="1:30" x14ac:dyDescent="0.25">
      <c r="A4" s="24" t="s">
        <v>18</v>
      </c>
      <c r="B4" s="24" t="s">
        <v>19</v>
      </c>
      <c r="C4" s="29">
        <v>2</v>
      </c>
      <c r="D4" s="30">
        <v>2</v>
      </c>
      <c r="E4" s="30">
        <v>2</v>
      </c>
      <c r="F4" s="30">
        <v>2</v>
      </c>
      <c r="G4" s="30">
        <v>2</v>
      </c>
      <c r="H4" s="30">
        <v>2</v>
      </c>
      <c r="I4" s="30">
        <v>2</v>
      </c>
      <c r="J4" s="30">
        <v>2</v>
      </c>
      <c r="K4" s="30">
        <v>2</v>
      </c>
      <c r="L4" s="30">
        <v>2</v>
      </c>
      <c r="M4" s="30">
        <v>2</v>
      </c>
      <c r="N4" s="30">
        <v>2</v>
      </c>
      <c r="O4" s="30">
        <v>2</v>
      </c>
      <c r="P4" s="30">
        <v>2</v>
      </c>
      <c r="Q4" s="30">
        <v>2</v>
      </c>
      <c r="R4" s="30">
        <v>2</v>
      </c>
      <c r="S4" s="30">
        <v>2</v>
      </c>
      <c r="T4" s="30">
        <v>2</v>
      </c>
      <c r="U4" s="30">
        <v>2</v>
      </c>
      <c r="V4" s="30">
        <v>2</v>
      </c>
      <c r="W4" s="30">
        <v>2</v>
      </c>
      <c r="X4" s="30">
        <v>2</v>
      </c>
      <c r="Y4" s="30">
        <v>2</v>
      </c>
      <c r="Z4" s="30">
        <v>2</v>
      </c>
      <c r="AA4" s="30">
        <v>2</v>
      </c>
      <c r="AB4" s="30">
        <v>2</v>
      </c>
      <c r="AC4" s="30">
        <v>1</v>
      </c>
      <c r="AD4" s="30">
        <v>1</v>
      </c>
    </row>
    <row r="5" spans="1:30" x14ac:dyDescent="0.25">
      <c r="A5" s="24" t="s">
        <v>20</v>
      </c>
      <c r="B5" s="24" t="s">
        <v>21</v>
      </c>
      <c r="C5" s="29">
        <v>35</v>
      </c>
      <c r="D5" s="30">
        <v>35</v>
      </c>
      <c r="E5" s="30">
        <v>35</v>
      </c>
      <c r="F5" s="30">
        <v>35</v>
      </c>
      <c r="G5" s="30">
        <v>35</v>
      </c>
      <c r="H5" s="30">
        <v>35</v>
      </c>
      <c r="I5" s="30">
        <v>35</v>
      </c>
      <c r="J5" s="30">
        <v>35</v>
      </c>
      <c r="K5" s="30">
        <v>35</v>
      </c>
      <c r="L5" s="30">
        <v>35</v>
      </c>
      <c r="M5" s="30">
        <v>35</v>
      </c>
      <c r="N5" s="30">
        <v>35</v>
      </c>
      <c r="O5" s="30">
        <v>35</v>
      </c>
      <c r="P5" s="30">
        <v>35</v>
      </c>
      <c r="Q5" s="30">
        <v>35</v>
      </c>
      <c r="R5" s="30">
        <v>35</v>
      </c>
      <c r="S5" s="30">
        <v>35</v>
      </c>
      <c r="T5" s="30">
        <v>35</v>
      </c>
      <c r="U5" s="30">
        <v>35</v>
      </c>
      <c r="V5" s="30">
        <v>35</v>
      </c>
      <c r="W5" s="30">
        <v>35</v>
      </c>
      <c r="X5" s="30">
        <v>35</v>
      </c>
      <c r="Y5" s="30">
        <v>35</v>
      </c>
      <c r="Z5" s="30">
        <v>35</v>
      </c>
      <c r="AA5" s="30">
        <v>35</v>
      </c>
      <c r="AB5" s="30">
        <v>35</v>
      </c>
      <c r="AC5" s="30">
        <v>80</v>
      </c>
      <c r="AD5" s="30">
        <v>1</v>
      </c>
    </row>
    <row r="6" spans="1:30" x14ac:dyDescent="0.25">
      <c r="A6" s="24" t="s">
        <v>22</v>
      </c>
      <c r="B6" s="24" t="s">
        <v>23</v>
      </c>
      <c r="C6" s="29">
        <v>3</v>
      </c>
      <c r="D6" s="30">
        <v>3</v>
      </c>
      <c r="E6" s="30">
        <v>3</v>
      </c>
      <c r="F6" s="30">
        <v>3</v>
      </c>
      <c r="G6" s="30">
        <v>3</v>
      </c>
      <c r="H6" s="30">
        <v>3</v>
      </c>
      <c r="I6" s="30">
        <v>3</v>
      </c>
      <c r="J6" s="30">
        <v>3</v>
      </c>
      <c r="K6" s="30">
        <v>3</v>
      </c>
      <c r="L6" s="30">
        <v>3</v>
      </c>
      <c r="M6" s="30">
        <v>3</v>
      </c>
      <c r="N6" s="30">
        <v>3</v>
      </c>
      <c r="O6" s="30">
        <v>1</v>
      </c>
      <c r="P6" s="30">
        <v>3</v>
      </c>
      <c r="Q6" s="30">
        <v>3</v>
      </c>
      <c r="R6" s="30">
        <v>3</v>
      </c>
      <c r="S6" s="30">
        <v>3</v>
      </c>
      <c r="T6" s="30">
        <v>3</v>
      </c>
      <c r="U6" s="30">
        <v>3</v>
      </c>
      <c r="V6" s="30">
        <v>3</v>
      </c>
      <c r="W6" s="30">
        <v>3</v>
      </c>
      <c r="X6" s="30">
        <v>3</v>
      </c>
      <c r="Y6" s="30">
        <v>3</v>
      </c>
      <c r="Z6" s="30">
        <v>3</v>
      </c>
      <c r="AA6" s="30">
        <v>3</v>
      </c>
      <c r="AB6" s="30">
        <v>1</v>
      </c>
      <c r="AC6" s="30">
        <v>40</v>
      </c>
      <c r="AD6" s="30">
        <v>1</v>
      </c>
    </row>
    <row r="7" spans="1:30" x14ac:dyDescent="0.25">
      <c r="A7" s="24" t="s">
        <v>24</v>
      </c>
      <c r="B7" s="24"/>
      <c r="C7" s="56">
        <f t="shared" ref="C7:AD7" si="0">+C3*C9+C6</f>
        <v>34.983266262626266</v>
      </c>
      <c r="D7" s="57">
        <f t="shared" si="0"/>
        <v>12.328452659932662</v>
      </c>
      <c r="E7" s="57">
        <f t="shared" si="0"/>
        <v>7.6642263299663309</v>
      </c>
      <c r="F7" s="57">
        <f t="shared" si="0"/>
        <v>35.279562558922564</v>
      </c>
      <c r="G7" s="57">
        <f t="shared" si="0"/>
        <v>15.553163217358776</v>
      </c>
      <c r="H7" s="57">
        <f t="shared" si="0"/>
        <v>9.276581608679388</v>
      </c>
      <c r="I7" s="57">
        <f t="shared" si="0"/>
        <v>35.279562558922557</v>
      </c>
      <c r="J7" s="57">
        <f t="shared" si="0"/>
        <v>21.829744826038159</v>
      </c>
      <c r="K7" s="57">
        <f t="shared" si="0"/>
        <v>12.414872413019079</v>
      </c>
      <c r="L7" s="57">
        <f t="shared" si="0"/>
        <v>34.649528740490268</v>
      </c>
      <c r="M7" s="57">
        <f t="shared" si="0"/>
        <v>18.279082840236683</v>
      </c>
      <c r="N7" s="57">
        <f t="shared" si="0"/>
        <v>10.639541420118341</v>
      </c>
      <c r="O7" s="57">
        <f t="shared" si="0"/>
        <v>2.091363060016906</v>
      </c>
      <c r="P7" s="57">
        <f t="shared" si="0"/>
        <v>35.013316427162579</v>
      </c>
      <c r="Q7" s="57">
        <f t="shared" si="0"/>
        <v>23.372110453648911</v>
      </c>
      <c r="R7" s="57">
        <f t="shared" si="0"/>
        <v>13.186055226824456</v>
      </c>
      <c r="S7" s="57">
        <f t="shared" si="0"/>
        <v>40.106344040574804</v>
      </c>
      <c r="T7" s="57">
        <f t="shared" si="0"/>
        <v>18.279082840236683</v>
      </c>
      <c r="U7" s="57">
        <f t="shared" si="0"/>
        <v>16.908630708920732</v>
      </c>
      <c r="V7" s="57">
        <f t="shared" si="0"/>
        <v>7.7492885347534219</v>
      </c>
      <c r="W7" s="57">
        <f t="shared" si="0"/>
        <v>30.817261417841468</v>
      </c>
      <c r="X7" s="57">
        <f t="shared" si="0"/>
        <v>12.498577069506844</v>
      </c>
      <c r="Y7" s="57">
        <f t="shared" si="0"/>
        <v>35.205942997125291</v>
      </c>
      <c r="Z7" s="57">
        <f t="shared" si="0"/>
        <v>18.029440065325133</v>
      </c>
      <c r="AA7" s="57">
        <f t="shared" si="0"/>
        <v>10.514720032662566</v>
      </c>
      <c r="AB7" s="57">
        <f t="shared" si="0"/>
        <v>2.0735314332375099</v>
      </c>
      <c r="AC7" s="57">
        <f t="shared" si="0"/>
        <v>79.909154178703432</v>
      </c>
      <c r="AD7" s="57">
        <f t="shared" si="0"/>
        <v>2.4253269349536941</v>
      </c>
    </row>
    <row r="8" spans="1:30" x14ac:dyDescent="0.25">
      <c r="A8" s="24" t="s">
        <v>25</v>
      </c>
      <c r="B8" s="24"/>
      <c r="C8" s="56">
        <f t="shared" ref="C8:AD8" si="1">0.5*(C7-C6)+C6</f>
        <v>18.991633131313133</v>
      </c>
      <c r="D8" s="57">
        <f t="shared" si="1"/>
        <v>7.6642263299663309</v>
      </c>
      <c r="E8" s="57">
        <f t="shared" si="1"/>
        <v>5.3321131649831655</v>
      </c>
      <c r="F8" s="57">
        <f t="shared" si="1"/>
        <v>19.139781279461282</v>
      </c>
      <c r="G8" s="57">
        <f t="shared" si="1"/>
        <v>9.276581608679388</v>
      </c>
      <c r="H8" s="57">
        <f t="shared" si="1"/>
        <v>6.138290804339694</v>
      </c>
      <c r="I8" s="57">
        <f t="shared" si="1"/>
        <v>19.139781279461278</v>
      </c>
      <c r="J8" s="57">
        <f t="shared" si="1"/>
        <v>12.414872413019079</v>
      </c>
      <c r="K8" s="57">
        <f t="shared" si="1"/>
        <v>7.7074362065095396</v>
      </c>
      <c r="L8" s="57">
        <f t="shared" si="1"/>
        <v>18.824764370245134</v>
      </c>
      <c r="M8" s="57">
        <f t="shared" si="1"/>
        <v>10.639541420118341</v>
      </c>
      <c r="N8" s="57">
        <f t="shared" si="1"/>
        <v>6.8197707100591707</v>
      </c>
      <c r="O8" s="57">
        <f t="shared" si="1"/>
        <v>1.545681530008453</v>
      </c>
      <c r="P8" s="57">
        <f t="shared" si="1"/>
        <v>19.006658213581289</v>
      </c>
      <c r="Q8" s="57">
        <f t="shared" si="1"/>
        <v>13.186055226824456</v>
      </c>
      <c r="R8" s="57">
        <f t="shared" si="1"/>
        <v>8.0930276134122288</v>
      </c>
      <c r="S8" s="57">
        <f t="shared" si="1"/>
        <v>21.553172020287402</v>
      </c>
      <c r="T8" s="57">
        <f t="shared" si="1"/>
        <v>10.639541420118341</v>
      </c>
      <c r="U8" s="57">
        <f t="shared" si="1"/>
        <v>9.9543153544603662</v>
      </c>
      <c r="V8" s="57">
        <f t="shared" si="1"/>
        <v>5.374644267376711</v>
      </c>
      <c r="W8" s="57">
        <f t="shared" si="1"/>
        <v>16.908630708920732</v>
      </c>
      <c r="X8" s="57">
        <f t="shared" si="1"/>
        <v>7.7492885347534219</v>
      </c>
      <c r="Y8" s="57">
        <f t="shared" si="1"/>
        <v>19.102971498562646</v>
      </c>
      <c r="Z8" s="57">
        <f t="shared" si="1"/>
        <v>10.514720032662566</v>
      </c>
      <c r="AA8" s="57">
        <f t="shared" si="1"/>
        <v>6.7573600163312832</v>
      </c>
      <c r="AB8" s="57">
        <f t="shared" si="1"/>
        <v>1.5367657166187549</v>
      </c>
      <c r="AC8" s="57">
        <f t="shared" si="1"/>
        <v>59.954577089351716</v>
      </c>
      <c r="AD8" s="57">
        <f t="shared" si="1"/>
        <v>1.7126634674768471</v>
      </c>
    </row>
    <row r="9" spans="1:30" x14ac:dyDescent="0.25">
      <c r="A9" s="24" t="s">
        <v>26</v>
      </c>
      <c r="B9" s="24"/>
      <c r="C9" s="56">
        <f t="shared" ref="C9:AD9" si="2">+C62</f>
        <v>0.66631804713804721</v>
      </c>
      <c r="D9" s="57">
        <f t="shared" si="2"/>
        <v>0.66631804713804721</v>
      </c>
      <c r="E9" s="57">
        <f t="shared" si="2"/>
        <v>0.66631804713804721</v>
      </c>
      <c r="F9" s="57">
        <f t="shared" si="2"/>
        <v>0.89665451552562681</v>
      </c>
      <c r="G9" s="57">
        <f t="shared" si="2"/>
        <v>0.89665451552562681</v>
      </c>
      <c r="H9" s="57">
        <f>+H62</f>
        <v>0.89665451552562681</v>
      </c>
      <c r="I9" s="57">
        <f t="shared" ref="I9:J9" si="3">+I62</f>
        <v>1.3449817732884399</v>
      </c>
      <c r="J9" s="57">
        <f t="shared" si="3"/>
        <v>1.3449817732884399</v>
      </c>
      <c r="K9" s="57">
        <f t="shared" si="2"/>
        <v>1.3449817732884399</v>
      </c>
      <c r="L9" s="57">
        <f t="shared" si="2"/>
        <v>1.091363060016906</v>
      </c>
      <c r="M9" s="57">
        <f t="shared" si="2"/>
        <v>1.091363060016906</v>
      </c>
      <c r="N9" s="57">
        <f t="shared" si="2"/>
        <v>1.091363060016906</v>
      </c>
      <c r="O9" s="57">
        <f t="shared" si="2"/>
        <v>1.091363060016906</v>
      </c>
      <c r="P9" s="57">
        <f t="shared" si="2"/>
        <v>1.455150746689208</v>
      </c>
      <c r="Q9" s="57">
        <f t="shared" si="2"/>
        <v>1.455150746689208</v>
      </c>
      <c r="R9" s="57">
        <f t="shared" si="2"/>
        <v>1.455150746689208</v>
      </c>
      <c r="S9" s="57">
        <f t="shared" si="2"/>
        <v>2.1827261200338119</v>
      </c>
      <c r="T9" s="57">
        <f t="shared" si="2"/>
        <v>2.1827261200338119</v>
      </c>
      <c r="U9" s="57">
        <f t="shared" si="2"/>
        <v>0.33923489533953011</v>
      </c>
      <c r="V9" s="57">
        <f t="shared" si="2"/>
        <v>0.33923489533953011</v>
      </c>
      <c r="W9" s="57">
        <f t="shared" si="2"/>
        <v>0.67846979067906021</v>
      </c>
      <c r="X9" s="57">
        <f t="shared" si="2"/>
        <v>0.67846979067906021</v>
      </c>
      <c r="Y9" s="57">
        <f t="shared" si="2"/>
        <v>1.0735314332375097</v>
      </c>
      <c r="Z9" s="57">
        <f t="shared" si="2"/>
        <v>1.0735314332375097</v>
      </c>
      <c r="AA9" s="57">
        <f t="shared" si="2"/>
        <v>1.0735314332375097</v>
      </c>
      <c r="AB9" s="57">
        <f t="shared" si="2"/>
        <v>1.0735314332375097</v>
      </c>
      <c r="AC9" s="57">
        <f t="shared" si="2"/>
        <v>1.4253269349536941</v>
      </c>
      <c r="AD9" s="57">
        <f t="shared" si="2"/>
        <v>1.4253269349536941</v>
      </c>
    </row>
    <row r="10" spans="1:30" x14ac:dyDescent="0.25">
      <c r="A10" s="24" t="s">
        <v>27</v>
      </c>
      <c r="B10" s="24"/>
      <c r="C10" s="56">
        <f>+C8/C9</f>
        <v>28.502354413009712</v>
      </c>
      <c r="D10" s="57">
        <f>+D8/D9</f>
        <v>11.502354413009712</v>
      </c>
      <c r="E10" s="57">
        <f t="shared" ref="E10:AD10" si="4">+E8/E9</f>
        <v>8.0023544130097122</v>
      </c>
      <c r="F10" s="57">
        <f t="shared" si="4"/>
        <v>21.345770247129547</v>
      </c>
      <c r="G10" s="57">
        <f t="shared" si="4"/>
        <v>10.345770247129547</v>
      </c>
      <c r="H10" s="57">
        <f t="shared" si="4"/>
        <v>6.8457702471295461</v>
      </c>
      <c r="I10" s="57">
        <f t="shared" si="4"/>
        <v>14.230513498086363</v>
      </c>
      <c r="J10" s="57">
        <f t="shared" si="4"/>
        <v>9.2305134980863652</v>
      </c>
      <c r="K10" s="57">
        <f t="shared" si="4"/>
        <v>5.7305134980863643</v>
      </c>
      <c r="L10" s="57">
        <f t="shared" si="4"/>
        <v>17.248856095563216</v>
      </c>
      <c r="M10" s="57">
        <f t="shared" si="4"/>
        <v>9.7488560955632195</v>
      </c>
      <c r="N10" s="57">
        <f t="shared" si="4"/>
        <v>6.2488560955632195</v>
      </c>
      <c r="O10" s="57">
        <f t="shared" si="4"/>
        <v>1.4162853651877398</v>
      </c>
      <c r="P10" s="57">
        <f t="shared" si="4"/>
        <v>13.061642071672416</v>
      </c>
      <c r="Q10" s="57">
        <f t="shared" si="4"/>
        <v>9.0616420716724146</v>
      </c>
      <c r="R10" s="57">
        <f t="shared" si="4"/>
        <v>5.5616420716724155</v>
      </c>
      <c r="S10" s="57">
        <f t="shared" si="4"/>
        <v>9.8744280477816098</v>
      </c>
      <c r="T10" s="57">
        <f t="shared" si="4"/>
        <v>4.8744280477816098</v>
      </c>
      <c r="U10" s="57">
        <f t="shared" si="4"/>
        <v>29.343429851157818</v>
      </c>
      <c r="V10" s="57">
        <f t="shared" si="4"/>
        <v>15.843429851157822</v>
      </c>
      <c r="W10" s="57">
        <f t="shared" si="4"/>
        <v>24.921714925578907</v>
      </c>
      <c r="X10" s="57">
        <f t="shared" si="4"/>
        <v>11.421714925578911</v>
      </c>
      <c r="Y10" s="57">
        <f t="shared" si="4"/>
        <v>17.794515285828876</v>
      </c>
      <c r="Z10" s="57">
        <f t="shared" si="4"/>
        <v>9.7945152858288722</v>
      </c>
      <c r="AA10" s="57">
        <f t="shared" si="4"/>
        <v>6.2945152858288731</v>
      </c>
      <c r="AB10" s="57">
        <f t="shared" si="4"/>
        <v>1.4315050952762913</v>
      </c>
      <c r="AC10" s="57">
        <f t="shared" si="4"/>
        <v>42.063736830525492</v>
      </c>
      <c r="AD10" s="57">
        <f t="shared" si="4"/>
        <v>1.2015934207631374</v>
      </c>
    </row>
    <row r="11" spans="1:30" x14ac:dyDescent="0.25">
      <c r="A11" s="24" t="s">
        <v>200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spans="1:30" x14ac:dyDescent="0.25">
      <c r="A12" s="24" t="s">
        <v>201</v>
      </c>
      <c r="B12" s="24"/>
      <c r="C12" s="58">
        <f>+C76</f>
        <v>1.9001437527302842</v>
      </c>
      <c r="D12" s="59">
        <f>+D76</f>
        <v>0.87149230446829373</v>
      </c>
      <c r="E12" s="59">
        <f t="shared" ref="E12:Q12" si="5">+E76</f>
        <v>0.62296344510646384</v>
      </c>
      <c r="F12" s="59">
        <f t="shared" si="5"/>
        <v>1.486916218503022</v>
      </c>
      <c r="G12" s="59">
        <f t="shared" si="5"/>
        <v>0.78363025606975023</v>
      </c>
      <c r="H12" s="59">
        <f t="shared" si="5"/>
        <v>0.53281399943019514</v>
      </c>
      <c r="I12" s="59">
        <f t="shared" si="5"/>
        <v>1.0461579970013142</v>
      </c>
      <c r="J12" s="59">
        <f t="shared" si="5"/>
        <v>0.70521844803503031</v>
      </c>
      <c r="K12" s="59">
        <f t="shared" si="5"/>
        <v>0.44991652341803429</v>
      </c>
      <c r="L12" s="59">
        <f t="shared" si="5"/>
        <v>1.3880422384007161</v>
      </c>
      <c r="M12" s="59">
        <f t="shared" si="5"/>
        <v>0.83091520047946188</v>
      </c>
      <c r="N12" s="59">
        <f t="shared" si="5"/>
        <v>0.54730270373258783</v>
      </c>
      <c r="O12" s="59">
        <f t="shared" si="5"/>
        <v>0.12885096521657133</v>
      </c>
      <c r="P12" s="59">
        <f t="shared" si="5"/>
        <v>1.0852063114701203</v>
      </c>
      <c r="Q12" s="59">
        <f t="shared" si="5"/>
        <v>0.77646651157746305</v>
      </c>
      <c r="R12" s="59">
        <f>+R76</f>
        <v>0.48973919390829568</v>
      </c>
      <c r="S12" s="59">
        <f t="shared" ref="S12:AD12" si="6">+S76</f>
        <v>0.840800292539017</v>
      </c>
      <c r="T12" s="59">
        <f t="shared" si="6"/>
        <v>0.43154348336359188</v>
      </c>
      <c r="U12" s="59">
        <f t="shared" si="6"/>
        <v>1.8493611413102959</v>
      </c>
      <c r="V12" s="59">
        <f t="shared" si="6"/>
        <v>1.1045155520794225</v>
      </c>
      <c r="W12" s="59">
        <f t="shared" si="6"/>
        <v>1.6227679163549384</v>
      </c>
      <c r="X12" s="59">
        <f t="shared" si="6"/>
        <v>0.82369113005396799</v>
      </c>
      <c r="Y12" s="59">
        <f t="shared" si="6"/>
        <v>1.5410237861356653</v>
      </c>
      <c r="Z12" s="59">
        <f t="shared" si="6"/>
        <v>0.90179800018912981</v>
      </c>
      <c r="AA12" s="59">
        <f t="shared" si="6"/>
        <v>0.59554033130864614</v>
      </c>
      <c r="AB12" s="59">
        <f t="shared" si="6"/>
        <v>0.14071949298246614</v>
      </c>
      <c r="AC12" s="59">
        <f t="shared" si="6"/>
        <v>1.9819497584288177</v>
      </c>
      <c r="AD12" s="59">
        <f t="shared" si="6"/>
        <v>6.7109209633111372E-2</v>
      </c>
    </row>
    <row r="13" spans="1:30" x14ac:dyDescent="0.25">
      <c r="A13" s="24" t="s">
        <v>202</v>
      </c>
      <c r="B13" s="24" t="s">
        <v>31</v>
      </c>
      <c r="C13" s="54">
        <f>+C96</f>
        <v>3.360491262335604</v>
      </c>
      <c r="D13" s="55">
        <f>+D96</f>
        <v>3.9832043773398778</v>
      </c>
      <c r="E13" s="55">
        <f t="shared" ref="E13:Q13" si="7">+E96</f>
        <v>4.1336559034065061</v>
      </c>
      <c r="F13" s="55">
        <f t="shared" si="7"/>
        <v>3.569241426730283</v>
      </c>
      <c r="G13" s="55">
        <f t="shared" si="7"/>
        <v>3.9949885475315563</v>
      </c>
      <c r="H13" s="55">
        <f t="shared" si="7"/>
        <v>4.1468247917031089</v>
      </c>
      <c r="I13" s="55">
        <f t="shared" si="7"/>
        <v>3.8360625404698396</v>
      </c>
      <c r="J13" s="55">
        <f t="shared" si="7"/>
        <v>4.042456580864827</v>
      </c>
      <c r="K13" s="55">
        <f t="shared" si="7"/>
        <v>4.197008306829388</v>
      </c>
      <c r="L13" s="55">
        <f t="shared" si="7"/>
        <v>4.1657819065133523</v>
      </c>
      <c r="M13" s="55">
        <f t="shared" si="7"/>
        <v>4.5030490282611737</v>
      </c>
      <c r="N13" s="55">
        <f t="shared" si="7"/>
        <v>4.6747390809041596</v>
      </c>
      <c r="O13" s="55">
        <f t="shared" si="7"/>
        <v>4.928056554000154</v>
      </c>
      <c r="P13" s="55">
        <f t="shared" si="7"/>
        <v>4.3491092169573164</v>
      </c>
      <c r="Q13" s="55">
        <f t="shared" si="7"/>
        <v>4.5360105457230393</v>
      </c>
      <c r="R13" s="55">
        <f>+R96</f>
        <v>4.7095862126258208</v>
      </c>
      <c r="S13" s="55">
        <f t="shared" ref="S13:AD13" si="8">+S96</f>
        <v>4.4970649055742218</v>
      </c>
      <c r="T13" s="55">
        <f t="shared" si="8"/>
        <v>4.7448160587067356</v>
      </c>
      <c r="U13" s="55">
        <f t="shared" si="8"/>
        <v>3.1712511847487459</v>
      </c>
      <c r="V13" s="55">
        <f t="shared" si="8"/>
        <v>3.6221571916870818</v>
      </c>
      <c r="W13" s="55">
        <f t="shared" si="8"/>
        <v>3.3084235701949742</v>
      </c>
      <c r="X13" s="55">
        <f t="shared" si="8"/>
        <v>3.7921594319057794</v>
      </c>
      <c r="Y13" s="55">
        <f t="shared" si="8"/>
        <v>4.4768073188003932</v>
      </c>
      <c r="Z13" s="55">
        <f t="shared" si="8"/>
        <v>4.8637744309649396</v>
      </c>
      <c r="AA13" s="55">
        <f t="shared" si="8"/>
        <v>5.0491731559701289</v>
      </c>
      <c r="AB13" s="55">
        <f t="shared" si="8"/>
        <v>5.3245073340160385</v>
      </c>
      <c r="AC13" s="55">
        <f t="shared" si="8"/>
        <v>6.7152515504253181</v>
      </c>
      <c r="AD13" s="55">
        <f t="shared" si="8"/>
        <v>7.8744355722742547</v>
      </c>
    </row>
    <row r="14" spans="1:30" x14ac:dyDescent="0.25">
      <c r="A14" s="24" t="s">
        <v>203</v>
      </c>
      <c r="B14" s="24"/>
      <c r="C14" s="54">
        <f>+C12+C13</f>
        <v>5.2606350150658887</v>
      </c>
      <c r="D14" s="55">
        <f>+D12+D13</f>
        <v>4.8546966818081714</v>
      </c>
      <c r="E14" s="55">
        <f t="shared" ref="E14:Q14" si="9">+E12+E13</f>
        <v>4.7566193485129702</v>
      </c>
      <c r="F14" s="55">
        <f t="shared" si="9"/>
        <v>5.0561576452333048</v>
      </c>
      <c r="G14" s="55">
        <f t="shared" si="9"/>
        <v>4.7786188036013062</v>
      </c>
      <c r="H14" s="55">
        <f t="shared" si="9"/>
        <v>4.6796387911333044</v>
      </c>
      <c r="I14" s="55">
        <f t="shared" si="9"/>
        <v>4.882220537471154</v>
      </c>
      <c r="J14" s="55">
        <f t="shared" si="9"/>
        <v>4.7476750288998577</v>
      </c>
      <c r="K14" s="55">
        <f t="shared" si="9"/>
        <v>4.6469248302474222</v>
      </c>
      <c r="L14" s="55">
        <f t="shared" si="9"/>
        <v>5.5538241449140688</v>
      </c>
      <c r="M14" s="55">
        <f t="shared" si="9"/>
        <v>5.3339642287406352</v>
      </c>
      <c r="N14" s="55">
        <f t="shared" si="9"/>
        <v>5.2220417846367475</v>
      </c>
      <c r="O14" s="55">
        <f t="shared" si="9"/>
        <v>5.0569075192167254</v>
      </c>
      <c r="P14" s="55">
        <f t="shared" si="9"/>
        <v>5.4343155284274367</v>
      </c>
      <c r="Q14" s="55">
        <f t="shared" si="9"/>
        <v>5.3124770573005025</v>
      </c>
      <c r="R14" s="55">
        <f>+R12+R13</f>
        <v>5.1993254065341166</v>
      </c>
      <c r="S14" s="55">
        <f t="shared" ref="S14:AD14" si="10">+S12+S13</f>
        <v>5.3378651981132386</v>
      </c>
      <c r="T14" s="55">
        <f t="shared" si="10"/>
        <v>5.1763595420703279</v>
      </c>
      <c r="U14" s="55">
        <f t="shared" si="10"/>
        <v>5.0206123260590418</v>
      </c>
      <c r="V14" s="55">
        <f t="shared" si="10"/>
        <v>4.7266727437665041</v>
      </c>
      <c r="W14" s="55">
        <f t="shared" si="10"/>
        <v>4.9311914865499125</v>
      </c>
      <c r="X14" s="55">
        <f t="shared" si="10"/>
        <v>4.6158505619597472</v>
      </c>
      <c r="Y14" s="55">
        <f t="shared" si="10"/>
        <v>6.0178311049360582</v>
      </c>
      <c r="Z14" s="55">
        <f t="shared" si="10"/>
        <v>5.7655724311540695</v>
      </c>
      <c r="AA14" s="55">
        <f t="shared" si="10"/>
        <v>5.644713487278775</v>
      </c>
      <c r="AB14" s="55">
        <f t="shared" si="10"/>
        <v>5.4652268269985047</v>
      </c>
      <c r="AC14" s="55">
        <f t="shared" si="10"/>
        <v>8.6972013088541367</v>
      </c>
      <c r="AD14" s="55">
        <f t="shared" si="10"/>
        <v>7.9415447819073659</v>
      </c>
    </row>
    <row r="15" spans="1:30" x14ac:dyDescent="0.25">
      <c r="A15" s="24" t="s">
        <v>33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x14ac:dyDescent="0.25">
      <c r="A16" s="24" t="s">
        <v>204</v>
      </c>
      <c r="B16" s="24"/>
      <c r="C16" s="58">
        <f>+C83</f>
        <v>2.0038895566521973</v>
      </c>
      <c r="D16" s="59">
        <f>+D83</f>
        <v>1.0074232485821581</v>
      </c>
      <c r="E16" s="59">
        <f t="shared" ref="E16:Q16" si="11">+E83</f>
        <v>0.7666705277693201</v>
      </c>
      <c r="F16" s="59">
        <f t="shared" si="11"/>
        <v>1.6020933514693123</v>
      </c>
      <c r="G16" s="59">
        <f t="shared" si="11"/>
        <v>0.92081227449475489</v>
      </c>
      <c r="H16" s="59">
        <f t="shared" si="11"/>
        <v>0.67784372603274068</v>
      </c>
      <c r="I16" s="59">
        <f t="shared" si="11"/>
        <v>1.1751258704305234</v>
      </c>
      <c r="J16" s="59">
        <f t="shared" si="11"/>
        <v>0.84485386798740958</v>
      </c>
      <c r="K16" s="59">
        <f t="shared" si="11"/>
        <v>0.59754000215257586</v>
      </c>
      <c r="L16" s="59">
        <f t="shared" si="11"/>
        <v>1.5257301411130866</v>
      </c>
      <c r="M16" s="59">
        <f t="shared" si="11"/>
        <v>0.98603486965706066</v>
      </c>
      <c r="N16" s="59">
        <f t="shared" si="11"/>
        <v>0.71129623196459213</v>
      </c>
      <c r="O16" s="59">
        <f t="shared" si="11"/>
        <v>0.3059372936292975</v>
      </c>
      <c r="P16" s="59">
        <f t="shared" si="11"/>
        <v>1.2323695488839466</v>
      </c>
      <c r="Q16" s="59">
        <f t="shared" si="11"/>
        <v>0.93328980805130468</v>
      </c>
      <c r="R16" s="59">
        <f>+R83</f>
        <v>0.65553380805406281</v>
      </c>
      <c r="S16" s="59">
        <f t="shared" ref="S16:AD16" si="12">+S83</f>
        <v>0.99561067029017081</v>
      </c>
      <c r="T16" s="59">
        <f t="shared" si="12"/>
        <v>0.59915896414558989</v>
      </c>
      <c r="U16" s="59">
        <f t="shared" si="12"/>
        <v>1.9467369647451782</v>
      </c>
      <c r="V16" s="59">
        <f t="shared" si="12"/>
        <v>1.2251966066023054</v>
      </c>
      <c r="W16" s="59">
        <f t="shared" si="12"/>
        <v>1.7272335414170452</v>
      </c>
      <c r="X16" s="59">
        <f t="shared" si="12"/>
        <v>0.95315880846921497</v>
      </c>
      <c r="Y16" s="59">
        <f t="shared" si="12"/>
        <v>1.6885285302187469</v>
      </c>
      <c r="Z16" s="59">
        <f t="shared" si="12"/>
        <v>1.0693032717295545</v>
      </c>
      <c r="AA16" s="59">
        <f t="shared" si="12"/>
        <v>0.77262799932013304</v>
      </c>
      <c r="AB16" s="59">
        <f t="shared" si="12"/>
        <v>0.33203790209530698</v>
      </c>
      <c r="AC16" s="59">
        <f t="shared" si="12"/>
        <v>2.0209014138058383</v>
      </c>
      <c r="AD16" s="59">
        <f t="shared" si="12"/>
        <v>0.12243385514782003</v>
      </c>
    </row>
    <row r="17" spans="1:30" x14ac:dyDescent="0.25">
      <c r="A17" s="24" t="s">
        <v>205</v>
      </c>
      <c r="B17" s="24"/>
      <c r="C17" s="54">
        <f>+C108</f>
        <v>0.10756307936841593</v>
      </c>
      <c r="D17" s="55">
        <f>+D108</f>
        <v>0.12749496878103864</v>
      </c>
      <c r="E17" s="55">
        <f t="shared" ref="E17:Q17" si="13">+E108</f>
        <v>0.13231064249540997</v>
      </c>
      <c r="F17" s="55">
        <f t="shared" si="13"/>
        <v>0.11424478413956564</v>
      </c>
      <c r="G17" s="55">
        <f t="shared" si="13"/>
        <v>0.12787215816636008</v>
      </c>
      <c r="H17" s="55">
        <f t="shared" si="13"/>
        <v>0.13273215413357944</v>
      </c>
      <c r="I17" s="55">
        <f t="shared" si="13"/>
        <v>0.12278523206633395</v>
      </c>
      <c r="J17" s="55">
        <f t="shared" si="13"/>
        <v>0.12939152168743664</v>
      </c>
      <c r="K17" s="55">
        <f t="shared" si="13"/>
        <v>0.13433843517975078</v>
      </c>
      <c r="L17" s="55">
        <f t="shared" si="13"/>
        <v>0.13333893614422904</v>
      </c>
      <c r="M17" s="55">
        <f t="shared" si="13"/>
        <v>0.14413422985366858</v>
      </c>
      <c r="N17" s="55">
        <f t="shared" si="13"/>
        <v>0.14962970932900269</v>
      </c>
      <c r="O17" s="55">
        <f t="shared" si="13"/>
        <v>0.15773793081715901</v>
      </c>
      <c r="P17" s="55">
        <f t="shared" si="13"/>
        <v>0.13920690261231536</v>
      </c>
      <c r="Q17" s="55">
        <f t="shared" si="13"/>
        <v>0.14518926676407259</v>
      </c>
      <c r="R17" s="55">
        <f>+R108</f>
        <v>0.15074510124718718</v>
      </c>
      <c r="S17" s="55">
        <f t="shared" ref="S17:AD17" si="14">+S108</f>
        <v>0.14394268920878095</v>
      </c>
      <c r="T17" s="55">
        <f t="shared" si="14"/>
        <v>0.15187274314068372</v>
      </c>
      <c r="U17" s="55">
        <f t="shared" si="14"/>
        <v>0.10150585621378311</v>
      </c>
      <c r="V17" s="55">
        <f t="shared" si="14"/>
        <v>0.11593851942454678</v>
      </c>
      <c r="W17" s="55">
        <f t="shared" si="14"/>
        <v>0.10589648931801943</v>
      </c>
      <c r="X17" s="55">
        <f t="shared" si="14"/>
        <v>0.12137997516121281</v>
      </c>
      <c r="Y17" s="55">
        <f t="shared" si="14"/>
        <v>0.14329428150768445</v>
      </c>
      <c r="Z17" s="55">
        <f t="shared" si="14"/>
        <v>0.15568037953604028</v>
      </c>
      <c r="AA17" s="55">
        <f t="shared" si="14"/>
        <v>0.16161464813422019</v>
      </c>
      <c r="AB17" s="55">
        <f t="shared" si="14"/>
        <v>0.17042758342672451</v>
      </c>
      <c r="AC17" s="55">
        <f t="shared" si="14"/>
        <v>0.21494272090303113</v>
      </c>
      <c r="AD17" s="55">
        <f t="shared" si="14"/>
        <v>0.25204604693818888</v>
      </c>
    </row>
    <row r="18" spans="1:30" x14ac:dyDescent="0.25">
      <c r="A18" s="24" t="s">
        <v>206</v>
      </c>
      <c r="B18" s="24"/>
      <c r="C18" s="54">
        <f>+C16+C17</f>
        <v>2.1114526360206134</v>
      </c>
      <c r="D18" s="55">
        <f>+D16+D17</f>
        <v>1.1349182173631969</v>
      </c>
      <c r="E18" s="55">
        <f t="shared" ref="E18:Q18" si="15">+E16+E17</f>
        <v>0.89898117026473012</v>
      </c>
      <c r="F18" s="55">
        <f t="shared" si="15"/>
        <v>1.716338135608878</v>
      </c>
      <c r="G18" s="55">
        <f t="shared" si="15"/>
        <v>1.0486844326611149</v>
      </c>
      <c r="H18" s="55">
        <f t="shared" si="15"/>
        <v>0.8105758801663201</v>
      </c>
      <c r="I18" s="55">
        <f t="shared" si="15"/>
        <v>1.2979111024968573</v>
      </c>
      <c r="J18" s="55">
        <f t="shared" si="15"/>
        <v>0.9742453896748462</v>
      </c>
      <c r="K18" s="55">
        <f t="shared" si="15"/>
        <v>0.7318784373323266</v>
      </c>
      <c r="L18" s="55">
        <f t="shared" si="15"/>
        <v>1.6590690772573156</v>
      </c>
      <c r="M18" s="55">
        <f t="shared" si="15"/>
        <v>1.1301690995107292</v>
      </c>
      <c r="N18" s="55">
        <f t="shared" si="15"/>
        <v>0.86092594129359479</v>
      </c>
      <c r="O18" s="55">
        <f t="shared" si="15"/>
        <v>0.46367522444645648</v>
      </c>
      <c r="P18" s="55">
        <f t="shared" si="15"/>
        <v>1.3715764514962618</v>
      </c>
      <c r="Q18" s="55">
        <f t="shared" si="15"/>
        <v>1.0784790748153772</v>
      </c>
      <c r="R18" s="55">
        <f>+R16+R17</f>
        <v>0.80627890930125001</v>
      </c>
      <c r="S18" s="55">
        <f t="shared" ref="S18:AD18" si="16">+S16+S17</f>
        <v>1.1395533594989518</v>
      </c>
      <c r="T18" s="55">
        <f t="shared" si="16"/>
        <v>0.75103170728627355</v>
      </c>
      <c r="U18" s="55">
        <f t="shared" si="16"/>
        <v>2.0482428209589614</v>
      </c>
      <c r="V18" s="55">
        <f t="shared" si="16"/>
        <v>1.3411351260268523</v>
      </c>
      <c r="W18" s="55">
        <f t="shared" si="16"/>
        <v>1.8331300307350646</v>
      </c>
      <c r="X18" s="55">
        <f t="shared" si="16"/>
        <v>1.0745387836304279</v>
      </c>
      <c r="Y18" s="55">
        <f t="shared" si="16"/>
        <v>1.8318228117264315</v>
      </c>
      <c r="Z18" s="55">
        <f t="shared" si="16"/>
        <v>1.2249836512655947</v>
      </c>
      <c r="AA18" s="55">
        <f t="shared" si="16"/>
        <v>0.93424264745435326</v>
      </c>
      <c r="AB18" s="55">
        <f t="shared" si="16"/>
        <v>0.50246548552203152</v>
      </c>
      <c r="AC18" s="55">
        <f t="shared" si="16"/>
        <v>2.2358441347088696</v>
      </c>
      <c r="AD18" s="55">
        <f t="shared" si="16"/>
        <v>0.3744799020860089</v>
      </c>
    </row>
    <row r="19" spans="1:30" x14ac:dyDescent="0.25">
      <c r="A19" s="24" t="s">
        <v>50</v>
      </c>
      <c r="B19" s="24" t="s">
        <v>51</v>
      </c>
      <c r="C19" s="29">
        <v>19.2</v>
      </c>
      <c r="D19" s="30">
        <v>19.2</v>
      </c>
      <c r="E19" s="30">
        <v>19.2</v>
      </c>
      <c r="F19" s="30">
        <v>78.599999999999994</v>
      </c>
      <c r="G19" s="30">
        <v>78.599999999999994</v>
      </c>
      <c r="H19" s="30">
        <v>78.599999999999994</v>
      </c>
      <c r="I19" s="30">
        <v>78.599999999999994</v>
      </c>
      <c r="J19" s="30">
        <v>78.599999999999994</v>
      </c>
      <c r="K19" s="30">
        <v>78.599999999999994</v>
      </c>
      <c r="L19" s="30">
        <v>49.2</v>
      </c>
      <c r="M19" s="30">
        <v>49.2</v>
      </c>
      <c r="N19" s="30">
        <v>49.2</v>
      </c>
      <c r="O19" s="30">
        <v>49.2</v>
      </c>
      <c r="P19" s="30">
        <f>17.6+20.7</f>
        <v>38.299999999999997</v>
      </c>
      <c r="Q19" s="30">
        <f t="shared" ref="Q19:R19" si="17">17.6+20.7</f>
        <v>38.299999999999997</v>
      </c>
      <c r="R19" s="30">
        <f t="shared" si="17"/>
        <v>38.299999999999997</v>
      </c>
      <c r="S19" s="30">
        <v>10.6</v>
      </c>
      <c r="T19" s="30">
        <v>10.6</v>
      </c>
      <c r="U19" s="30">
        <v>16.8</v>
      </c>
      <c r="V19" s="30">
        <v>16.8</v>
      </c>
      <c r="W19" s="30">
        <v>83.3</v>
      </c>
      <c r="X19" s="30">
        <v>83.3</v>
      </c>
      <c r="Y19" s="30">
        <f>57.9+31.8</f>
        <v>89.7</v>
      </c>
      <c r="Z19" s="30">
        <f t="shared" ref="Z19:AB19" si="18">57.9+31.8</f>
        <v>89.7</v>
      </c>
      <c r="AA19" s="30">
        <f t="shared" si="18"/>
        <v>89.7</v>
      </c>
      <c r="AB19" s="30">
        <f t="shared" si="18"/>
        <v>89.7</v>
      </c>
      <c r="AC19" s="30"/>
      <c r="AD19" s="30"/>
    </row>
    <row r="20" spans="1:30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1:30" x14ac:dyDescent="0.25">
      <c r="A21" s="24" t="s">
        <v>52</v>
      </c>
      <c r="B21" s="24" t="s">
        <v>207</v>
      </c>
      <c r="C21" s="35">
        <f>18.6-1.8</f>
        <v>16.8</v>
      </c>
      <c r="D21" s="35">
        <f t="shared" ref="D21:AB21" si="19">18.6-1.8</f>
        <v>16.8</v>
      </c>
      <c r="E21" s="35">
        <f t="shared" si="19"/>
        <v>16.8</v>
      </c>
      <c r="F21" s="35">
        <f t="shared" si="19"/>
        <v>16.8</v>
      </c>
      <c r="G21" s="35">
        <f t="shared" si="19"/>
        <v>16.8</v>
      </c>
      <c r="H21" s="35">
        <f t="shared" si="19"/>
        <v>16.8</v>
      </c>
      <c r="I21" s="35">
        <f t="shared" si="19"/>
        <v>16.8</v>
      </c>
      <c r="J21" s="35">
        <f t="shared" si="19"/>
        <v>16.8</v>
      </c>
      <c r="K21" s="35">
        <f t="shared" si="19"/>
        <v>16.8</v>
      </c>
      <c r="L21" s="35">
        <f t="shared" si="19"/>
        <v>16.8</v>
      </c>
      <c r="M21" s="35">
        <f t="shared" si="19"/>
        <v>16.8</v>
      </c>
      <c r="N21" s="35">
        <f t="shared" si="19"/>
        <v>16.8</v>
      </c>
      <c r="O21" s="35">
        <f t="shared" si="19"/>
        <v>16.8</v>
      </c>
      <c r="P21" s="35">
        <f t="shared" si="19"/>
        <v>16.8</v>
      </c>
      <c r="Q21" s="35">
        <f t="shared" si="19"/>
        <v>16.8</v>
      </c>
      <c r="R21" s="35">
        <f t="shared" si="19"/>
        <v>16.8</v>
      </c>
      <c r="S21" s="35">
        <f t="shared" si="19"/>
        <v>16.8</v>
      </c>
      <c r="T21" s="35">
        <f t="shared" si="19"/>
        <v>16.8</v>
      </c>
      <c r="U21" s="35">
        <f t="shared" si="19"/>
        <v>16.8</v>
      </c>
      <c r="V21" s="35">
        <f t="shared" si="19"/>
        <v>16.8</v>
      </c>
      <c r="W21" s="35">
        <f t="shared" si="19"/>
        <v>16.8</v>
      </c>
      <c r="X21" s="35">
        <f t="shared" si="19"/>
        <v>16.8</v>
      </c>
      <c r="Y21" s="35">
        <f t="shared" si="19"/>
        <v>16.8</v>
      </c>
      <c r="Z21" s="35">
        <f t="shared" si="19"/>
        <v>16.8</v>
      </c>
      <c r="AA21" s="35">
        <f t="shared" si="19"/>
        <v>16.8</v>
      </c>
      <c r="AB21" s="35">
        <f t="shared" si="19"/>
        <v>16.8</v>
      </c>
      <c r="AC21" s="36">
        <v>12.45</v>
      </c>
      <c r="AD21" s="36">
        <v>12.45</v>
      </c>
    </row>
    <row r="22" spans="1:30" x14ac:dyDescent="0.25">
      <c r="A22" s="24" t="s">
        <v>54</v>
      </c>
      <c r="B22" s="24"/>
      <c r="C22" s="29">
        <f>+C21+273.15</f>
        <v>289.95</v>
      </c>
      <c r="D22" s="30">
        <f t="shared" ref="D22:Q22" si="20">+D21+273.15</f>
        <v>289.95</v>
      </c>
      <c r="E22" s="30">
        <f t="shared" si="20"/>
        <v>289.95</v>
      </c>
      <c r="F22" s="30">
        <f t="shared" si="20"/>
        <v>289.95</v>
      </c>
      <c r="G22" s="30">
        <f t="shared" si="20"/>
        <v>289.95</v>
      </c>
      <c r="H22" s="30">
        <f t="shared" si="20"/>
        <v>289.95</v>
      </c>
      <c r="I22" s="30">
        <f t="shared" si="20"/>
        <v>289.95</v>
      </c>
      <c r="J22" s="30">
        <f t="shared" si="20"/>
        <v>289.95</v>
      </c>
      <c r="K22" s="30">
        <f t="shared" si="20"/>
        <v>289.95</v>
      </c>
      <c r="L22" s="30">
        <f t="shared" si="20"/>
        <v>289.95</v>
      </c>
      <c r="M22" s="30">
        <f t="shared" si="20"/>
        <v>289.95</v>
      </c>
      <c r="N22" s="30">
        <f t="shared" si="20"/>
        <v>289.95</v>
      </c>
      <c r="O22" s="30">
        <f t="shared" si="20"/>
        <v>289.95</v>
      </c>
      <c r="P22" s="30">
        <f t="shared" si="20"/>
        <v>289.95</v>
      </c>
      <c r="Q22" s="30">
        <f t="shared" si="20"/>
        <v>289.95</v>
      </c>
      <c r="R22" s="30">
        <f>+R21+273.15</f>
        <v>289.95</v>
      </c>
      <c r="S22" s="30">
        <f t="shared" ref="S22:AD22" si="21">+S21+273.15</f>
        <v>289.95</v>
      </c>
      <c r="T22" s="30">
        <f t="shared" si="21"/>
        <v>289.95</v>
      </c>
      <c r="U22" s="30">
        <f t="shared" si="21"/>
        <v>289.95</v>
      </c>
      <c r="V22" s="30">
        <f t="shared" si="21"/>
        <v>289.95</v>
      </c>
      <c r="W22" s="30">
        <f t="shared" si="21"/>
        <v>289.95</v>
      </c>
      <c r="X22" s="30">
        <f t="shared" si="21"/>
        <v>289.95</v>
      </c>
      <c r="Y22" s="30">
        <f t="shared" si="21"/>
        <v>289.95</v>
      </c>
      <c r="Z22" s="30">
        <f t="shared" si="21"/>
        <v>289.95</v>
      </c>
      <c r="AA22" s="30">
        <f t="shared" si="21"/>
        <v>289.95</v>
      </c>
      <c r="AB22" s="30">
        <f t="shared" si="21"/>
        <v>289.95</v>
      </c>
      <c r="AC22" s="30">
        <f t="shared" si="21"/>
        <v>285.59999999999997</v>
      </c>
      <c r="AD22" s="30">
        <f t="shared" si="21"/>
        <v>285.59999999999997</v>
      </c>
    </row>
    <row r="23" spans="1:30" x14ac:dyDescent="0.25">
      <c r="A23" s="24" t="s">
        <v>55</v>
      </c>
      <c r="B23" s="24" t="s">
        <v>56</v>
      </c>
      <c r="C23" s="29">
        <v>31.3</v>
      </c>
      <c r="D23" s="30">
        <v>31.3</v>
      </c>
      <c r="E23" s="30">
        <v>31.3</v>
      </c>
      <c r="F23" s="30">
        <v>31.3</v>
      </c>
      <c r="G23" s="30">
        <v>31.3</v>
      </c>
      <c r="H23" s="30">
        <v>31.3</v>
      </c>
      <c r="I23" s="30">
        <v>31.3</v>
      </c>
      <c r="J23" s="30">
        <v>31.3</v>
      </c>
      <c r="K23" s="30">
        <v>31.3</v>
      </c>
      <c r="L23" s="30">
        <v>31.3</v>
      </c>
      <c r="M23" s="30">
        <v>31.3</v>
      </c>
      <c r="N23" s="30">
        <v>31.3</v>
      </c>
      <c r="O23" s="30">
        <v>31.3</v>
      </c>
      <c r="P23" s="30">
        <v>31.3</v>
      </c>
      <c r="Q23" s="30">
        <v>31.3</v>
      </c>
      <c r="R23" s="30">
        <v>31.3</v>
      </c>
      <c r="S23" s="30">
        <v>31.3</v>
      </c>
      <c r="T23" s="30">
        <v>31.3</v>
      </c>
      <c r="U23" s="30">
        <v>31.3</v>
      </c>
      <c r="V23" s="30">
        <v>31.3</v>
      </c>
      <c r="W23" s="30">
        <v>31.3</v>
      </c>
      <c r="X23" s="30">
        <v>31.3</v>
      </c>
      <c r="Y23" s="30">
        <v>31.3</v>
      </c>
      <c r="Z23" s="30">
        <v>31.3</v>
      </c>
      <c r="AA23" s="30">
        <v>31.3</v>
      </c>
      <c r="AB23" s="30">
        <v>31.3</v>
      </c>
      <c r="AC23" s="30">
        <v>31.2</v>
      </c>
      <c r="AD23" s="30">
        <v>31.2</v>
      </c>
    </row>
    <row r="24" spans="1:30" x14ac:dyDescent="0.25">
      <c r="A24" s="24" t="s">
        <v>208</v>
      </c>
      <c r="B24" s="24" t="s">
        <v>58</v>
      </c>
      <c r="C24" s="29">
        <v>30.3</v>
      </c>
      <c r="D24" s="30">
        <v>30.3</v>
      </c>
      <c r="E24" s="30">
        <v>30.3</v>
      </c>
      <c r="F24" s="30">
        <v>30.3</v>
      </c>
      <c r="G24" s="30">
        <v>30.3</v>
      </c>
      <c r="H24" s="30">
        <v>30.3</v>
      </c>
      <c r="I24" s="30">
        <v>30.3</v>
      </c>
      <c r="J24" s="30">
        <v>30.3</v>
      </c>
      <c r="K24" s="30">
        <v>30.3</v>
      </c>
      <c r="L24" s="30">
        <v>30.3</v>
      </c>
      <c r="M24" s="30">
        <v>30.3</v>
      </c>
      <c r="N24" s="30">
        <v>30.3</v>
      </c>
      <c r="O24" s="30">
        <v>30.3</v>
      </c>
      <c r="P24" s="30">
        <v>30.3</v>
      </c>
      <c r="Q24" s="30">
        <v>30.3</v>
      </c>
      <c r="R24" s="30">
        <v>30.3</v>
      </c>
      <c r="S24" s="30">
        <v>30.3</v>
      </c>
      <c r="T24" s="30">
        <v>30.3</v>
      </c>
      <c r="U24" s="30">
        <v>30.3</v>
      </c>
      <c r="V24" s="30">
        <v>30.3</v>
      </c>
      <c r="W24" s="30">
        <v>30.3</v>
      </c>
      <c r="X24" s="30">
        <v>30.3</v>
      </c>
      <c r="Y24" s="30">
        <v>30.3</v>
      </c>
      <c r="Z24" s="30">
        <v>30.3</v>
      </c>
      <c r="AA24" s="30">
        <v>30.3</v>
      </c>
      <c r="AB24" s="30">
        <v>30.3</v>
      </c>
      <c r="AC24" s="30">
        <v>30.2</v>
      </c>
      <c r="AD24" s="30">
        <v>30.2</v>
      </c>
    </row>
    <row r="25" spans="1:30" x14ac:dyDescent="0.25">
      <c r="A25" s="24" t="s">
        <v>59</v>
      </c>
      <c r="B25" s="24" t="s">
        <v>60</v>
      </c>
      <c r="C25" s="29">
        <v>27.9</v>
      </c>
      <c r="D25" s="30">
        <v>27.9</v>
      </c>
      <c r="E25" s="30">
        <v>27.9</v>
      </c>
      <c r="F25" s="30">
        <v>27.9</v>
      </c>
      <c r="G25" s="30">
        <v>27.9</v>
      </c>
      <c r="H25" s="30">
        <v>27.9</v>
      </c>
      <c r="I25" s="30">
        <v>27.9</v>
      </c>
      <c r="J25" s="30">
        <v>27.9</v>
      </c>
      <c r="K25" s="30">
        <v>27.9</v>
      </c>
      <c r="L25" s="30">
        <v>27.9</v>
      </c>
      <c r="M25" s="30">
        <v>27.9</v>
      </c>
      <c r="N25" s="30">
        <v>27.9</v>
      </c>
      <c r="O25" s="30">
        <v>27.9</v>
      </c>
      <c r="P25" s="30">
        <v>27.9</v>
      </c>
      <c r="Q25" s="30">
        <v>27.9</v>
      </c>
      <c r="R25" s="30">
        <v>27.9</v>
      </c>
      <c r="S25" s="30">
        <v>27.9</v>
      </c>
      <c r="T25" s="30">
        <v>27.9</v>
      </c>
      <c r="U25" s="30">
        <v>27.9</v>
      </c>
      <c r="V25" s="30">
        <v>27.9</v>
      </c>
      <c r="W25" s="30">
        <v>27.9</v>
      </c>
      <c r="X25" s="30">
        <v>27.9</v>
      </c>
      <c r="Y25" s="30">
        <v>27.9</v>
      </c>
      <c r="Z25" s="30">
        <v>27.9</v>
      </c>
      <c r="AA25" s="30">
        <v>27.9</v>
      </c>
      <c r="AB25" s="30">
        <v>27.9</v>
      </c>
      <c r="AC25" s="30">
        <v>27.8</v>
      </c>
      <c r="AD25" s="30">
        <v>27.8</v>
      </c>
    </row>
    <row r="26" spans="1:30" x14ac:dyDescent="0.25">
      <c r="A26" s="24" t="s">
        <v>61</v>
      </c>
      <c r="B26" s="24" t="s">
        <v>62</v>
      </c>
      <c r="C26" s="29">
        <v>81000</v>
      </c>
      <c r="D26" s="30">
        <v>81000</v>
      </c>
      <c r="E26" s="30">
        <v>81000</v>
      </c>
      <c r="F26" s="30">
        <v>81000</v>
      </c>
      <c r="G26" s="30">
        <v>81000</v>
      </c>
      <c r="H26" s="30">
        <v>81000</v>
      </c>
      <c r="I26" s="30">
        <v>81000</v>
      </c>
      <c r="J26" s="30">
        <v>81000</v>
      </c>
      <c r="K26" s="30">
        <v>81000</v>
      </c>
      <c r="L26" s="30">
        <v>81000</v>
      </c>
      <c r="M26" s="30">
        <v>81000</v>
      </c>
      <c r="N26" s="30">
        <v>81000</v>
      </c>
      <c r="O26" s="30">
        <v>81000</v>
      </c>
      <c r="P26" s="30">
        <v>81000</v>
      </c>
      <c r="Q26" s="30">
        <v>81000</v>
      </c>
      <c r="R26" s="30">
        <v>81000</v>
      </c>
      <c r="S26" s="30">
        <v>81000</v>
      </c>
      <c r="T26" s="30">
        <v>81000</v>
      </c>
      <c r="U26" s="30">
        <v>81000</v>
      </c>
      <c r="V26" s="30">
        <v>81000</v>
      </c>
      <c r="W26" s="30">
        <v>81000</v>
      </c>
      <c r="X26" s="30">
        <v>81000</v>
      </c>
      <c r="Y26" s="30">
        <v>81000</v>
      </c>
      <c r="Z26" s="30">
        <v>81000</v>
      </c>
      <c r="AA26" s="30">
        <v>81000</v>
      </c>
      <c r="AB26" s="30">
        <v>81000</v>
      </c>
      <c r="AC26" s="30">
        <v>81000</v>
      </c>
      <c r="AD26" s="30">
        <v>81000</v>
      </c>
    </row>
    <row r="27" spans="1:30" x14ac:dyDescent="0.25">
      <c r="A27" s="24" t="s">
        <v>63</v>
      </c>
      <c r="B27" s="24">
        <v>8.31</v>
      </c>
      <c r="C27" s="29">
        <v>8.31</v>
      </c>
      <c r="D27" s="30">
        <v>8.31</v>
      </c>
      <c r="E27" s="30">
        <v>8.31</v>
      </c>
      <c r="F27" s="30">
        <v>8.31</v>
      </c>
      <c r="G27" s="30">
        <v>8.31</v>
      </c>
      <c r="H27" s="30">
        <v>8.31</v>
      </c>
      <c r="I27" s="30">
        <v>8.31</v>
      </c>
      <c r="J27" s="30">
        <v>8.31</v>
      </c>
      <c r="K27" s="30">
        <v>8.31</v>
      </c>
      <c r="L27" s="30">
        <v>8.31</v>
      </c>
      <c r="M27" s="30">
        <v>8.31</v>
      </c>
      <c r="N27" s="30">
        <v>8.31</v>
      </c>
      <c r="O27" s="30">
        <v>8.31</v>
      </c>
      <c r="P27" s="30">
        <v>8.31</v>
      </c>
      <c r="Q27" s="30">
        <v>8.31</v>
      </c>
      <c r="R27" s="30">
        <v>8.31</v>
      </c>
      <c r="S27" s="30">
        <v>8.31</v>
      </c>
      <c r="T27" s="30">
        <v>8.31</v>
      </c>
      <c r="U27" s="30">
        <v>8.31</v>
      </c>
      <c r="V27" s="30">
        <v>8.31</v>
      </c>
      <c r="W27" s="30">
        <v>8.31</v>
      </c>
      <c r="X27" s="30">
        <v>8.31</v>
      </c>
      <c r="Y27" s="30">
        <v>8.31</v>
      </c>
      <c r="Z27" s="30">
        <v>8.31</v>
      </c>
      <c r="AA27" s="30">
        <v>8.31</v>
      </c>
      <c r="AB27" s="30">
        <v>8.31</v>
      </c>
      <c r="AC27" s="30">
        <v>8.31</v>
      </c>
      <c r="AD27" s="30">
        <v>8.31</v>
      </c>
    </row>
    <row r="28" spans="1:30" x14ac:dyDescent="0.25">
      <c r="A28" s="24" t="s">
        <v>65</v>
      </c>
      <c r="B28" s="24" t="s">
        <v>66</v>
      </c>
      <c r="C28" s="29">
        <v>4</v>
      </c>
      <c r="D28" s="30">
        <v>4</v>
      </c>
      <c r="E28" s="30">
        <v>4</v>
      </c>
      <c r="F28" s="30">
        <v>4</v>
      </c>
      <c r="G28" s="30">
        <v>4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30">
        <v>4</v>
      </c>
      <c r="N28" s="30">
        <v>4</v>
      </c>
      <c r="O28" s="30">
        <v>4</v>
      </c>
      <c r="P28" s="30">
        <v>4</v>
      </c>
      <c r="Q28" s="30">
        <v>4</v>
      </c>
      <c r="R28" s="30">
        <v>4</v>
      </c>
      <c r="S28" s="30">
        <v>4</v>
      </c>
      <c r="T28" s="30">
        <v>4</v>
      </c>
      <c r="U28" s="30">
        <v>4</v>
      </c>
      <c r="V28" s="30">
        <v>4</v>
      </c>
      <c r="W28" s="30">
        <v>4</v>
      </c>
      <c r="X28" s="30">
        <v>4</v>
      </c>
      <c r="Y28" s="30">
        <v>4</v>
      </c>
      <c r="Z28" s="30">
        <v>4</v>
      </c>
      <c r="AA28" s="30">
        <v>4</v>
      </c>
      <c r="AB28" s="30">
        <v>4</v>
      </c>
      <c r="AC28" s="30">
        <v>4</v>
      </c>
      <c r="AD28" s="30">
        <v>4</v>
      </c>
    </row>
    <row r="29" spans="1:30" x14ac:dyDescent="0.25">
      <c r="A29" s="24" t="s">
        <v>67</v>
      </c>
      <c r="B29" s="24" t="s">
        <v>68</v>
      </c>
      <c r="C29" s="29">
        <v>0.45</v>
      </c>
      <c r="D29" s="30">
        <v>0.45</v>
      </c>
      <c r="E29" s="30">
        <v>0.45</v>
      </c>
      <c r="F29" s="30">
        <v>0.45</v>
      </c>
      <c r="G29" s="30">
        <v>0.45</v>
      </c>
      <c r="H29" s="30">
        <v>0.45</v>
      </c>
      <c r="I29" s="30">
        <v>0.45</v>
      </c>
      <c r="J29" s="30">
        <v>0.45</v>
      </c>
      <c r="K29" s="30">
        <v>0.45</v>
      </c>
      <c r="L29" s="30">
        <v>0.45</v>
      </c>
      <c r="M29" s="30">
        <v>0.45</v>
      </c>
      <c r="N29" s="30">
        <v>0.45</v>
      </c>
      <c r="O29" s="30">
        <v>0.45</v>
      </c>
      <c r="P29" s="30">
        <v>0.45</v>
      </c>
      <c r="Q29" s="30">
        <v>0.45</v>
      </c>
      <c r="R29" s="30">
        <v>0.45</v>
      </c>
      <c r="S29" s="30">
        <v>0.45</v>
      </c>
      <c r="T29" s="30">
        <v>0.45</v>
      </c>
      <c r="U29" s="30">
        <v>0.45</v>
      </c>
      <c r="V29" s="30">
        <v>0.45</v>
      </c>
      <c r="W29" s="30">
        <v>0.45</v>
      </c>
      <c r="X29" s="30">
        <v>0.45</v>
      </c>
      <c r="Y29" s="30">
        <v>0.45</v>
      </c>
      <c r="Z29" s="30">
        <v>0.45</v>
      </c>
      <c r="AA29" s="30">
        <v>0.45</v>
      </c>
      <c r="AB29" s="30">
        <v>0.45</v>
      </c>
      <c r="AC29" s="30">
        <v>0.45</v>
      </c>
      <c r="AD29" s="30">
        <v>0.45</v>
      </c>
    </row>
    <row r="30" spans="1:30" x14ac:dyDescent="0.25">
      <c r="A30" s="24" t="s">
        <v>69</v>
      </c>
      <c r="B30" s="24"/>
      <c r="C30" s="29">
        <v>10</v>
      </c>
      <c r="D30" s="30">
        <v>10</v>
      </c>
      <c r="E30" s="30">
        <v>10</v>
      </c>
      <c r="F30" s="30">
        <v>10</v>
      </c>
      <c r="G30" s="30">
        <v>10</v>
      </c>
      <c r="H30" s="30">
        <v>10</v>
      </c>
      <c r="I30" s="30">
        <v>10</v>
      </c>
      <c r="J30" s="30">
        <v>10</v>
      </c>
      <c r="K30" s="30">
        <v>10</v>
      </c>
      <c r="L30" s="30">
        <v>10</v>
      </c>
      <c r="M30" s="30">
        <v>10</v>
      </c>
      <c r="N30" s="30">
        <v>10</v>
      </c>
      <c r="O30" s="30">
        <v>10</v>
      </c>
      <c r="P30" s="30">
        <v>10</v>
      </c>
      <c r="Q30" s="30">
        <v>10</v>
      </c>
      <c r="R30" s="30">
        <v>10</v>
      </c>
      <c r="S30" s="30">
        <v>10</v>
      </c>
      <c r="T30" s="30">
        <v>10</v>
      </c>
      <c r="U30" s="30">
        <v>10</v>
      </c>
      <c r="V30" s="30">
        <v>10</v>
      </c>
      <c r="W30" s="30">
        <v>10</v>
      </c>
      <c r="X30" s="30">
        <v>10</v>
      </c>
      <c r="Y30" s="30">
        <v>10</v>
      </c>
      <c r="Z30" s="30">
        <v>10</v>
      </c>
      <c r="AA30" s="30">
        <v>10</v>
      </c>
      <c r="AB30" s="30">
        <v>10</v>
      </c>
      <c r="AC30" s="30">
        <v>10</v>
      </c>
      <c r="AD30" s="30">
        <v>10</v>
      </c>
    </row>
    <row r="31" spans="1:30" x14ac:dyDescent="0.25">
      <c r="A31" s="24" t="s">
        <v>70</v>
      </c>
      <c r="B31" s="24" t="s">
        <v>71</v>
      </c>
      <c r="C31" s="54">
        <f>+C28/C29*12/16</f>
        <v>6.666666666666667</v>
      </c>
      <c r="D31" s="55">
        <f t="shared" ref="D31:Q31" si="22">+D28/D29*12/16</f>
        <v>6.666666666666667</v>
      </c>
      <c r="E31" s="55">
        <f t="shared" si="22"/>
        <v>6.666666666666667</v>
      </c>
      <c r="F31" s="55">
        <f t="shared" si="22"/>
        <v>6.666666666666667</v>
      </c>
      <c r="G31" s="55">
        <f t="shared" si="22"/>
        <v>6.666666666666667</v>
      </c>
      <c r="H31" s="55">
        <f t="shared" si="22"/>
        <v>6.666666666666667</v>
      </c>
      <c r="I31" s="55">
        <f t="shared" si="22"/>
        <v>6.666666666666667</v>
      </c>
      <c r="J31" s="55">
        <f t="shared" si="22"/>
        <v>6.666666666666667</v>
      </c>
      <c r="K31" s="55">
        <f t="shared" si="22"/>
        <v>6.666666666666667</v>
      </c>
      <c r="L31" s="55">
        <f t="shared" si="22"/>
        <v>6.666666666666667</v>
      </c>
      <c r="M31" s="55">
        <f t="shared" si="22"/>
        <v>6.666666666666667</v>
      </c>
      <c r="N31" s="55">
        <f t="shared" si="22"/>
        <v>6.666666666666667</v>
      </c>
      <c r="O31" s="55">
        <f t="shared" si="22"/>
        <v>6.666666666666667</v>
      </c>
      <c r="P31" s="55">
        <f t="shared" si="22"/>
        <v>6.666666666666667</v>
      </c>
      <c r="Q31" s="55">
        <f t="shared" si="22"/>
        <v>6.666666666666667</v>
      </c>
      <c r="R31" s="55">
        <f>+R28/R29*12/16</f>
        <v>6.666666666666667</v>
      </c>
      <c r="S31" s="55">
        <f t="shared" ref="S31:AD31" si="23">+S28/S29*12/16</f>
        <v>6.666666666666667</v>
      </c>
      <c r="T31" s="55">
        <f t="shared" si="23"/>
        <v>6.666666666666667</v>
      </c>
      <c r="U31" s="55">
        <f t="shared" si="23"/>
        <v>6.666666666666667</v>
      </c>
      <c r="V31" s="55">
        <f t="shared" si="23"/>
        <v>6.666666666666667</v>
      </c>
      <c r="W31" s="55">
        <f t="shared" si="23"/>
        <v>6.666666666666667</v>
      </c>
      <c r="X31" s="55">
        <f t="shared" si="23"/>
        <v>6.666666666666667</v>
      </c>
      <c r="Y31" s="55">
        <f t="shared" si="23"/>
        <v>6.666666666666667</v>
      </c>
      <c r="Z31" s="55">
        <f t="shared" si="23"/>
        <v>6.666666666666667</v>
      </c>
      <c r="AA31" s="55">
        <f t="shared" si="23"/>
        <v>6.666666666666667</v>
      </c>
      <c r="AB31" s="55">
        <f t="shared" si="23"/>
        <v>6.666666666666667</v>
      </c>
      <c r="AC31" s="55">
        <f t="shared" si="23"/>
        <v>6.666666666666667</v>
      </c>
      <c r="AD31" s="55">
        <f t="shared" si="23"/>
        <v>6.666666666666667</v>
      </c>
    </row>
    <row r="32" spans="1:30" x14ac:dyDescent="0.25">
      <c r="A32" s="24" t="s">
        <v>72</v>
      </c>
      <c r="B32" s="24"/>
      <c r="C32" s="54">
        <f>+C30/16*12/C29</f>
        <v>16.666666666666668</v>
      </c>
      <c r="D32" s="55">
        <f t="shared" ref="D32:Q32" si="24">+D30/16*12/D29</f>
        <v>16.666666666666668</v>
      </c>
      <c r="E32" s="55">
        <f t="shared" si="24"/>
        <v>16.666666666666668</v>
      </c>
      <c r="F32" s="55">
        <f t="shared" si="24"/>
        <v>16.666666666666668</v>
      </c>
      <c r="G32" s="55">
        <f t="shared" si="24"/>
        <v>16.666666666666668</v>
      </c>
      <c r="H32" s="55">
        <f t="shared" si="24"/>
        <v>16.666666666666668</v>
      </c>
      <c r="I32" s="55">
        <f t="shared" si="24"/>
        <v>16.666666666666668</v>
      </c>
      <c r="J32" s="55">
        <f t="shared" si="24"/>
        <v>16.666666666666668</v>
      </c>
      <c r="K32" s="55">
        <f t="shared" si="24"/>
        <v>16.666666666666668</v>
      </c>
      <c r="L32" s="55">
        <f t="shared" si="24"/>
        <v>16.666666666666668</v>
      </c>
      <c r="M32" s="55">
        <f t="shared" si="24"/>
        <v>16.666666666666668</v>
      </c>
      <c r="N32" s="55">
        <f t="shared" si="24"/>
        <v>16.666666666666668</v>
      </c>
      <c r="O32" s="55">
        <f t="shared" si="24"/>
        <v>16.666666666666668</v>
      </c>
      <c r="P32" s="55">
        <f t="shared" si="24"/>
        <v>16.666666666666668</v>
      </c>
      <c r="Q32" s="55">
        <f t="shared" si="24"/>
        <v>16.666666666666668</v>
      </c>
      <c r="R32" s="55">
        <f>+R30/16*12/R29</f>
        <v>16.666666666666668</v>
      </c>
      <c r="S32" s="55">
        <f t="shared" ref="S32:AD32" si="25">+S30/16*12/S29</f>
        <v>16.666666666666668</v>
      </c>
      <c r="T32" s="55">
        <f t="shared" si="25"/>
        <v>16.666666666666668</v>
      </c>
      <c r="U32" s="55">
        <f t="shared" si="25"/>
        <v>16.666666666666668</v>
      </c>
      <c r="V32" s="55">
        <f t="shared" si="25"/>
        <v>16.666666666666668</v>
      </c>
      <c r="W32" s="55">
        <f t="shared" si="25"/>
        <v>16.666666666666668</v>
      </c>
      <c r="X32" s="55">
        <f t="shared" si="25"/>
        <v>16.666666666666668</v>
      </c>
      <c r="Y32" s="55">
        <f t="shared" si="25"/>
        <v>16.666666666666668</v>
      </c>
      <c r="Z32" s="55">
        <f t="shared" si="25"/>
        <v>16.666666666666668</v>
      </c>
      <c r="AA32" s="55">
        <f t="shared" si="25"/>
        <v>16.666666666666668</v>
      </c>
      <c r="AB32" s="55">
        <f t="shared" si="25"/>
        <v>16.666666666666668</v>
      </c>
      <c r="AC32" s="55">
        <f t="shared" si="25"/>
        <v>16.666666666666668</v>
      </c>
      <c r="AD32" s="55">
        <f t="shared" si="25"/>
        <v>16.666666666666668</v>
      </c>
    </row>
    <row r="33" spans="1:30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1:30" x14ac:dyDescent="0.25">
      <c r="A34" s="24" t="s">
        <v>73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1:30" x14ac:dyDescent="0.25">
      <c r="A35" s="24" t="s">
        <v>74</v>
      </c>
      <c r="B35" s="24" t="s">
        <v>75</v>
      </c>
      <c r="C35" s="33">
        <f>+C6</f>
        <v>3</v>
      </c>
      <c r="D35" s="34">
        <f t="shared" ref="D35:AD35" si="26">+D6</f>
        <v>3</v>
      </c>
      <c r="E35" s="34">
        <f t="shared" si="26"/>
        <v>3</v>
      </c>
      <c r="F35" s="34">
        <f t="shared" si="26"/>
        <v>3</v>
      </c>
      <c r="G35" s="34">
        <f t="shared" si="26"/>
        <v>3</v>
      </c>
      <c r="H35" s="34">
        <f t="shared" si="26"/>
        <v>3</v>
      </c>
      <c r="I35" s="34">
        <f t="shared" si="26"/>
        <v>3</v>
      </c>
      <c r="J35" s="34">
        <f t="shared" si="26"/>
        <v>3</v>
      </c>
      <c r="K35" s="34">
        <f t="shared" si="26"/>
        <v>3</v>
      </c>
      <c r="L35" s="34">
        <f t="shared" si="26"/>
        <v>3</v>
      </c>
      <c r="M35" s="34">
        <f t="shared" si="26"/>
        <v>3</v>
      </c>
      <c r="N35" s="34">
        <f t="shared" si="26"/>
        <v>3</v>
      </c>
      <c r="O35" s="34">
        <f t="shared" si="26"/>
        <v>1</v>
      </c>
      <c r="P35" s="34">
        <f t="shared" si="26"/>
        <v>3</v>
      </c>
      <c r="Q35" s="34">
        <f t="shared" si="26"/>
        <v>3</v>
      </c>
      <c r="R35" s="34">
        <f t="shared" si="26"/>
        <v>3</v>
      </c>
      <c r="S35" s="34">
        <f t="shared" si="26"/>
        <v>3</v>
      </c>
      <c r="T35" s="34">
        <f t="shared" si="26"/>
        <v>3</v>
      </c>
      <c r="U35" s="34">
        <f t="shared" si="26"/>
        <v>3</v>
      </c>
      <c r="V35" s="34">
        <f t="shared" si="26"/>
        <v>3</v>
      </c>
      <c r="W35" s="34">
        <f t="shared" si="26"/>
        <v>3</v>
      </c>
      <c r="X35" s="34">
        <f t="shared" si="26"/>
        <v>3</v>
      </c>
      <c r="Y35" s="34">
        <f t="shared" si="26"/>
        <v>3</v>
      </c>
      <c r="Z35" s="34">
        <f t="shared" si="26"/>
        <v>3</v>
      </c>
      <c r="AA35" s="34">
        <f t="shared" si="26"/>
        <v>3</v>
      </c>
      <c r="AB35" s="34">
        <f t="shared" si="26"/>
        <v>1</v>
      </c>
      <c r="AC35" s="34">
        <f t="shared" si="26"/>
        <v>40</v>
      </c>
      <c r="AD35" s="34">
        <f t="shared" si="26"/>
        <v>1</v>
      </c>
    </row>
    <row r="36" spans="1:30" x14ac:dyDescent="0.25">
      <c r="A36" s="24" t="s">
        <v>76</v>
      </c>
      <c r="B36" s="24"/>
      <c r="C36" s="31">
        <f>+C5</f>
        <v>35</v>
      </c>
      <c r="D36" s="32">
        <f t="shared" ref="D36:AD36" si="27">+D5</f>
        <v>35</v>
      </c>
      <c r="E36" s="32">
        <f t="shared" si="27"/>
        <v>35</v>
      </c>
      <c r="F36" s="32">
        <f t="shared" si="27"/>
        <v>35</v>
      </c>
      <c r="G36" s="32">
        <f t="shared" si="27"/>
        <v>35</v>
      </c>
      <c r="H36" s="32">
        <f t="shared" si="27"/>
        <v>35</v>
      </c>
      <c r="I36" s="32">
        <f t="shared" si="27"/>
        <v>35</v>
      </c>
      <c r="J36" s="32">
        <f t="shared" si="27"/>
        <v>35</v>
      </c>
      <c r="K36" s="32">
        <f t="shared" si="27"/>
        <v>35</v>
      </c>
      <c r="L36" s="32">
        <f t="shared" si="27"/>
        <v>35</v>
      </c>
      <c r="M36" s="32">
        <f t="shared" si="27"/>
        <v>35</v>
      </c>
      <c r="N36" s="32">
        <f t="shared" si="27"/>
        <v>35</v>
      </c>
      <c r="O36" s="32">
        <f t="shared" si="27"/>
        <v>35</v>
      </c>
      <c r="P36" s="32">
        <f t="shared" si="27"/>
        <v>35</v>
      </c>
      <c r="Q36" s="32">
        <f t="shared" si="27"/>
        <v>35</v>
      </c>
      <c r="R36" s="32">
        <f t="shared" si="27"/>
        <v>35</v>
      </c>
      <c r="S36" s="32">
        <f t="shared" si="27"/>
        <v>35</v>
      </c>
      <c r="T36" s="32">
        <f t="shared" si="27"/>
        <v>35</v>
      </c>
      <c r="U36" s="32">
        <f t="shared" si="27"/>
        <v>35</v>
      </c>
      <c r="V36" s="32">
        <f t="shared" si="27"/>
        <v>35</v>
      </c>
      <c r="W36" s="32">
        <f t="shared" si="27"/>
        <v>35</v>
      </c>
      <c r="X36" s="32">
        <f t="shared" si="27"/>
        <v>35</v>
      </c>
      <c r="Y36" s="32">
        <f t="shared" si="27"/>
        <v>35</v>
      </c>
      <c r="Z36" s="32">
        <f t="shared" si="27"/>
        <v>35</v>
      </c>
      <c r="AA36" s="32">
        <f t="shared" si="27"/>
        <v>35</v>
      </c>
      <c r="AB36" s="32">
        <f t="shared" si="27"/>
        <v>35</v>
      </c>
      <c r="AC36" s="32">
        <f t="shared" si="27"/>
        <v>80</v>
      </c>
      <c r="AD36" s="32">
        <f t="shared" si="27"/>
        <v>1</v>
      </c>
    </row>
    <row r="37" spans="1:30" x14ac:dyDescent="0.25">
      <c r="A37" s="24" t="s">
        <v>77</v>
      </c>
      <c r="B37" s="24"/>
      <c r="C37" s="37">
        <v>1</v>
      </c>
      <c r="D37" s="38">
        <v>1</v>
      </c>
      <c r="E37" s="38">
        <v>1</v>
      </c>
      <c r="F37" s="38">
        <v>0.75</v>
      </c>
      <c r="G37" s="38">
        <v>0.75</v>
      </c>
      <c r="H37" s="38">
        <v>0.75</v>
      </c>
      <c r="I37" s="38">
        <v>0.5</v>
      </c>
      <c r="J37" s="38">
        <v>0.5</v>
      </c>
      <c r="K37" s="38">
        <v>0.5</v>
      </c>
      <c r="L37" s="38">
        <v>1</v>
      </c>
      <c r="M37" s="38">
        <v>1</v>
      </c>
      <c r="N37" s="38">
        <v>1</v>
      </c>
      <c r="O37" s="38">
        <v>1</v>
      </c>
      <c r="P37" s="38">
        <v>0.75</v>
      </c>
      <c r="Q37" s="38">
        <v>0.75</v>
      </c>
      <c r="R37" s="38">
        <v>0.75</v>
      </c>
      <c r="S37" s="38">
        <v>0.5</v>
      </c>
      <c r="T37" s="38">
        <v>0.5</v>
      </c>
      <c r="U37" s="38">
        <v>1</v>
      </c>
      <c r="V37" s="38">
        <v>1</v>
      </c>
      <c r="W37" s="38">
        <v>0.5</v>
      </c>
      <c r="X37" s="38">
        <v>0.5</v>
      </c>
      <c r="Y37" s="38">
        <v>0.39</v>
      </c>
      <c r="Z37" s="38">
        <v>0.39</v>
      </c>
      <c r="AA37" s="38">
        <v>0.39</v>
      </c>
      <c r="AB37" s="38">
        <v>0.39</v>
      </c>
      <c r="AC37" s="38">
        <v>0.66</v>
      </c>
      <c r="AD37" s="38">
        <v>0.66</v>
      </c>
    </row>
    <row r="38" spans="1:30" x14ac:dyDescent="0.25">
      <c r="A38" s="24" t="s">
        <v>78</v>
      </c>
      <c r="B38" s="24"/>
      <c r="C38" s="29">
        <v>0.3</v>
      </c>
      <c r="D38" s="30">
        <v>0.3</v>
      </c>
      <c r="E38" s="30">
        <v>0.3</v>
      </c>
      <c r="F38" s="30">
        <v>0.3</v>
      </c>
      <c r="G38" s="30">
        <v>0.3</v>
      </c>
      <c r="H38" s="30">
        <v>0.3</v>
      </c>
      <c r="I38" s="30">
        <v>0.3</v>
      </c>
      <c r="J38" s="30">
        <v>0.3</v>
      </c>
      <c r="K38" s="30">
        <v>0.3</v>
      </c>
      <c r="L38" s="30">
        <v>0.65</v>
      </c>
      <c r="M38" s="30">
        <v>0.65</v>
      </c>
      <c r="N38" s="30">
        <v>0.65</v>
      </c>
      <c r="O38" s="30">
        <v>0.65</v>
      </c>
      <c r="P38" s="30">
        <v>0.65</v>
      </c>
      <c r="Q38" s="30">
        <v>0.65</v>
      </c>
      <c r="R38" s="30">
        <v>0.65</v>
      </c>
      <c r="S38" s="30">
        <v>0.65</v>
      </c>
      <c r="T38" s="30">
        <v>0.65</v>
      </c>
      <c r="U38" s="30">
        <v>4.9000000000000004</v>
      </c>
      <c r="V38" s="30">
        <v>4.9000000000000004</v>
      </c>
      <c r="W38" s="30">
        <v>4.9000000000000004</v>
      </c>
      <c r="X38" s="30">
        <v>4.9000000000000004</v>
      </c>
      <c r="Y38" s="30">
        <v>2.5</v>
      </c>
      <c r="Z38" s="30">
        <v>2.5</v>
      </c>
      <c r="AA38" s="30">
        <v>2.5</v>
      </c>
      <c r="AB38" s="30">
        <v>2.5</v>
      </c>
      <c r="AC38" s="30">
        <v>7.99</v>
      </c>
      <c r="AD38" s="30">
        <v>7.99</v>
      </c>
    </row>
    <row r="39" spans="1:30" x14ac:dyDescent="0.25">
      <c r="A39" s="24" t="s">
        <v>79</v>
      </c>
      <c r="B39" s="24"/>
      <c r="C39" s="31">
        <f>+C37*C38</f>
        <v>0.3</v>
      </c>
      <c r="D39" s="32">
        <f t="shared" ref="D39:Q39" si="28">+D37*D38</f>
        <v>0.3</v>
      </c>
      <c r="E39" s="32">
        <f t="shared" si="28"/>
        <v>0.3</v>
      </c>
      <c r="F39" s="32">
        <f t="shared" si="28"/>
        <v>0.22499999999999998</v>
      </c>
      <c r="G39" s="32">
        <f t="shared" si="28"/>
        <v>0.22499999999999998</v>
      </c>
      <c r="H39" s="32">
        <f t="shared" si="28"/>
        <v>0.22499999999999998</v>
      </c>
      <c r="I39" s="32">
        <f t="shared" si="28"/>
        <v>0.15</v>
      </c>
      <c r="J39" s="32">
        <f t="shared" si="28"/>
        <v>0.15</v>
      </c>
      <c r="K39" s="32">
        <f t="shared" si="28"/>
        <v>0.15</v>
      </c>
      <c r="L39" s="32">
        <f t="shared" si="28"/>
        <v>0.65</v>
      </c>
      <c r="M39" s="32">
        <f t="shared" si="28"/>
        <v>0.65</v>
      </c>
      <c r="N39" s="32">
        <f t="shared" si="28"/>
        <v>0.65</v>
      </c>
      <c r="O39" s="32">
        <f t="shared" si="28"/>
        <v>0.65</v>
      </c>
      <c r="P39" s="32">
        <f t="shared" si="28"/>
        <v>0.48750000000000004</v>
      </c>
      <c r="Q39" s="32">
        <f t="shared" si="28"/>
        <v>0.48750000000000004</v>
      </c>
      <c r="R39" s="32">
        <f>+R37*R38</f>
        <v>0.48750000000000004</v>
      </c>
      <c r="S39" s="32">
        <f t="shared" ref="S39:AD39" si="29">+S37*S38</f>
        <v>0.32500000000000001</v>
      </c>
      <c r="T39" s="32">
        <f t="shared" si="29"/>
        <v>0.32500000000000001</v>
      </c>
      <c r="U39" s="32">
        <f t="shared" si="29"/>
        <v>4.9000000000000004</v>
      </c>
      <c r="V39" s="32">
        <f t="shared" si="29"/>
        <v>4.9000000000000004</v>
      </c>
      <c r="W39" s="32">
        <f t="shared" si="29"/>
        <v>2.4500000000000002</v>
      </c>
      <c r="X39" s="32">
        <f t="shared" si="29"/>
        <v>2.4500000000000002</v>
      </c>
      <c r="Y39" s="32">
        <f t="shared" si="29"/>
        <v>0.97500000000000009</v>
      </c>
      <c r="Z39" s="32">
        <f t="shared" si="29"/>
        <v>0.97500000000000009</v>
      </c>
      <c r="AA39" s="32">
        <f t="shared" si="29"/>
        <v>0.97500000000000009</v>
      </c>
      <c r="AB39" s="32">
        <f t="shared" si="29"/>
        <v>0.97500000000000009</v>
      </c>
      <c r="AC39" s="32">
        <f t="shared" si="29"/>
        <v>5.2734000000000005</v>
      </c>
      <c r="AD39" s="32">
        <f t="shared" si="29"/>
        <v>5.2734000000000005</v>
      </c>
    </row>
    <row r="40" spans="1:30" x14ac:dyDescent="0.25">
      <c r="A40" s="24" t="s">
        <v>80</v>
      </c>
      <c r="B40" s="24"/>
      <c r="C40" s="29">
        <v>54</v>
      </c>
      <c r="D40" s="30">
        <v>54</v>
      </c>
      <c r="E40" s="30">
        <v>54</v>
      </c>
      <c r="F40" s="30">
        <v>54</v>
      </c>
      <c r="G40" s="30">
        <v>54</v>
      </c>
      <c r="H40" s="30">
        <v>54</v>
      </c>
      <c r="I40" s="30">
        <v>54</v>
      </c>
      <c r="J40" s="30">
        <v>54</v>
      </c>
      <c r="K40" s="30">
        <v>54</v>
      </c>
      <c r="L40" s="30">
        <v>84</v>
      </c>
      <c r="M40" s="30">
        <v>84</v>
      </c>
      <c r="N40" s="30">
        <v>84</v>
      </c>
      <c r="O40" s="30">
        <v>84</v>
      </c>
      <c r="P40" s="30">
        <v>84</v>
      </c>
      <c r="Q40" s="30">
        <v>84</v>
      </c>
      <c r="R40" s="30">
        <v>84</v>
      </c>
      <c r="S40" s="30">
        <v>84</v>
      </c>
      <c r="T40" s="30">
        <v>84</v>
      </c>
      <c r="U40" s="30">
        <f>+(7+31+3)*2.26</f>
        <v>92.66</v>
      </c>
      <c r="V40" s="30">
        <f t="shared" ref="V40:X40" si="30">+(7+31+3)*2.26</f>
        <v>92.66</v>
      </c>
      <c r="W40" s="30">
        <f t="shared" si="30"/>
        <v>92.66</v>
      </c>
      <c r="X40" s="30">
        <f t="shared" si="30"/>
        <v>92.66</v>
      </c>
      <c r="Y40" s="30">
        <f>365-(7+31+3)*2.26</f>
        <v>272.34000000000003</v>
      </c>
      <c r="Z40" s="30">
        <f t="shared" ref="Z40:AB40" si="31">365-(7+31+3)*2.26</f>
        <v>272.34000000000003</v>
      </c>
      <c r="AA40" s="30">
        <f t="shared" si="31"/>
        <v>272.34000000000003</v>
      </c>
      <c r="AB40" s="30">
        <f t="shared" si="31"/>
        <v>272.34000000000003</v>
      </c>
      <c r="AC40" s="30">
        <v>365</v>
      </c>
      <c r="AD40" s="30">
        <v>365</v>
      </c>
    </row>
    <row r="41" spans="1:30" x14ac:dyDescent="0.25">
      <c r="A41" s="24" t="s">
        <v>81</v>
      </c>
      <c r="B41" s="24" t="s">
        <v>82</v>
      </c>
      <c r="C41" s="29">
        <v>24.3</v>
      </c>
      <c r="D41" s="30">
        <v>24.3</v>
      </c>
      <c r="E41" s="30">
        <v>24.3</v>
      </c>
      <c r="F41" s="30">
        <v>24.3</v>
      </c>
      <c r="G41" s="30">
        <v>24.3</v>
      </c>
      <c r="H41" s="30">
        <v>24.3</v>
      </c>
      <c r="I41" s="30">
        <v>24.3</v>
      </c>
      <c r="J41" s="30">
        <v>24.3</v>
      </c>
      <c r="K41" s="30">
        <v>24.3</v>
      </c>
      <c r="L41" s="30">
        <v>84</v>
      </c>
      <c r="M41" s="30">
        <v>84</v>
      </c>
      <c r="N41" s="30">
        <v>84</v>
      </c>
      <c r="O41" s="30">
        <v>84</v>
      </c>
      <c r="P41" s="30">
        <v>84</v>
      </c>
      <c r="Q41" s="30">
        <v>84</v>
      </c>
      <c r="R41" s="30">
        <v>84</v>
      </c>
      <c r="S41" s="30">
        <v>84</v>
      </c>
      <c r="T41" s="30">
        <v>84</v>
      </c>
      <c r="U41" s="30">
        <v>1</v>
      </c>
      <c r="V41" s="30">
        <v>1</v>
      </c>
      <c r="W41" s="30">
        <v>1</v>
      </c>
      <c r="X41" s="30">
        <v>1</v>
      </c>
      <c r="Y41" s="30">
        <v>1</v>
      </c>
      <c r="Z41" s="30">
        <v>1</v>
      </c>
      <c r="AA41" s="30">
        <v>1</v>
      </c>
      <c r="AB41" s="30">
        <v>1</v>
      </c>
      <c r="AC41" s="30">
        <v>40</v>
      </c>
      <c r="AD41" s="30">
        <v>40</v>
      </c>
    </row>
    <row r="42" spans="1:30" x14ac:dyDescent="0.25">
      <c r="A42" s="24" t="s">
        <v>83</v>
      </c>
      <c r="B42" s="24" t="s">
        <v>84</v>
      </c>
      <c r="C42" s="29">
        <v>1.86</v>
      </c>
      <c r="D42" s="30">
        <v>1.86</v>
      </c>
      <c r="E42" s="30">
        <v>1.86</v>
      </c>
      <c r="F42" s="30">
        <v>1.86</v>
      </c>
      <c r="G42" s="30">
        <v>1.86</v>
      </c>
      <c r="H42" s="30">
        <v>1.86</v>
      </c>
      <c r="I42" s="30">
        <v>1.86</v>
      </c>
      <c r="J42" s="30">
        <v>1.86</v>
      </c>
      <c r="K42" s="30">
        <v>1.86</v>
      </c>
      <c r="L42" s="30">
        <v>2.75</v>
      </c>
      <c r="M42" s="30">
        <v>2.75</v>
      </c>
      <c r="N42" s="30">
        <v>2.75</v>
      </c>
      <c r="O42" s="30">
        <v>2.75</v>
      </c>
      <c r="P42" s="30">
        <v>2.75</v>
      </c>
      <c r="Q42" s="30">
        <v>2.75</v>
      </c>
      <c r="R42" s="30">
        <v>2.75</v>
      </c>
      <c r="S42" s="30">
        <v>2.75</v>
      </c>
      <c r="T42" s="30">
        <v>2.75</v>
      </c>
      <c r="U42" s="30">
        <f>1497*0.3</f>
        <v>449.09999999999997</v>
      </c>
      <c r="V42" s="30">
        <f t="shared" ref="V42:X42" si="32">1497*0.3</f>
        <v>449.09999999999997</v>
      </c>
      <c r="W42" s="30">
        <f t="shared" si="32"/>
        <v>449.09999999999997</v>
      </c>
      <c r="X42" s="30">
        <f t="shared" si="32"/>
        <v>449.09999999999997</v>
      </c>
      <c r="Y42" s="30">
        <f>1497*(1-0.3)</f>
        <v>1047.8999999999999</v>
      </c>
      <c r="Z42" s="30">
        <f t="shared" ref="Z42:AB42" si="33">1497*(1-0.3)</f>
        <v>1047.8999999999999</v>
      </c>
      <c r="AA42" s="30">
        <f t="shared" si="33"/>
        <v>1047.8999999999999</v>
      </c>
      <c r="AB42" s="30">
        <f t="shared" si="33"/>
        <v>1047.8999999999999</v>
      </c>
      <c r="AC42" s="30"/>
      <c r="AD42" s="30"/>
    </row>
    <row r="43" spans="1:30" x14ac:dyDescent="0.25">
      <c r="A43" s="24" t="s">
        <v>85</v>
      </c>
      <c r="B43" s="24" t="s">
        <v>84</v>
      </c>
      <c r="C43" s="29">
        <v>1.1000000000000001</v>
      </c>
      <c r="D43" s="30">
        <v>1.1000000000000001</v>
      </c>
      <c r="E43" s="30">
        <v>1.1000000000000001</v>
      </c>
      <c r="F43" s="30">
        <v>1.1000000000000001</v>
      </c>
      <c r="G43" s="30">
        <v>1.1000000000000001</v>
      </c>
      <c r="H43" s="30">
        <v>1.1000000000000001</v>
      </c>
      <c r="I43" s="30">
        <v>1.1000000000000001</v>
      </c>
      <c r="J43" s="30">
        <v>1.1000000000000001</v>
      </c>
      <c r="K43" s="30">
        <v>1.1000000000000001</v>
      </c>
      <c r="L43" s="30">
        <v>1.04</v>
      </c>
      <c r="M43" s="30">
        <v>1.04</v>
      </c>
      <c r="N43" s="30">
        <v>1.04</v>
      </c>
      <c r="O43" s="30">
        <v>1.04</v>
      </c>
      <c r="P43" s="30">
        <v>1.04</v>
      </c>
      <c r="Q43" s="30">
        <v>1.04</v>
      </c>
      <c r="R43" s="30">
        <v>1.04</v>
      </c>
      <c r="S43" s="30">
        <v>1.04</v>
      </c>
      <c r="T43" s="30">
        <v>1.04</v>
      </c>
      <c r="U43" s="30">
        <v>1.02</v>
      </c>
      <c r="V43" s="30">
        <v>1.02</v>
      </c>
      <c r="W43" s="30">
        <v>1.02</v>
      </c>
      <c r="X43" s="30">
        <v>1.02</v>
      </c>
      <c r="Y43" s="30">
        <v>1.02</v>
      </c>
      <c r="Z43" s="30">
        <v>1.02</v>
      </c>
      <c r="AA43" s="30">
        <v>1.02</v>
      </c>
      <c r="AB43" s="30">
        <v>1.02</v>
      </c>
      <c r="AC43" s="30"/>
      <c r="AD43" s="30"/>
    </row>
    <row r="44" spans="1:30" x14ac:dyDescent="0.25">
      <c r="A44" s="24" t="s">
        <v>86</v>
      </c>
      <c r="B44" s="24" t="s">
        <v>87</v>
      </c>
      <c r="C44" s="29">
        <v>0.87</v>
      </c>
      <c r="D44" s="30">
        <v>0.87</v>
      </c>
      <c r="E44" s="30">
        <v>0.87</v>
      </c>
      <c r="F44" s="30">
        <v>0.87</v>
      </c>
      <c r="G44" s="30">
        <v>0.87</v>
      </c>
      <c r="H44" s="30">
        <v>0.87</v>
      </c>
      <c r="I44" s="30">
        <v>0.87</v>
      </c>
      <c r="J44" s="30">
        <v>0.87</v>
      </c>
      <c r="K44" s="30">
        <v>0.87</v>
      </c>
      <c r="L44" s="30">
        <v>0.87</v>
      </c>
      <c r="M44" s="30">
        <v>0.87</v>
      </c>
      <c r="N44" s="30">
        <v>0.87</v>
      </c>
      <c r="O44" s="30">
        <v>0.87</v>
      </c>
      <c r="P44" s="30">
        <v>0.87</v>
      </c>
      <c r="Q44" s="30">
        <v>0.87</v>
      </c>
      <c r="R44" s="30">
        <v>0.87</v>
      </c>
      <c r="S44" s="30">
        <v>0.87</v>
      </c>
      <c r="T44" s="30">
        <v>0.87</v>
      </c>
      <c r="U44" s="30">
        <v>0.87</v>
      </c>
      <c r="V44" s="30">
        <v>0.87</v>
      </c>
      <c r="W44" s="30">
        <v>0.87</v>
      </c>
      <c r="X44" s="30">
        <v>0.87</v>
      </c>
      <c r="Y44" s="30">
        <v>0.87</v>
      </c>
      <c r="Z44" s="30">
        <v>0.87</v>
      </c>
      <c r="AA44" s="30">
        <v>0.87</v>
      </c>
      <c r="AB44" s="30">
        <v>0.87</v>
      </c>
      <c r="AC44" s="30"/>
      <c r="AD44" s="30"/>
    </row>
    <row r="45" spans="1:30" x14ac:dyDescent="0.25">
      <c r="A45" s="24" t="s">
        <v>88</v>
      </c>
      <c r="B45" s="24"/>
      <c r="C45" s="56">
        <f t="shared" ref="C45:AB45" si="34">+C41*C42/C43</f>
        <v>41.089090909090906</v>
      </c>
      <c r="D45" s="57">
        <f t="shared" si="34"/>
        <v>41.089090909090906</v>
      </c>
      <c r="E45" s="57">
        <f t="shared" si="34"/>
        <v>41.089090909090906</v>
      </c>
      <c r="F45" s="57">
        <f t="shared" si="34"/>
        <v>41.089090909090906</v>
      </c>
      <c r="G45" s="57">
        <f t="shared" si="34"/>
        <v>41.089090909090906</v>
      </c>
      <c r="H45" s="57">
        <f t="shared" si="34"/>
        <v>41.089090909090906</v>
      </c>
      <c r="I45" s="57">
        <f t="shared" si="34"/>
        <v>41.089090909090906</v>
      </c>
      <c r="J45" s="57">
        <f t="shared" si="34"/>
        <v>41.089090909090906</v>
      </c>
      <c r="K45" s="57">
        <f t="shared" si="34"/>
        <v>41.089090909090906</v>
      </c>
      <c r="L45" s="57">
        <f t="shared" si="34"/>
        <v>222.11538461538461</v>
      </c>
      <c r="M45" s="57">
        <f t="shared" si="34"/>
        <v>222.11538461538461</v>
      </c>
      <c r="N45" s="57">
        <f t="shared" si="34"/>
        <v>222.11538461538461</v>
      </c>
      <c r="O45" s="57">
        <f t="shared" si="34"/>
        <v>222.11538461538461</v>
      </c>
      <c r="P45" s="57">
        <f t="shared" si="34"/>
        <v>222.11538461538461</v>
      </c>
      <c r="Q45" s="57">
        <f t="shared" si="34"/>
        <v>222.11538461538461</v>
      </c>
      <c r="R45" s="57">
        <f t="shared" si="34"/>
        <v>222.11538461538461</v>
      </c>
      <c r="S45" s="57">
        <f t="shared" si="34"/>
        <v>222.11538461538461</v>
      </c>
      <c r="T45" s="57">
        <f t="shared" si="34"/>
        <v>222.11538461538461</v>
      </c>
      <c r="U45" s="57">
        <f t="shared" si="34"/>
        <v>440.29411764705878</v>
      </c>
      <c r="V45" s="57">
        <f t="shared" si="34"/>
        <v>440.29411764705878</v>
      </c>
      <c r="W45" s="57">
        <f t="shared" si="34"/>
        <v>440.29411764705878</v>
      </c>
      <c r="X45" s="57">
        <f t="shared" si="34"/>
        <v>440.29411764705878</v>
      </c>
      <c r="Y45" s="57">
        <f t="shared" si="34"/>
        <v>1027.3529411764705</v>
      </c>
      <c r="Z45" s="57">
        <f t="shared" si="34"/>
        <v>1027.3529411764705</v>
      </c>
      <c r="AA45" s="57">
        <f t="shared" si="34"/>
        <v>1027.3529411764705</v>
      </c>
      <c r="AB45" s="57">
        <f t="shared" si="34"/>
        <v>1027.3529411764705</v>
      </c>
      <c r="AC45" s="30"/>
      <c r="AD45" s="30"/>
    </row>
    <row r="46" spans="1:30" x14ac:dyDescent="0.25">
      <c r="A46" s="24" t="s">
        <v>89</v>
      </c>
      <c r="B46" s="24" t="s">
        <v>90</v>
      </c>
      <c r="C46" s="56">
        <f t="shared" ref="C46:AB46" si="35">+C44*C45</f>
        <v>35.747509090909091</v>
      </c>
      <c r="D46" s="57">
        <f t="shared" si="35"/>
        <v>35.747509090909091</v>
      </c>
      <c r="E46" s="57">
        <f t="shared" si="35"/>
        <v>35.747509090909091</v>
      </c>
      <c r="F46" s="57">
        <f t="shared" si="35"/>
        <v>35.747509090909091</v>
      </c>
      <c r="G46" s="57">
        <f t="shared" si="35"/>
        <v>35.747509090909091</v>
      </c>
      <c r="H46" s="57">
        <f t="shared" si="35"/>
        <v>35.747509090909091</v>
      </c>
      <c r="I46" s="57">
        <f t="shared" si="35"/>
        <v>35.747509090909091</v>
      </c>
      <c r="J46" s="57">
        <f t="shared" si="35"/>
        <v>35.747509090909091</v>
      </c>
      <c r="K46" s="57">
        <f t="shared" si="35"/>
        <v>35.747509090909091</v>
      </c>
      <c r="L46" s="57">
        <f t="shared" si="35"/>
        <v>193.24038461538461</v>
      </c>
      <c r="M46" s="57">
        <f t="shared" si="35"/>
        <v>193.24038461538461</v>
      </c>
      <c r="N46" s="57">
        <f t="shared" si="35"/>
        <v>193.24038461538461</v>
      </c>
      <c r="O46" s="57">
        <f t="shared" si="35"/>
        <v>193.24038461538461</v>
      </c>
      <c r="P46" s="57">
        <f t="shared" si="35"/>
        <v>193.24038461538461</v>
      </c>
      <c r="Q46" s="57">
        <f t="shared" si="35"/>
        <v>193.24038461538461</v>
      </c>
      <c r="R46" s="57">
        <f t="shared" si="35"/>
        <v>193.24038461538461</v>
      </c>
      <c r="S46" s="57">
        <f t="shared" si="35"/>
        <v>193.24038461538461</v>
      </c>
      <c r="T46" s="57">
        <f t="shared" si="35"/>
        <v>193.24038461538461</v>
      </c>
      <c r="U46" s="57">
        <f t="shared" si="35"/>
        <v>383.05588235294113</v>
      </c>
      <c r="V46" s="57">
        <f t="shared" si="35"/>
        <v>383.05588235294113</v>
      </c>
      <c r="W46" s="57">
        <f t="shared" si="35"/>
        <v>383.05588235294113</v>
      </c>
      <c r="X46" s="57">
        <f t="shared" si="35"/>
        <v>383.05588235294113</v>
      </c>
      <c r="Y46" s="57">
        <f t="shared" si="35"/>
        <v>893.79705882352937</v>
      </c>
      <c r="Z46" s="57">
        <f t="shared" si="35"/>
        <v>893.79705882352937</v>
      </c>
      <c r="AA46" s="57">
        <f t="shared" si="35"/>
        <v>893.79705882352937</v>
      </c>
      <c r="AB46" s="57">
        <f t="shared" si="35"/>
        <v>893.79705882352937</v>
      </c>
      <c r="AC46" s="30">
        <v>8246</v>
      </c>
      <c r="AD46" s="30">
        <v>8246</v>
      </c>
    </row>
    <row r="47" spans="1:30" x14ac:dyDescent="0.25">
      <c r="A47" s="24" t="s">
        <v>91</v>
      </c>
      <c r="B47" s="24" t="s">
        <v>92</v>
      </c>
      <c r="C47" s="29">
        <v>0.85</v>
      </c>
      <c r="D47" s="30">
        <v>0.85</v>
      </c>
      <c r="E47" s="30">
        <v>0.85</v>
      </c>
      <c r="F47" s="30">
        <v>0.85</v>
      </c>
      <c r="G47" s="30">
        <v>0.85</v>
      </c>
      <c r="H47" s="30">
        <v>0.85</v>
      </c>
      <c r="I47" s="30">
        <v>0.85</v>
      </c>
      <c r="J47" s="30">
        <v>0.85</v>
      </c>
      <c r="K47" s="30">
        <v>0.85</v>
      </c>
      <c r="L47" s="30">
        <v>0.83</v>
      </c>
      <c r="M47" s="30">
        <v>0.83</v>
      </c>
      <c r="N47" s="30">
        <v>0.83</v>
      </c>
      <c r="O47" s="30">
        <v>0.83</v>
      </c>
      <c r="P47" s="30">
        <v>0.83</v>
      </c>
      <c r="Q47" s="30">
        <v>0.83</v>
      </c>
      <c r="R47" s="30">
        <v>0.83</v>
      </c>
      <c r="S47" s="30">
        <v>0.83</v>
      </c>
      <c r="T47" s="30">
        <v>0.83</v>
      </c>
      <c r="U47" s="30">
        <v>0.81</v>
      </c>
      <c r="V47" s="30">
        <v>0.81</v>
      </c>
      <c r="W47" s="30">
        <v>0.81</v>
      </c>
      <c r="X47" s="30">
        <v>0.81</v>
      </c>
      <c r="Y47" s="30">
        <v>0.81</v>
      </c>
      <c r="Z47" s="30">
        <v>0.81</v>
      </c>
      <c r="AA47" s="30">
        <v>0.81</v>
      </c>
      <c r="AB47" s="30">
        <v>0.81</v>
      </c>
      <c r="AC47" s="30">
        <v>0.71</v>
      </c>
      <c r="AD47" s="30">
        <v>0.71</v>
      </c>
    </row>
    <row r="48" spans="1:30" x14ac:dyDescent="0.25">
      <c r="A48" s="24" t="s">
        <v>93</v>
      </c>
      <c r="B48" s="24" t="s">
        <v>94</v>
      </c>
      <c r="C48" s="29">
        <v>1</v>
      </c>
      <c r="D48" s="30">
        <v>1</v>
      </c>
      <c r="E48" s="30">
        <v>1</v>
      </c>
      <c r="F48" s="30">
        <v>1</v>
      </c>
      <c r="G48" s="30">
        <v>1</v>
      </c>
      <c r="H48" s="30">
        <v>1</v>
      </c>
      <c r="I48" s="30">
        <v>1</v>
      </c>
      <c r="J48" s="30">
        <v>1</v>
      </c>
      <c r="K48" s="30">
        <v>1</v>
      </c>
      <c r="L48" s="30">
        <v>1</v>
      </c>
      <c r="M48" s="30">
        <v>1</v>
      </c>
      <c r="N48" s="30">
        <v>1</v>
      </c>
      <c r="O48" s="30">
        <v>1</v>
      </c>
      <c r="P48" s="30">
        <v>1</v>
      </c>
      <c r="Q48" s="30">
        <v>1</v>
      </c>
      <c r="R48" s="30">
        <v>1</v>
      </c>
      <c r="S48" s="30">
        <v>1</v>
      </c>
      <c r="T48" s="30">
        <v>1</v>
      </c>
      <c r="U48" s="30">
        <v>1</v>
      </c>
      <c r="V48" s="30">
        <v>1</v>
      </c>
      <c r="W48" s="30">
        <v>1</v>
      </c>
      <c r="X48" s="30">
        <v>1</v>
      </c>
      <c r="Y48" s="30">
        <v>1</v>
      </c>
      <c r="Z48" s="30">
        <v>1</v>
      </c>
      <c r="AA48" s="30">
        <v>1</v>
      </c>
      <c r="AB48" s="30">
        <v>1</v>
      </c>
      <c r="AC48" s="30">
        <v>1</v>
      </c>
      <c r="AD48" s="30">
        <v>1</v>
      </c>
    </row>
    <row r="49" spans="1:30" x14ac:dyDescent="0.25">
      <c r="A49" s="24" t="s">
        <v>95</v>
      </c>
      <c r="B49" s="24"/>
      <c r="C49" s="54">
        <f t="shared" ref="C49:AD49" si="36">+C46*C48*(1-C47)</f>
        <v>5.3621263636363645</v>
      </c>
      <c r="D49" s="55">
        <f t="shared" si="36"/>
        <v>5.3621263636363645</v>
      </c>
      <c r="E49" s="55">
        <f t="shared" si="36"/>
        <v>5.3621263636363645</v>
      </c>
      <c r="F49" s="55">
        <f t="shared" si="36"/>
        <v>5.3621263636363645</v>
      </c>
      <c r="G49" s="55">
        <f t="shared" si="36"/>
        <v>5.3621263636363645</v>
      </c>
      <c r="H49" s="55">
        <f t="shared" si="36"/>
        <v>5.3621263636363645</v>
      </c>
      <c r="I49" s="55">
        <f t="shared" si="36"/>
        <v>5.3621263636363645</v>
      </c>
      <c r="J49" s="55">
        <f t="shared" si="36"/>
        <v>5.3621263636363645</v>
      </c>
      <c r="K49" s="55">
        <f t="shared" si="36"/>
        <v>5.3621263636363645</v>
      </c>
      <c r="L49" s="55">
        <f t="shared" si="36"/>
        <v>32.850865384615389</v>
      </c>
      <c r="M49" s="55">
        <f t="shared" si="36"/>
        <v>32.850865384615389</v>
      </c>
      <c r="N49" s="55">
        <f t="shared" si="36"/>
        <v>32.850865384615389</v>
      </c>
      <c r="O49" s="55">
        <f t="shared" si="36"/>
        <v>32.850865384615389</v>
      </c>
      <c r="P49" s="55">
        <f t="shared" si="36"/>
        <v>32.850865384615389</v>
      </c>
      <c r="Q49" s="55">
        <f t="shared" si="36"/>
        <v>32.850865384615389</v>
      </c>
      <c r="R49" s="55">
        <f t="shared" si="36"/>
        <v>32.850865384615389</v>
      </c>
      <c r="S49" s="55">
        <f t="shared" si="36"/>
        <v>32.850865384615389</v>
      </c>
      <c r="T49" s="55">
        <f t="shared" si="36"/>
        <v>32.850865384615389</v>
      </c>
      <c r="U49" s="55">
        <f t="shared" si="36"/>
        <v>72.78061764705879</v>
      </c>
      <c r="V49" s="55">
        <f t="shared" si="36"/>
        <v>72.78061764705879</v>
      </c>
      <c r="W49" s="55">
        <f t="shared" si="36"/>
        <v>72.78061764705879</v>
      </c>
      <c r="X49" s="55">
        <f t="shared" si="36"/>
        <v>72.78061764705879</v>
      </c>
      <c r="Y49" s="55">
        <f t="shared" si="36"/>
        <v>169.82144117647053</v>
      </c>
      <c r="Z49" s="55">
        <f t="shared" si="36"/>
        <v>169.82144117647053</v>
      </c>
      <c r="AA49" s="55">
        <f t="shared" si="36"/>
        <v>169.82144117647053</v>
      </c>
      <c r="AB49" s="55">
        <f t="shared" si="36"/>
        <v>169.82144117647053</v>
      </c>
      <c r="AC49" s="55">
        <f t="shared" si="36"/>
        <v>2391.34</v>
      </c>
      <c r="AD49" s="55">
        <f t="shared" si="36"/>
        <v>2391.34</v>
      </c>
    </row>
    <row r="50" spans="1:30" x14ac:dyDescent="0.25">
      <c r="A50" s="24" t="s">
        <v>96</v>
      </c>
      <c r="B50" s="24" t="s">
        <v>97</v>
      </c>
      <c r="C50" s="29">
        <v>0.25</v>
      </c>
      <c r="D50" s="30">
        <v>0.25</v>
      </c>
      <c r="E50" s="30">
        <v>0.25</v>
      </c>
      <c r="F50" s="30">
        <v>0.25</v>
      </c>
      <c r="G50" s="30">
        <v>0.25</v>
      </c>
      <c r="H50" s="30">
        <v>0.25</v>
      </c>
      <c r="I50" s="30">
        <v>0.25</v>
      </c>
      <c r="J50" s="30">
        <v>0.25</v>
      </c>
      <c r="K50" s="30">
        <v>0.25</v>
      </c>
      <c r="L50" s="30">
        <v>0.25</v>
      </c>
      <c r="M50" s="30">
        <v>0.25</v>
      </c>
      <c r="N50" s="30">
        <v>0.25</v>
      </c>
      <c r="O50" s="30">
        <v>0.25</v>
      </c>
      <c r="P50" s="30">
        <v>0.25</v>
      </c>
      <c r="Q50" s="30">
        <v>0.25</v>
      </c>
      <c r="R50" s="30">
        <v>0.25</v>
      </c>
      <c r="S50" s="30">
        <v>0.25</v>
      </c>
      <c r="T50" s="30">
        <v>0.25</v>
      </c>
      <c r="U50" s="30">
        <v>0.3</v>
      </c>
      <c r="V50" s="30">
        <v>0.3</v>
      </c>
      <c r="W50" s="30">
        <v>0.3</v>
      </c>
      <c r="X50" s="30">
        <v>0.3</v>
      </c>
      <c r="Y50" s="30">
        <v>0.3</v>
      </c>
      <c r="Z50" s="30">
        <v>0.3</v>
      </c>
      <c r="AA50" s="30">
        <v>0.3</v>
      </c>
      <c r="AB50" s="30">
        <v>0.3</v>
      </c>
      <c r="AC50" s="30">
        <v>0.13500000000000001</v>
      </c>
      <c r="AD50" s="30">
        <v>0.13500000000000001</v>
      </c>
    </row>
    <row r="51" spans="1:30" x14ac:dyDescent="0.25">
      <c r="A51" s="24" t="s">
        <v>98</v>
      </c>
      <c r="B51" s="24"/>
      <c r="C51" s="56">
        <f t="shared" ref="C51:AD51" si="37">+C46*(1-C47)/C50</f>
        <v>21.448505454545458</v>
      </c>
      <c r="D51" s="57">
        <f t="shared" si="37"/>
        <v>21.448505454545458</v>
      </c>
      <c r="E51" s="57">
        <f t="shared" si="37"/>
        <v>21.448505454545458</v>
      </c>
      <c r="F51" s="57">
        <f t="shared" si="37"/>
        <v>21.448505454545458</v>
      </c>
      <c r="G51" s="57">
        <f t="shared" si="37"/>
        <v>21.448505454545458</v>
      </c>
      <c r="H51" s="57">
        <f t="shared" si="37"/>
        <v>21.448505454545458</v>
      </c>
      <c r="I51" s="57">
        <f t="shared" si="37"/>
        <v>21.448505454545458</v>
      </c>
      <c r="J51" s="57">
        <f t="shared" si="37"/>
        <v>21.448505454545458</v>
      </c>
      <c r="K51" s="57">
        <f t="shared" si="37"/>
        <v>21.448505454545458</v>
      </c>
      <c r="L51" s="57">
        <f t="shared" si="37"/>
        <v>131.40346153846156</v>
      </c>
      <c r="M51" s="57">
        <f t="shared" si="37"/>
        <v>131.40346153846156</v>
      </c>
      <c r="N51" s="57">
        <f t="shared" si="37"/>
        <v>131.40346153846156</v>
      </c>
      <c r="O51" s="57">
        <f t="shared" si="37"/>
        <v>131.40346153846156</v>
      </c>
      <c r="P51" s="57">
        <f t="shared" si="37"/>
        <v>131.40346153846156</v>
      </c>
      <c r="Q51" s="57">
        <f t="shared" si="37"/>
        <v>131.40346153846156</v>
      </c>
      <c r="R51" s="57">
        <f t="shared" si="37"/>
        <v>131.40346153846156</v>
      </c>
      <c r="S51" s="57">
        <f t="shared" si="37"/>
        <v>131.40346153846156</v>
      </c>
      <c r="T51" s="57">
        <f t="shared" si="37"/>
        <v>131.40346153846156</v>
      </c>
      <c r="U51" s="57">
        <f t="shared" si="37"/>
        <v>242.60205882352932</v>
      </c>
      <c r="V51" s="57">
        <f t="shared" si="37"/>
        <v>242.60205882352932</v>
      </c>
      <c r="W51" s="57">
        <f t="shared" si="37"/>
        <v>242.60205882352932</v>
      </c>
      <c r="X51" s="57">
        <f t="shared" si="37"/>
        <v>242.60205882352932</v>
      </c>
      <c r="Y51" s="57">
        <f t="shared" si="37"/>
        <v>566.07147058823512</v>
      </c>
      <c r="Z51" s="57">
        <f t="shared" si="37"/>
        <v>566.07147058823512</v>
      </c>
      <c r="AA51" s="57">
        <f t="shared" si="37"/>
        <v>566.07147058823512</v>
      </c>
      <c r="AB51" s="57">
        <f t="shared" si="37"/>
        <v>566.07147058823512</v>
      </c>
      <c r="AC51" s="57">
        <f t="shared" si="37"/>
        <v>17713.629629629628</v>
      </c>
      <c r="AD51" s="57">
        <f t="shared" si="37"/>
        <v>17713.629629629628</v>
      </c>
    </row>
    <row r="52" spans="1:30" x14ac:dyDescent="0.25">
      <c r="A52" s="24" t="s">
        <v>99</v>
      </c>
      <c r="B52" s="24" t="s">
        <v>100</v>
      </c>
      <c r="C52" s="29">
        <v>2</v>
      </c>
      <c r="D52" s="30">
        <v>2</v>
      </c>
      <c r="E52" s="30">
        <v>2</v>
      </c>
      <c r="F52" s="30">
        <v>2</v>
      </c>
      <c r="G52" s="30">
        <v>2</v>
      </c>
      <c r="H52" s="30">
        <v>2</v>
      </c>
      <c r="I52" s="30">
        <v>2</v>
      </c>
      <c r="J52" s="30">
        <v>2</v>
      </c>
      <c r="K52" s="30">
        <v>2</v>
      </c>
      <c r="L52" s="30">
        <v>2</v>
      </c>
      <c r="M52" s="30">
        <v>2</v>
      </c>
      <c r="N52" s="30">
        <v>2</v>
      </c>
      <c r="O52" s="30">
        <v>2</v>
      </c>
      <c r="P52" s="30">
        <v>2</v>
      </c>
      <c r="Q52" s="30">
        <v>2</v>
      </c>
      <c r="R52" s="30">
        <v>2</v>
      </c>
      <c r="S52" s="30">
        <v>2</v>
      </c>
      <c r="T52" s="30">
        <v>2</v>
      </c>
      <c r="U52" s="30">
        <v>2.5</v>
      </c>
      <c r="V52" s="30">
        <v>2.5</v>
      </c>
      <c r="W52" s="30">
        <v>2.5</v>
      </c>
      <c r="X52" s="30">
        <v>2.5</v>
      </c>
      <c r="Y52" s="30">
        <v>2.5</v>
      </c>
      <c r="Z52" s="30">
        <v>2.5</v>
      </c>
      <c r="AA52" s="30">
        <v>2.5</v>
      </c>
      <c r="AB52" s="30">
        <v>2.5</v>
      </c>
      <c r="AC52" s="30">
        <v>1.85</v>
      </c>
      <c r="AD52" s="30">
        <v>1.85</v>
      </c>
    </row>
    <row r="53" spans="1:30" x14ac:dyDescent="0.25">
      <c r="A53" s="24" t="s">
        <v>101</v>
      </c>
      <c r="B53" s="24" t="s">
        <v>102</v>
      </c>
      <c r="C53" s="29">
        <v>0.02</v>
      </c>
      <c r="D53" s="30">
        <v>0.02</v>
      </c>
      <c r="E53" s="30">
        <v>0.02</v>
      </c>
      <c r="F53" s="30">
        <v>0.02</v>
      </c>
      <c r="G53" s="30">
        <v>0.02</v>
      </c>
      <c r="H53" s="30">
        <v>0.02</v>
      </c>
      <c r="I53" s="30">
        <v>0.02</v>
      </c>
      <c r="J53" s="30">
        <v>0.02</v>
      </c>
      <c r="K53" s="30">
        <v>0.02</v>
      </c>
      <c r="L53" s="30">
        <v>0.02</v>
      </c>
      <c r="M53" s="30">
        <v>0.02</v>
      </c>
      <c r="N53" s="30">
        <v>0.02</v>
      </c>
      <c r="O53" s="30">
        <v>0.02</v>
      </c>
      <c r="P53" s="30">
        <v>0.02</v>
      </c>
      <c r="Q53" s="30">
        <v>0.02</v>
      </c>
      <c r="R53" s="30">
        <v>0.02</v>
      </c>
      <c r="S53" s="30">
        <v>0.02</v>
      </c>
      <c r="T53" s="30">
        <v>0.02</v>
      </c>
      <c r="U53" s="30">
        <v>0.02</v>
      </c>
      <c r="V53" s="30">
        <v>0.02</v>
      </c>
      <c r="W53" s="30">
        <v>0.02</v>
      </c>
      <c r="X53" s="30">
        <v>0.02</v>
      </c>
      <c r="Y53" s="30">
        <v>0.02</v>
      </c>
      <c r="Z53" s="30">
        <v>0.02</v>
      </c>
      <c r="AA53" s="30">
        <v>0.02</v>
      </c>
      <c r="AB53" s="30">
        <v>0.02</v>
      </c>
      <c r="AC53" s="30">
        <v>0.05</v>
      </c>
      <c r="AD53" s="30">
        <v>0.05</v>
      </c>
    </row>
    <row r="54" spans="1:30" x14ac:dyDescent="0.25">
      <c r="A54" s="24" t="s">
        <v>103</v>
      </c>
      <c r="B54" s="24" t="s">
        <v>104</v>
      </c>
      <c r="C54" s="56">
        <f t="shared" ref="C54:AB54" si="38">+C46*C52</f>
        <v>71.495018181818182</v>
      </c>
      <c r="D54" s="57">
        <f t="shared" si="38"/>
        <v>71.495018181818182</v>
      </c>
      <c r="E54" s="57">
        <f t="shared" si="38"/>
        <v>71.495018181818182</v>
      </c>
      <c r="F54" s="57">
        <f t="shared" si="38"/>
        <v>71.495018181818182</v>
      </c>
      <c r="G54" s="57">
        <f t="shared" si="38"/>
        <v>71.495018181818182</v>
      </c>
      <c r="H54" s="57">
        <f t="shared" si="38"/>
        <v>71.495018181818182</v>
      </c>
      <c r="I54" s="57">
        <f t="shared" si="38"/>
        <v>71.495018181818182</v>
      </c>
      <c r="J54" s="57">
        <f t="shared" si="38"/>
        <v>71.495018181818182</v>
      </c>
      <c r="K54" s="57">
        <f t="shared" si="38"/>
        <v>71.495018181818182</v>
      </c>
      <c r="L54" s="57">
        <f t="shared" si="38"/>
        <v>386.48076923076923</v>
      </c>
      <c r="M54" s="57">
        <f t="shared" si="38"/>
        <v>386.48076923076923</v>
      </c>
      <c r="N54" s="57">
        <f t="shared" si="38"/>
        <v>386.48076923076923</v>
      </c>
      <c r="O54" s="57">
        <f t="shared" si="38"/>
        <v>386.48076923076923</v>
      </c>
      <c r="P54" s="57">
        <f t="shared" si="38"/>
        <v>386.48076923076923</v>
      </c>
      <c r="Q54" s="57">
        <f t="shared" si="38"/>
        <v>386.48076923076923</v>
      </c>
      <c r="R54" s="57">
        <f t="shared" si="38"/>
        <v>386.48076923076923</v>
      </c>
      <c r="S54" s="57">
        <f t="shared" si="38"/>
        <v>386.48076923076923</v>
      </c>
      <c r="T54" s="57">
        <f t="shared" si="38"/>
        <v>386.48076923076923</v>
      </c>
      <c r="U54" s="57">
        <f t="shared" si="38"/>
        <v>957.63970588235281</v>
      </c>
      <c r="V54" s="57">
        <f t="shared" si="38"/>
        <v>957.63970588235281</v>
      </c>
      <c r="W54" s="57">
        <f t="shared" si="38"/>
        <v>957.63970588235281</v>
      </c>
      <c r="X54" s="57">
        <f t="shared" si="38"/>
        <v>957.63970588235281</v>
      </c>
      <c r="Y54" s="57">
        <f t="shared" si="38"/>
        <v>2234.4926470588234</v>
      </c>
      <c r="Z54" s="57">
        <f t="shared" si="38"/>
        <v>2234.4926470588234</v>
      </c>
      <c r="AA54" s="57">
        <f t="shared" si="38"/>
        <v>2234.4926470588234</v>
      </c>
      <c r="AB54" s="57">
        <f t="shared" si="38"/>
        <v>2234.4926470588234</v>
      </c>
      <c r="AC54" s="57">
        <f>AC51/AC52</f>
        <v>9574.9349349349341</v>
      </c>
      <c r="AD54" s="57">
        <f>AD51/AD52</f>
        <v>9574.9349349349341</v>
      </c>
    </row>
    <row r="55" spans="1:30" x14ac:dyDescent="0.25">
      <c r="A55" s="24" t="s">
        <v>105</v>
      </c>
      <c r="B55" s="24" t="s">
        <v>106</v>
      </c>
      <c r="C55" s="56">
        <f t="shared" ref="C55:AD55" si="39">+C54+C51</f>
        <v>92.943523636363636</v>
      </c>
      <c r="D55" s="57">
        <f t="shared" si="39"/>
        <v>92.943523636363636</v>
      </c>
      <c r="E55" s="57">
        <f t="shared" si="39"/>
        <v>92.943523636363636</v>
      </c>
      <c r="F55" s="57">
        <f t="shared" si="39"/>
        <v>92.943523636363636</v>
      </c>
      <c r="G55" s="57">
        <f t="shared" si="39"/>
        <v>92.943523636363636</v>
      </c>
      <c r="H55" s="57">
        <f t="shared" si="39"/>
        <v>92.943523636363636</v>
      </c>
      <c r="I55" s="57">
        <f t="shared" si="39"/>
        <v>92.943523636363636</v>
      </c>
      <c r="J55" s="57">
        <f t="shared" si="39"/>
        <v>92.943523636363636</v>
      </c>
      <c r="K55" s="57">
        <f t="shared" si="39"/>
        <v>92.943523636363636</v>
      </c>
      <c r="L55" s="57">
        <f t="shared" si="39"/>
        <v>517.88423076923073</v>
      </c>
      <c r="M55" s="57">
        <f t="shared" si="39"/>
        <v>517.88423076923073</v>
      </c>
      <c r="N55" s="57">
        <f>+N54+N51</f>
        <v>517.88423076923073</v>
      </c>
      <c r="O55" s="57">
        <f t="shared" si="39"/>
        <v>517.88423076923073</v>
      </c>
      <c r="P55" s="57">
        <f t="shared" si="39"/>
        <v>517.88423076923073</v>
      </c>
      <c r="Q55" s="57">
        <f t="shared" si="39"/>
        <v>517.88423076923073</v>
      </c>
      <c r="R55" s="57">
        <f t="shared" si="39"/>
        <v>517.88423076923073</v>
      </c>
      <c r="S55" s="57">
        <f t="shared" si="39"/>
        <v>517.88423076923073</v>
      </c>
      <c r="T55" s="57">
        <f t="shared" si="39"/>
        <v>517.88423076923073</v>
      </c>
      <c r="U55" s="57">
        <f t="shared" si="39"/>
        <v>1200.2417647058821</v>
      </c>
      <c r="V55" s="57">
        <f t="shared" si="39"/>
        <v>1200.2417647058821</v>
      </c>
      <c r="W55" s="57">
        <f t="shared" si="39"/>
        <v>1200.2417647058821</v>
      </c>
      <c r="X55" s="57">
        <f t="shared" si="39"/>
        <v>1200.2417647058821</v>
      </c>
      <c r="Y55" s="57">
        <f t="shared" si="39"/>
        <v>2800.5641176470585</v>
      </c>
      <c r="Z55" s="57">
        <f t="shared" si="39"/>
        <v>2800.5641176470585</v>
      </c>
      <c r="AA55" s="57">
        <f t="shared" si="39"/>
        <v>2800.5641176470585</v>
      </c>
      <c r="AB55" s="57">
        <f t="shared" si="39"/>
        <v>2800.5641176470585</v>
      </c>
      <c r="AC55" s="57">
        <f t="shared" si="39"/>
        <v>27288.564564564564</v>
      </c>
      <c r="AD55" s="57">
        <f t="shared" si="39"/>
        <v>27288.564564564564</v>
      </c>
    </row>
    <row r="56" spans="1:30" x14ac:dyDescent="0.25">
      <c r="A56" s="24" t="s">
        <v>107</v>
      </c>
      <c r="B56" s="24" t="s">
        <v>108</v>
      </c>
      <c r="C56" s="29">
        <v>15</v>
      </c>
      <c r="D56" s="30">
        <v>15</v>
      </c>
      <c r="E56" s="30">
        <v>15</v>
      </c>
      <c r="F56" s="30">
        <v>15</v>
      </c>
      <c r="G56" s="30">
        <v>15</v>
      </c>
      <c r="H56" s="30">
        <v>15</v>
      </c>
      <c r="I56" s="30">
        <v>15</v>
      </c>
      <c r="J56" s="30">
        <v>15</v>
      </c>
      <c r="K56" s="30">
        <v>15</v>
      </c>
      <c r="L56" s="30">
        <v>75</v>
      </c>
      <c r="M56" s="30">
        <v>75</v>
      </c>
      <c r="N56" s="30">
        <v>75</v>
      </c>
      <c r="O56" s="30">
        <v>75</v>
      </c>
      <c r="P56" s="30">
        <v>75</v>
      </c>
      <c r="Q56" s="30">
        <v>75</v>
      </c>
      <c r="R56" s="30">
        <v>75</v>
      </c>
      <c r="S56" s="30">
        <v>75</v>
      </c>
      <c r="T56" s="30">
        <v>75</v>
      </c>
      <c r="U56" s="30">
        <v>340</v>
      </c>
      <c r="V56" s="30">
        <v>340</v>
      </c>
      <c r="W56" s="30">
        <v>340</v>
      </c>
      <c r="X56" s="30">
        <v>340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</row>
    <row r="57" spans="1:30" x14ac:dyDescent="0.25">
      <c r="A57" s="24" t="s">
        <v>109</v>
      </c>
      <c r="B57" s="24" t="s">
        <v>110</v>
      </c>
      <c r="C57" s="29">
        <v>0</v>
      </c>
      <c r="D57" s="30">
        <v>0</v>
      </c>
      <c r="E57" s="30">
        <v>0</v>
      </c>
      <c r="F57" s="30">
        <v>1</v>
      </c>
      <c r="G57" s="30">
        <v>1</v>
      </c>
      <c r="H57" s="30">
        <v>1</v>
      </c>
      <c r="I57" s="30">
        <v>1</v>
      </c>
      <c r="J57" s="30">
        <v>1</v>
      </c>
      <c r="K57" s="30">
        <v>1</v>
      </c>
      <c r="L57" s="30">
        <v>3</v>
      </c>
      <c r="M57" s="30">
        <v>3</v>
      </c>
      <c r="N57" s="30">
        <v>3</v>
      </c>
      <c r="O57" s="30">
        <v>3</v>
      </c>
      <c r="P57" s="30">
        <v>3</v>
      </c>
      <c r="Q57" s="30">
        <v>3</v>
      </c>
      <c r="R57" s="30">
        <v>3</v>
      </c>
      <c r="S57" s="30">
        <v>3</v>
      </c>
      <c r="T57" s="30">
        <v>3</v>
      </c>
      <c r="U57" s="30">
        <v>0</v>
      </c>
      <c r="V57" s="30">
        <v>0</v>
      </c>
      <c r="W57" s="30">
        <v>0</v>
      </c>
      <c r="X57" s="30">
        <v>0</v>
      </c>
      <c r="Y57" s="30">
        <v>50</v>
      </c>
      <c r="Z57" s="30">
        <v>50</v>
      </c>
      <c r="AA57" s="30">
        <v>50</v>
      </c>
      <c r="AB57" s="30">
        <v>50</v>
      </c>
      <c r="AC57" s="30">
        <f>0.4*365</f>
        <v>146</v>
      </c>
      <c r="AD57" s="30">
        <f>0.4*365</f>
        <v>146</v>
      </c>
    </row>
    <row r="58" spans="1:30" x14ac:dyDescent="0.25">
      <c r="A58" s="24" t="s">
        <v>111</v>
      </c>
      <c r="B58" s="24"/>
      <c r="C58" s="29">
        <v>0.85</v>
      </c>
      <c r="D58" s="30">
        <f>$C$58</f>
        <v>0.85</v>
      </c>
      <c r="E58" s="30">
        <f t="shared" ref="E58:AD58" si="40">$C$58</f>
        <v>0.85</v>
      </c>
      <c r="F58" s="30">
        <f t="shared" si="40"/>
        <v>0.85</v>
      </c>
      <c r="G58" s="30">
        <f t="shared" si="40"/>
        <v>0.85</v>
      </c>
      <c r="H58" s="30">
        <f t="shared" si="40"/>
        <v>0.85</v>
      </c>
      <c r="I58" s="30">
        <f t="shared" si="40"/>
        <v>0.85</v>
      </c>
      <c r="J58" s="30">
        <f t="shared" si="40"/>
        <v>0.85</v>
      </c>
      <c r="K58" s="30">
        <f t="shared" si="40"/>
        <v>0.85</v>
      </c>
      <c r="L58" s="30">
        <f t="shared" si="40"/>
        <v>0.85</v>
      </c>
      <c r="M58" s="30">
        <f t="shared" si="40"/>
        <v>0.85</v>
      </c>
      <c r="N58" s="30">
        <f t="shared" si="40"/>
        <v>0.85</v>
      </c>
      <c r="O58" s="30">
        <f t="shared" si="40"/>
        <v>0.85</v>
      </c>
      <c r="P58" s="30">
        <f t="shared" si="40"/>
        <v>0.85</v>
      </c>
      <c r="Q58" s="30">
        <f t="shared" si="40"/>
        <v>0.85</v>
      </c>
      <c r="R58" s="30">
        <f t="shared" si="40"/>
        <v>0.85</v>
      </c>
      <c r="S58" s="30">
        <f t="shared" si="40"/>
        <v>0.85</v>
      </c>
      <c r="T58" s="30">
        <f t="shared" si="40"/>
        <v>0.85</v>
      </c>
      <c r="U58" s="30">
        <f t="shared" si="40"/>
        <v>0.85</v>
      </c>
      <c r="V58" s="30">
        <f t="shared" si="40"/>
        <v>0.85</v>
      </c>
      <c r="W58" s="30">
        <f t="shared" si="40"/>
        <v>0.85</v>
      </c>
      <c r="X58" s="30">
        <f t="shared" si="40"/>
        <v>0.85</v>
      </c>
      <c r="Y58" s="30">
        <f t="shared" si="40"/>
        <v>0.85</v>
      </c>
      <c r="Z58" s="30">
        <f t="shared" si="40"/>
        <v>0.85</v>
      </c>
      <c r="AA58" s="30">
        <f t="shared" si="40"/>
        <v>0.85</v>
      </c>
      <c r="AB58" s="30">
        <f t="shared" si="40"/>
        <v>0.85</v>
      </c>
      <c r="AC58" s="30">
        <f t="shared" si="40"/>
        <v>0.85</v>
      </c>
      <c r="AD58" s="30">
        <f t="shared" si="40"/>
        <v>0.85</v>
      </c>
    </row>
    <row r="59" spans="1:30" x14ac:dyDescent="0.25">
      <c r="A59" s="24" t="s">
        <v>112</v>
      </c>
      <c r="B59" s="24"/>
      <c r="C59" s="29">
        <f>C57*C58</f>
        <v>0</v>
      </c>
      <c r="D59" s="30">
        <f t="shared" ref="D59:AD59" si="41">D57*D58</f>
        <v>0</v>
      </c>
      <c r="E59" s="30">
        <f t="shared" si="41"/>
        <v>0</v>
      </c>
      <c r="F59" s="30">
        <f t="shared" si="41"/>
        <v>0.85</v>
      </c>
      <c r="G59" s="30">
        <f t="shared" si="41"/>
        <v>0.85</v>
      </c>
      <c r="H59" s="30">
        <f t="shared" si="41"/>
        <v>0.85</v>
      </c>
      <c r="I59" s="30">
        <f t="shared" si="41"/>
        <v>0.85</v>
      </c>
      <c r="J59" s="30">
        <f t="shared" si="41"/>
        <v>0.85</v>
      </c>
      <c r="K59" s="30">
        <f t="shared" si="41"/>
        <v>0.85</v>
      </c>
      <c r="L59" s="30">
        <f t="shared" si="41"/>
        <v>2.5499999999999998</v>
      </c>
      <c r="M59" s="30">
        <f t="shared" si="41"/>
        <v>2.5499999999999998</v>
      </c>
      <c r="N59" s="30">
        <f t="shared" si="41"/>
        <v>2.5499999999999998</v>
      </c>
      <c r="O59" s="30">
        <f t="shared" si="41"/>
        <v>2.5499999999999998</v>
      </c>
      <c r="P59" s="30">
        <f t="shared" si="41"/>
        <v>2.5499999999999998</v>
      </c>
      <c r="Q59" s="30">
        <f t="shared" si="41"/>
        <v>2.5499999999999998</v>
      </c>
      <c r="R59" s="30">
        <f t="shared" si="41"/>
        <v>2.5499999999999998</v>
      </c>
      <c r="S59" s="30">
        <f t="shared" si="41"/>
        <v>2.5499999999999998</v>
      </c>
      <c r="T59" s="30">
        <f t="shared" si="41"/>
        <v>2.5499999999999998</v>
      </c>
      <c r="U59" s="30">
        <f t="shared" si="41"/>
        <v>0</v>
      </c>
      <c r="V59" s="30">
        <f t="shared" si="41"/>
        <v>0</v>
      </c>
      <c r="W59" s="30">
        <f t="shared" si="41"/>
        <v>0</v>
      </c>
      <c r="X59" s="30">
        <f t="shared" si="41"/>
        <v>0</v>
      </c>
      <c r="Y59" s="30">
        <f t="shared" si="41"/>
        <v>42.5</v>
      </c>
      <c r="Z59" s="30">
        <f t="shared" si="41"/>
        <v>42.5</v>
      </c>
      <c r="AA59" s="30">
        <f t="shared" si="41"/>
        <v>42.5</v>
      </c>
      <c r="AB59" s="30">
        <f t="shared" si="41"/>
        <v>42.5</v>
      </c>
      <c r="AC59" s="30">
        <f t="shared" si="41"/>
        <v>124.1</v>
      </c>
      <c r="AD59" s="30">
        <f t="shared" si="41"/>
        <v>124.1</v>
      </c>
    </row>
    <row r="60" spans="1:30" x14ac:dyDescent="0.25">
      <c r="A60" s="24" t="s">
        <v>113</v>
      </c>
      <c r="B60" s="24" t="s">
        <v>114</v>
      </c>
      <c r="C60" s="60">
        <f>+C55+C56+C57</f>
        <v>107.94352363636364</v>
      </c>
      <c r="D60" s="61">
        <f t="shared" ref="D60:AD60" si="42">+D55+D56+D57</f>
        <v>107.94352363636364</v>
      </c>
      <c r="E60" s="61">
        <f t="shared" si="42"/>
        <v>107.94352363636364</v>
      </c>
      <c r="F60" s="61">
        <f t="shared" si="42"/>
        <v>108.94352363636364</v>
      </c>
      <c r="G60" s="61">
        <f t="shared" si="42"/>
        <v>108.94352363636364</v>
      </c>
      <c r="H60" s="61">
        <f t="shared" si="42"/>
        <v>108.94352363636364</v>
      </c>
      <c r="I60" s="61">
        <f t="shared" si="42"/>
        <v>108.94352363636364</v>
      </c>
      <c r="J60" s="61">
        <f t="shared" si="42"/>
        <v>108.94352363636364</v>
      </c>
      <c r="K60" s="61">
        <f t="shared" si="42"/>
        <v>108.94352363636364</v>
      </c>
      <c r="L60" s="61">
        <f t="shared" si="42"/>
        <v>595.88423076923073</v>
      </c>
      <c r="M60" s="61">
        <f t="shared" si="42"/>
        <v>595.88423076923073</v>
      </c>
      <c r="N60" s="61">
        <f>+N55+N56+N57</f>
        <v>595.88423076923073</v>
      </c>
      <c r="O60" s="61">
        <f t="shared" si="42"/>
        <v>595.88423076923073</v>
      </c>
      <c r="P60" s="61">
        <f t="shared" si="42"/>
        <v>595.88423076923073</v>
      </c>
      <c r="Q60" s="61">
        <f t="shared" si="42"/>
        <v>595.88423076923073</v>
      </c>
      <c r="R60" s="61">
        <f t="shared" si="42"/>
        <v>595.88423076923073</v>
      </c>
      <c r="S60" s="61">
        <f t="shared" si="42"/>
        <v>595.88423076923073</v>
      </c>
      <c r="T60" s="61">
        <f t="shared" si="42"/>
        <v>595.88423076923073</v>
      </c>
      <c r="U60" s="61">
        <f t="shared" si="42"/>
        <v>1540.2417647058821</v>
      </c>
      <c r="V60" s="61">
        <f t="shared" si="42"/>
        <v>1540.2417647058821</v>
      </c>
      <c r="W60" s="61">
        <f t="shared" si="42"/>
        <v>1540.2417647058821</v>
      </c>
      <c r="X60" s="61">
        <f t="shared" si="42"/>
        <v>1540.2417647058821</v>
      </c>
      <c r="Y60" s="61">
        <f t="shared" si="42"/>
        <v>2850.5641176470585</v>
      </c>
      <c r="Z60" s="61">
        <f t="shared" si="42"/>
        <v>2850.5641176470585</v>
      </c>
      <c r="AA60" s="61">
        <f t="shared" si="42"/>
        <v>2850.5641176470585</v>
      </c>
      <c r="AB60" s="61">
        <f t="shared" si="42"/>
        <v>2850.5641176470585</v>
      </c>
      <c r="AC60" s="61">
        <f t="shared" si="42"/>
        <v>27434.564564564564</v>
      </c>
      <c r="AD60" s="61">
        <f t="shared" si="42"/>
        <v>27434.564564564564</v>
      </c>
    </row>
    <row r="61" spans="1:30" x14ac:dyDescent="0.25">
      <c r="A61" s="24" t="s">
        <v>117</v>
      </c>
      <c r="B61" s="24"/>
      <c r="C61" s="29">
        <v>1</v>
      </c>
      <c r="D61" s="30">
        <v>1</v>
      </c>
      <c r="E61" s="30">
        <v>1</v>
      </c>
      <c r="F61" s="30">
        <v>1</v>
      </c>
      <c r="G61" s="30">
        <v>1</v>
      </c>
      <c r="H61" s="30">
        <v>1</v>
      </c>
      <c r="I61" s="30">
        <v>1</v>
      </c>
      <c r="J61" s="30">
        <v>1</v>
      </c>
      <c r="K61" s="30">
        <v>1</v>
      </c>
      <c r="L61" s="30">
        <v>1</v>
      </c>
      <c r="M61" s="30">
        <v>1</v>
      </c>
      <c r="N61" s="30">
        <v>1</v>
      </c>
      <c r="O61" s="30">
        <v>1</v>
      </c>
      <c r="P61" s="30">
        <v>1</v>
      </c>
      <c r="Q61" s="30">
        <v>1</v>
      </c>
      <c r="R61" s="30">
        <v>1</v>
      </c>
      <c r="S61" s="30">
        <v>1</v>
      </c>
      <c r="T61" s="30">
        <v>1</v>
      </c>
      <c r="U61" s="30">
        <v>1</v>
      </c>
      <c r="V61" s="30">
        <v>1</v>
      </c>
      <c r="W61" s="30">
        <v>1</v>
      </c>
      <c r="X61" s="30">
        <v>1</v>
      </c>
      <c r="Y61" s="30">
        <v>1</v>
      </c>
      <c r="Z61" s="30">
        <v>1</v>
      </c>
      <c r="AA61" s="30">
        <v>1</v>
      </c>
      <c r="AB61" s="30">
        <v>1</v>
      </c>
      <c r="AC61" s="30">
        <v>1</v>
      </c>
      <c r="AD61" s="30">
        <v>1</v>
      </c>
    </row>
    <row r="62" spans="1:30" x14ac:dyDescent="0.25">
      <c r="A62" s="24" t="s">
        <v>118</v>
      </c>
      <c r="B62" s="24"/>
      <c r="C62" s="54">
        <f t="shared" ref="C62:AD62" si="43">+C60/C61/C39/C40/10</f>
        <v>0.66631804713804721</v>
      </c>
      <c r="D62" s="55">
        <f t="shared" si="43"/>
        <v>0.66631804713804721</v>
      </c>
      <c r="E62" s="55">
        <f t="shared" si="43"/>
        <v>0.66631804713804721</v>
      </c>
      <c r="F62" s="55">
        <f t="shared" si="43"/>
        <v>0.89665451552562681</v>
      </c>
      <c r="G62" s="55">
        <f t="shared" si="43"/>
        <v>0.89665451552562681</v>
      </c>
      <c r="H62" s="55">
        <f t="shared" si="43"/>
        <v>0.89665451552562681</v>
      </c>
      <c r="I62" s="55">
        <f t="shared" si="43"/>
        <v>1.3449817732884399</v>
      </c>
      <c r="J62" s="55">
        <f t="shared" si="43"/>
        <v>1.3449817732884399</v>
      </c>
      <c r="K62" s="55">
        <f t="shared" si="43"/>
        <v>1.3449817732884399</v>
      </c>
      <c r="L62" s="55">
        <f t="shared" si="43"/>
        <v>1.091363060016906</v>
      </c>
      <c r="M62" s="55">
        <f t="shared" si="43"/>
        <v>1.091363060016906</v>
      </c>
      <c r="N62" s="55">
        <f t="shared" si="43"/>
        <v>1.091363060016906</v>
      </c>
      <c r="O62" s="55">
        <f t="shared" si="43"/>
        <v>1.091363060016906</v>
      </c>
      <c r="P62" s="55">
        <f t="shared" si="43"/>
        <v>1.455150746689208</v>
      </c>
      <c r="Q62" s="55">
        <f t="shared" si="43"/>
        <v>1.455150746689208</v>
      </c>
      <c r="R62" s="55">
        <f t="shared" si="43"/>
        <v>1.455150746689208</v>
      </c>
      <c r="S62" s="55">
        <f t="shared" si="43"/>
        <v>2.1827261200338119</v>
      </c>
      <c r="T62" s="55">
        <f t="shared" si="43"/>
        <v>2.1827261200338119</v>
      </c>
      <c r="U62" s="55">
        <f t="shared" si="43"/>
        <v>0.33923489533953011</v>
      </c>
      <c r="V62" s="55">
        <f t="shared" si="43"/>
        <v>0.33923489533953011</v>
      </c>
      <c r="W62" s="55">
        <f t="shared" si="43"/>
        <v>0.67846979067906021</v>
      </c>
      <c r="X62" s="55">
        <f t="shared" si="43"/>
        <v>0.67846979067906021</v>
      </c>
      <c r="Y62" s="55">
        <f t="shared" si="43"/>
        <v>1.0735314332375097</v>
      </c>
      <c r="Z62" s="55">
        <f t="shared" si="43"/>
        <v>1.0735314332375097</v>
      </c>
      <c r="AA62" s="55">
        <f t="shared" si="43"/>
        <v>1.0735314332375097</v>
      </c>
      <c r="AB62" s="55">
        <f t="shared" si="43"/>
        <v>1.0735314332375097</v>
      </c>
      <c r="AC62" s="55">
        <f t="shared" si="43"/>
        <v>1.4253269349536941</v>
      </c>
      <c r="AD62" s="55">
        <f t="shared" si="43"/>
        <v>1.4253269349536941</v>
      </c>
    </row>
    <row r="63" spans="1:30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1:30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0" x14ac:dyDescent="0.25">
      <c r="A65" s="24" t="s">
        <v>119</v>
      </c>
      <c r="B65" s="24"/>
      <c r="C65" s="35">
        <v>0.7</v>
      </c>
      <c r="D65" s="36">
        <v>0.7</v>
      </c>
      <c r="E65" s="36">
        <v>0.7</v>
      </c>
      <c r="F65" s="36">
        <v>0.7</v>
      </c>
      <c r="G65" s="36">
        <v>0.7</v>
      </c>
      <c r="H65" s="36">
        <v>0.7</v>
      </c>
      <c r="I65" s="36">
        <v>0.7</v>
      </c>
      <c r="J65" s="36">
        <v>0.7</v>
      </c>
      <c r="K65" s="36">
        <v>0.7</v>
      </c>
      <c r="L65" s="36">
        <v>0.7</v>
      </c>
      <c r="M65" s="36">
        <v>0.7</v>
      </c>
      <c r="N65" s="36">
        <v>0.7</v>
      </c>
      <c r="O65" s="36">
        <v>0.7</v>
      </c>
      <c r="P65" s="36">
        <v>0.7</v>
      </c>
      <c r="Q65" s="36">
        <v>0.7</v>
      </c>
      <c r="R65" s="36">
        <v>0.7</v>
      </c>
      <c r="S65" s="36">
        <v>0.7</v>
      </c>
      <c r="T65" s="36">
        <v>0.7</v>
      </c>
      <c r="U65" s="36">
        <v>0.7</v>
      </c>
      <c r="V65" s="36">
        <v>0.7</v>
      </c>
      <c r="W65" s="36">
        <v>0.7</v>
      </c>
      <c r="X65" s="36">
        <v>0.7</v>
      </c>
      <c r="Y65" s="36">
        <v>0.7</v>
      </c>
      <c r="Z65" s="36">
        <v>0.7</v>
      </c>
      <c r="AA65" s="36">
        <v>0.7</v>
      </c>
      <c r="AB65" s="36">
        <v>0.7</v>
      </c>
      <c r="AC65" s="36">
        <v>0.5</v>
      </c>
      <c r="AD65" s="36">
        <v>0.5</v>
      </c>
    </row>
    <row r="66" spans="1:30" x14ac:dyDescent="0.25">
      <c r="A66" s="24" t="s">
        <v>120</v>
      </c>
      <c r="B66" s="24"/>
      <c r="C66" s="46">
        <f t="shared" ref="C66:AD66" si="44">+EXP(C23-C26/(C27*C22))*24/1000</f>
        <v>2.3652993806734289E-3</v>
      </c>
      <c r="D66" s="47">
        <f t="shared" si="44"/>
        <v>2.3652993806734289E-3</v>
      </c>
      <c r="E66" s="47">
        <f t="shared" si="44"/>
        <v>2.3652993806734289E-3</v>
      </c>
      <c r="F66" s="47">
        <f t="shared" si="44"/>
        <v>2.3652993806734289E-3</v>
      </c>
      <c r="G66" s="47">
        <f t="shared" si="44"/>
        <v>2.3652993806734289E-3</v>
      </c>
      <c r="H66" s="47">
        <f t="shared" si="44"/>
        <v>2.3652993806734289E-3</v>
      </c>
      <c r="I66" s="47">
        <f t="shared" si="44"/>
        <v>2.3652993806734289E-3</v>
      </c>
      <c r="J66" s="47">
        <f t="shared" si="44"/>
        <v>2.3652993806734289E-3</v>
      </c>
      <c r="K66" s="47">
        <f t="shared" si="44"/>
        <v>2.3652993806734289E-3</v>
      </c>
      <c r="L66" s="47">
        <f t="shared" si="44"/>
        <v>2.3652993806734289E-3</v>
      </c>
      <c r="M66" s="47">
        <f t="shared" si="44"/>
        <v>2.3652993806734289E-3</v>
      </c>
      <c r="N66" s="47">
        <f t="shared" si="44"/>
        <v>2.3652993806734289E-3</v>
      </c>
      <c r="O66" s="47">
        <f t="shared" si="44"/>
        <v>2.3652993806734289E-3</v>
      </c>
      <c r="P66" s="47">
        <f t="shared" si="44"/>
        <v>2.3652993806734289E-3</v>
      </c>
      <c r="Q66" s="47">
        <f t="shared" si="44"/>
        <v>2.3652993806734289E-3</v>
      </c>
      <c r="R66" s="47">
        <f t="shared" si="44"/>
        <v>2.3652993806734289E-3</v>
      </c>
      <c r="S66" s="47">
        <f t="shared" si="44"/>
        <v>2.3652993806734289E-3</v>
      </c>
      <c r="T66" s="47">
        <f t="shared" si="44"/>
        <v>2.3652993806734289E-3</v>
      </c>
      <c r="U66" s="47">
        <f t="shared" si="44"/>
        <v>2.3652993806734289E-3</v>
      </c>
      <c r="V66" s="47">
        <f t="shared" si="44"/>
        <v>2.3652993806734289E-3</v>
      </c>
      <c r="W66" s="47">
        <f t="shared" si="44"/>
        <v>2.3652993806734289E-3</v>
      </c>
      <c r="X66" s="47">
        <f t="shared" si="44"/>
        <v>2.3652993806734289E-3</v>
      </c>
      <c r="Y66" s="47">
        <f t="shared" si="44"/>
        <v>2.3652993806734289E-3</v>
      </c>
      <c r="Z66" s="47">
        <f t="shared" si="44"/>
        <v>2.3652993806734289E-3</v>
      </c>
      <c r="AA66" s="47">
        <f t="shared" si="44"/>
        <v>2.3652993806734289E-3</v>
      </c>
      <c r="AB66" s="47">
        <f t="shared" si="44"/>
        <v>2.3652993806734289E-3</v>
      </c>
      <c r="AC66" s="47">
        <f t="shared" si="44"/>
        <v>1.282586438958538E-3</v>
      </c>
      <c r="AD66" s="47">
        <f t="shared" si="44"/>
        <v>1.282586438958538E-3</v>
      </c>
    </row>
    <row r="67" spans="1:30" x14ac:dyDescent="0.25">
      <c r="A67" s="24" t="s">
        <v>121</v>
      </c>
      <c r="B67" s="24"/>
      <c r="C67" s="46">
        <f t="shared" ref="C67:AD67" si="45">+C66*C31</f>
        <v>1.5768662537822862E-2</v>
      </c>
      <c r="D67" s="47">
        <f t="shared" si="45"/>
        <v>1.5768662537822862E-2</v>
      </c>
      <c r="E67" s="47">
        <f t="shared" si="45"/>
        <v>1.5768662537822862E-2</v>
      </c>
      <c r="F67" s="47">
        <f t="shared" si="45"/>
        <v>1.5768662537822862E-2</v>
      </c>
      <c r="G67" s="47">
        <f t="shared" si="45"/>
        <v>1.5768662537822862E-2</v>
      </c>
      <c r="H67" s="47">
        <f t="shared" si="45"/>
        <v>1.5768662537822862E-2</v>
      </c>
      <c r="I67" s="47">
        <f t="shared" si="45"/>
        <v>1.5768662537822862E-2</v>
      </c>
      <c r="J67" s="47">
        <f t="shared" si="45"/>
        <v>1.5768662537822862E-2</v>
      </c>
      <c r="K67" s="47">
        <f t="shared" si="45"/>
        <v>1.5768662537822862E-2</v>
      </c>
      <c r="L67" s="47">
        <f t="shared" si="45"/>
        <v>1.5768662537822862E-2</v>
      </c>
      <c r="M67" s="47">
        <f t="shared" si="45"/>
        <v>1.5768662537822862E-2</v>
      </c>
      <c r="N67" s="47">
        <f t="shared" si="45"/>
        <v>1.5768662537822862E-2</v>
      </c>
      <c r="O67" s="47">
        <f t="shared" si="45"/>
        <v>1.5768662537822862E-2</v>
      </c>
      <c r="P67" s="47">
        <f t="shared" si="45"/>
        <v>1.5768662537822862E-2</v>
      </c>
      <c r="Q67" s="47">
        <f t="shared" si="45"/>
        <v>1.5768662537822862E-2</v>
      </c>
      <c r="R67" s="47">
        <f t="shared" si="45"/>
        <v>1.5768662537822862E-2</v>
      </c>
      <c r="S67" s="47">
        <f t="shared" si="45"/>
        <v>1.5768662537822862E-2</v>
      </c>
      <c r="T67" s="47">
        <f t="shared" si="45"/>
        <v>1.5768662537822862E-2</v>
      </c>
      <c r="U67" s="47">
        <f t="shared" si="45"/>
        <v>1.5768662537822862E-2</v>
      </c>
      <c r="V67" s="47">
        <f t="shared" si="45"/>
        <v>1.5768662537822862E-2</v>
      </c>
      <c r="W67" s="47">
        <f t="shared" si="45"/>
        <v>1.5768662537822862E-2</v>
      </c>
      <c r="X67" s="47">
        <f t="shared" si="45"/>
        <v>1.5768662537822862E-2</v>
      </c>
      <c r="Y67" s="47">
        <f t="shared" si="45"/>
        <v>1.5768662537822862E-2</v>
      </c>
      <c r="Z67" s="47">
        <f t="shared" si="45"/>
        <v>1.5768662537822862E-2</v>
      </c>
      <c r="AA67" s="47">
        <f t="shared" si="45"/>
        <v>1.5768662537822862E-2</v>
      </c>
      <c r="AB67" s="47">
        <f t="shared" si="45"/>
        <v>1.5768662537822862E-2</v>
      </c>
      <c r="AC67" s="47">
        <f t="shared" si="45"/>
        <v>8.5505762597235871E-3</v>
      </c>
      <c r="AD67" s="47">
        <f t="shared" si="45"/>
        <v>8.5505762597235871E-3</v>
      </c>
    </row>
    <row r="68" spans="1:30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0" x14ac:dyDescent="0.25">
      <c r="A69" s="24" t="s">
        <v>122</v>
      </c>
      <c r="B69" s="24"/>
      <c r="C69" s="64">
        <f t="shared" ref="C69:AD69" si="46">+C65*C49</f>
        <v>3.753488454545455</v>
      </c>
      <c r="D69" s="65">
        <f t="shared" si="46"/>
        <v>3.753488454545455</v>
      </c>
      <c r="E69" s="65">
        <f t="shared" si="46"/>
        <v>3.753488454545455</v>
      </c>
      <c r="F69" s="65">
        <f t="shared" si="46"/>
        <v>3.753488454545455</v>
      </c>
      <c r="G69" s="65">
        <f t="shared" si="46"/>
        <v>3.753488454545455</v>
      </c>
      <c r="H69" s="65">
        <f t="shared" si="46"/>
        <v>3.753488454545455</v>
      </c>
      <c r="I69" s="65">
        <f t="shared" si="46"/>
        <v>3.753488454545455</v>
      </c>
      <c r="J69" s="65">
        <f t="shared" si="46"/>
        <v>3.753488454545455</v>
      </c>
      <c r="K69" s="65">
        <f t="shared" si="46"/>
        <v>3.753488454545455</v>
      </c>
      <c r="L69" s="65">
        <f t="shared" si="46"/>
        <v>22.995605769230771</v>
      </c>
      <c r="M69" s="65">
        <f t="shared" si="46"/>
        <v>22.995605769230771</v>
      </c>
      <c r="N69" s="65">
        <f t="shared" si="46"/>
        <v>22.995605769230771</v>
      </c>
      <c r="O69" s="65">
        <f t="shared" si="46"/>
        <v>22.995605769230771</v>
      </c>
      <c r="P69" s="65">
        <f t="shared" si="46"/>
        <v>22.995605769230771</v>
      </c>
      <c r="Q69" s="65">
        <f t="shared" si="46"/>
        <v>22.995605769230771</v>
      </c>
      <c r="R69" s="65">
        <f t="shared" si="46"/>
        <v>22.995605769230771</v>
      </c>
      <c r="S69" s="65">
        <f t="shared" si="46"/>
        <v>22.995605769230771</v>
      </c>
      <c r="T69" s="65">
        <f t="shared" si="46"/>
        <v>22.995605769230771</v>
      </c>
      <c r="U69" s="65">
        <f t="shared" si="46"/>
        <v>50.946432352941152</v>
      </c>
      <c r="V69" s="65">
        <f t="shared" si="46"/>
        <v>50.946432352941152</v>
      </c>
      <c r="W69" s="65">
        <f t="shared" si="46"/>
        <v>50.946432352941152</v>
      </c>
      <c r="X69" s="65">
        <f t="shared" si="46"/>
        <v>50.946432352941152</v>
      </c>
      <c r="Y69" s="65">
        <f t="shared" si="46"/>
        <v>118.87500882352936</v>
      </c>
      <c r="Z69" s="65">
        <f t="shared" si="46"/>
        <v>118.87500882352936</v>
      </c>
      <c r="AA69" s="65">
        <f t="shared" si="46"/>
        <v>118.87500882352936</v>
      </c>
      <c r="AB69" s="65">
        <f t="shared" si="46"/>
        <v>118.87500882352936</v>
      </c>
      <c r="AC69" s="65">
        <f t="shared" si="46"/>
        <v>1195.67</v>
      </c>
      <c r="AD69" s="65">
        <f t="shared" si="46"/>
        <v>1195.67</v>
      </c>
    </row>
    <row r="70" spans="1:30" x14ac:dyDescent="0.25">
      <c r="A70" s="24" t="s">
        <v>123</v>
      </c>
      <c r="B70" s="24"/>
      <c r="C70" s="56">
        <f t="shared" ref="C70:AD70" si="47">+C49*(1-C65)</f>
        <v>1.6086379090909095</v>
      </c>
      <c r="D70" s="57">
        <f t="shared" si="47"/>
        <v>1.6086379090909095</v>
      </c>
      <c r="E70" s="57">
        <f t="shared" si="47"/>
        <v>1.6086379090909095</v>
      </c>
      <c r="F70" s="57">
        <f t="shared" si="47"/>
        <v>1.6086379090909095</v>
      </c>
      <c r="G70" s="57">
        <f t="shared" si="47"/>
        <v>1.6086379090909095</v>
      </c>
      <c r="H70" s="57">
        <f t="shared" si="47"/>
        <v>1.6086379090909095</v>
      </c>
      <c r="I70" s="57">
        <f t="shared" si="47"/>
        <v>1.6086379090909095</v>
      </c>
      <c r="J70" s="57">
        <f t="shared" si="47"/>
        <v>1.6086379090909095</v>
      </c>
      <c r="K70" s="57">
        <f t="shared" si="47"/>
        <v>1.6086379090909095</v>
      </c>
      <c r="L70" s="57">
        <f t="shared" si="47"/>
        <v>9.8552596153846181</v>
      </c>
      <c r="M70" s="57">
        <f t="shared" si="47"/>
        <v>9.8552596153846181</v>
      </c>
      <c r="N70" s="57">
        <f t="shared" si="47"/>
        <v>9.8552596153846181</v>
      </c>
      <c r="O70" s="57">
        <f t="shared" si="47"/>
        <v>9.8552596153846181</v>
      </c>
      <c r="P70" s="57">
        <f t="shared" si="47"/>
        <v>9.8552596153846181</v>
      </c>
      <c r="Q70" s="57">
        <f t="shared" si="47"/>
        <v>9.8552596153846181</v>
      </c>
      <c r="R70" s="57">
        <f t="shared" si="47"/>
        <v>9.8552596153846181</v>
      </c>
      <c r="S70" s="57">
        <f t="shared" si="47"/>
        <v>9.8552596153846181</v>
      </c>
      <c r="T70" s="57">
        <f t="shared" si="47"/>
        <v>9.8552596153846181</v>
      </c>
      <c r="U70" s="57">
        <f t="shared" si="47"/>
        <v>21.834185294117642</v>
      </c>
      <c r="V70" s="57">
        <f t="shared" si="47"/>
        <v>21.834185294117642</v>
      </c>
      <c r="W70" s="57">
        <f t="shared" si="47"/>
        <v>21.834185294117642</v>
      </c>
      <c r="X70" s="57">
        <f t="shared" si="47"/>
        <v>21.834185294117642</v>
      </c>
      <c r="Y70" s="57">
        <f t="shared" si="47"/>
        <v>50.946432352941166</v>
      </c>
      <c r="Z70" s="57">
        <f t="shared" si="47"/>
        <v>50.946432352941166</v>
      </c>
      <c r="AA70" s="57">
        <f t="shared" si="47"/>
        <v>50.946432352941166</v>
      </c>
      <c r="AB70" s="57">
        <f t="shared" si="47"/>
        <v>50.946432352941166</v>
      </c>
      <c r="AC70" s="57">
        <f t="shared" si="47"/>
        <v>1195.67</v>
      </c>
      <c r="AD70" s="57">
        <f t="shared" si="47"/>
        <v>1195.67</v>
      </c>
    </row>
    <row r="71" spans="1:30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spans="1:30" x14ac:dyDescent="0.25">
      <c r="A72" s="24" t="s">
        <v>124</v>
      </c>
      <c r="B72" s="24"/>
      <c r="C72" s="62">
        <f t="shared" ref="C72:AD72" si="48">+(1-C67)^C10</f>
        <v>0.63570206832181197</v>
      </c>
      <c r="D72" s="63">
        <f t="shared" si="48"/>
        <v>0.83291640775332321</v>
      </c>
      <c r="E72" s="63">
        <f t="shared" si="48"/>
        <v>0.88056467083750334</v>
      </c>
      <c r="F72" s="63">
        <f t="shared" si="48"/>
        <v>0.71228561704226989</v>
      </c>
      <c r="G72" s="63">
        <f t="shared" si="48"/>
        <v>0.84836960362225144</v>
      </c>
      <c r="H72" s="63">
        <f t="shared" si="48"/>
        <v>0.89690189052370783</v>
      </c>
      <c r="I72" s="63">
        <f t="shared" si="48"/>
        <v>0.79757117527000987</v>
      </c>
      <c r="J72" s="63">
        <f t="shared" si="48"/>
        <v>0.86354208253166997</v>
      </c>
      <c r="K72" s="63">
        <f t="shared" si="48"/>
        <v>0.91294233440534378</v>
      </c>
      <c r="L72" s="63">
        <f t="shared" si="48"/>
        <v>0.76021143929120338</v>
      </c>
      <c r="M72" s="63">
        <f t="shared" si="48"/>
        <v>0.85645684657003118</v>
      </c>
      <c r="N72" s="63">
        <f t="shared" si="48"/>
        <v>0.90545177663233101</v>
      </c>
      <c r="O72" s="63">
        <f t="shared" si="48"/>
        <v>0.97774059993244877</v>
      </c>
      <c r="P72" s="63">
        <f t="shared" si="48"/>
        <v>0.81252727597155527</v>
      </c>
      <c r="Q72" s="63">
        <f t="shared" si="48"/>
        <v>0.86586302484262789</v>
      </c>
      <c r="R72" s="63">
        <f t="shared" si="48"/>
        <v>0.91539604978789246</v>
      </c>
      <c r="S72" s="63">
        <f t="shared" si="48"/>
        <v>0.85474916655002997</v>
      </c>
      <c r="T72" s="63">
        <f t="shared" si="48"/>
        <v>0.92544953756000714</v>
      </c>
      <c r="U72" s="63">
        <f t="shared" si="48"/>
        <v>0.62726035480600739</v>
      </c>
      <c r="V72" s="63">
        <f t="shared" si="48"/>
        <v>0.77738434868289796</v>
      </c>
      <c r="W72" s="63">
        <f t="shared" si="48"/>
        <v>0.67293033044601758</v>
      </c>
      <c r="X72" s="63">
        <f t="shared" si="48"/>
        <v>0.83398464869429145</v>
      </c>
      <c r="Y72" s="63">
        <f t="shared" si="48"/>
        <v>0.75364672789943821</v>
      </c>
      <c r="Z72" s="63">
        <f t="shared" si="48"/>
        <v>0.85583552303405064</v>
      </c>
      <c r="AA72" s="63">
        <f t="shared" si="48"/>
        <v>0.90479490932866002</v>
      </c>
      <c r="AB72" s="63">
        <f t="shared" si="48"/>
        <v>0.97750410612966965</v>
      </c>
      <c r="AC72" s="63">
        <f t="shared" si="48"/>
        <v>0.69682867563046358</v>
      </c>
      <c r="AD72" s="63">
        <f t="shared" si="48"/>
        <v>0.98973455917571185</v>
      </c>
    </row>
    <row r="73" spans="1:30" x14ac:dyDescent="0.25">
      <c r="A73" s="24" t="s">
        <v>125</v>
      </c>
      <c r="B73" s="24"/>
      <c r="C73" s="46">
        <f>1-C72</f>
        <v>0.36429793167818803</v>
      </c>
      <c r="D73" s="47">
        <f t="shared" ref="D73:Q73" si="49">1-D72</f>
        <v>0.16708359224667679</v>
      </c>
      <c r="E73" s="47">
        <f t="shared" si="49"/>
        <v>0.11943532916249666</v>
      </c>
      <c r="F73" s="47">
        <f t="shared" si="49"/>
        <v>0.28771438295773011</v>
      </c>
      <c r="G73" s="47">
        <f t="shared" si="49"/>
        <v>0.15163039637774856</v>
      </c>
      <c r="H73" s="47">
        <f t="shared" si="49"/>
        <v>0.10309810947629217</v>
      </c>
      <c r="I73" s="47">
        <f t="shared" si="49"/>
        <v>0.20242882472999013</v>
      </c>
      <c r="J73" s="47">
        <f t="shared" si="49"/>
        <v>0.13645791746833003</v>
      </c>
      <c r="K73" s="47">
        <f t="shared" si="49"/>
        <v>8.7057665594656219E-2</v>
      </c>
      <c r="L73" s="47">
        <f t="shared" si="49"/>
        <v>0.23978856070879662</v>
      </c>
      <c r="M73" s="47">
        <f t="shared" si="49"/>
        <v>0.14354315342996882</v>
      </c>
      <c r="N73" s="47">
        <f t="shared" si="49"/>
        <v>9.4548223367668993E-2</v>
      </c>
      <c r="O73" s="47">
        <f t="shared" si="49"/>
        <v>2.2259400067551227E-2</v>
      </c>
      <c r="P73" s="47">
        <f t="shared" si="49"/>
        <v>0.18747272402844473</v>
      </c>
      <c r="Q73" s="47">
        <f t="shared" si="49"/>
        <v>0.13413697515737211</v>
      </c>
      <c r="R73" s="47">
        <f>1-R72</f>
        <v>8.4603950212107537E-2</v>
      </c>
      <c r="S73" s="47">
        <f t="shared" ref="S73:AD73" si="50">1-S72</f>
        <v>0.14525083344997003</v>
      </c>
      <c r="T73" s="47">
        <f t="shared" si="50"/>
        <v>7.4550462439992859E-2</v>
      </c>
      <c r="U73" s="47">
        <f t="shared" si="50"/>
        <v>0.37273964519399261</v>
      </c>
      <c r="V73" s="47">
        <f t="shared" si="50"/>
        <v>0.22261565131710204</v>
      </c>
      <c r="W73" s="47">
        <f t="shared" si="50"/>
        <v>0.32706966955398242</v>
      </c>
      <c r="X73" s="47">
        <f t="shared" si="50"/>
        <v>0.16601535130570855</v>
      </c>
      <c r="Y73" s="47">
        <f t="shared" si="50"/>
        <v>0.24635327210056179</v>
      </c>
      <c r="Z73" s="47">
        <f t="shared" si="50"/>
        <v>0.14416447696594936</v>
      </c>
      <c r="AA73" s="47">
        <f t="shared" si="50"/>
        <v>9.5205090671339976E-2</v>
      </c>
      <c r="AB73" s="47">
        <f t="shared" si="50"/>
        <v>2.2495893870330352E-2</v>
      </c>
      <c r="AC73" s="47">
        <f t="shared" si="50"/>
        <v>0.30317132436953642</v>
      </c>
      <c r="AD73" s="47">
        <f t="shared" si="50"/>
        <v>1.0265440824288152E-2</v>
      </c>
    </row>
    <row r="74" spans="1:30" x14ac:dyDescent="0.25">
      <c r="A74" s="24" t="s">
        <v>126</v>
      </c>
      <c r="B74" s="24"/>
      <c r="C74" s="46">
        <f t="shared" ref="C74:AD74" si="51">+C73/C31</f>
        <v>5.4644689751728204E-2</v>
      </c>
      <c r="D74" s="47">
        <f t="shared" si="51"/>
        <v>2.5062538837001519E-2</v>
      </c>
      <c r="E74" s="47">
        <f t="shared" si="51"/>
        <v>1.7915299374374499E-2</v>
      </c>
      <c r="F74" s="47">
        <f t="shared" si="51"/>
        <v>4.3157157443659513E-2</v>
      </c>
      <c r="G74" s="47">
        <f t="shared" si="51"/>
        <v>2.2744559456662282E-2</v>
      </c>
      <c r="H74" s="47">
        <f t="shared" si="51"/>
        <v>1.5464716421443824E-2</v>
      </c>
      <c r="I74" s="47">
        <f t="shared" si="51"/>
        <v>3.0364323709498518E-2</v>
      </c>
      <c r="J74" s="47">
        <f t="shared" si="51"/>
        <v>2.0468687620249504E-2</v>
      </c>
      <c r="K74" s="47">
        <f t="shared" si="51"/>
        <v>1.3058649839198432E-2</v>
      </c>
      <c r="L74" s="47">
        <f t="shared" si="51"/>
        <v>3.5968284106319491E-2</v>
      </c>
      <c r="M74" s="47">
        <f t="shared" si="51"/>
        <v>2.1531473014495321E-2</v>
      </c>
      <c r="N74" s="47">
        <f t="shared" si="51"/>
        <v>1.4182233505150348E-2</v>
      </c>
      <c r="O74" s="47">
        <f t="shared" si="51"/>
        <v>3.3389100101326838E-3</v>
      </c>
      <c r="P74" s="47">
        <f t="shared" si="51"/>
        <v>2.8120908604266706E-2</v>
      </c>
      <c r="Q74" s="47">
        <f t="shared" si="51"/>
        <v>2.0120546273605815E-2</v>
      </c>
      <c r="R74" s="47">
        <f t="shared" si="51"/>
        <v>1.269059253181613E-2</v>
      </c>
      <c r="S74" s="47">
        <f t="shared" si="51"/>
        <v>2.1787625017495503E-2</v>
      </c>
      <c r="T74" s="47">
        <f t="shared" si="51"/>
        <v>1.1182569365998929E-2</v>
      </c>
      <c r="U74" s="47">
        <f t="shared" si="51"/>
        <v>5.5910946779098886E-2</v>
      </c>
      <c r="V74" s="47">
        <f t="shared" si="51"/>
        <v>3.3392347697565307E-2</v>
      </c>
      <c r="W74" s="47">
        <f t="shared" si="51"/>
        <v>4.9060450433097362E-2</v>
      </c>
      <c r="X74" s="47">
        <f t="shared" si="51"/>
        <v>2.490230269585628E-2</v>
      </c>
      <c r="Y74" s="47">
        <f t="shared" si="51"/>
        <v>3.6952990815084269E-2</v>
      </c>
      <c r="Z74" s="47">
        <f t="shared" si="51"/>
        <v>2.1624671544892404E-2</v>
      </c>
      <c r="AA74" s="47">
        <f t="shared" si="51"/>
        <v>1.4280763600700996E-2</v>
      </c>
      <c r="AB74" s="47">
        <f t="shared" si="51"/>
        <v>3.3743840805495525E-3</v>
      </c>
      <c r="AC74" s="47">
        <f t="shared" si="51"/>
        <v>4.5475698655430462E-2</v>
      </c>
      <c r="AD74" s="47">
        <f t="shared" si="51"/>
        <v>1.5398161236432227E-3</v>
      </c>
    </row>
    <row r="75" spans="1:30" x14ac:dyDescent="0.25">
      <c r="A75" s="24" t="s">
        <v>127</v>
      </c>
      <c r="B75" s="24"/>
      <c r="C75" s="46">
        <f t="shared" ref="C75:AD75" si="52">+C74*C49*C65</f>
        <v>0.20510821208533014</v>
      </c>
      <c r="D75" s="47">
        <f t="shared" si="52"/>
        <v>9.4071950166282281E-2</v>
      </c>
      <c r="E75" s="47">
        <f t="shared" si="52"/>
        <v>6.7244869361440099E-2</v>
      </c>
      <c r="F75" s="47">
        <f t="shared" si="52"/>
        <v>0.16198989219577642</v>
      </c>
      <c r="G75" s="47">
        <f t="shared" si="52"/>
        <v>8.537144132430452E-2</v>
      </c>
      <c r="H75" s="47">
        <f t="shared" si="52"/>
        <v>5.8046634540708901E-2</v>
      </c>
      <c r="I75" s="47">
        <f t="shared" si="52"/>
        <v>0.11397213847368351</v>
      </c>
      <c r="J75" s="47">
        <f t="shared" si="52"/>
        <v>7.6828982662303993E-2</v>
      </c>
      <c r="K75" s="47">
        <f t="shared" si="52"/>
        <v>4.9015491403383175E-2</v>
      </c>
      <c r="L75" s="47">
        <f t="shared" si="52"/>
        <v>0.82711248150461192</v>
      </c>
      <c r="M75" s="47">
        <f t="shared" si="52"/>
        <v>0.49512926507216526</v>
      </c>
      <c r="N75" s="47">
        <f t="shared" si="52"/>
        <v>0.32612905061161329</v>
      </c>
      <c r="O75" s="47">
        <f t="shared" si="52"/>
        <v>7.678025829194951E-2</v>
      </c>
      <c r="P75" s="47">
        <f t="shared" si="52"/>
        <v>0.64665732813628674</v>
      </c>
      <c r="Q75" s="47">
        <f t="shared" si="52"/>
        <v>0.46268414996940455</v>
      </c>
      <c r="R75" s="47">
        <f t="shared" si="52"/>
        <v>0.29182786283958789</v>
      </c>
      <c r="S75" s="47">
        <f t="shared" si="52"/>
        <v>0.50101963555015627</v>
      </c>
      <c r="T75" s="47">
        <f t="shared" si="52"/>
        <v>0.25714995662758827</v>
      </c>
      <c r="U75" s="47">
        <f t="shared" si="52"/>
        <v>2.8484632678702546</v>
      </c>
      <c r="V75" s="47">
        <f t="shared" si="52"/>
        <v>1.7012209830799012</v>
      </c>
      <c r="W75" s="47">
        <f t="shared" si="52"/>
        <v>2.4994549191946174</v>
      </c>
      <c r="X75" s="47">
        <f t="shared" si="52"/>
        <v>1.268683479726906</v>
      </c>
      <c r="Y75" s="47">
        <f t="shared" si="52"/>
        <v>4.3927871091989417</v>
      </c>
      <c r="Z75" s="47">
        <f t="shared" si="52"/>
        <v>2.5706330207050088</v>
      </c>
      <c r="AA75" s="47">
        <f t="shared" si="52"/>
        <v>1.6976258990400679</v>
      </c>
      <c r="AB75" s="47">
        <f t="shared" si="52"/>
        <v>0.40112993734930508</v>
      </c>
      <c r="AC75" s="47">
        <f t="shared" si="52"/>
        <v>54.373928611338542</v>
      </c>
      <c r="AD75" s="47">
        <f t="shared" si="52"/>
        <v>1.8411119445564921</v>
      </c>
    </row>
    <row r="76" spans="1:30" x14ac:dyDescent="0.25">
      <c r="A76" s="24" t="s">
        <v>128</v>
      </c>
      <c r="B76" s="24"/>
      <c r="C76" s="46">
        <f t="shared" ref="C76:AD76" si="53">+C75*1000/C60</f>
        <v>1.9001437527302842</v>
      </c>
      <c r="D76" s="47">
        <f t="shared" si="53"/>
        <v>0.87149230446829373</v>
      </c>
      <c r="E76" s="47">
        <f t="shared" si="53"/>
        <v>0.62296344510646384</v>
      </c>
      <c r="F76" s="47">
        <f t="shared" si="53"/>
        <v>1.486916218503022</v>
      </c>
      <c r="G76" s="47">
        <f t="shared" si="53"/>
        <v>0.78363025606975023</v>
      </c>
      <c r="H76" s="47">
        <f t="shared" si="53"/>
        <v>0.53281399943019514</v>
      </c>
      <c r="I76" s="47">
        <f t="shared" si="53"/>
        <v>1.0461579970013142</v>
      </c>
      <c r="J76" s="47">
        <f t="shared" si="53"/>
        <v>0.70521844803503031</v>
      </c>
      <c r="K76" s="47">
        <f t="shared" si="53"/>
        <v>0.44991652341803429</v>
      </c>
      <c r="L76" s="47">
        <f t="shared" si="53"/>
        <v>1.3880422384007161</v>
      </c>
      <c r="M76" s="47">
        <f t="shared" si="53"/>
        <v>0.83091520047946188</v>
      </c>
      <c r="N76" s="47">
        <f t="shared" si="53"/>
        <v>0.54730270373258783</v>
      </c>
      <c r="O76" s="47">
        <f t="shared" si="53"/>
        <v>0.12885096521657133</v>
      </c>
      <c r="P76" s="47">
        <f t="shared" si="53"/>
        <v>1.0852063114701203</v>
      </c>
      <c r="Q76" s="47">
        <f t="shared" si="53"/>
        <v>0.77646651157746305</v>
      </c>
      <c r="R76" s="47">
        <f t="shared" si="53"/>
        <v>0.48973919390829568</v>
      </c>
      <c r="S76" s="47">
        <f t="shared" si="53"/>
        <v>0.840800292539017</v>
      </c>
      <c r="T76" s="47">
        <f t="shared" si="53"/>
        <v>0.43154348336359188</v>
      </c>
      <c r="U76" s="47">
        <f t="shared" si="53"/>
        <v>1.8493611413102959</v>
      </c>
      <c r="V76" s="47">
        <f t="shared" si="53"/>
        <v>1.1045155520794225</v>
      </c>
      <c r="W76" s="47">
        <f t="shared" si="53"/>
        <v>1.6227679163549384</v>
      </c>
      <c r="X76" s="47">
        <f t="shared" si="53"/>
        <v>0.82369113005396799</v>
      </c>
      <c r="Y76" s="47">
        <f t="shared" si="53"/>
        <v>1.5410237861356653</v>
      </c>
      <c r="Z76" s="47">
        <f t="shared" si="53"/>
        <v>0.90179800018912981</v>
      </c>
      <c r="AA76" s="47">
        <f t="shared" si="53"/>
        <v>0.59554033130864614</v>
      </c>
      <c r="AB76" s="47">
        <f t="shared" si="53"/>
        <v>0.14071949298246614</v>
      </c>
      <c r="AC76" s="47">
        <f t="shared" si="53"/>
        <v>1.9819497584288177</v>
      </c>
      <c r="AD76" s="47">
        <f t="shared" si="53"/>
        <v>6.7109209633111372E-2</v>
      </c>
    </row>
    <row r="77" spans="1:30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spans="1:30" x14ac:dyDescent="0.25">
      <c r="A78" s="24" t="s">
        <v>129</v>
      </c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 spans="1:30" x14ac:dyDescent="0.25">
      <c r="A79" s="24" t="s">
        <v>130</v>
      </c>
      <c r="B79" s="24"/>
      <c r="C79" s="62">
        <f t="shared" ref="C79:AD79" si="54">+(1-C67)^(C4+C10)</f>
        <v>0.61581179331775637</v>
      </c>
      <c r="D79" s="63">
        <f t="shared" si="54"/>
        <v>0.80685555750418247</v>
      </c>
      <c r="E79" s="63">
        <f t="shared" si="54"/>
        <v>0.85301296960102535</v>
      </c>
      <c r="F79" s="63">
        <f t="shared" si="54"/>
        <v>0.6899991443211646</v>
      </c>
      <c r="G79" s="63">
        <f t="shared" si="54"/>
        <v>0.82182524335978657</v>
      </c>
      <c r="H79" s="63">
        <f t="shared" si="54"/>
        <v>0.86883901934056262</v>
      </c>
      <c r="I79" s="63">
        <f t="shared" si="54"/>
        <v>0.77261623049012673</v>
      </c>
      <c r="J79" s="63">
        <f t="shared" si="54"/>
        <v>0.83652299551741349</v>
      </c>
      <c r="K79" s="63">
        <f t="shared" si="54"/>
        <v>0.88437757899703773</v>
      </c>
      <c r="L79" s="63">
        <f t="shared" si="54"/>
        <v>0.73642543112443992</v>
      </c>
      <c r="M79" s="63">
        <f t="shared" si="54"/>
        <v>0.82965944719652385</v>
      </c>
      <c r="N79" s="63">
        <f t="shared" si="54"/>
        <v>0.87712139084694019</v>
      </c>
      <c r="O79" s="63">
        <f t="shared" si="54"/>
        <v>0.94714839269513984</v>
      </c>
      <c r="P79" s="63">
        <f t="shared" si="54"/>
        <v>0.78710437462716476</v>
      </c>
      <c r="Q79" s="63">
        <f t="shared" si="54"/>
        <v>0.83877131862020149</v>
      </c>
      <c r="R79" s="63">
        <f t="shared" si="54"/>
        <v>0.88675452087801598</v>
      </c>
      <c r="S79" s="63">
        <f t="shared" si="54"/>
        <v>0.82800519822057517</v>
      </c>
      <c r="T79" s="63">
        <f t="shared" si="54"/>
        <v>0.89649344834507283</v>
      </c>
      <c r="U79" s="63">
        <f t="shared" si="54"/>
        <v>0.60763420982716632</v>
      </c>
      <c r="V79" s="63">
        <f t="shared" si="54"/>
        <v>0.75306102294640842</v>
      </c>
      <c r="W79" s="63">
        <f t="shared" si="54"/>
        <v>0.65187523247146517</v>
      </c>
      <c r="X79" s="63">
        <f t="shared" si="54"/>
        <v>0.80789037460221347</v>
      </c>
      <c r="Y79" s="63">
        <f t="shared" si="54"/>
        <v>0.73006612084966216</v>
      </c>
      <c r="Z79" s="63">
        <f t="shared" si="54"/>
        <v>0.82905756405033126</v>
      </c>
      <c r="AA79" s="63">
        <f t="shared" si="54"/>
        <v>0.8764850760504298</v>
      </c>
      <c r="AB79" s="63">
        <f t="shared" si="54"/>
        <v>0.94691929846994349</v>
      </c>
      <c r="AC79" s="63">
        <f t="shared" si="54"/>
        <v>0.69087038889952312</v>
      </c>
      <c r="AD79" s="63">
        <f t="shared" si="54"/>
        <v>0.9812717583505961</v>
      </c>
    </row>
    <row r="80" spans="1:30" x14ac:dyDescent="0.25">
      <c r="A80" s="24" t="s">
        <v>131</v>
      </c>
      <c r="B80" s="24"/>
      <c r="C80" s="46">
        <f>1-C79</f>
        <v>0.38418820668224363</v>
      </c>
      <c r="D80" s="47">
        <f t="shared" ref="D80:Q80" si="55">1-D79</f>
        <v>0.19314444249581753</v>
      </c>
      <c r="E80" s="47">
        <f t="shared" si="55"/>
        <v>0.14698703039897465</v>
      </c>
      <c r="F80" s="47">
        <f t="shared" si="55"/>
        <v>0.3100008556788354</v>
      </c>
      <c r="G80" s="47">
        <f t="shared" si="55"/>
        <v>0.17817475664021343</v>
      </c>
      <c r="H80" s="47">
        <f t="shared" si="55"/>
        <v>0.13116098065943738</v>
      </c>
      <c r="I80" s="47">
        <f t="shared" si="55"/>
        <v>0.22738376950987327</v>
      </c>
      <c r="J80" s="47">
        <f t="shared" si="55"/>
        <v>0.16347700448258651</v>
      </c>
      <c r="K80" s="47">
        <f t="shared" si="55"/>
        <v>0.11562242100296227</v>
      </c>
      <c r="L80" s="47">
        <f t="shared" si="55"/>
        <v>0.26357456887556008</v>
      </c>
      <c r="M80" s="47">
        <f t="shared" si="55"/>
        <v>0.17034055280347615</v>
      </c>
      <c r="N80" s="47">
        <f t="shared" si="55"/>
        <v>0.12287860915305981</v>
      </c>
      <c r="O80" s="47">
        <f t="shared" si="55"/>
        <v>5.285160730486016E-2</v>
      </c>
      <c r="P80" s="47">
        <f t="shared" si="55"/>
        <v>0.21289562537283524</v>
      </c>
      <c r="Q80" s="47">
        <f t="shared" si="55"/>
        <v>0.16122868137979851</v>
      </c>
      <c r="R80" s="47">
        <f>1-R79</f>
        <v>0.11324547912198402</v>
      </c>
      <c r="S80" s="47">
        <f t="shared" ref="S80:AD80" si="56">1-S79</f>
        <v>0.17199480177942483</v>
      </c>
      <c r="T80" s="47">
        <f t="shared" si="56"/>
        <v>0.10350655165492717</v>
      </c>
      <c r="U80" s="47">
        <f t="shared" si="56"/>
        <v>0.39236579017283368</v>
      </c>
      <c r="V80" s="47">
        <f t="shared" si="56"/>
        <v>0.24693897705359158</v>
      </c>
      <c r="W80" s="47">
        <f t="shared" si="56"/>
        <v>0.34812476752853483</v>
      </c>
      <c r="X80" s="47">
        <f t="shared" si="56"/>
        <v>0.19210962539778653</v>
      </c>
      <c r="Y80" s="47">
        <f t="shared" si="56"/>
        <v>0.26993387915033784</v>
      </c>
      <c r="Z80" s="47">
        <f t="shared" si="56"/>
        <v>0.17094243594966874</v>
      </c>
      <c r="AA80" s="47">
        <f t="shared" si="56"/>
        <v>0.1235149239495702</v>
      </c>
      <c r="AB80" s="47">
        <f t="shared" si="56"/>
        <v>5.3080701530056507E-2</v>
      </c>
      <c r="AC80" s="47">
        <f t="shared" si="56"/>
        <v>0.30912961110047688</v>
      </c>
      <c r="AD80" s="47">
        <f t="shared" si="56"/>
        <v>1.8728241649403898E-2</v>
      </c>
    </row>
    <row r="81" spans="1:30" x14ac:dyDescent="0.25">
      <c r="A81" s="24" t="s">
        <v>126</v>
      </c>
      <c r="B81" s="24"/>
      <c r="C81" s="46">
        <f t="shared" ref="C81:AD81" si="57">+C80/C31</f>
        <v>5.7628231002336543E-2</v>
      </c>
      <c r="D81" s="47">
        <f t="shared" si="57"/>
        <v>2.8971666374372627E-2</v>
      </c>
      <c r="E81" s="47">
        <f t="shared" si="57"/>
        <v>2.2048054559846198E-2</v>
      </c>
      <c r="F81" s="47">
        <f t="shared" si="57"/>
        <v>4.6500128351825307E-2</v>
      </c>
      <c r="G81" s="47">
        <f t="shared" si="57"/>
        <v>2.6726213496032013E-2</v>
      </c>
      <c r="H81" s="47">
        <f t="shared" si="57"/>
        <v>1.9674147098915604E-2</v>
      </c>
      <c r="I81" s="47">
        <f t="shared" si="57"/>
        <v>3.4107565426480989E-2</v>
      </c>
      <c r="J81" s="47">
        <f t="shared" si="57"/>
        <v>2.4521550672387975E-2</v>
      </c>
      <c r="K81" s="47">
        <f t="shared" si="57"/>
        <v>1.7343363150444342E-2</v>
      </c>
      <c r="L81" s="47">
        <f t="shared" si="57"/>
        <v>3.953618533133401E-2</v>
      </c>
      <c r="M81" s="47">
        <f t="shared" si="57"/>
        <v>2.5551082920521422E-2</v>
      </c>
      <c r="N81" s="47">
        <f t="shared" si="57"/>
        <v>1.8431791372958972E-2</v>
      </c>
      <c r="O81" s="47">
        <f t="shared" si="57"/>
        <v>7.927741095729024E-3</v>
      </c>
      <c r="P81" s="47">
        <f t="shared" si="57"/>
        <v>3.1934343805925282E-2</v>
      </c>
      <c r="Q81" s="47">
        <f t="shared" si="57"/>
        <v>2.4184302206969776E-2</v>
      </c>
      <c r="R81" s="47">
        <f t="shared" si="57"/>
        <v>1.6986821868297603E-2</v>
      </c>
      <c r="S81" s="47">
        <f t="shared" si="57"/>
        <v>2.5799220266913725E-2</v>
      </c>
      <c r="T81" s="47">
        <f t="shared" si="57"/>
        <v>1.5525982748239076E-2</v>
      </c>
      <c r="U81" s="47">
        <f t="shared" si="57"/>
        <v>5.8854868525925051E-2</v>
      </c>
      <c r="V81" s="47">
        <f t="shared" si="57"/>
        <v>3.7040846558038736E-2</v>
      </c>
      <c r="W81" s="47">
        <f t="shared" si="57"/>
        <v>5.2218715129280224E-2</v>
      </c>
      <c r="X81" s="47">
        <f t="shared" si="57"/>
        <v>2.8816443809667979E-2</v>
      </c>
      <c r="Y81" s="47">
        <f t="shared" si="57"/>
        <v>4.0490081872550675E-2</v>
      </c>
      <c r="Z81" s="47">
        <f t="shared" si="57"/>
        <v>2.5641365392450308E-2</v>
      </c>
      <c r="AA81" s="47">
        <f t="shared" si="57"/>
        <v>1.8527238592435529E-2</v>
      </c>
      <c r="AB81" s="47">
        <f t="shared" si="57"/>
        <v>7.9621052295084753E-3</v>
      </c>
      <c r="AC81" s="47">
        <f t="shared" si="57"/>
        <v>4.636944166507153E-2</v>
      </c>
      <c r="AD81" s="47">
        <f t="shared" si="57"/>
        <v>2.8092362474105848E-3</v>
      </c>
    </row>
    <row r="82" spans="1:30" x14ac:dyDescent="0.25">
      <c r="A82" s="24" t="s">
        <v>127</v>
      </c>
      <c r="B82" s="24"/>
      <c r="C82" s="46">
        <f t="shared" ref="C82:AD82" si="58">+C49*C65*C81</f>
        <v>0.21630689972314868</v>
      </c>
      <c r="D82" s="47">
        <f t="shared" si="58"/>
        <v>0.10874481524515044</v>
      </c>
      <c r="E82" s="47">
        <f t="shared" si="58"/>
        <v>8.2757118235570984E-2</v>
      </c>
      <c r="F82" s="47">
        <f t="shared" si="58"/>
        <v>0.17453769490345805</v>
      </c>
      <c r="G82" s="47">
        <f t="shared" si="58"/>
        <v>0.10031653379107308</v>
      </c>
      <c r="H82" s="47">
        <f t="shared" si="58"/>
        <v>7.3846683988808684E-2</v>
      </c>
      <c r="I82" s="47">
        <f t="shared" si="58"/>
        <v>0.12802235304095011</v>
      </c>
      <c r="J82" s="47">
        <f t="shared" si="58"/>
        <v>9.2041357336359597E-2</v>
      </c>
      <c r="K82" s="47">
        <f t="shared" si="58"/>
        <v>6.5098113348181927E-2</v>
      </c>
      <c r="L82" s="47">
        <f t="shared" si="58"/>
        <v>0.90915853149860137</v>
      </c>
      <c r="M82" s="47">
        <f t="shared" si="58"/>
        <v>0.58756262981723628</v>
      </c>
      <c r="N82" s="47">
        <f t="shared" si="58"/>
        <v>0.42385020803327328</v>
      </c>
      <c r="O82" s="47">
        <f t="shared" si="58"/>
        <v>0.18230320887791421</v>
      </c>
      <c r="P82" s="47">
        <f t="shared" si="58"/>
        <v>0.73434958066013434</v>
      </c>
      <c r="Q82" s="47">
        <f t="shared" si="58"/>
        <v>0.55613267935541466</v>
      </c>
      <c r="R82" s="47">
        <f t="shared" si="58"/>
        <v>0.39062225895551977</v>
      </c>
      <c r="S82" s="47">
        <f t="shared" si="58"/>
        <v>0.59326869841149665</v>
      </c>
      <c r="T82" s="47">
        <f t="shared" si="58"/>
        <v>0.35702937845838389</v>
      </c>
      <c r="U82" s="47">
        <f t="shared" si="58"/>
        <v>2.9984455779972858</v>
      </c>
      <c r="V82" s="47">
        <f t="shared" si="58"/>
        <v>1.8870989834647935</v>
      </c>
      <c r="W82" s="47">
        <f t="shared" si="58"/>
        <v>2.6603572378913798</v>
      </c>
      <c r="X82" s="47">
        <f t="shared" si="58"/>
        <v>1.4680950052015795</v>
      </c>
      <c r="Y82" s="47">
        <f t="shared" si="58"/>
        <v>4.8132588398648872</v>
      </c>
      <c r="Z82" s="47">
        <f t="shared" si="58"/>
        <v>3.0481175372748708</v>
      </c>
      <c r="AA82" s="47">
        <f t="shared" si="58"/>
        <v>2.2024256511514073</v>
      </c>
      <c r="AB82" s="47">
        <f t="shared" si="58"/>
        <v>0.94649532941168923</v>
      </c>
      <c r="AC82" s="47">
        <f t="shared" si="58"/>
        <v>55.44255031567608</v>
      </c>
      <c r="AD82" s="47">
        <f t="shared" si="58"/>
        <v>3.3589195039414141</v>
      </c>
    </row>
    <row r="83" spans="1:30" x14ac:dyDescent="0.25">
      <c r="A83" s="24" t="s">
        <v>128</v>
      </c>
      <c r="B83" s="24"/>
      <c r="C83" s="46">
        <f t="shared" ref="C83:AD83" si="59">+C82*1000/C60</f>
        <v>2.0038895566521973</v>
      </c>
      <c r="D83" s="47">
        <f t="shared" si="59"/>
        <v>1.0074232485821581</v>
      </c>
      <c r="E83" s="47">
        <f t="shared" si="59"/>
        <v>0.7666705277693201</v>
      </c>
      <c r="F83" s="47">
        <f t="shared" si="59"/>
        <v>1.6020933514693123</v>
      </c>
      <c r="G83" s="47">
        <f t="shared" si="59"/>
        <v>0.92081227449475489</v>
      </c>
      <c r="H83" s="47">
        <f t="shared" si="59"/>
        <v>0.67784372603274068</v>
      </c>
      <c r="I83" s="47">
        <f t="shared" si="59"/>
        <v>1.1751258704305234</v>
      </c>
      <c r="J83" s="47">
        <f t="shared" si="59"/>
        <v>0.84485386798740958</v>
      </c>
      <c r="K83" s="47">
        <f t="shared" si="59"/>
        <v>0.59754000215257586</v>
      </c>
      <c r="L83" s="47">
        <f t="shared" si="59"/>
        <v>1.5257301411130866</v>
      </c>
      <c r="M83" s="47">
        <f t="shared" si="59"/>
        <v>0.98603486965706066</v>
      </c>
      <c r="N83" s="47">
        <f t="shared" si="59"/>
        <v>0.71129623196459213</v>
      </c>
      <c r="O83" s="47">
        <f t="shared" si="59"/>
        <v>0.3059372936292975</v>
      </c>
      <c r="P83" s="47">
        <f t="shared" si="59"/>
        <v>1.2323695488839466</v>
      </c>
      <c r="Q83" s="47">
        <f t="shared" si="59"/>
        <v>0.93328980805130468</v>
      </c>
      <c r="R83" s="47">
        <f t="shared" si="59"/>
        <v>0.65553380805406281</v>
      </c>
      <c r="S83" s="47">
        <f t="shared" si="59"/>
        <v>0.99561067029017081</v>
      </c>
      <c r="T83" s="47">
        <f t="shared" si="59"/>
        <v>0.59915896414558989</v>
      </c>
      <c r="U83" s="47">
        <f t="shared" si="59"/>
        <v>1.9467369647451782</v>
      </c>
      <c r="V83" s="47">
        <f t="shared" si="59"/>
        <v>1.2251966066023054</v>
      </c>
      <c r="W83" s="47">
        <f t="shared" si="59"/>
        <v>1.7272335414170452</v>
      </c>
      <c r="X83" s="47">
        <f t="shared" si="59"/>
        <v>0.95315880846921497</v>
      </c>
      <c r="Y83" s="47">
        <f t="shared" si="59"/>
        <v>1.6885285302187469</v>
      </c>
      <c r="Z83" s="47">
        <f t="shared" si="59"/>
        <v>1.0693032717295545</v>
      </c>
      <c r="AA83" s="47">
        <f t="shared" si="59"/>
        <v>0.77262799932013304</v>
      </c>
      <c r="AB83" s="47">
        <f t="shared" si="59"/>
        <v>0.33203790209530698</v>
      </c>
      <c r="AC83" s="47">
        <f t="shared" si="59"/>
        <v>2.0209014138058383</v>
      </c>
      <c r="AD83" s="47">
        <f t="shared" si="59"/>
        <v>0.12243385514782003</v>
      </c>
    </row>
    <row r="84" spans="1:30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</row>
    <row r="85" spans="1:30" x14ac:dyDescent="0.25">
      <c r="A85" s="24" t="s">
        <v>132</v>
      </c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</row>
    <row r="86" spans="1:30" x14ac:dyDescent="0.25">
      <c r="A86" s="24" t="s">
        <v>133</v>
      </c>
      <c r="B86" s="24"/>
      <c r="C86" s="58">
        <f>C72*C69</f>
        <v>2.3861003739765874</v>
      </c>
      <c r="D86" s="59">
        <f t="shared" ref="D86:Q86" si="60">D72*D69</f>
        <v>3.126342120103573</v>
      </c>
      <c r="E86" s="59">
        <f t="shared" si="60"/>
        <v>3.3051893254691875</v>
      </c>
      <c r="F86" s="59">
        <f t="shared" si="60"/>
        <v>2.6735558399069452</v>
      </c>
      <c r="G86" s="59">
        <f t="shared" si="60"/>
        <v>3.184345512383425</v>
      </c>
      <c r="H86" s="59">
        <f t="shared" si="60"/>
        <v>3.3665108909407291</v>
      </c>
      <c r="I86" s="59">
        <f t="shared" si="60"/>
        <v>2.9936741980542316</v>
      </c>
      <c r="J86" s="59">
        <f t="shared" si="60"/>
        <v>3.2412952367967618</v>
      </c>
      <c r="K86" s="59">
        <f t="shared" si="60"/>
        <v>3.426718511856234</v>
      </c>
      <c r="L86" s="59">
        <f t="shared" si="60"/>
        <v>17.481522559200023</v>
      </c>
      <c r="M86" s="59">
        <f t="shared" si="60"/>
        <v>19.694744002083002</v>
      </c>
      <c r="N86" s="59">
        <f t="shared" si="60"/>
        <v>20.821412098486682</v>
      </c>
      <c r="O86" s="59">
        <f t="shared" si="60"/>
        <v>22.483737380617775</v>
      </c>
      <c r="P86" s="59">
        <f t="shared" si="60"/>
        <v>18.68455691498886</v>
      </c>
      <c r="Q86" s="59">
        <f t="shared" si="60"/>
        <v>19.911044769434739</v>
      </c>
      <c r="R86" s="59">
        <f>R72*R69</f>
        <v>21.050086683633516</v>
      </c>
      <c r="S86" s="59">
        <f t="shared" ref="S86:AD86" si="61">S72*S69</f>
        <v>19.655474865563061</v>
      </c>
      <c r="T86" s="59">
        <f t="shared" si="61"/>
        <v>21.281272725046851</v>
      </c>
      <c r="U86" s="59">
        <f t="shared" si="61"/>
        <v>31.956677233806122</v>
      </c>
      <c r="V86" s="59">
        <f t="shared" si="61"/>
        <v>39.604959132408474</v>
      </c>
      <c r="W86" s="59">
        <f t="shared" si="61"/>
        <v>34.283399558310371</v>
      </c>
      <c r="X86" s="59">
        <f t="shared" si="61"/>
        <v>42.488542488095113</v>
      </c>
      <c r="Y86" s="59">
        <f t="shared" si="61"/>
        <v>89.58976142886975</v>
      </c>
      <c r="Z86" s="59">
        <f t="shared" si="61"/>
        <v>101.73745535216263</v>
      </c>
      <c r="AA86" s="59">
        <f t="shared" si="61"/>
        <v>107.55750282992891</v>
      </c>
      <c r="AB86" s="59">
        <f t="shared" si="61"/>
        <v>116.20080924120066</v>
      </c>
      <c r="AC86" s="59">
        <f t="shared" si="61"/>
        <v>833.1771425910764</v>
      </c>
      <c r="AD86" s="59">
        <f t="shared" si="61"/>
        <v>1183.3959203696234</v>
      </c>
    </row>
    <row r="87" spans="1:30" x14ac:dyDescent="0.25">
      <c r="A87" s="24" t="s">
        <v>134</v>
      </c>
      <c r="B87" s="24"/>
      <c r="C87" s="54">
        <f>+C70</f>
        <v>1.6086379090909095</v>
      </c>
      <c r="D87" s="55">
        <f t="shared" ref="D87:Q87" si="62">+D70</f>
        <v>1.6086379090909095</v>
      </c>
      <c r="E87" s="55">
        <f t="shared" si="62"/>
        <v>1.6086379090909095</v>
      </c>
      <c r="F87" s="55">
        <f t="shared" si="62"/>
        <v>1.6086379090909095</v>
      </c>
      <c r="G87" s="55">
        <f t="shared" si="62"/>
        <v>1.6086379090909095</v>
      </c>
      <c r="H87" s="55">
        <f t="shared" si="62"/>
        <v>1.6086379090909095</v>
      </c>
      <c r="I87" s="55">
        <f t="shared" si="62"/>
        <v>1.6086379090909095</v>
      </c>
      <c r="J87" s="55">
        <f t="shared" si="62"/>
        <v>1.6086379090909095</v>
      </c>
      <c r="K87" s="55">
        <f t="shared" si="62"/>
        <v>1.6086379090909095</v>
      </c>
      <c r="L87" s="55">
        <f t="shared" si="62"/>
        <v>9.8552596153846181</v>
      </c>
      <c r="M87" s="55">
        <f t="shared" si="62"/>
        <v>9.8552596153846181</v>
      </c>
      <c r="N87" s="55">
        <f t="shared" si="62"/>
        <v>9.8552596153846181</v>
      </c>
      <c r="O87" s="55">
        <f t="shared" si="62"/>
        <v>9.8552596153846181</v>
      </c>
      <c r="P87" s="55">
        <f t="shared" si="62"/>
        <v>9.8552596153846181</v>
      </c>
      <c r="Q87" s="55">
        <f t="shared" si="62"/>
        <v>9.8552596153846181</v>
      </c>
      <c r="R87" s="55">
        <f>+R70</f>
        <v>9.8552596153846181</v>
      </c>
      <c r="S87" s="55">
        <f t="shared" ref="S87:AD87" si="63">+S70</f>
        <v>9.8552596153846181</v>
      </c>
      <c r="T87" s="55">
        <f t="shared" si="63"/>
        <v>9.8552596153846181</v>
      </c>
      <c r="U87" s="55">
        <f t="shared" si="63"/>
        <v>21.834185294117642</v>
      </c>
      <c r="V87" s="55">
        <f t="shared" si="63"/>
        <v>21.834185294117642</v>
      </c>
      <c r="W87" s="55">
        <f t="shared" si="63"/>
        <v>21.834185294117642</v>
      </c>
      <c r="X87" s="55">
        <f t="shared" si="63"/>
        <v>21.834185294117642</v>
      </c>
      <c r="Y87" s="55">
        <f t="shared" si="63"/>
        <v>50.946432352941166</v>
      </c>
      <c r="Z87" s="55">
        <f t="shared" si="63"/>
        <v>50.946432352941166</v>
      </c>
      <c r="AA87" s="55">
        <f t="shared" si="63"/>
        <v>50.946432352941166</v>
      </c>
      <c r="AB87" s="55">
        <f t="shared" si="63"/>
        <v>50.946432352941166</v>
      </c>
      <c r="AC87" s="55">
        <f t="shared" si="63"/>
        <v>1195.67</v>
      </c>
      <c r="AD87" s="55">
        <f t="shared" si="63"/>
        <v>1195.67</v>
      </c>
    </row>
    <row r="88" spans="1:30" x14ac:dyDescent="0.25">
      <c r="A88" s="24" t="s">
        <v>135</v>
      </c>
      <c r="B88" s="24"/>
      <c r="C88" s="54">
        <f t="shared" ref="C88:AD88" si="64">+C86*1000/C60</f>
        <v>22.105081375838711</v>
      </c>
      <c r="D88" s="55">
        <f t="shared" si="64"/>
        <v>28.962757697585314</v>
      </c>
      <c r="E88" s="55">
        <f t="shared" si="64"/>
        <v>30.619616759997513</v>
      </c>
      <c r="F88" s="55">
        <f t="shared" si="64"/>
        <v>24.540750571193698</v>
      </c>
      <c r="G88" s="55">
        <f t="shared" si="64"/>
        <v>29.229323654082183</v>
      </c>
      <c r="H88" s="55">
        <f t="shared" si="64"/>
        <v>30.901432031679217</v>
      </c>
      <c r="I88" s="55">
        <f t="shared" si="64"/>
        <v>27.479138714538422</v>
      </c>
      <c r="J88" s="55">
        <f t="shared" si="64"/>
        <v>29.752069040980317</v>
      </c>
      <c r="K88" s="55">
        <f t="shared" si="64"/>
        <v>31.454081871760287</v>
      </c>
      <c r="L88" s="55">
        <f t="shared" si="64"/>
        <v>29.337112238451109</v>
      </c>
      <c r="M88" s="55">
        <f t="shared" si="64"/>
        <v>33.051292491259474</v>
      </c>
      <c r="N88" s="55">
        <f t="shared" si="64"/>
        <v>34.942042469571966</v>
      </c>
      <c r="O88" s="55">
        <f t="shared" si="64"/>
        <v>37.731720726345408</v>
      </c>
      <c r="P88" s="55">
        <f t="shared" si="64"/>
        <v>31.356018417988423</v>
      </c>
      <c r="Q88" s="55">
        <f t="shared" si="64"/>
        <v>33.414283750606131</v>
      </c>
      <c r="R88" s="55">
        <f t="shared" si="64"/>
        <v>35.325799201733908</v>
      </c>
      <c r="S88" s="55">
        <f t="shared" si="64"/>
        <v>32.985391877529104</v>
      </c>
      <c r="T88" s="55">
        <f t="shared" si="64"/>
        <v>35.713770605365269</v>
      </c>
      <c r="U88" s="55">
        <f t="shared" si="64"/>
        <v>20.747831909303169</v>
      </c>
      <c r="V88" s="55">
        <f t="shared" si="64"/>
        <v>25.713469170842323</v>
      </c>
      <c r="W88" s="55">
        <f t="shared" si="64"/>
        <v>22.258453409005551</v>
      </c>
      <c r="X88" s="55">
        <f t="shared" si="64"/>
        <v>27.585631984345351</v>
      </c>
      <c r="Y88" s="55">
        <f t="shared" si="64"/>
        <v>31.428783121994758</v>
      </c>
      <c r="Z88" s="55">
        <f t="shared" si="64"/>
        <v>35.690288361638324</v>
      </c>
      <c r="AA88" s="55">
        <f t="shared" si="64"/>
        <v>37.732006154174883</v>
      </c>
      <c r="AB88" s="55">
        <f t="shared" si="64"/>
        <v>40.764145076349415</v>
      </c>
      <c r="AC88" s="55">
        <f t="shared" si="64"/>
        <v>30.369614237188841</v>
      </c>
      <c r="AD88" s="55">
        <f t="shared" si="64"/>
        <v>43.135217895826884</v>
      </c>
    </row>
    <row r="89" spans="1:30" x14ac:dyDescent="0.25">
      <c r="A89" s="24" t="s">
        <v>136</v>
      </c>
      <c r="B89" s="24"/>
      <c r="C89" s="54">
        <f t="shared" ref="C89:AD89" si="65">+C87*1000/C60</f>
        <v>14.902588454588832</v>
      </c>
      <c r="D89" s="55">
        <f t="shared" si="65"/>
        <v>14.902588454588832</v>
      </c>
      <c r="E89" s="55">
        <f t="shared" si="65"/>
        <v>14.902588454588832</v>
      </c>
      <c r="F89" s="55">
        <f t="shared" si="65"/>
        <v>14.765796583377366</v>
      </c>
      <c r="G89" s="55">
        <f t="shared" si="65"/>
        <v>14.765796583377366</v>
      </c>
      <c r="H89" s="55">
        <f t="shared" si="65"/>
        <v>14.765796583377366</v>
      </c>
      <c r="I89" s="55">
        <f t="shared" si="65"/>
        <v>14.765796583377366</v>
      </c>
      <c r="J89" s="55">
        <f t="shared" si="65"/>
        <v>14.765796583377366</v>
      </c>
      <c r="K89" s="55">
        <f t="shared" si="65"/>
        <v>14.765796583377366</v>
      </c>
      <c r="L89" s="55">
        <f t="shared" si="65"/>
        <v>16.538883069052527</v>
      </c>
      <c r="M89" s="55">
        <f t="shared" si="65"/>
        <v>16.538883069052527</v>
      </c>
      <c r="N89" s="55">
        <f t="shared" si="65"/>
        <v>16.538883069052527</v>
      </c>
      <c r="O89" s="55">
        <f t="shared" si="65"/>
        <v>16.538883069052527</v>
      </c>
      <c r="P89" s="55">
        <f t="shared" si="65"/>
        <v>16.538883069052527</v>
      </c>
      <c r="Q89" s="55">
        <f t="shared" si="65"/>
        <v>16.538883069052527</v>
      </c>
      <c r="R89" s="55">
        <f t="shared" si="65"/>
        <v>16.538883069052527</v>
      </c>
      <c r="S89" s="55">
        <f t="shared" si="65"/>
        <v>16.538883069052527</v>
      </c>
      <c r="T89" s="55">
        <f t="shared" si="65"/>
        <v>16.538883069052527</v>
      </c>
      <c r="U89" s="55">
        <f t="shared" si="65"/>
        <v>14.175816936302205</v>
      </c>
      <c r="V89" s="55">
        <f t="shared" si="65"/>
        <v>14.175816936302205</v>
      </c>
      <c r="W89" s="55">
        <f t="shared" si="65"/>
        <v>14.175816936302205</v>
      </c>
      <c r="X89" s="55">
        <f t="shared" si="65"/>
        <v>14.175816936302205</v>
      </c>
      <c r="Y89" s="55">
        <f t="shared" si="65"/>
        <v>17.872403584099658</v>
      </c>
      <c r="Z89" s="55">
        <f t="shared" si="65"/>
        <v>17.872403584099658</v>
      </c>
      <c r="AA89" s="55">
        <f t="shared" si="65"/>
        <v>17.872403584099658</v>
      </c>
      <c r="AB89" s="55">
        <f t="shared" si="65"/>
        <v>17.872403584099658</v>
      </c>
      <c r="AC89" s="55">
        <f t="shared" si="65"/>
        <v>43.582612626714294</v>
      </c>
      <c r="AD89" s="55">
        <f t="shared" si="65"/>
        <v>43.582612626714294</v>
      </c>
    </row>
    <row r="90" spans="1:30" x14ac:dyDescent="0.25">
      <c r="A90" s="24" t="s">
        <v>209</v>
      </c>
      <c r="B90" s="24"/>
      <c r="C90" s="54">
        <f>+C88+C89</f>
        <v>37.007669830427545</v>
      </c>
      <c r="D90" s="55">
        <f t="shared" ref="D90:Q90" si="66">+D88+D89</f>
        <v>43.865346152174148</v>
      </c>
      <c r="E90" s="55">
        <f t="shared" si="66"/>
        <v>45.522205214586343</v>
      </c>
      <c r="F90" s="55">
        <f t="shared" si="66"/>
        <v>39.306547154571064</v>
      </c>
      <c r="G90" s="55">
        <f t="shared" si="66"/>
        <v>43.995120237459545</v>
      </c>
      <c r="H90" s="55">
        <f t="shared" si="66"/>
        <v>45.667228615056587</v>
      </c>
      <c r="I90" s="55">
        <f t="shared" si="66"/>
        <v>42.244935297915788</v>
      </c>
      <c r="J90" s="55">
        <f t="shared" si="66"/>
        <v>44.517865624357682</v>
      </c>
      <c r="K90" s="55">
        <f t="shared" si="66"/>
        <v>46.219878455137653</v>
      </c>
      <c r="L90" s="55">
        <f t="shared" si="66"/>
        <v>45.875995307503636</v>
      </c>
      <c r="M90" s="55">
        <f t="shared" si="66"/>
        <v>49.590175560312005</v>
      </c>
      <c r="N90" s="55">
        <f t="shared" si="66"/>
        <v>51.48092553862449</v>
      </c>
      <c r="O90" s="55">
        <f t="shared" si="66"/>
        <v>54.270603795397932</v>
      </c>
      <c r="P90" s="55">
        <f t="shared" si="66"/>
        <v>47.894901487040954</v>
      </c>
      <c r="Q90" s="55">
        <f t="shared" si="66"/>
        <v>49.953166819658662</v>
      </c>
      <c r="R90" s="55">
        <f>+R88+R89</f>
        <v>51.864682270786432</v>
      </c>
      <c r="S90" s="55">
        <f t="shared" ref="S90:AD90" si="67">+S88+S89</f>
        <v>49.524274946581627</v>
      </c>
      <c r="T90" s="55">
        <f t="shared" si="67"/>
        <v>52.2526536744178</v>
      </c>
      <c r="U90" s="55">
        <f t="shared" si="67"/>
        <v>34.923648845605371</v>
      </c>
      <c r="V90" s="55">
        <f t="shared" si="67"/>
        <v>39.889286107144528</v>
      </c>
      <c r="W90" s="55">
        <f t="shared" si="67"/>
        <v>36.434270345307752</v>
      </c>
      <c r="X90" s="55">
        <f t="shared" si="67"/>
        <v>41.761448920647553</v>
      </c>
      <c r="Y90" s="55">
        <f t="shared" si="67"/>
        <v>49.301186706094413</v>
      </c>
      <c r="Z90" s="55">
        <f t="shared" si="67"/>
        <v>53.562691945737981</v>
      </c>
      <c r="AA90" s="55">
        <f t="shared" si="67"/>
        <v>55.604409738274541</v>
      </c>
      <c r="AB90" s="55">
        <f t="shared" si="67"/>
        <v>58.636548660449073</v>
      </c>
      <c r="AC90" s="55">
        <f t="shared" si="67"/>
        <v>73.952226863903135</v>
      </c>
      <c r="AD90" s="55">
        <f t="shared" si="67"/>
        <v>86.717830522541178</v>
      </c>
    </row>
    <row r="91" spans="1:30" x14ac:dyDescent="0.25">
      <c r="A91" s="24" t="s">
        <v>138</v>
      </c>
      <c r="B91" s="24" t="s">
        <v>139</v>
      </c>
      <c r="C91" s="66">
        <f t="shared" ref="C91:AD91" si="68">+VS_tot_omsat_lager</f>
        <v>0.60536843267601481</v>
      </c>
      <c r="D91" s="67">
        <f t="shared" si="68"/>
        <v>0.60536843267601481</v>
      </c>
      <c r="E91" s="67">
        <f t="shared" si="68"/>
        <v>0.60536843267601481</v>
      </c>
      <c r="F91" s="67">
        <f t="shared" si="68"/>
        <v>0.60536843267601481</v>
      </c>
      <c r="G91" s="67">
        <f t="shared" si="68"/>
        <v>0.60536843267601481</v>
      </c>
      <c r="H91" s="67">
        <f t="shared" si="68"/>
        <v>0.60536843267601481</v>
      </c>
      <c r="I91" s="67">
        <f t="shared" si="68"/>
        <v>0.60536843267601481</v>
      </c>
      <c r="J91" s="67">
        <f t="shared" si="68"/>
        <v>0.60536843267601481</v>
      </c>
      <c r="K91" s="67">
        <f t="shared" si="68"/>
        <v>0.60536843267601481</v>
      </c>
      <c r="L91" s="67">
        <f t="shared" si="68"/>
        <v>0.60536843267601481</v>
      </c>
      <c r="M91" s="67">
        <f t="shared" si="68"/>
        <v>0.60536843267601481</v>
      </c>
      <c r="N91" s="67">
        <f t="shared" si="68"/>
        <v>0.60536843267601481</v>
      </c>
      <c r="O91" s="67">
        <f t="shared" si="68"/>
        <v>0.60536843267601481</v>
      </c>
      <c r="P91" s="67">
        <f t="shared" si="68"/>
        <v>0.60536843267601481</v>
      </c>
      <c r="Q91" s="67">
        <f t="shared" si="68"/>
        <v>0.60536843267601481</v>
      </c>
      <c r="R91" s="67">
        <f t="shared" si="68"/>
        <v>0.60536843267601481</v>
      </c>
      <c r="S91" s="67">
        <f t="shared" si="68"/>
        <v>0.60536843267601481</v>
      </c>
      <c r="T91" s="67">
        <f t="shared" si="68"/>
        <v>0.60536843267601481</v>
      </c>
      <c r="U91" s="67">
        <f t="shared" si="68"/>
        <v>0.60536843267601481</v>
      </c>
      <c r="V91" s="67">
        <f t="shared" si="68"/>
        <v>0.60536843267601481</v>
      </c>
      <c r="W91" s="67">
        <f t="shared" si="68"/>
        <v>0.60536843267601481</v>
      </c>
      <c r="X91" s="67">
        <f t="shared" si="68"/>
        <v>0.60536843267601481</v>
      </c>
      <c r="Y91" s="67">
        <f t="shared" si="68"/>
        <v>0.60536843267601481</v>
      </c>
      <c r="Z91" s="67">
        <f t="shared" si="68"/>
        <v>0.60536843267601481</v>
      </c>
      <c r="AA91" s="67">
        <f t="shared" si="68"/>
        <v>0.60536843267601481</v>
      </c>
      <c r="AB91" s="67">
        <f t="shared" si="68"/>
        <v>0.60536843267601481</v>
      </c>
      <c r="AC91" s="67">
        <f t="shared" si="68"/>
        <v>0.60536843267601481</v>
      </c>
      <c r="AD91" s="67">
        <f t="shared" si="68"/>
        <v>0.60536843267601481</v>
      </c>
    </row>
    <row r="92" spans="1:30" x14ac:dyDescent="0.25">
      <c r="A92" s="24" t="s">
        <v>140</v>
      </c>
      <c r="B92" s="24"/>
      <c r="C92" s="54">
        <f>+C91*C88</f>
        <v>13.381718466667246</v>
      </c>
      <c r="D92" s="55">
        <f t="shared" ref="D92:Q92" si="69">+D91*D88</f>
        <v>17.533139233362405</v>
      </c>
      <c r="E92" s="55">
        <f t="shared" si="69"/>
        <v>18.536149407139931</v>
      </c>
      <c r="F92" s="55">
        <f t="shared" si="69"/>
        <v>14.856195709976545</v>
      </c>
      <c r="G92" s="55">
        <f t="shared" si="69"/>
        <v>17.694509848651698</v>
      </c>
      <c r="H92" s="55">
        <f t="shared" si="69"/>
        <v>18.706751476462049</v>
      </c>
      <c r="I92" s="55">
        <f t="shared" si="69"/>
        <v>16.635003134906924</v>
      </c>
      <c r="J92" s="55">
        <f t="shared" si="69"/>
        <v>18.010963404206837</v>
      </c>
      <c r="K92" s="55">
        <f t="shared" si="69"/>
        <v>19.041308243970576</v>
      </c>
      <c r="L92" s="55">
        <f t="shared" si="69"/>
        <v>17.759761655031479</v>
      </c>
      <c r="M92" s="55">
        <f t="shared" si="69"/>
        <v>20.008209133350285</v>
      </c>
      <c r="N92" s="55">
        <f t="shared" si="69"/>
        <v>21.152809484303528</v>
      </c>
      <c r="O92" s="55">
        <f t="shared" si="69"/>
        <v>22.841592638276822</v>
      </c>
      <c r="P92" s="55">
        <f t="shared" si="69"/>
        <v>18.981943724657906</v>
      </c>
      <c r="Q92" s="55">
        <f t="shared" si="69"/>
        <v>20.227952583096062</v>
      </c>
      <c r="R92" s="55">
        <f>+R91*R88</f>
        <v>21.385123695781271</v>
      </c>
      <c r="S92" s="55">
        <f t="shared" ref="S92:AD92" si="70">+S91*S88</f>
        <v>19.968314982103944</v>
      </c>
      <c r="T92" s="55">
        <f t="shared" si="70"/>
        <v>21.619989336320703</v>
      </c>
      <c r="U92" s="55">
        <f t="shared" si="70"/>
        <v>12.560082484360267</v>
      </c>
      <c r="V92" s="55">
        <f t="shared" si="70"/>
        <v>15.566122530615843</v>
      </c>
      <c r="W92" s="55">
        <f t="shared" si="70"/>
        <v>13.47456505400179</v>
      </c>
      <c r="X92" s="55">
        <f t="shared" si="70"/>
        <v>16.699470798740489</v>
      </c>
      <c r="Y92" s="55">
        <f t="shared" si="70"/>
        <v>19.025993179476355</v>
      </c>
      <c r="Z92" s="55">
        <f t="shared" si="70"/>
        <v>21.605773927240005</v>
      </c>
      <c r="AA92" s="55">
        <f t="shared" si="70"/>
        <v>22.841765427274595</v>
      </c>
      <c r="AB92" s="55">
        <f t="shared" si="70"/>
        <v>24.677326614247331</v>
      </c>
      <c r="AC92" s="55">
        <f t="shared" si="70"/>
        <v>18.384805771742194</v>
      </c>
      <c r="AD92" s="55">
        <f t="shared" si="70"/>
        <v>26.112699250735105</v>
      </c>
    </row>
    <row r="93" spans="1:30" x14ac:dyDescent="0.25">
      <c r="A93" s="24" t="s">
        <v>141</v>
      </c>
      <c r="B93" s="24"/>
      <c r="C93" s="54">
        <f>+C89*C91</f>
        <v>9.0215566155701143</v>
      </c>
      <c r="D93" s="55">
        <f t="shared" ref="D93:Q93" si="71">+D89*D91</f>
        <v>9.0215566155701143</v>
      </c>
      <c r="E93" s="55">
        <f t="shared" si="71"/>
        <v>9.0215566155701143</v>
      </c>
      <c r="F93" s="55">
        <f t="shared" si="71"/>
        <v>8.9387471348920098</v>
      </c>
      <c r="G93" s="55">
        <f t="shared" si="71"/>
        <v>8.9387471348920098</v>
      </c>
      <c r="H93" s="55">
        <f t="shared" si="71"/>
        <v>8.9387471348920098</v>
      </c>
      <c r="I93" s="55">
        <f t="shared" si="71"/>
        <v>8.9387471348920098</v>
      </c>
      <c r="J93" s="55">
        <f t="shared" si="71"/>
        <v>8.9387471348920098</v>
      </c>
      <c r="K93" s="55">
        <f t="shared" si="71"/>
        <v>8.9387471348920098</v>
      </c>
      <c r="L93" s="55">
        <f t="shared" si="71"/>
        <v>10.012117721724206</v>
      </c>
      <c r="M93" s="55">
        <f t="shared" si="71"/>
        <v>10.012117721724206</v>
      </c>
      <c r="N93" s="55">
        <f t="shared" si="71"/>
        <v>10.012117721724206</v>
      </c>
      <c r="O93" s="55">
        <f t="shared" si="71"/>
        <v>10.012117721724206</v>
      </c>
      <c r="P93" s="55">
        <f t="shared" si="71"/>
        <v>10.012117721724206</v>
      </c>
      <c r="Q93" s="55">
        <f t="shared" si="71"/>
        <v>10.012117721724206</v>
      </c>
      <c r="R93" s="55">
        <f>+R89*R91</f>
        <v>10.012117721724206</v>
      </c>
      <c r="S93" s="55">
        <f t="shared" ref="S93:AD93" si="72">+S89*S91</f>
        <v>10.012117721724206</v>
      </c>
      <c r="T93" s="55">
        <f t="shared" si="72"/>
        <v>10.012117721724206</v>
      </c>
      <c r="U93" s="55">
        <f t="shared" si="72"/>
        <v>8.5815920806313724</v>
      </c>
      <c r="V93" s="55">
        <f t="shared" si="72"/>
        <v>8.5815920806313724</v>
      </c>
      <c r="W93" s="55">
        <f t="shared" si="72"/>
        <v>8.5815920806313724</v>
      </c>
      <c r="X93" s="55">
        <f t="shared" si="72"/>
        <v>8.5815920806313724</v>
      </c>
      <c r="Y93" s="55">
        <f t="shared" si="72"/>
        <v>10.819388945859599</v>
      </c>
      <c r="Z93" s="55">
        <f t="shared" si="72"/>
        <v>10.819388945859599</v>
      </c>
      <c r="AA93" s="55">
        <f t="shared" si="72"/>
        <v>10.819388945859599</v>
      </c>
      <c r="AB93" s="55">
        <f t="shared" si="72"/>
        <v>10.819388945859599</v>
      </c>
      <c r="AC93" s="55">
        <f t="shared" si="72"/>
        <v>26.383537897759926</v>
      </c>
      <c r="AD93" s="55">
        <f t="shared" si="72"/>
        <v>26.383537897759926</v>
      </c>
    </row>
    <row r="94" spans="1:30" x14ac:dyDescent="0.25">
      <c r="A94" s="24" t="s">
        <v>142</v>
      </c>
      <c r="B94" s="24"/>
      <c r="C94" s="54">
        <f t="shared" ref="C94:AD94" si="73">+C92/C31</f>
        <v>2.0072577700000869</v>
      </c>
      <c r="D94" s="55">
        <f t="shared" si="73"/>
        <v>2.6299708850043606</v>
      </c>
      <c r="E94" s="55">
        <f t="shared" si="73"/>
        <v>2.7804224110709894</v>
      </c>
      <c r="F94" s="55">
        <f t="shared" si="73"/>
        <v>2.2284293564964814</v>
      </c>
      <c r="G94" s="55">
        <f t="shared" si="73"/>
        <v>2.6541764772977547</v>
      </c>
      <c r="H94" s="55">
        <f t="shared" si="73"/>
        <v>2.8060127214693074</v>
      </c>
      <c r="I94" s="55">
        <f t="shared" si="73"/>
        <v>2.4952504702360385</v>
      </c>
      <c r="J94" s="55">
        <f t="shared" si="73"/>
        <v>2.7016445106310254</v>
      </c>
      <c r="K94" s="55">
        <f t="shared" si="73"/>
        <v>2.8561962365955864</v>
      </c>
      <c r="L94" s="55">
        <f t="shared" si="73"/>
        <v>2.6639642482547217</v>
      </c>
      <c r="M94" s="55">
        <f t="shared" si="73"/>
        <v>3.0012313700025426</v>
      </c>
      <c r="N94" s="55">
        <f t="shared" si="73"/>
        <v>3.1729214226455289</v>
      </c>
      <c r="O94" s="55">
        <f t="shared" si="73"/>
        <v>3.4262388957415233</v>
      </c>
      <c r="P94" s="55">
        <f t="shared" si="73"/>
        <v>2.8472915586986858</v>
      </c>
      <c r="Q94" s="55">
        <f t="shared" si="73"/>
        <v>3.0341928874644091</v>
      </c>
      <c r="R94" s="55">
        <f t="shared" si="73"/>
        <v>3.2077685543671905</v>
      </c>
      <c r="S94" s="55">
        <f t="shared" si="73"/>
        <v>2.9952472473155916</v>
      </c>
      <c r="T94" s="55">
        <f t="shared" si="73"/>
        <v>3.2429984004481054</v>
      </c>
      <c r="U94" s="55">
        <f t="shared" si="73"/>
        <v>1.8840123726540399</v>
      </c>
      <c r="V94" s="55">
        <f t="shared" si="73"/>
        <v>2.3349183795923762</v>
      </c>
      <c r="W94" s="55">
        <f t="shared" si="73"/>
        <v>2.0211847581002682</v>
      </c>
      <c r="X94" s="55">
        <f t="shared" si="73"/>
        <v>2.5049206198110734</v>
      </c>
      <c r="Y94" s="55">
        <f t="shared" si="73"/>
        <v>2.8538989769214531</v>
      </c>
      <c r="Z94" s="55">
        <f t="shared" si="73"/>
        <v>3.2408660890860004</v>
      </c>
      <c r="AA94" s="55">
        <f t="shared" si="73"/>
        <v>3.4262648140911889</v>
      </c>
      <c r="AB94" s="55">
        <f t="shared" si="73"/>
        <v>3.7015989921370993</v>
      </c>
      <c r="AC94" s="55">
        <f t="shared" si="73"/>
        <v>2.7577208657613288</v>
      </c>
      <c r="AD94" s="55">
        <f t="shared" si="73"/>
        <v>3.9169048876102655</v>
      </c>
    </row>
    <row r="95" spans="1:30" x14ac:dyDescent="0.25">
      <c r="A95" s="24" t="s">
        <v>143</v>
      </c>
      <c r="B95" s="24"/>
      <c r="C95" s="54">
        <f t="shared" ref="C95:AD95" si="74">+C93/C31</f>
        <v>1.3532334923355172</v>
      </c>
      <c r="D95" s="55">
        <f t="shared" si="74"/>
        <v>1.3532334923355172</v>
      </c>
      <c r="E95" s="55">
        <f t="shared" si="74"/>
        <v>1.3532334923355172</v>
      </c>
      <c r="F95" s="55">
        <f t="shared" si="74"/>
        <v>1.3408120702338013</v>
      </c>
      <c r="G95" s="55">
        <f t="shared" si="74"/>
        <v>1.3408120702338013</v>
      </c>
      <c r="H95" s="55">
        <f t="shared" si="74"/>
        <v>1.3408120702338013</v>
      </c>
      <c r="I95" s="55">
        <f t="shared" si="74"/>
        <v>1.3408120702338013</v>
      </c>
      <c r="J95" s="55">
        <f t="shared" si="74"/>
        <v>1.3408120702338013</v>
      </c>
      <c r="K95" s="55">
        <f t="shared" si="74"/>
        <v>1.3408120702338013</v>
      </c>
      <c r="L95" s="55">
        <f t="shared" si="74"/>
        <v>1.5018176582586307</v>
      </c>
      <c r="M95" s="55">
        <f t="shared" si="74"/>
        <v>1.5018176582586307</v>
      </c>
      <c r="N95" s="55">
        <f t="shared" si="74"/>
        <v>1.5018176582586307</v>
      </c>
      <c r="O95" s="55">
        <f t="shared" si="74"/>
        <v>1.5018176582586307</v>
      </c>
      <c r="P95" s="55">
        <f t="shared" si="74"/>
        <v>1.5018176582586307</v>
      </c>
      <c r="Q95" s="55">
        <f t="shared" si="74"/>
        <v>1.5018176582586307</v>
      </c>
      <c r="R95" s="55">
        <f t="shared" si="74"/>
        <v>1.5018176582586307</v>
      </c>
      <c r="S95" s="55">
        <f t="shared" si="74"/>
        <v>1.5018176582586307</v>
      </c>
      <c r="T95" s="55">
        <f t="shared" si="74"/>
        <v>1.5018176582586307</v>
      </c>
      <c r="U95" s="55">
        <f t="shared" si="74"/>
        <v>1.2872388120947058</v>
      </c>
      <c r="V95" s="55">
        <f t="shared" si="74"/>
        <v>1.2872388120947058</v>
      </c>
      <c r="W95" s="55">
        <f t="shared" si="74"/>
        <v>1.2872388120947058</v>
      </c>
      <c r="X95" s="55">
        <f t="shared" si="74"/>
        <v>1.2872388120947058</v>
      </c>
      <c r="Y95" s="55">
        <f t="shared" si="74"/>
        <v>1.6229083418789396</v>
      </c>
      <c r="Z95" s="55">
        <f t="shared" si="74"/>
        <v>1.6229083418789396</v>
      </c>
      <c r="AA95" s="55">
        <f t="shared" si="74"/>
        <v>1.6229083418789396</v>
      </c>
      <c r="AB95" s="55">
        <f t="shared" si="74"/>
        <v>1.6229083418789396</v>
      </c>
      <c r="AC95" s="55">
        <f t="shared" si="74"/>
        <v>3.9575306846639888</v>
      </c>
      <c r="AD95" s="55">
        <f t="shared" si="74"/>
        <v>3.9575306846639888</v>
      </c>
    </row>
    <row r="96" spans="1:30" x14ac:dyDescent="0.25">
      <c r="A96" s="24" t="s">
        <v>128</v>
      </c>
      <c r="B96" s="24"/>
      <c r="C96" s="54">
        <f>+SUM(C94:C95)</f>
        <v>3.360491262335604</v>
      </c>
      <c r="D96" s="55">
        <f t="shared" ref="D96:F96" si="75">+SUM(D94:D95)</f>
        <v>3.9832043773398778</v>
      </c>
      <c r="E96" s="55">
        <f t="shared" si="75"/>
        <v>4.1336559034065061</v>
      </c>
      <c r="F96" s="55">
        <f t="shared" si="75"/>
        <v>3.569241426730283</v>
      </c>
      <c r="G96" s="55">
        <f t="shared" ref="G96:AD96" si="76">+SUM(G94:G95)</f>
        <v>3.9949885475315563</v>
      </c>
      <c r="H96" s="55">
        <f t="shared" si="76"/>
        <v>4.1468247917031089</v>
      </c>
      <c r="I96" s="55">
        <f t="shared" si="76"/>
        <v>3.8360625404698396</v>
      </c>
      <c r="J96" s="55">
        <f t="shared" si="76"/>
        <v>4.042456580864827</v>
      </c>
      <c r="K96" s="55">
        <f t="shared" si="76"/>
        <v>4.197008306829388</v>
      </c>
      <c r="L96" s="55">
        <f t="shared" si="76"/>
        <v>4.1657819065133523</v>
      </c>
      <c r="M96" s="55">
        <f t="shared" si="76"/>
        <v>4.5030490282611737</v>
      </c>
      <c r="N96" s="55">
        <f t="shared" si="76"/>
        <v>4.6747390809041596</v>
      </c>
      <c r="O96" s="55">
        <f t="shared" si="76"/>
        <v>4.928056554000154</v>
      </c>
      <c r="P96" s="55">
        <f t="shared" si="76"/>
        <v>4.3491092169573164</v>
      </c>
      <c r="Q96" s="55">
        <f t="shared" si="76"/>
        <v>4.5360105457230393</v>
      </c>
      <c r="R96" s="55">
        <f t="shared" si="76"/>
        <v>4.7095862126258208</v>
      </c>
      <c r="S96" s="55">
        <f t="shared" si="76"/>
        <v>4.4970649055742218</v>
      </c>
      <c r="T96" s="55">
        <f t="shared" si="76"/>
        <v>4.7448160587067356</v>
      </c>
      <c r="U96" s="55">
        <f t="shared" si="76"/>
        <v>3.1712511847487459</v>
      </c>
      <c r="V96" s="55">
        <f t="shared" si="76"/>
        <v>3.6221571916870818</v>
      </c>
      <c r="W96" s="55">
        <f t="shared" si="76"/>
        <v>3.3084235701949742</v>
      </c>
      <c r="X96" s="55">
        <f t="shared" si="76"/>
        <v>3.7921594319057794</v>
      </c>
      <c r="Y96" s="55">
        <f t="shared" si="76"/>
        <v>4.4768073188003932</v>
      </c>
      <c r="Z96" s="55">
        <f t="shared" si="76"/>
        <v>4.8637744309649396</v>
      </c>
      <c r="AA96" s="55">
        <f t="shared" si="76"/>
        <v>5.0491731559701289</v>
      </c>
      <c r="AB96" s="55">
        <f t="shared" si="76"/>
        <v>5.3245073340160385</v>
      </c>
      <c r="AC96" s="55">
        <f t="shared" si="76"/>
        <v>6.7152515504253181</v>
      </c>
      <c r="AD96" s="55">
        <f t="shared" si="76"/>
        <v>7.8744355722742547</v>
      </c>
    </row>
    <row r="97" spans="1:30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 spans="1:30" x14ac:dyDescent="0.25">
      <c r="A98" s="24" t="s">
        <v>144</v>
      </c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 spans="1:30" x14ac:dyDescent="0.25">
      <c r="A99" s="24" t="s">
        <v>133</v>
      </c>
      <c r="B99" s="24"/>
      <c r="C99" s="64">
        <f>+C69*C72</f>
        <v>2.3861003739765874</v>
      </c>
      <c r="D99" s="65">
        <f t="shared" ref="D99:Q99" si="77">+D69*D72</f>
        <v>3.126342120103573</v>
      </c>
      <c r="E99" s="65">
        <f t="shared" si="77"/>
        <v>3.3051893254691875</v>
      </c>
      <c r="F99" s="65">
        <f t="shared" si="77"/>
        <v>2.6735558399069452</v>
      </c>
      <c r="G99" s="65">
        <f t="shared" si="77"/>
        <v>3.184345512383425</v>
      </c>
      <c r="H99" s="65">
        <f t="shared" si="77"/>
        <v>3.3665108909407291</v>
      </c>
      <c r="I99" s="65">
        <f t="shared" si="77"/>
        <v>2.9936741980542316</v>
      </c>
      <c r="J99" s="65">
        <f t="shared" si="77"/>
        <v>3.2412952367967618</v>
      </c>
      <c r="K99" s="65">
        <f t="shared" si="77"/>
        <v>3.426718511856234</v>
      </c>
      <c r="L99" s="65">
        <f t="shared" si="77"/>
        <v>17.481522559200023</v>
      </c>
      <c r="M99" s="65">
        <f t="shared" si="77"/>
        <v>19.694744002083002</v>
      </c>
      <c r="N99" s="65">
        <f t="shared" si="77"/>
        <v>20.821412098486682</v>
      </c>
      <c r="O99" s="65">
        <f t="shared" si="77"/>
        <v>22.483737380617775</v>
      </c>
      <c r="P99" s="65">
        <f t="shared" si="77"/>
        <v>18.68455691498886</v>
      </c>
      <c r="Q99" s="65">
        <f t="shared" si="77"/>
        <v>19.911044769434739</v>
      </c>
      <c r="R99" s="65">
        <f>+R69*R72</f>
        <v>21.050086683633516</v>
      </c>
      <c r="S99" s="65">
        <f t="shared" ref="S99:AD99" si="78">+S69*S72</f>
        <v>19.655474865563061</v>
      </c>
      <c r="T99" s="65">
        <f t="shared" si="78"/>
        <v>21.281272725046851</v>
      </c>
      <c r="U99" s="65">
        <f t="shared" si="78"/>
        <v>31.956677233806122</v>
      </c>
      <c r="V99" s="65">
        <f t="shared" si="78"/>
        <v>39.604959132408474</v>
      </c>
      <c r="W99" s="65">
        <f t="shared" si="78"/>
        <v>34.283399558310371</v>
      </c>
      <c r="X99" s="65">
        <f t="shared" si="78"/>
        <v>42.488542488095113</v>
      </c>
      <c r="Y99" s="65">
        <f t="shared" si="78"/>
        <v>89.58976142886975</v>
      </c>
      <c r="Z99" s="65">
        <f t="shared" si="78"/>
        <v>101.73745535216263</v>
      </c>
      <c r="AA99" s="65">
        <f t="shared" si="78"/>
        <v>107.55750282992891</v>
      </c>
      <c r="AB99" s="65">
        <f t="shared" si="78"/>
        <v>116.20080924120066</v>
      </c>
      <c r="AC99" s="65">
        <f t="shared" si="78"/>
        <v>833.1771425910764</v>
      </c>
      <c r="AD99" s="65">
        <f t="shared" si="78"/>
        <v>1183.3959203696234</v>
      </c>
    </row>
    <row r="100" spans="1:30" x14ac:dyDescent="0.25">
      <c r="A100" s="24" t="s">
        <v>134</v>
      </c>
      <c r="B100" s="24"/>
      <c r="C100" s="56">
        <f>+C70</f>
        <v>1.6086379090909095</v>
      </c>
      <c r="D100" s="57">
        <f t="shared" ref="D100:Q100" si="79">+D70</f>
        <v>1.6086379090909095</v>
      </c>
      <c r="E100" s="57">
        <f t="shared" si="79"/>
        <v>1.6086379090909095</v>
      </c>
      <c r="F100" s="57">
        <f t="shared" si="79"/>
        <v>1.6086379090909095</v>
      </c>
      <c r="G100" s="57">
        <f t="shared" si="79"/>
        <v>1.6086379090909095</v>
      </c>
      <c r="H100" s="57">
        <f t="shared" si="79"/>
        <v>1.6086379090909095</v>
      </c>
      <c r="I100" s="57">
        <f t="shared" si="79"/>
        <v>1.6086379090909095</v>
      </c>
      <c r="J100" s="57">
        <f t="shared" si="79"/>
        <v>1.6086379090909095</v>
      </c>
      <c r="K100" s="57">
        <f t="shared" si="79"/>
        <v>1.6086379090909095</v>
      </c>
      <c r="L100" s="57">
        <f t="shared" si="79"/>
        <v>9.8552596153846181</v>
      </c>
      <c r="M100" s="57">
        <f t="shared" si="79"/>
        <v>9.8552596153846181</v>
      </c>
      <c r="N100" s="57">
        <f t="shared" si="79"/>
        <v>9.8552596153846181</v>
      </c>
      <c r="O100" s="57">
        <f t="shared" si="79"/>
        <v>9.8552596153846181</v>
      </c>
      <c r="P100" s="57">
        <f t="shared" si="79"/>
        <v>9.8552596153846181</v>
      </c>
      <c r="Q100" s="57">
        <f t="shared" si="79"/>
        <v>9.8552596153846181</v>
      </c>
      <c r="R100" s="57">
        <f>+R70</f>
        <v>9.8552596153846181</v>
      </c>
      <c r="S100" s="57">
        <f t="shared" ref="S100:AD100" si="80">+S70</f>
        <v>9.8552596153846181</v>
      </c>
      <c r="T100" s="57">
        <f t="shared" si="80"/>
        <v>9.8552596153846181</v>
      </c>
      <c r="U100" s="57">
        <f t="shared" si="80"/>
        <v>21.834185294117642</v>
      </c>
      <c r="V100" s="57">
        <f t="shared" si="80"/>
        <v>21.834185294117642</v>
      </c>
      <c r="W100" s="57">
        <f t="shared" si="80"/>
        <v>21.834185294117642</v>
      </c>
      <c r="X100" s="57">
        <f t="shared" si="80"/>
        <v>21.834185294117642</v>
      </c>
      <c r="Y100" s="57">
        <f t="shared" si="80"/>
        <v>50.946432352941166</v>
      </c>
      <c r="Z100" s="57">
        <f t="shared" si="80"/>
        <v>50.946432352941166</v>
      </c>
      <c r="AA100" s="57">
        <f t="shared" si="80"/>
        <v>50.946432352941166</v>
      </c>
      <c r="AB100" s="57">
        <f t="shared" si="80"/>
        <v>50.946432352941166</v>
      </c>
      <c r="AC100" s="57">
        <f t="shared" si="80"/>
        <v>1195.67</v>
      </c>
      <c r="AD100" s="57">
        <f t="shared" si="80"/>
        <v>1195.67</v>
      </c>
    </row>
    <row r="101" spans="1:30" x14ac:dyDescent="0.25">
      <c r="A101" s="24" t="s">
        <v>135</v>
      </c>
      <c r="B101" s="24"/>
      <c r="C101" s="56">
        <f t="shared" ref="C101:AD101" si="81">+C99*1000/C60</f>
        <v>22.105081375838711</v>
      </c>
      <c r="D101" s="57">
        <f t="shared" si="81"/>
        <v>28.962757697585314</v>
      </c>
      <c r="E101" s="57">
        <f t="shared" si="81"/>
        <v>30.619616759997513</v>
      </c>
      <c r="F101" s="57">
        <f t="shared" si="81"/>
        <v>24.540750571193698</v>
      </c>
      <c r="G101" s="57">
        <f t="shared" si="81"/>
        <v>29.229323654082183</v>
      </c>
      <c r="H101" s="57">
        <f t="shared" si="81"/>
        <v>30.901432031679217</v>
      </c>
      <c r="I101" s="57">
        <f t="shared" si="81"/>
        <v>27.479138714538422</v>
      </c>
      <c r="J101" s="57">
        <f t="shared" si="81"/>
        <v>29.752069040980317</v>
      </c>
      <c r="K101" s="57">
        <f t="shared" si="81"/>
        <v>31.454081871760287</v>
      </c>
      <c r="L101" s="57">
        <f t="shared" si="81"/>
        <v>29.337112238451109</v>
      </c>
      <c r="M101" s="57">
        <f t="shared" si="81"/>
        <v>33.051292491259474</v>
      </c>
      <c r="N101" s="57">
        <f t="shared" si="81"/>
        <v>34.942042469571966</v>
      </c>
      <c r="O101" s="57">
        <f t="shared" si="81"/>
        <v>37.731720726345408</v>
      </c>
      <c r="P101" s="57">
        <f t="shared" si="81"/>
        <v>31.356018417988423</v>
      </c>
      <c r="Q101" s="57">
        <f t="shared" si="81"/>
        <v>33.414283750606131</v>
      </c>
      <c r="R101" s="57">
        <f t="shared" si="81"/>
        <v>35.325799201733908</v>
      </c>
      <c r="S101" s="57">
        <f t="shared" si="81"/>
        <v>32.985391877529104</v>
      </c>
      <c r="T101" s="57">
        <f t="shared" si="81"/>
        <v>35.713770605365269</v>
      </c>
      <c r="U101" s="57">
        <f t="shared" si="81"/>
        <v>20.747831909303169</v>
      </c>
      <c r="V101" s="57">
        <f t="shared" si="81"/>
        <v>25.713469170842323</v>
      </c>
      <c r="W101" s="57">
        <f t="shared" si="81"/>
        <v>22.258453409005551</v>
      </c>
      <c r="X101" s="57">
        <f t="shared" si="81"/>
        <v>27.585631984345351</v>
      </c>
      <c r="Y101" s="57">
        <f t="shared" si="81"/>
        <v>31.428783121994758</v>
      </c>
      <c r="Z101" s="57">
        <f t="shared" si="81"/>
        <v>35.690288361638324</v>
      </c>
      <c r="AA101" s="57">
        <f t="shared" si="81"/>
        <v>37.732006154174883</v>
      </c>
      <c r="AB101" s="57">
        <f t="shared" si="81"/>
        <v>40.764145076349415</v>
      </c>
      <c r="AC101" s="57">
        <f t="shared" si="81"/>
        <v>30.369614237188841</v>
      </c>
      <c r="AD101" s="57">
        <f t="shared" si="81"/>
        <v>43.135217895826884</v>
      </c>
    </row>
    <row r="102" spans="1:30" x14ac:dyDescent="0.25">
      <c r="A102" s="24" t="s">
        <v>136</v>
      </c>
      <c r="B102" s="24"/>
      <c r="C102" s="56">
        <f t="shared" ref="C102:AD102" si="82">+C100*1000/C60</f>
        <v>14.902588454588832</v>
      </c>
      <c r="D102" s="57">
        <f t="shared" si="82"/>
        <v>14.902588454588832</v>
      </c>
      <c r="E102" s="57">
        <f t="shared" si="82"/>
        <v>14.902588454588832</v>
      </c>
      <c r="F102" s="57">
        <f t="shared" si="82"/>
        <v>14.765796583377366</v>
      </c>
      <c r="G102" s="57">
        <f t="shared" si="82"/>
        <v>14.765796583377366</v>
      </c>
      <c r="H102" s="57">
        <f t="shared" si="82"/>
        <v>14.765796583377366</v>
      </c>
      <c r="I102" s="57">
        <f t="shared" si="82"/>
        <v>14.765796583377366</v>
      </c>
      <c r="J102" s="57">
        <f t="shared" si="82"/>
        <v>14.765796583377366</v>
      </c>
      <c r="K102" s="57">
        <f t="shared" si="82"/>
        <v>14.765796583377366</v>
      </c>
      <c r="L102" s="57">
        <f t="shared" si="82"/>
        <v>16.538883069052527</v>
      </c>
      <c r="M102" s="57">
        <f t="shared" si="82"/>
        <v>16.538883069052527</v>
      </c>
      <c r="N102" s="57">
        <f t="shared" si="82"/>
        <v>16.538883069052527</v>
      </c>
      <c r="O102" s="57">
        <f t="shared" si="82"/>
        <v>16.538883069052527</v>
      </c>
      <c r="P102" s="57">
        <f t="shared" si="82"/>
        <v>16.538883069052527</v>
      </c>
      <c r="Q102" s="57">
        <f t="shared" si="82"/>
        <v>16.538883069052527</v>
      </c>
      <c r="R102" s="57">
        <f t="shared" si="82"/>
        <v>16.538883069052527</v>
      </c>
      <c r="S102" s="57">
        <f t="shared" si="82"/>
        <v>16.538883069052527</v>
      </c>
      <c r="T102" s="57">
        <f t="shared" si="82"/>
        <v>16.538883069052527</v>
      </c>
      <c r="U102" s="57">
        <f t="shared" si="82"/>
        <v>14.175816936302205</v>
      </c>
      <c r="V102" s="57">
        <f t="shared" si="82"/>
        <v>14.175816936302205</v>
      </c>
      <c r="W102" s="57">
        <f t="shared" si="82"/>
        <v>14.175816936302205</v>
      </c>
      <c r="X102" s="57">
        <f t="shared" si="82"/>
        <v>14.175816936302205</v>
      </c>
      <c r="Y102" s="57">
        <f t="shared" si="82"/>
        <v>17.872403584099658</v>
      </c>
      <c r="Z102" s="57">
        <f t="shared" si="82"/>
        <v>17.872403584099658</v>
      </c>
      <c r="AA102" s="57">
        <f t="shared" si="82"/>
        <v>17.872403584099658</v>
      </c>
      <c r="AB102" s="57">
        <f t="shared" si="82"/>
        <v>17.872403584099658</v>
      </c>
      <c r="AC102" s="57">
        <f t="shared" si="82"/>
        <v>43.582612626714294</v>
      </c>
      <c r="AD102" s="57">
        <f t="shared" si="82"/>
        <v>43.582612626714294</v>
      </c>
    </row>
    <row r="103" spans="1:30" x14ac:dyDescent="0.25">
      <c r="A103" s="24" t="s">
        <v>210</v>
      </c>
      <c r="B103" s="24"/>
      <c r="C103" s="56">
        <f>+C101+C102</f>
        <v>37.007669830427545</v>
      </c>
      <c r="D103" s="57">
        <f t="shared" ref="D103:Q103" si="83">+D101+D102</f>
        <v>43.865346152174148</v>
      </c>
      <c r="E103" s="57">
        <f t="shared" si="83"/>
        <v>45.522205214586343</v>
      </c>
      <c r="F103" s="57">
        <f t="shared" si="83"/>
        <v>39.306547154571064</v>
      </c>
      <c r="G103" s="57">
        <f t="shared" si="83"/>
        <v>43.995120237459545</v>
      </c>
      <c r="H103" s="57">
        <f t="shared" si="83"/>
        <v>45.667228615056587</v>
      </c>
      <c r="I103" s="57">
        <f t="shared" si="83"/>
        <v>42.244935297915788</v>
      </c>
      <c r="J103" s="57">
        <f t="shared" si="83"/>
        <v>44.517865624357682</v>
      </c>
      <c r="K103" s="57">
        <f t="shared" si="83"/>
        <v>46.219878455137653</v>
      </c>
      <c r="L103" s="57">
        <f t="shared" si="83"/>
        <v>45.875995307503636</v>
      </c>
      <c r="M103" s="57">
        <f t="shared" si="83"/>
        <v>49.590175560312005</v>
      </c>
      <c r="N103" s="57">
        <f t="shared" si="83"/>
        <v>51.48092553862449</v>
      </c>
      <c r="O103" s="57">
        <f t="shared" si="83"/>
        <v>54.270603795397932</v>
      </c>
      <c r="P103" s="57">
        <f t="shared" si="83"/>
        <v>47.894901487040954</v>
      </c>
      <c r="Q103" s="57">
        <f t="shared" si="83"/>
        <v>49.953166819658662</v>
      </c>
      <c r="R103" s="57">
        <f>+R101+R102</f>
        <v>51.864682270786432</v>
      </c>
      <c r="S103" s="57">
        <f t="shared" ref="S103:AD103" si="84">+S101+S102</f>
        <v>49.524274946581627</v>
      </c>
      <c r="T103" s="57">
        <f t="shared" si="84"/>
        <v>52.2526536744178</v>
      </c>
      <c r="U103" s="57">
        <f t="shared" si="84"/>
        <v>34.923648845605371</v>
      </c>
      <c r="V103" s="57">
        <f t="shared" si="84"/>
        <v>39.889286107144528</v>
      </c>
      <c r="W103" s="57">
        <f t="shared" si="84"/>
        <v>36.434270345307752</v>
      </c>
      <c r="X103" s="57">
        <f t="shared" si="84"/>
        <v>41.761448920647553</v>
      </c>
      <c r="Y103" s="57">
        <f t="shared" si="84"/>
        <v>49.301186706094413</v>
      </c>
      <c r="Z103" s="57">
        <f t="shared" si="84"/>
        <v>53.562691945737981</v>
      </c>
      <c r="AA103" s="57">
        <f t="shared" si="84"/>
        <v>55.604409738274541</v>
      </c>
      <c r="AB103" s="57">
        <f t="shared" si="84"/>
        <v>58.636548660449073</v>
      </c>
      <c r="AC103" s="57">
        <f t="shared" si="84"/>
        <v>73.952226863903135</v>
      </c>
      <c r="AD103" s="57">
        <f t="shared" si="84"/>
        <v>86.717830522541178</v>
      </c>
    </row>
    <row r="104" spans="1:30" x14ac:dyDescent="0.25">
      <c r="A104" s="24" t="s">
        <v>148</v>
      </c>
      <c r="B104" s="24" t="s">
        <v>211</v>
      </c>
      <c r="C104" s="29">
        <v>0.63</v>
      </c>
      <c r="D104" s="30">
        <v>0.63</v>
      </c>
      <c r="E104" s="30">
        <v>0.63</v>
      </c>
      <c r="F104" s="30">
        <v>0.63</v>
      </c>
      <c r="G104" s="30">
        <v>0.63</v>
      </c>
      <c r="H104" s="30">
        <v>0.63</v>
      </c>
      <c r="I104" s="30">
        <v>0.63</v>
      </c>
      <c r="J104" s="30">
        <v>0.63</v>
      </c>
      <c r="K104" s="30">
        <v>0.63</v>
      </c>
      <c r="L104" s="30">
        <v>0.63</v>
      </c>
      <c r="M104" s="30">
        <v>0.63</v>
      </c>
      <c r="N104" s="30">
        <v>0.63</v>
      </c>
      <c r="O104" s="30">
        <v>0.63</v>
      </c>
      <c r="P104" s="30">
        <v>0.63</v>
      </c>
      <c r="Q104" s="30">
        <v>0.63</v>
      </c>
      <c r="R104" s="30">
        <v>0.63</v>
      </c>
      <c r="S104" s="30">
        <v>0.63</v>
      </c>
      <c r="T104" s="30">
        <v>0.63</v>
      </c>
      <c r="U104" s="30">
        <v>0.63</v>
      </c>
      <c r="V104" s="30">
        <v>0.63</v>
      </c>
      <c r="W104" s="30">
        <v>0.63</v>
      </c>
      <c r="X104" s="30">
        <v>0.63</v>
      </c>
      <c r="Y104" s="30">
        <v>0.63</v>
      </c>
      <c r="Z104" s="30">
        <v>0.63</v>
      </c>
      <c r="AA104" s="30">
        <v>0.63</v>
      </c>
      <c r="AB104" s="30">
        <v>0.63</v>
      </c>
      <c r="AC104" s="30">
        <v>0.63</v>
      </c>
      <c r="AD104" s="30">
        <v>0.63</v>
      </c>
    </row>
    <row r="105" spans="1:30" x14ac:dyDescent="0.25">
      <c r="A105" s="24" t="s">
        <v>212</v>
      </c>
      <c r="B105" s="24"/>
      <c r="C105" s="56">
        <f>+C103*(1-C104)</f>
        <v>13.692837837258192</v>
      </c>
      <c r="D105" s="57">
        <f t="shared" ref="D105:Q105" si="85">+D103*(1-D104)</f>
        <v>16.230178076304433</v>
      </c>
      <c r="E105" s="57">
        <f t="shared" si="85"/>
        <v>16.843215929396948</v>
      </c>
      <c r="F105" s="57">
        <f t="shared" si="85"/>
        <v>14.543422447191293</v>
      </c>
      <c r="G105" s="57">
        <f t="shared" si="85"/>
        <v>16.278194487860031</v>
      </c>
      <c r="H105" s="57">
        <f t="shared" si="85"/>
        <v>16.896874587570938</v>
      </c>
      <c r="I105" s="57">
        <f t="shared" si="85"/>
        <v>15.630626060228842</v>
      </c>
      <c r="J105" s="57">
        <f t="shared" si="85"/>
        <v>16.471610281012342</v>
      </c>
      <c r="K105" s="57">
        <f t="shared" si="85"/>
        <v>17.101355028400931</v>
      </c>
      <c r="L105" s="57">
        <f t="shared" si="85"/>
        <v>16.974118263776344</v>
      </c>
      <c r="M105" s="57">
        <f t="shared" si="85"/>
        <v>18.348364957315443</v>
      </c>
      <c r="N105" s="57">
        <f t="shared" si="85"/>
        <v>19.04794244929106</v>
      </c>
      <c r="O105" s="57">
        <f t="shared" si="85"/>
        <v>20.080123404297236</v>
      </c>
      <c r="P105" s="57">
        <f t="shared" si="85"/>
        <v>17.721113550205153</v>
      </c>
      <c r="Q105" s="57">
        <f t="shared" si="85"/>
        <v>18.482671723273704</v>
      </c>
      <c r="R105" s="57">
        <f>+R103*(1-R104)</f>
        <v>19.189932440190979</v>
      </c>
      <c r="S105" s="57">
        <f t="shared" ref="S105:AD105" si="86">+S103*(1-S104)</f>
        <v>18.3239817302352</v>
      </c>
      <c r="T105" s="57">
        <f t="shared" si="86"/>
        <v>19.333481859534587</v>
      </c>
      <c r="U105" s="57">
        <f t="shared" si="86"/>
        <v>12.921750072873987</v>
      </c>
      <c r="V105" s="57">
        <f t="shared" si="86"/>
        <v>14.759035859643475</v>
      </c>
      <c r="W105" s="57">
        <f t="shared" si="86"/>
        <v>13.480680027763867</v>
      </c>
      <c r="X105" s="57">
        <f t="shared" si="86"/>
        <v>15.451736100639595</v>
      </c>
      <c r="Y105" s="57">
        <f t="shared" si="86"/>
        <v>18.241439081254931</v>
      </c>
      <c r="Z105" s="57">
        <f t="shared" si="86"/>
        <v>19.818196019923054</v>
      </c>
      <c r="AA105" s="57">
        <f t="shared" si="86"/>
        <v>20.57363160316158</v>
      </c>
      <c r="AB105" s="57">
        <f t="shared" si="86"/>
        <v>21.695523004366155</v>
      </c>
      <c r="AC105" s="57">
        <f t="shared" si="86"/>
        <v>27.36232393964416</v>
      </c>
      <c r="AD105" s="57">
        <f t="shared" si="86"/>
        <v>32.085597293340236</v>
      </c>
    </row>
    <row r="106" spans="1:30" x14ac:dyDescent="0.25">
      <c r="A106" s="24" t="s">
        <v>158</v>
      </c>
      <c r="B106" s="24" t="s">
        <v>159</v>
      </c>
      <c r="C106" s="66">
        <f t="shared" ref="C106:AD106" si="87">+VS_tot_omsat_lager_afg</f>
        <v>0.13092377276210895</v>
      </c>
      <c r="D106" s="67">
        <f t="shared" si="87"/>
        <v>0.13092377276210895</v>
      </c>
      <c r="E106" s="67">
        <f t="shared" si="87"/>
        <v>0.13092377276210895</v>
      </c>
      <c r="F106" s="67">
        <f t="shared" si="87"/>
        <v>0.13092377276210895</v>
      </c>
      <c r="G106" s="67">
        <f t="shared" si="87"/>
        <v>0.13092377276210895</v>
      </c>
      <c r="H106" s="67">
        <f t="shared" si="87"/>
        <v>0.13092377276210895</v>
      </c>
      <c r="I106" s="67">
        <f t="shared" si="87"/>
        <v>0.13092377276210895</v>
      </c>
      <c r="J106" s="67">
        <f t="shared" si="87"/>
        <v>0.13092377276210895</v>
      </c>
      <c r="K106" s="67">
        <f t="shared" si="87"/>
        <v>0.13092377276210895</v>
      </c>
      <c r="L106" s="67">
        <f t="shared" si="87"/>
        <v>0.13092377276210895</v>
      </c>
      <c r="M106" s="67">
        <f t="shared" si="87"/>
        <v>0.13092377276210895</v>
      </c>
      <c r="N106" s="67">
        <f t="shared" si="87"/>
        <v>0.13092377276210895</v>
      </c>
      <c r="O106" s="67">
        <f t="shared" si="87"/>
        <v>0.13092377276210895</v>
      </c>
      <c r="P106" s="67">
        <f t="shared" si="87"/>
        <v>0.13092377276210895</v>
      </c>
      <c r="Q106" s="67">
        <f t="shared" si="87"/>
        <v>0.13092377276210895</v>
      </c>
      <c r="R106" s="67">
        <f t="shared" si="87"/>
        <v>0.13092377276210895</v>
      </c>
      <c r="S106" s="67">
        <f t="shared" si="87"/>
        <v>0.13092377276210895</v>
      </c>
      <c r="T106" s="67">
        <f t="shared" si="87"/>
        <v>0.13092377276210895</v>
      </c>
      <c r="U106" s="67">
        <f t="shared" si="87"/>
        <v>0.13092377276210895</v>
      </c>
      <c r="V106" s="67">
        <f t="shared" si="87"/>
        <v>0.13092377276210895</v>
      </c>
      <c r="W106" s="67">
        <f t="shared" si="87"/>
        <v>0.13092377276210895</v>
      </c>
      <c r="X106" s="67">
        <f t="shared" si="87"/>
        <v>0.13092377276210895</v>
      </c>
      <c r="Y106" s="67">
        <f t="shared" si="87"/>
        <v>0.13092377276210895</v>
      </c>
      <c r="Z106" s="67">
        <f t="shared" si="87"/>
        <v>0.13092377276210895</v>
      </c>
      <c r="AA106" s="67">
        <f t="shared" si="87"/>
        <v>0.13092377276210895</v>
      </c>
      <c r="AB106" s="67">
        <f t="shared" si="87"/>
        <v>0.13092377276210895</v>
      </c>
      <c r="AC106" s="67">
        <f t="shared" si="87"/>
        <v>0.13092377276210895</v>
      </c>
      <c r="AD106" s="67">
        <f t="shared" si="87"/>
        <v>0.13092377276210895</v>
      </c>
    </row>
    <row r="107" spans="1:30" x14ac:dyDescent="0.25">
      <c r="A107" s="24" t="s">
        <v>160</v>
      </c>
      <c r="B107" s="24"/>
      <c r="C107" s="54">
        <f>+C105*C106</f>
        <v>1.7927179894735989</v>
      </c>
      <c r="D107" s="55">
        <f t="shared" ref="D107:Q107" si="88">+D105*D106</f>
        <v>2.1249161463506443</v>
      </c>
      <c r="E107" s="55">
        <f t="shared" si="88"/>
        <v>2.2051773749234997</v>
      </c>
      <c r="F107" s="55">
        <f t="shared" si="88"/>
        <v>1.9040797356594275</v>
      </c>
      <c r="G107" s="55">
        <f t="shared" si="88"/>
        <v>2.1312026361060012</v>
      </c>
      <c r="H107" s="55">
        <f t="shared" si="88"/>
        <v>2.2122025688929909</v>
      </c>
      <c r="I107" s="55">
        <f t="shared" si="88"/>
        <v>2.0464205344388993</v>
      </c>
      <c r="J107" s="55">
        <f t="shared" si="88"/>
        <v>2.1565253614572777</v>
      </c>
      <c r="K107" s="55">
        <f t="shared" si="88"/>
        <v>2.2389739196625129</v>
      </c>
      <c r="L107" s="55">
        <f t="shared" si="88"/>
        <v>2.2223156024038175</v>
      </c>
      <c r="M107" s="55">
        <f t="shared" si="88"/>
        <v>2.40223716422781</v>
      </c>
      <c r="N107" s="55">
        <f t="shared" si="88"/>
        <v>2.4938284888167117</v>
      </c>
      <c r="O107" s="55">
        <f t="shared" si="88"/>
        <v>2.6289655136193169</v>
      </c>
      <c r="P107" s="55">
        <f t="shared" si="88"/>
        <v>2.3201150435385895</v>
      </c>
      <c r="Q107" s="55">
        <f t="shared" si="88"/>
        <v>2.4198211127345433</v>
      </c>
      <c r="R107" s="55">
        <f>+R105*R106</f>
        <v>2.5124183541197866</v>
      </c>
      <c r="S107" s="55">
        <f t="shared" ref="S107:AD107" si="89">+S105*S106</f>
        <v>2.3990448201463495</v>
      </c>
      <c r="T107" s="55">
        <f t="shared" si="89"/>
        <v>2.5312123856780619</v>
      </c>
      <c r="U107" s="55">
        <f t="shared" si="89"/>
        <v>1.6917642702297186</v>
      </c>
      <c r="V107" s="55">
        <f t="shared" si="89"/>
        <v>1.9323086570757797</v>
      </c>
      <c r="W107" s="55">
        <f t="shared" si="89"/>
        <v>1.7649414886336572</v>
      </c>
      <c r="X107" s="55">
        <f t="shared" si="89"/>
        <v>2.0229995860202137</v>
      </c>
      <c r="Y107" s="55">
        <f t="shared" si="89"/>
        <v>2.3882380251280741</v>
      </c>
      <c r="Z107" s="55">
        <f t="shared" si="89"/>
        <v>2.5946729922673382</v>
      </c>
      <c r="AA107" s="55">
        <f t="shared" si="89"/>
        <v>2.69357746890367</v>
      </c>
      <c r="AB107" s="55">
        <f t="shared" si="89"/>
        <v>2.8404597237787419</v>
      </c>
      <c r="AC107" s="55">
        <f t="shared" si="89"/>
        <v>3.5823786817171857</v>
      </c>
      <c r="AD107" s="55">
        <f t="shared" si="89"/>
        <v>4.200767448969815</v>
      </c>
    </row>
    <row r="108" spans="1:30" x14ac:dyDescent="0.25">
      <c r="A108" s="24" t="s">
        <v>128</v>
      </c>
      <c r="B108" s="24"/>
      <c r="C108" s="54">
        <f t="shared" ref="C108:AD108" si="90">+C107/C32</f>
        <v>0.10756307936841593</v>
      </c>
      <c r="D108" s="55">
        <f t="shared" si="90"/>
        <v>0.12749496878103864</v>
      </c>
      <c r="E108" s="55">
        <f t="shared" si="90"/>
        <v>0.13231064249540997</v>
      </c>
      <c r="F108" s="55">
        <f t="shared" si="90"/>
        <v>0.11424478413956564</v>
      </c>
      <c r="G108" s="55">
        <f t="shared" si="90"/>
        <v>0.12787215816636008</v>
      </c>
      <c r="H108" s="55">
        <f t="shared" si="90"/>
        <v>0.13273215413357944</v>
      </c>
      <c r="I108" s="55">
        <f t="shared" si="90"/>
        <v>0.12278523206633395</v>
      </c>
      <c r="J108" s="55">
        <f t="shared" si="90"/>
        <v>0.12939152168743664</v>
      </c>
      <c r="K108" s="55">
        <f t="shared" si="90"/>
        <v>0.13433843517975078</v>
      </c>
      <c r="L108" s="55">
        <f t="shared" si="90"/>
        <v>0.13333893614422904</v>
      </c>
      <c r="M108" s="55">
        <f t="shared" si="90"/>
        <v>0.14413422985366858</v>
      </c>
      <c r="N108" s="55">
        <f t="shared" si="90"/>
        <v>0.14962970932900269</v>
      </c>
      <c r="O108" s="55">
        <f t="shared" si="90"/>
        <v>0.15773793081715901</v>
      </c>
      <c r="P108" s="55">
        <f t="shared" si="90"/>
        <v>0.13920690261231536</v>
      </c>
      <c r="Q108" s="55">
        <f t="shared" si="90"/>
        <v>0.14518926676407259</v>
      </c>
      <c r="R108" s="55">
        <f t="shared" si="90"/>
        <v>0.15074510124718718</v>
      </c>
      <c r="S108" s="55">
        <f t="shared" si="90"/>
        <v>0.14394268920878095</v>
      </c>
      <c r="T108" s="55">
        <f t="shared" si="90"/>
        <v>0.15187274314068372</v>
      </c>
      <c r="U108" s="55">
        <f t="shared" si="90"/>
        <v>0.10150585621378311</v>
      </c>
      <c r="V108" s="55">
        <f t="shared" si="90"/>
        <v>0.11593851942454678</v>
      </c>
      <c r="W108" s="55">
        <f t="shared" si="90"/>
        <v>0.10589648931801943</v>
      </c>
      <c r="X108" s="55">
        <f t="shared" si="90"/>
        <v>0.12137997516121281</v>
      </c>
      <c r="Y108" s="55">
        <f t="shared" si="90"/>
        <v>0.14329428150768445</v>
      </c>
      <c r="Z108" s="55">
        <f t="shared" si="90"/>
        <v>0.15568037953604028</v>
      </c>
      <c r="AA108" s="55">
        <f t="shared" si="90"/>
        <v>0.16161464813422019</v>
      </c>
      <c r="AB108" s="55">
        <f t="shared" si="90"/>
        <v>0.17042758342672451</v>
      </c>
      <c r="AC108" s="55">
        <f t="shared" si="90"/>
        <v>0.21494272090303113</v>
      </c>
      <c r="AD108" s="55">
        <f t="shared" si="90"/>
        <v>0.25204604693818888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1"/>
  <sheetViews>
    <sheetView topLeftCell="A3" workbookViewId="0">
      <selection activeCell="C22" sqref="C22"/>
    </sheetView>
  </sheetViews>
  <sheetFormatPr defaultRowHeight="15" x14ac:dyDescent="0.25"/>
  <cols>
    <col min="1" max="2" width="45.5703125" customWidth="1"/>
    <col min="3" max="28" width="9.5703125" bestFit="1" customWidth="1"/>
  </cols>
  <sheetData>
    <row r="1" spans="1:28" x14ac:dyDescent="0.25">
      <c r="A1" s="24" t="s">
        <v>0</v>
      </c>
      <c r="B1" s="24" t="s">
        <v>1</v>
      </c>
      <c r="C1" s="24" t="s">
        <v>2</v>
      </c>
      <c r="D1" s="24" t="s">
        <v>2</v>
      </c>
      <c r="E1" s="24" t="s">
        <v>2</v>
      </c>
      <c r="F1" s="24" t="s">
        <v>2</v>
      </c>
      <c r="G1" s="24" t="s">
        <v>2</v>
      </c>
      <c r="H1" s="24" t="s">
        <v>2</v>
      </c>
      <c r="I1" s="24" t="s">
        <v>2</v>
      </c>
      <c r="J1" s="24" t="s">
        <v>2</v>
      </c>
      <c r="K1" s="24" t="s">
        <v>2</v>
      </c>
      <c r="L1" s="24" t="s">
        <v>3</v>
      </c>
      <c r="M1" s="24" t="s">
        <v>3</v>
      </c>
      <c r="N1" s="24" t="s">
        <v>3</v>
      </c>
      <c r="O1" s="24" t="s">
        <v>3</v>
      </c>
      <c r="P1" s="24" t="s">
        <v>3</v>
      </c>
      <c r="Q1" s="24" t="s">
        <v>3</v>
      </c>
      <c r="R1" s="24" t="s">
        <v>3</v>
      </c>
      <c r="S1" s="24" t="s">
        <v>3</v>
      </c>
      <c r="T1" s="24" t="s">
        <v>3</v>
      </c>
      <c r="U1" s="24" t="s">
        <v>4</v>
      </c>
      <c r="V1" s="24" t="s">
        <v>4</v>
      </c>
      <c r="W1" s="24" t="s">
        <v>4</v>
      </c>
      <c r="X1" s="24" t="s">
        <v>4</v>
      </c>
      <c r="Y1" s="24" t="s">
        <v>4</v>
      </c>
      <c r="Z1" s="24" t="s">
        <v>4</v>
      </c>
      <c r="AA1" s="24" t="s">
        <v>4</v>
      </c>
      <c r="AB1" s="24" t="s">
        <v>4</v>
      </c>
    </row>
    <row r="2" spans="1:28" ht="105" x14ac:dyDescent="0.25">
      <c r="A2" s="42" t="s">
        <v>5</v>
      </c>
      <c r="B2" s="24" t="s">
        <v>6</v>
      </c>
      <c r="C2" s="39" t="s">
        <v>7</v>
      </c>
      <c r="D2" s="39" t="s">
        <v>7</v>
      </c>
      <c r="E2" s="39" t="s">
        <v>7</v>
      </c>
      <c r="F2" s="39" t="s">
        <v>8</v>
      </c>
      <c r="G2" s="39" t="s">
        <v>8</v>
      </c>
      <c r="H2" s="39" t="s">
        <v>8</v>
      </c>
      <c r="I2" s="39" t="s">
        <v>9</v>
      </c>
      <c r="J2" s="39" t="s">
        <v>9</v>
      </c>
      <c r="K2" s="39" t="s">
        <v>9</v>
      </c>
      <c r="L2" s="39" t="s">
        <v>10</v>
      </c>
      <c r="M2" s="39" t="s">
        <v>10</v>
      </c>
      <c r="N2" s="39" t="s">
        <v>10</v>
      </c>
      <c r="O2" s="39" t="s">
        <v>10</v>
      </c>
      <c r="P2" s="39" t="s">
        <v>11</v>
      </c>
      <c r="Q2" s="39" t="s">
        <v>11</v>
      </c>
      <c r="R2" s="39" t="s">
        <v>11</v>
      </c>
      <c r="S2" s="39" t="s">
        <v>12</v>
      </c>
      <c r="T2" s="39" t="s">
        <v>12</v>
      </c>
      <c r="U2" s="39" t="s">
        <v>13</v>
      </c>
      <c r="V2" s="39" t="s">
        <v>13</v>
      </c>
      <c r="W2" s="39" t="s">
        <v>14</v>
      </c>
      <c r="X2" s="39" t="s">
        <v>14</v>
      </c>
      <c r="Y2" s="39" t="s">
        <v>15</v>
      </c>
      <c r="Z2" s="39" t="s">
        <v>15</v>
      </c>
      <c r="AA2" s="39" t="s">
        <v>15</v>
      </c>
      <c r="AB2" s="39" t="s">
        <v>15</v>
      </c>
    </row>
    <row r="3" spans="1:28" x14ac:dyDescent="0.25">
      <c r="A3" s="24" t="s">
        <v>16</v>
      </c>
      <c r="B3" s="24" t="s">
        <v>17</v>
      </c>
      <c r="C3" s="35">
        <v>48</v>
      </c>
      <c r="D3" s="36">
        <v>14</v>
      </c>
      <c r="E3" s="36">
        <v>7</v>
      </c>
      <c r="F3" s="36">
        <v>36</v>
      </c>
      <c r="G3" s="36">
        <v>14</v>
      </c>
      <c r="H3" s="36">
        <v>7</v>
      </c>
      <c r="I3" s="36">
        <v>24</v>
      </c>
      <c r="J3" s="36">
        <v>14</v>
      </c>
      <c r="K3" s="36">
        <v>7</v>
      </c>
      <c r="L3" s="36">
        <v>29</v>
      </c>
      <c r="M3" s="36">
        <v>14</v>
      </c>
      <c r="N3" s="36">
        <v>7</v>
      </c>
      <c r="O3" s="36">
        <v>1</v>
      </c>
      <c r="P3" s="36">
        <v>22</v>
      </c>
      <c r="Q3" s="36">
        <v>14</v>
      </c>
      <c r="R3" s="36">
        <v>7</v>
      </c>
      <c r="S3" s="36">
        <v>17</v>
      </c>
      <c r="T3" s="36">
        <v>7</v>
      </c>
      <c r="U3" s="36">
        <v>41</v>
      </c>
      <c r="V3" s="36">
        <v>14</v>
      </c>
      <c r="W3" s="36">
        <v>41</v>
      </c>
      <c r="X3" s="36">
        <v>14</v>
      </c>
      <c r="Y3" s="36">
        <v>30</v>
      </c>
      <c r="Z3" s="36">
        <v>14</v>
      </c>
      <c r="AA3" s="36">
        <v>7</v>
      </c>
      <c r="AB3" s="36">
        <v>1</v>
      </c>
    </row>
    <row r="4" spans="1:28" x14ac:dyDescent="0.25">
      <c r="A4" s="40" t="s">
        <v>213</v>
      </c>
      <c r="B4" s="41" t="s">
        <v>214</v>
      </c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5">
      <c r="A5" s="24" t="s">
        <v>215</v>
      </c>
      <c r="B5" s="24" t="s">
        <v>216</v>
      </c>
      <c r="C5" s="29">
        <v>0.45</v>
      </c>
      <c r="D5" s="30">
        <v>0.45</v>
      </c>
      <c r="E5" s="30">
        <v>0.45</v>
      </c>
      <c r="F5" s="30">
        <v>0.45</v>
      </c>
      <c r="G5" s="30">
        <v>0.45</v>
      </c>
      <c r="H5" s="30">
        <v>0.45</v>
      </c>
      <c r="I5" s="30">
        <v>0.45</v>
      </c>
      <c r="J5" s="30">
        <v>0.45</v>
      </c>
      <c r="K5" s="30">
        <v>2.93</v>
      </c>
      <c r="L5" s="30">
        <v>2.93</v>
      </c>
      <c r="M5" s="30">
        <v>2.93</v>
      </c>
      <c r="N5" s="30">
        <v>2.93</v>
      </c>
      <c r="O5" s="30">
        <v>2.93</v>
      </c>
      <c r="P5" s="30">
        <v>2.93</v>
      </c>
      <c r="Q5" s="30">
        <v>2.93</v>
      </c>
      <c r="R5" s="30">
        <v>2.93</v>
      </c>
      <c r="S5" s="30">
        <v>2.93</v>
      </c>
      <c r="T5" s="30">
        <v>2.93</v>
      </c>
      <c r="U5" s="30">
        <f>23.84*0.3</f>
        <v>7.1520000000000001</v>
      </c>
      <c r="V5" s="30">
        <f t="shared" ref="V5:X5" si="0">23.84*0.3</f>
        <v>7.1520000000000001</v>
      </c>
      <c r="W5" s="30">
        <f t="shared" si="0"/>
        <v>7.1520000000000001</v>
      </c>
      <c r="X5" s="30">
        <f t="shared" si="0"/>
        <v>7.1520000000000001</v>
      </c>
      <c r="Y5" s="30">
        <f>23.84*0.7</f>
        <v>16.687999999999999</v>
      </c>
      <c r="Z5" s="30">
        <f t="shared" ref="Z5:AB5" si="1">23.84*0.7</f>
        <v>16.687999999999999</v>
      </c>
      <c r="AA5" s="30">
        <f t="shared" si="1"/>
        <v>16.687999999999999</v>
      </c>
      <c r="AB5" s="30">
        <f t="shared" si="1"/>
        <v>16.687999999999999</v>
      </c>
    </row>
    <row r="6" spans="1:28" x14ac:dyDescent="0.25">
      <c r="A6" s="24" t="s">
        <v>217</v>
      </c>
      <c r="B6" s="24" t="s">
        <v>216</v>
      </c>
      <c r="C6" s="29">
        <v>0.26</v>
      </c>
      <c r="D6" s="30">
        <v>0.26</v>
      </c>
      <c r="E6" s="30">
        <v>0.26</v>
      </c>
      <c r="F6" s="30">
        <v>0.26</v>
      </c>
      <c r="G6" s="30">
        <v>0.26</v>
      </c>
      <c r="H6" s="30">
        <v>0.26</v>
      </c>
      <c r="I6" s="30">
        <v>0.26</v>
      </c>
      <c r="J6" s="30">
        <v>0.26</v>
      </c>
      <c r="K6" s="30">
        <v>1.9</v>
      </c>
      <c r="L6" s="30">
        <v>1.9</v>
      </c>
      <c r="M6" s="30">
        <v>1.9</v>
      </c>
      <c r="N6" s="30">
        <v>1.9</v>
      </c>
      <c r="O6" s="30">
        <v>1.9</v>
      </c>
      <c r="P6" s="30">
        <v>1.9</v>
      </c>
      <c r="Q6" s="30">
        <v>1.9</v>
      </c>
      <c r="R6" s="30">
        <v>1.9</v>
      </c>
      <c r="S6" s="30">
        <v>1.9</v>
      </c>
      <c r="T6" s="30">
        <v>1.9</v>
      </c>
      <c r="U6" s="30">
        <f>17.5*0.3</f>
        <v>5.25</v>
      </c>
      <c r="V6" s="30">
        <f t="shared" ref="V6:X6" si="2">17.5*0.3</f>
        <v>5.25</v>
      </c>
      <c r="W6" s="30">
        <f t="shared" si="2"/>
        <v>5.25</v>
      </c>
      <c r="X6" s="30">
        <f t="shared" si="2"/>
        <v>5.25</v>
      </c>
      <c r="Y6" s="30">
        <f>17.5*0.7</f>
        <v>12.25</v>
      </c>
      <c r="Z6" s="30">
        <f t="shared" ref="Z6:AB6" si="3">17.5*0.7</f>
        <v>12.25</v>
      </c>
      <c r="AA6" s="30">
        <f t="shared" si="3"/>
        <v>12.25</v>
      </c>
      <c r="AB6" s="30">
        <f t="shared" si="3"/>
        <v>12.25</v>
      </c>
    </row>
    <row r="7" spans="1:28" x14ac:dyDescent="0.25">
      <c r="A7" s="24" t="s">
        <v>218</v>
      </c>
      <c r="B7" s="24" t="s">
        <v>216</v>
      </c>
      <c r="C7" s="29">
        <v>0</v>
      </c>
      <c r="D7" s="30">
        <v>0</v>
      </c>
      <c r="E7" s="30">
        <v>0</v>
      </c>
      <c r="F7" s="30">
        <f>1*0.85*0.005</f>
        <v>4.2500000000000003E-3</v>
      </c>
      <c r="G7" s="30">
        <f t="shared" ref="G7:K7" si="4">1*0.85*0.005</f>
        <v>4.2500000000000003E-3</v>
      </c>
      <c r="H7" s="30">
        <f t="shared" si="4"/>
        <v>4.2500000000000003E-3</v>
      </c>
      <c r="I7" s="30">
        <f t="shared" si="4"/>
        <v>4.2500000000000003E-3</v>
      </c>
      <c r="J7" s="30">
        <f t="shared" si="4"/>
        <v>4.2500000000000003E-3</v>
      </c>
      <c r="K7" s="30">
        <f t="shared" si="4"/>
        <v>4.2500000000000003E-3</v>
      </c>
      <c r="L7" s="30">
        <v>0</v>
      </c>
      <c r="M7" s="30">
        <v>0</v>
      </c>
      <c r="N7" s="30">
        <v>0</v>
      </c>
      <c r="O7" s="30">
        <v>0</v>
      </c>
      <c r="P7" s="30">
        <f>3*0.85*0.005</f>
        <v>1.2749999999999999E-2</v>
      </c>
      <c r="Q7" s="30">
        <f t="shared" ref="Q7:T7" si="5">3*0.85*0.005</f>
        <v>1.2749999999999999E-2</v>
      </c>
      <c r="R7" s="30">
        <f t="shared" si="5"/>
        <v>1.2749999999999999E-2</v>
      </c>
      <c r="S7" s="30">
        <f t="shared" si="5"/>
        <v>1.2749999999999999E-2</v>
      </c>
      <c r="T7" s="30">
        <f t="shared" si="5"/>
        <v>1.2749999999999999E-2</v>
      </c>
      <c r="U7" s="30">
        <v>0</v>
      </c>
      <c r="V7" s="30">
        <v>0</v>
      </c>
      <c r="W7" s="30">
        <v>0</v>
      </c>
      <c r="X7" s="30">
        <v>0</v>
      </c>
      <c r="Y7" s="30">
        <f>50*0.85*0.005</f>
        <v>0.21249999999999999</v>
      </c>
      <c r="Z7" s="30">
        <f t="shared" ref="Z7:AB7" si="6">50*0.85*0.005</f>
        <v>0.21249999999999999</v>
      </c>
      <c r="AA7" s="30">
        <f t="shared" si="6"/>
        <v>0.21249999999999999</v>
      </c>
      <c r="AB7" s="30">
        <f t="shared" si="6"/>
        <v>0.21249999999999999</v>
      </c>
    </row>
    <row r="8" spans="1:28" x14ac:dyDescent="0.25">
      <c r="A8" s="24" t="s">
        <v>219</v>
      </c>
      <c r="B8" s="24" t="s">
        <v>216</v>
      </c>
      <c r="C8" s="29">
        <v>0.21</v>
      </c>
      <c r="D8" s="30">
        <v>0.21</v>
      </c>
      <c r="E8" s="30">
        <v>0.21</v>
      </c>
      <c r="F8" s="30">
        <v>0.1</v>
      </c>
      <c r="G8" s="30">
        <v>0.1</v>
      </c>
      <c r="H8" s="30">
        <v>0.1</v>
      </c>
      <c r="I8" s="30">
        <v>0.1</v>
      </c>
      <c r="J8" s="30">
        <v>0.1</v>
      </c>
      <c r="K8" s="30">
        <v>0.1</v>
      </c>
      <c r="L8" s="30">
        <v>0.21</v>
      </c>
      <c r="M8" s="30">
        <v>0.21</v>
      </c>
      <c r="N8" s="30">
        <v>0.21</v>
      </c>
      <c r="O8" s="30">
        <v>0.21</v>
      </c>
      <c r="P8" s="30">
        <v>0.17</v>
      </c>
      <c r="Q8" s="30">
        <v>0.17</v>
      </c>
      <c r="R8" s="30">
        <v>0.17</v>
      </c>
      <c r="S8" s="30">
        <v>0.14000000000000001</v>
      </c>
      <c r="T8" s="30">
        <v>0.14000000000000001</v>
      </c>
      <c r="U8" s="30">
        <v>0.26</v>
      </c>
      <c r="V8" s="30">
        <v>0.26</v>
      </c>
      <c r="W8" s="30">
        <v>0.13</v>
      </c>
      <c r="X8" s="30">
        <v>0.13</v>
      </c>
      <c r="Y8" s="30">
        <v>0.16</v>
      </c>
      <c r="Z8" s="30">
        <v>0.16</v>
      </c>
      <c r="AA8" s="30">
        <v>0.16</v>
      </c>
      <c r="AB8" s="30">
        <v>0.16</v>
      </c>
    </row>
    <row r="9" spans="1:28" x14ac:dyDescent="0.25">
      <c r="A9" s="24" t="s">
        <v>220</v>
      </c>
      <c r="B9" s="24"/>
      <c r="C9" s="31">
        <f>C6*C8</f>
        <v>5.4600000000000003E-2</v>
      </c>
      <c r="D9" s="32">
        <f t="shared" ref="D9:AB9" si="7">D6*D8</f>
        <v>5.4600000000000003E-2</v>
      </c>
      <c r="E9" s="32">
        <f t="shared" si="7"/>
        <v>5.4600000000000003E-2</v>
      </c>
      <c r="F9" s="32">
        <f t="shared" si="7"/>
        <v>2.6000000000000002E-2</v>
      </c>
      <c r="G9" s="32">
        <f t="shared" si="7"/>
        <v>2.6000000000000002E-2</v>
      </c>
      <c r="H9" s="32">
        <f t="shared" si="7"/>
        <v>2.6000000000000002E-2</v>
      </c>
      <c r="I9" s="32">
        <f t="shared" si="7"/>
        <v>2.6000000000000002E-2</v>
      </c>
      <c r="J9" s="32">
        <f t="shared" si="7"/>
        <v>2.6000000000000002E-2</v>
      </c>
      <c r="K9" s="32">
        <f t="shared" si="7"/>
        <v>0.19</v>
      </c>
      <c r="L9" s="32">
        <f t="shared" si="7"/>
        <v>0.39899999999999997</v>
      </c>
      <c r="M9" s="32">
        <f t="shared" si="7"/>
        <v>0.39899999999999997</v>
      </c>
      <c r="N9" s="32">
        <f t="shared" si="7"/>
        <v>0.39899999999999997</v>
      </c>
      <c r="O9" s="32">
        <f t="shared" si="7"/>
        <v>0.39899999999999997</v>
      </c>
      <c r="P9" s="32">
        <f t="shared" si="7"/>
        <v>0.32300000000000001</v>
      </c>
      <c r="Q9" s="32">
        <f t="shared" si="7"/>
        <v>0.32300000000000001</v>
      </c>
      <c r="R9" s="32">
        <f t="shared" si="7"/>
        <v>0.32300000000000001</v>
      </c>
      <c r="S9" s="32">
        <f t="shared" si="7"/>
        <v>0.26600000000000001</v>
      </c>
      <c r="T9" s="32">
        <f t="shared" si="7"/>
        <v>0.26600000000000001</v>
      </c>
      <c r="U9" s="32">
        <f t="shared" si="7"/>
        <v>1.365</v>
      </c>
      <c r="V9" s="32">
        <f t="shared" si="7"/>
        <v>1.365</v>
      </c>
      <c r="W9" s="32">
        <f t="shared" si="7"/>
        <v>0.6825</v>
      </c>
      <c r="X9" s="32">
        <f t="shared" si="7"/>
        <v>0.6825</v>
      </c>
      <c r="Y9" s="32">
        <f t="shared" si="7"/>
        <v>1.96</v>
      </c>
      <c r="Z9" s="32">
        <f t="shared" si="7"/>
        <v>1.96</v>
      </c>
      <c r="AA9" s="32">
        <f t="shared" si="7"/>
        <v>1.96</v>
      </c>
      <c r="AB9" s="32">
        <f t="shared" si="7"/>
        <v>1.96</v>
      </c>
    </row>
    <row r="10" spans="1:28" x14ac:dyDescent="0.25">
      <c r="A10" s="24" t="s">
        <v>221</v>
      </c>
      <c r="B10" s="24"/>
      <c r="C10" s="31">
        <f t="shared" ref="C10:AB10" si="8">C5+C7-C9</f>
        <v>0.39540000000000003</v>
      </c>
      <c r="D10" s="32">
        <f t="shared" si="8"/>
        <v>0.39540000000000003</v>
      </c>
      <c r="E10" s="32">
        <f t="shared" si="8"/>
        <v>0.39540000000000003</v>
      </c>
      <c r="F10" s="32">
        <f t="shared" si="8"/>
        <v>0.42824999999999996</v>
      </c>
      <c r="G10" s="32">
        <f t="shared" si="8"/>
        <v>0.42824999999999996</v>
      </c>
      <c r="H10" s="32">
        <f t="shared" si="8"/>
        <v>0.42824999999999996</v>
      </c>
      <c r="I10" s="32">
        <f t="shared" si="8"/>
        <v>0.42824999999999996</v>
      </c>
      <c r="J10" s="32">
        <f t="shared" si="8"/>
        <v>0.42824999999999996</v>
      </c>
      <c r="K10" s="32">
        <f t="shared" si="8"/>
        <v>2.7442500000000001</v>
      </c>
      <c r="L10" s="32">
        <f t="shared" si="8"/>
        <v>2.5310000000000001</v>
      </c>
      <c r="M10" s="32">
        <f t="shared" si="8"/>
        <v>2.5310000000000001</v>
      </c>
      <c r="N10" s="32">
        <f t="shared" si="8"/>
        <v>2.5310000000000001</v>
      </c>
      <c r="O10" s="32">
        <f t="shared" si="8"/>
        <v>2.5310000000000001</v>
      </c>
      <c r="P10" s="32">
        <f t="shared" si="8"/>
        <v>2.6197500000000002</v>
      </c>
      <c r="Q10" s="32">
        <f t="shared" si="8"/>
        <v>2.6197500000000002</v>
      </c>
      <c r="R10" s="32">
        <f t="shared" si="8"/>
        <v>2.6197500000000002</v>
      </c>
      <c r="S10" s="32">
        <f t="shared" si="8"/>
        <v>2.6767500000000002</v>
      </c>
      <c r="T10" s="32">
        <f t="shared" si="8"/>
        <v>2.6767500000000002</v>
      </c>
      <c r="U10" s="32">
        <f t="shared" si="8"/>
        <v>5.7869999999999999</v>
      </c>
      <c r="V10" s="32">
        <f t="shared" si="8"/>
        <v>5.7869999999999999</v>
      </c>
      <c r="W10" s="32">
        <f t="shared" si="8"/>
        <v>6.4695</v>
      </c>
      <c r="X10" s="32">
        <f t="shared" si="8"/>
        <v>6.4695</v>
      </c>
      <c r="Y10" s="32">
        <f t="shared" si="8"/>
        <v>14.940499999999997</v>
      </c>
      <c r="Z10" s="32">
        <f t="shared" si="8"/>
        <v>14.940499999999997</v>
      </c>
      <c r="AA10" s="32">
        <f t="shared" si="8"/>
        <v>14.940499999999997</v>
      </c>
      <c r="AB10" s="32">
        <f t="shared" si="8"/>
        <v>14.940499999999997</v>
      </c>
    </row>
    <row r="11" spans="1:28" x14ac:dyDescent="0.25">
      <c r="A11" s="24" t="s">
        <v>222</v>
      </c>
      <c r="B11" s="24"/>
      <c r="C11" s="31">
        <f t="shared" ref="C11:AB11" si="9">C6-C9</f>
        <v>0.2054</v>
      </c>
      <c r="D11" s="32">
        <f t="shared" si="9"/>
        <v>0.2054</v>
      </c>
      <c r="E11" s="32">
        <f t="shared" si="9"/>
        <v>0.2054</v>
      </c>
      <c r="F11" s="32">
        <f t="shared" si="9"/>
        <v>0.23400000000000001</v>
      </c>
      <c r="G11" s="32">
        <f t="shared" si="9"/>
        <v>0.23400000000000001</v>
      </c>
      <c r="H11" s="32">
        <f t="shared" si="9"/>
        <v>0.23400000000000001</v>
      </c>
      <c r="I11" s="32">
        <f t="shared" si="9"/>
        <v>0.23400000000000001</v>
      </c>
      <c r="J11" s="32">
        <f t="shared" si="9"/>
        <v>0.23400000000000001</v>
      </c>
      <c r="K11" s="32">
        <f t="shared" si="9"/>
        <v>1.71</v>
      </c>
      <c r="L11" s="32">
        <f t="shared" si="9"/>
        <v>1.5009999999999999</v>
      </c>
      <c r="M11" s="32">
        <f t="shared" si="9"/>
        <v>1.5009999999999999</v>
      </c>
      <c r="N11" s="32">
        <f t="shared" si="9"/>
        <v>1.5009999999999999</v>
      </c>
      <c r="O11" s="32">
        <f t="shared" si="9"/>
        <v>1.5009999999999999</v>
      </c>
      <c r="P11" s="32">
        <f t="shared" si="9"/>
        <v>1.577</v>
      </c>
      <c r="Q11" s="32">
        <f t="shared" si="9"/>
        <v>1.577</v>
      </c>
      <c r="R11" s="32">
        <f t="shared" si="9"/>
        <v>1.577</v>
      </c>
      <c r="S11" s="32">
        <f t="shared" si="9"/>
        <v>1.6339999999999999</v>
      </c>
      <c r="T11" s="32">
        <f t="shared" si="9"/>
        <v>1.6339999999999999</v>
      </c>
      <c r="U11" s="32">
        <f t="shared" si="9"/>
        <v>3.8849999999999998</v>
      </c>
      <c r="V11" s="32">
        <f t="shared" si="9"/>
        <v>3.8849999999999998</v>
      </c>
      <c r="W11" s="32">
        <f t="shared" si="9"/>
        <v>4.5674999999999999</v>
      </c>
      <c r="X11" s="32">
        <f t="shared" si="9"/>
        <v>4.5674999999999999</v>
      </c>
      <c r="Y11" s="32">
        <f t="shared" si="9"/>
        <v>10.29</v>
      </c>
      <c r="Z11" s="32">
        <f t="shared" si="9"/>
        <v>10.29</v>
      </c>
      <c r="AA11" s="32">
        <f t="shared" si="9"/>
        <v>10.29</v>
      </c>
      <c r="AB11" s="32">
        <f t="shared" si="9"/>
        <v>10.29</v>
      </c>
    </row>
    <row r="12" spans="1:28" x14ac:dyDescent="0.25">
      <c r="A12" s="24" t="s">
        <v>223</v>
      </c>
      <c r="B12" s="24" t="s">
        <v>216</v>
      </c>
      <c r="C12" s="29">
        <v>2.5000000000000001E-2</v>
      </c>
      <c r="D12" s="30">
        <v>2.5000000000000001E-2</v>
      </c>
      <c r="E12" s="30">
        <v>2.5000000000000001E-2</v>
      </c>
      <c r="F12" s="30">
        <v>2.5000000000000001E-2</v>
      </c>
      <c r="G12" s="30">
        <v>2.5000000000000001E-2</v>
      </c>
      <c r="H12" s="30">
        <v>2.5000000000000001E-2</v>
      </c>
      <c r="I12" s="30">
        <v>2.5000000000000001E-2</v>
      </c>
      <c r="J12" s="30">
        <v>2.5000000000000001E-2</v>
      </c>
      <c r="K12" s="30">
        <v>2.5000000000000001E-2</v>
      </c>
      <c r="L12" s="30">
        <v>2.5000000000000001E-2</v>
      </c>
      <c r="M12" s="30">
        <v>2.5000000000000001E-2</v>
      </c>
      <c r="N12" s="30">
        <v>2.5000000000000001E-2</v>
      </c>
      <c r="O12" s="30">
        <v>2.5000000000000001E-2</v>
      </c>
      <c r="P12" s="30">
        <v>2.5000000000000001E-2</v>
      </c>
      <c r="Q12" s="30">
        <v>2.5000000000000001E-2</v>
      </c>
      <c r="R12" s="30">
        <v>2.5000000000000001E-2</v>
      </c>
      <c r="S12" s="30">
        <v>2.5000000000000001E-2</v>
      </c>
      <c r="T12" s="30">
        <v>2.5000000000000001E-2</v>
      </c>
      <c r="U12" s="30">
        <v>2.5000000000000001E-2</v>
      </c>
      <c r="V12" s="30">
        <v>2.5000000000000001E-2</v>
      </c>
      <c r="W12" s="30">
        <v>2.5000000000000001E-2</v>
      </c>
      <c r="X12" s="30">
        <v>2.5000000000000001E-2</v>
      </c>
      <c r="Y12" s="30">
        <v>2.5000000000000001E-2</v>
      </c>
      <c r="Z12" s="30">
        <v>2.5000000000000001E-2</v>
      </c>
      <c r="AA12" s="30">
        <v>2.5000000000000001E-2</v>
      </c>
      <c r="AB12" s="30">
        <v>2.5000000000000001E-2</v>
      </c>
    </row>
    <row r="13" spans="1:28" x14ac:dyDescent="0.25">
      <c r="A13" s="24" t="s">
        <v>224</v>
      </c>
      <c r="B13" s="24"/>
      <c r="C13" s="31">
        <f>C11*C12</f>
        <v>5.1350000000000007E-3</v>
      </c>
      <c r="D13" s="32">
        <f t="shared" ref="D13:AB13" si="10">D11*D12</f>
        <v>5.1350000000000007E-3</v>
      </c>
      <c r="E13" s="32">
        <f t="shared" si="10"/>
        <v>5.1350000000000007E-3</v>
      </c>
      <c r="F13" s="32">
        <f t="shared" si="10"/>
        <v>5.850000000000001E-3</v>
      </c>
      <c r="G13" s="32">
        <f t="shared" si="10"/>
        <v>5.850000000000001E-3</v>
      </c>
      <c r="H13" s="32">
        <f t="shared" si="10"/>
        <v>5.850000000000001E-3</v>
      </c>
      <c r="I13" s="32">
        <f t="shared" si="10"/>
        <v>5.850000000000001E-3</v>
      </c>
      <c r="J13" s="32">
        <f t="shared" si="10"/>
        <v>5.850000000000001E-3</v>
      </c>
      <c r="K13" s="32">
        <f t="shared" si="10"/>
        <v>4.2750000000000003E-2</v>
      </c>
      <c r="L13" s="32">
        <f t="shared" si="10"/>
        <v>3.7525000000000003E-2</v>
      </c>
      <c r="M13" s="32">
        <f t="shared" si="10"/>
        <v>3.7525000000000003E-2</v>
      </c>
      <c r="N13" s="32">
        <f t="shared" si="10"/>
        <v>3.7525000000000003E-2</v>
      </c>
      <c r="O13" s="32">
        <f t="shared" si="10"/>
        <v>3.7525000000000003E-2</v>
      </c>
      <c r="P13" s="32">
        <f t="shared" si="10"/>
        <v>3.9425000000000002E-2</v>
      </c>
      <c r="Q13" s="32">
        <f t="shared" si="10"/>
        <v>3.9425000000000002E-2</v>
      </c>
      <c r="R13" s="32">
        <f t="shared" si="10"/>
        <v>3.9425000000000002E-2</v>
      </c>
      <c r="S13" s="32">
        <f t="shared" si="10"/>
        <v>4.0849999999999997E-2</v>
      </c>
      <c r="T13" s="32">
        <f t="shared" si="10"/>
        <v>4.0849999999999997E-2</v>
      </c>
      <c r="U13" s="32">
        <f t="shared" si="10"/>
        <v>9.7125000000000003E-2</v>
      </c>
      <c r="V13" s="32">
        <f t="shared" si="10"/>
        <v>9.7125000000000003E-2</v>
      </c>
      <c r="W13" s="32">
        <f t="shared" si="10"/>
        <v>0.1141875</v>
      </c>
      <c r="X13" s="32">
        <f t="shared" si="10"/>
        <v>0.1141875</v>
      </c>
      <c r="Y13" s="32">
        <f t="shared" si="10"/>
        <v>0.25724999999999998</v>
      </c>
      <c r="Z13" s="32">
        <f t="shared" si="10"/>
        <v>0.25724999999999998</v>
      </c>
      <c r="AA13" s="32">
        <f t="shared" si="10"/>
        <v>0.25724999999999998</v>
      </c>
      <c r="AB13" s="32">
        <f t="shared" si="10"/>
        <v>0.25724999999999998</v>
      </c>
    </row>
    <row r="14" spans="1:28" x14ac:dyDescent="0.25">
      <c r="A14" s="24" t="s">
        <v>225</v>
      </c>
      <c r="B14" s="24"/>
      <c r="C14" s="31">
        <f>C10-C13</f>
        <v>0.39026500000000003</v>
      </c>
      <c r="D14" s="32">
        <f t="shared" ref="D14:AB14" si="11">D10-D13</f>
        <v>0.39026500000000003</v>
      </c>
      <c r="E14" s="32">
        <f t="shared" si="11"/>
        <v>0.39026500000000003</v>
      </c>
      <c r="F14" s="32">
        <f t="shared" si="11"/>
        <v>0.42239999999999994</v>
      </c>
      <c r="G14" s="32">
        <f t="shared" si="11"/>
        <v>0.42239999999999994</v>
      </c>
      <c r="H14" s="32">
        <f t="shared" si="11"/>
        <v>0.42239999999999994</v>
      </c>
      <c r="I14" s="32">
        <f t="shared" si="11"/>
        <v>0.42239999999999994</v>
      </c>
      <c r="J14" s="32">
        <f t="shared" si="11"/>
        <v>0.42239999999999994</v>
      </c>
      <c r="K14" s="32">
        <f t="shared" si="11"/>
        <v>2.7015000000000002</v>
      </c>
      <c r="L14" s="32">
        <f t="shared" si="11"/>
        <v>2.4934750000000001</v>
      </c>
      <c r="M14" s="32">
        <f t="shared" si="11"/>
        <v>2.4934750000000001</v>
      </c>
      <c r="N14" s="32">
        <f t="shared" si="11"/>
        <v>2.4934750000000001</v>
      </c>
      <c r="O14" s="32">
        <f t="shared" si="11"/>
        <v>2.4934750000000001</v>
      </c>
      <c r="P14" s="32">
        <f t="shared" si="11"/>
        <v>2.5803250000000002</v>
      </c>
      <c r="Q14" s="32">
        <f t="shared" si="11"/>
        <v>2.5803250000000002</v>
      </c>
      <c r="R14" s="32">
        <f t="shared" si="11"/>
        <v>2.5803250000000002</v>
      </c>
      <c r="S14" s="32">
        <f t="shared" si="11"/>
        <v>2.6359000000000004</v>
      </c>
      <c r="T14" s="32">
        <f t="shared" si="11"/>
        <v>2.6359000000000004</v>
      </c>
      <c r="U14" s="32">
        <f t="shared" si="11"/>
        <v>5.6898749999999998</v>
      </c>
      <c r="V14" s="32">
        <f t="shared" si="11"/>
        <v>5.6898749999999998</v>
      </c>
      <c r="W14" s="32">
        <f t="shared" si="11"/>
        <v>6.3553125000000001</v>
      </c>
      <c r="X14" s="32">
        <f t="shared" si="11"/>
        <v>6.3553125000000001</v>
      </c>
      <c r="Y14" s="32">
        <f t="shared" si="11"/>
        <v>14.683249999999997</v>
      </c>
      <c r="Z14" s="32">
        <f t="shared" si="11"/>
        <v>14.683249999999997</v>
      </c>
      <c r="AA14" s="32">
        <f t="shared" si="11"/>
        <v>14.683249999999997</v>
      </c>
      <c r="AB14" s="32">
        <f t="shared" si="11"/>
        <v>14.683249999999997</v>
      </c>
    </row>
    <row r="15" spans="1:28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x14ac:dyDescent="0.25">
      <c r="A16" s="40" t="s">
        <v>226</v>
      </c>
      <c r="B16" s="41" t="s">
        <v>214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28" x14ac:dyDescent="0.25">
      <c r="A17" s="24" t="s">
        <v>215</v>
      </c>
      <c r="B17" s="24" t="s">
        <v>216</v>
      </c>
      <c r="C17" s="35">
        <f>+C5</f>
        <v>0.45</v>
      </c>
      <c r="D17" s="36">
        <f t="shared" ref="D17:AB18" si="12">+D5</f>
        <v>0.45</v>
      </c>
      <c r="E17" s="36">
        <f t="shared" si="12"/>
        <v>0.45</v>
      </c>
      <c r="F17" s="36">
        <f t="shared" si="12"/>
        <v>0.45</v>
      </c>
      <c r="G17" s="36">
        <f t="shared" si="12"/>
        <v>0.45</v>
      </c>
      <c r="H17" s="36">
        <f t="shared" si="12"/>
        <v>0.45</v>
      </c>
      <c r="I17" s="36">
        <f t="shared" si="12"/>
        <v>0.45</v>
      </c>
      <c r="J17" s="36">
        <f t="shared" si="12"/>
        <v>0.45</v>
      </c>
      <c r="K17" s="36">
        <f t="shared" si="12"/>
        <v>2.93</v>
      </c>
      <c r="L17" s="36">
        <f t="shared" si="12"/>
        <v>2.93</v>
      </c>
      <c r="M17" s="36">
        <f t="shared" si="12"/>
        <v>2.93</v>
      </c>
      <c r="N17" s="36">
        <f t="shared" si="12"/>
        <v>2.93</v>
      </c>
      <c r="O17" s="36">
        <f t="shared" si="12"/>
        <v>2.93</v>
      </c>
      <c r="P17" s="36">
        <f t="shared" si="12"/>
        <v>2.93</v>
      </c>
      <c r="Q17" s="36">
        <f t="shared" si="12"/>
        <v>2.93</v>
      </c>
      <c r="R17" s="36">
        <f t="shared" si="12"/>
        <v>2.93</v>
      </c>
      <c r="S17" s="36">
        <f t="shared" si="12"/>
        <v>2.93</v>
      </c>
      <c r="T17" s="36">
        <f t="shared" si="12"/>
        <v>2.93</v>
      </c>
      <c r="U17" s="36">
        <f t="shared" si="12"/>
        <v>7.1520000000000001</v>
      </c>
      <c r="V17" s="36">
        <f t="shared" si="12"/>
        <v>7.1520000000000001</v>
      </c>
      <c r="W17" s="36">
        <f t="shared" si="12"/>
        <v>7.1520000000000001</v>
      </c>
      <c r="X17" s="36">
        <f t="shared" si="12"/>
        <v>7.1520000000000001</v>
      </c>
      <c r="Y17" s="36">
        <f t="shared" si="12"/>
        <v>16.687999999999999</v>
      </c>
      <c r="Z17" s="36">
        <f t="shared" si="12"/>
        <v>16.687999999999999</v>
      </c>
      <c r="AA17" s="36">
        <f t="shared" si="12"/>
        <v>16.687999999999999</v>
      </c>
      <c r="AB17" s="36">
        <f t="shared" si="12"/>
        <v>16.687999999999999</v>
      </c>
    </row>
    <row r="18" spans="1:28" x14ac:dyDescent="0.25">
      <c r="A18" s="24" t="s">
        <v>217</v>
      </c>
      <c r="B18" s="24" t="s">
        <v>216</v>
      </c>
      <c r="C18" s="29">
        <f>+C6</f>
        <v>0.26</v>
      </c>
      <c r="D18" s="30">
        <f t="shared" si="12"/>
        <v>0.26</v>
      </c>
      <c r="E18" s="30">
        <f t="shared" si="12"/>
        <v>0.26</v>
      </c>
      <c r="F18" s="30">
        <f t="shared" si="12"/>
        <v>0.26</v>
      </c>
      <c r="G18" s="30">
        <f t="shared" si="12"/>
        <v>0.26</v>
      </c>
      <c r="H18" s="30">
        <f t="shared" si="12"/>
        <v>0.26</v>
      </c>
      <c r="I18" s="30">
        <f t="shared" si="12"/>
        <v>0.26</v>
      </c>
      <c r="J18" s="30">
        <f t="shared" si="12"/>
        <v>0.26</v>
      </c>
      <c r="K18" s="30">
        <f t="shared" si="12"/>
        <v>1.9</v>
      </c>
      <c r="L18" s="30">
        <f t="shared" si="12"/>
        <v>1.9</v>
      </c>
      <c r="M18" s="30">
        <f t="shared" si="12"/>
        <v>1.9</v>
      </c>
      <c r="N18" s="30">
        <f t="shared" si="12"/>
        <v>1.9</v>
      </c>
      <c r="O18" s="30">
        <f t="shared" si="12"/>
        <v>1.9</v>
      </c>
      <c r="P18" s="30">
        <f t="shared" si="12"/>
        <v>1.9</v>
      </c>
      <c r="Q18" s="30">
        <f t="shared" si="12"/>
        <v>1.9</v>
      </c>
      <c r="R18" s="30">
        <f t="shared" si="12"/>
        <v>1.9</v>
      </c>
      <c r="S18" s="30">
        <f t="shared" si="12"/>
        <v>1.9</v>
      </c>
      <c r="T18" s="30">
        <f t="shared" si="12"/>
        <v>1.9</v>
      </c>
      <c r="U18" s="30">
        <f t="shared" si="12"/>
        <v>5.25</v>
      </c>
      <c r="V18" s="30">
        <f t="shared" si="12"/>
        <v>5.25</v>
      </c>
      <c r="W18" s="30">
        <f t="shared" si="12"/>
        <v>5.25</v>
      </c>
      <c r="X18" s="30">
        <f t="shared" si="12"/>
        <v>5.25</v>
      </c>
      <c r="Y18" s="30">
        <f t="shared" si="12"/>
        <v>12.25</v>
      </c>
      <c r="Z18" s="30">
        <f t="shared" si="12"/>
        <v>12.25</v>
      </c>
      <c r="AA18" s="30">
        <f t="shared" si="12"/>
        <v>12.25</v>
      </c>
      <c r="AB18" s="30">
        <f t="shared" si="12"/>
        <v>12.25</v>
      </c>
    </row>
    <row r="19" spans="1:28" x14ac:dyDescent="0.25">
      <c r="A19" s="24" t="s">
        <v>218</v>
      </c>
      <c r="B19" s="24" t="s">
        <v>216</v>
      </c>
      <c r="C19" s="29">
        <v>0</v>
      </c>
      <c r="D19" s="30">
        <v>0</v>
      </c>
      <c r="E19" s="30">
        <v>0</v>
      </c>
      <c r="F19" s="30">
        <f>1*0.85*0.005</f>
        <v>4.2500000000000003E-3</v>
      </c>
      <c r="G19" s="30">
        <f t="shared" ref="G19:K19" si="13">1*0.85*0.005</f>
        <v>4.2500000000000003E-3</v>
      </c>
      <c r="H19" s="30">
        <f t="shared" si="13"/>
        <v>4.2500000000000003E-3</v>
      </c>
      <c r="I19" s="30">
        <f t="shared" si="13"/>
        <v>4.2500000000000003E-3</v>
      </c>
      <c r="J19" s="30">
        <f t="shared" si="13"/>
        <v>4.2500000000000003E-3</v>
      </c>
      <c r="K19" s="30">
        <f t="shared" si="13"/>
        <v>4.2500000000000003E-3</v>
      </c>
      <c r="L19" s="30">
        <v>0</v>
      </c>
      <c r="M19" s="30">
        <v>0</v>
      </c>
      <c r="N19" s="30">
        <v>0</v>
      </c>
      <c r="O19" s="30">
        <v>0</v>
      </c>
      <c r="P19" s="30">
        <f>3*0.85*0.005</f>
        <v>1.2749999999999999E-2</v>
      </c>
      <c r="Q19" s="30">
        <f t="shared" ref="Q19:T19" si="14">3*0.85*0.005</f>
        <v>1.2749999999999999E-2</v>
      </c>
      <c r="R19" s="30">
        <f t="shared" si="14"/>
        <v>1.2749999999999999E-2</v>
      </c>
      <c r="S19" s="30">
        <f t="shared" si="14"/>
        <v>1.2749999999999999E-2</v>
      </c>
      <c r="T19" s="30">
        <f t="shared" si="14"/>
        <v>1.2749999999999999E-2</v>
      </c>
      <c r="U19" s="30">
        <v>0</v>
      </c>
      <c r="V19" s="30">
        <v>0</v>
      </c>
      <c r="W19" s="30">
        <v>0</v>
      </c>
      <c r="X19" s="30">
        <v>0</v>
      </c>
      <c r="Y19" s="30">
        <f>50*0.85*0.005</f>
        <v>0.21249999999999999</v>
      </c>
      <c r="Z19" s="30">
        <f t="shared" ref="Z19:AB19" si="15">50*0.85*0.005</f>
        <v>0.21249999999999999</v>
      </c>
      <c r="AA19" s="30">
        <f t="shared" si="15"/>
        <v>0.21249999999999999</v>
      </c>
      <c r="AB19" s="30">
        <f t="shared" si="15"/>
        <v>0.21249999999999999</v>
      </c>
    </row>
    <row r="20" spans="1:28" x14ac:dyDescent="0.25">
      <c r="A20" s="24" t="s">
        <v>227</v>
      </c>
      <c r="B20" s="24"/>
      <c r="C20" s="29">
        <v>16.8</v>
      </c>
      <c r="D20" s="29">
        <v>16.8</v>
      </c>
      <c r="E20" s="29">
        <v>16.8</v>
      </c>
      <c r="F20" s="29">
        <v>16.8</v>
      </c>
      <c r="G20" s="29">
        <v>16.8</v>
      </c>
      <c r="H20" s="29">
        <v>16.8</v>
      </c>
      <c r="I20" s="29">
        <v>16.8</v>
      </c>
      <c r="J20" s="29">
        <v>16.8</v>
      </c>
      <c r="K20" s="29">
        <v>16.8</v>
      </c>
      <c r="L20" s="29">
        <v>16.8</v>
      </c>
      <c r="M20" s="29">
        <v>16.8</v>
      </c>
      <c r="N20" s="29">
        <v>16.8</v>
      </c>
      <c r="O20" s="29">
        <v>16.8</v>
      </c>
      <c r="P20" s="29">
        <v>16.8</v>
      </c>
      <c r="Q20" s="29">
        <v>16.8</v>
      </c>
      <c r="R20" s="29">
        <v>16.8</v>
      </c>
      <c r="S20" s="29">
        <v>16.8</v>
      </c>
      <c r="T20" s="29">
        <v>16.8</v>
      </c>
      <c r="U20" s="29">
        <v>16.8</v>
      </c>
      <c r="V20" s="29">
        <v>16.8</v>
      </c>
      <c r="W20" s="29">
        <v>16.8</v>
      </c>
      <c r="X20" s="29">
        <v>16.8</v>
      </c>
      <c r="Y20" s="29">
        <v>16.8</v>
      </c>
      <c r="Z20" s="29">
        <v>16.8</v>
      </c>
      <c r="AA20" s="29">
        <v>16.8</v>
      </c>
      <c r="AB20" s="29">
        <v>16.8</v>
      </c>
    </row>
    <row r="21" spans="1:28" x14ac:dyDescent="0.25">
      <c r="A21" s="24" t="s">
        <v>228</v>
      </c>
      <c r="B21" s="24" t="s">
        <v>229</v>
      </c>
      <c r="C21" s="56">
        <f>0.85*C20-0.004*C20^2</f>
        <v>13.15104</v>
      </c>
      <c r="D21" s="57">
        <f t="shared" ref="D21:AA21" si="16">0.85*D20-0.004*D20^2</f>
        <v>13.15104</v>
      </c>
      <c r="E21" s="57">
        <f t="shared" si="16"/>
        <v>13.15104</v>
      </c>
      <c r="F21" s="57">
        <f t="shared" si="16"/>
        <v>13.15104</v>
      </c>
      <c r="G21" s="57">
        <f t="shared" si="16"/>
        <v>13.15104</v>
      </c>
      <c r="H21" s="57">
        <f t="shared" si="16"/>
        <v>13.15104</v>
      </c>
      <c r="I21" s="57">
        <f t="shared" si="16"/>
        <v>13.15104</v>
      </c>
      <c r="J21" s="57">
        <f t="shared" si="16"/>
        <v>13.15104</v>
      </c>
      <c r="K21" s="57">
        <f t="shared" si="16"/>
        <v>13.15104</v>
      </c>
      <c r="L21" s="57">
        <f t="shared" si="16"/>
        <v>13.15104</v>
      </c>
      <c r="M21" s="57">
        <f t="shared" si="16"/>
        <v>13.15104</v>
      </c>
      <c r="N21" s="57">
        <f t="shared" si="16"/>
        <v>13.15104</v>
      </c>
      <c r="O21" s="57">
        <f>1.66*O20-0.02*O20^2</f>
        <v>22.243199999999998</v>
      </c>
      <c r="P21" s="57">
        <f t="shared" si="16"/>
        <v>13.15104</v>
      </c>
      <c r="Q21" s="57">
        <f t="shared" si="16"/>
        <v>13.15104</v>
      </c>
      <c r="R21" s="57">
        <f t="shared" si="16"/>
        <v>13.15104</v>
      </c>
      <c r="S21" s="57">
        <f t="shared" si="16"/>
        <v>13.15104</v>
      </c>
      <c r="T21" s="57">
        <f t="shared" si="16"/>
        <v>13.15104</v>
      </c>
      <c r="U21" s="57">
        <f t="shared" si="16"/>
        <v>13.15104</v>
      </c>
      <c r="V21" s="57">
        <f t="shared" si="16"/>
        <v>13.15104</v>
      </c>
      <c r="W21" s="57">
        <f t="shared" si="16"/>
        <v>13.15104</v>
      </c>
      <c r="X21" s="57">
        <f t="shared" si="16"/>
        <v>13.15104</v>
      </c>
      <c r="Y21" s="57">
        <f t="shared" si="16"/>
        <v>13.15104</v>
      </c>
      <c r="Z21" s="57">
        <f t="shared" si="16"/>
        <v>13.15104</v>
      </c>
      <c r="AA21" s="57">
        <f t="shared" si="16"/>
        <v>13.15104</v>
      </c>
      <c r="AB21" s="57">
        <f>1.66*AB20-0.02*AB20^2</f>
        <v>22.243199999999998</v>
      </c>
    </row>
    <row r="22" spans="1:28" x14ac:dyDescent="0.25">
      <c r="A22" s="24" t="s">
        <v>223</v>
      </c>
      <c r="B22" s="24"/>
      <c r="C22" s="46">
        <f t="shared" ref="C22:AB22" si="17">C8*(100-C21)/100</f>
        <v>0.182382816</v>
      </c>
      <c r="D22" s="47">
        <f t="shared" si="17"/>
        <v>0.182382816</v>
      </c>
      <c r="E22" s="47">
        <f t="shared" si="17"/>
        <v>0.182382816</v>
      </c>
      <c r="F22" s="47">
        <f t="shared" si="17"/>
        <v>8.6848960000000003E-2</v>
      </c>
      <c r="G22" s="47">
        <f t="shared" si="17"/>
        <v>8.6848960000000003E-2</v>
      </c>
      <c r="H22" s="47">
        <f t="shared" si="17"/>
        <v>8.6848960000000003E-2</v>
      </c>
      <c r="I22" s="47">
        <f t="shared" si="17"/>
        <v>8.6848960000000003E-2</v>
      </c>
      <c r="J22" s="47">
        <f t="shared" si="17"/>
        <v>8.6848960000000003E-2</v>
      </c>
      <c r="K22" s="47">
        <f t="shared" si="17"/>
        <v>8.6848960000000003E-2</v>
      </c>
      <c r="L22" s="47">
        <f t="shared" si="17"/>
        <v>0.182382816</v>
      </c>
      <c r="M22" s="47">
        <f t="shared" si="17"/>
        <v>0.182382816</v>
      </c>
      <c r="N22" s="47">
        <f t="shared" si="17"/>
        <v>0.182382816</v>
      </c>
      <c r="O22" s="47">
        <f t="shared" si="17"/>
        <v>0.16328927999999998</v>
      </c>
      <c r="P22" s="47">
        <f t="shared" si="17"/>
        <v>0.14764323200000001</v>
      </c>
      <c r="Q22" s="47">
        <f t="shared" si="17"/>
        <v>0.14764323200000001</v>
      </c>
      <c r="R22" s="47">
        <f t="shared" si="17"/>
        <v>0.14764323200000001</v>
      </c>
      <c r="S22" s="47">
        <f t="shared" si="17"/>
        <v>0.12158854400000002</v>
      </c>
      <c r="T22" s="47">
        <f t="shared" si="17"/>
        <v>0.12158854400000002</v>
      </c>
      <c r="U22" s="47">
        <f t="shared" si="17"/>
        <v>0.22580729600000002</v>
      </c>
      <c r="V22" s="47">
        <f t="shared" si="17"/>
        <v>0.22580729600000002</v>
      </c>
      <c r="W22" s="47">
        <f t="shared" si="17"/>
        <v>0.11290364800000001</v>
      </c>
      <c r="X22" s="47">
        <f t="shared" si="17"/>
        <v>0.11290364800000001</v>
      </c>
      <c r="Y22" s="47">
        <f t="shared" si="17"/>
        <v>0.13895833600000002</v>
      </c>
      <c r="Z22" s="47">
        <f t="shared" si="17"/>
        <v>0.13895833600000002</v>
      </c>
      <c r="AA22" s="47">
        <f t="shared" si="17"/>
        <v>0.13895833600000002</v>
      </c>
      <c r="AB22" s="47">
        <f t="shared" si="17"/>
        <v>0.12441088</v>
      </c>
    </row>
    <row r="23" spans="1:28" x14ac:dyDescent="0.25">
      <c r="A23" s="24" t="s">
        <v>220</v>
      </c>
      <c r="B23" s="24"/>
      <c r="C23" s="46">
        <f>C18*C22</f>
        <v>4.741953216E-2</v>
      </c>
      <c r="D23" s="47">
        <f t="shared" ref="D23:AB23" si="18">D18*D22</f>
        <v>4.741953216E-2</v>
      </c>
      <c r="E23" s="47">
        <f t="shared" si="18"/>
        <v>4.741953216E-2</v>
      </c>
      <c r="F23" s="47">
        <f t="shared" si="18"/>
        <v>2.2580729600000002E-2</v>
      </c>
      <c r="G23" s="47">
        <f t="shared" si="18"/>
        <v>2.2580729600000002E-2</v>
      </c>
      <c r="H23" s="47">
        <f t="shared" si="18"/>
        <v>2.2580729600000002E-2</v>
      </c>
      <c r="I23" s="47">
        <f t="shared" si="18"/>
        <v>2.2580729600000002E-2</v>
      </c>
      <c r="J23" s="47">
        <f t="shared" si="18"/>
        <v>2.2580729600000002E-2</v>
      </c>
      <c r="K23" s="47">
        <f t="shared" si="18"/>
        <v>0.16501302400000001</v>
      </c>
      <c r="L23" s="47">
        <f t="shared" si="18"/>
        <v>0.34652735039999999</v>
      </c>
      <c r="M23" s="47">
        <f t="shared" si="18"/>
        <v>0.34652735039999999</v>
      </c>
      <c r="N23" s="47">
        <f t="shared" si="18"/>
        <v>0.34652735039999999</v>
      </c>
      <c r="O23" s="47">
        <f t="shared" si="18"/>
        <v>0.31024963199999994</v>
      </c>
      <c r="P23" s="47">
        <f t="shared" si="18"/>
        <v>0.28052214079999999</v>
      </c>
      <c r="Q23" s="47">
        <f t="shared" si="18"/>
        <v>0.28052214079999999</v>
      </c>
      <c r="R23" s="47">
        <f t="shared" si="18"/>
        <v>0.28052214079999999</v>
      </c>
      <c r="S23" s="47">
        <f t="shared" si="18"/>
        <v>0.23101823360000004</v>
      </c>
      <c r="T23" s="47">
        <f t="shared" si="18"/>
        <v>0.23101823360000004</v>
      </c>
      <c r="U23" s="47">
        <f t="shared" si="18"/>
        <v>1.1854883040000002</v>
      </c>
      <c r="V23" s="47">
        <f t="shared" si="18"/>
        <v>1.1854883040000002</v>
      </c>
      <c r="W23" s="47">
        <f t="shared" si="18"/>
        <v>0.59274415200000008</v>
      </c>
      <c r="X23" s="47">
        <f t="shared" si="18"/>
        <v>0.59274415200000008</v>
      </c>
      <c r="Y23" s="47">
        <f t="shared" si="18"/>
        <v>1.7022396160000002</v>
      </c>
      <c r="Z23" s="47">
        <f t="shared" si="18"/>
        <v>1.7022396160000002</v>
      </c>
      <c r="AA23" s="47">
        <f t="shared" si="18"/>
        <v>1.7022396160000002</v>
      </c>
      <c r="AB23" s="47">
        <f t="shared" si="18"/>
        <v>1.52403328</v>
      </c>
    </row>
    <row r="24" spans="1:28" x14ac:dyDescent="0.25">
      <c r="A24" s="24" t="s">
        <v>221</v>
      </c>
      <c r="B24" s="24"/>
      <c r="C24" s="46">
        <f t="shared" ref="C24:AB24" si="19">C17+C19-C23</f>
        <v>0.40258046784000001</v>
      </c>
      <c r="D24" s="47">
        <f t="shared" si="19"/>
        <v>0.40258046784000001</v>
      </c>
      <c r="E24" s="47">
        <f t="shared" si="19"/>
        <v>0.40258046784000001</v>
      </c>
      <c r="F24" s="47">
        <f t="shared" si="19"/>
        <v>0.43166927039999997</v>
      </c>
      <c r="G24" s="47">
        <f t="shared" si="19"/>
        <v>0.43166927039999997</v>
      </c>
      <c r="H24" s="47">
        <f t="shared" si="19"/>
        <v>0.43166927039999997</v>
      </c>
      <c r="I24" s="47">
        <f t="shared" si="19"/>
        <v>0.43166927039999997</v>
      </c>
      <c r="J24" s="47">
        <f t="shared" si="19"/>
        <v>0.43166927039999997</v>
      </c>
      <c r="K24" s="47">
        <f t="shared" si="19"/>
        <v>2.7692369760000002</v>
      </c>
      <c r="L24" s="47">
        <f t="shared" si="19"/>
        <v>2.5834726496</v>
      </c>
      <c r="M24" s="47">
        <f t="shared" si="19"/>
        <v>2.5834726496</v>
      </c>
      <c r="N24" s="47">
        <f t="shared" si="19"/>
        <v>2.5834726496</v>
      </c>
      <c r="O24" s="47">
        <f t="shared" si="19"/>
        <v>2.6197503680000001</v>
      </c>
      <c r="P24" s="47">
        <f t="shared" si="19"/>
        <v>2.6622278592000002</v>
      </c>
      <c r="Q24" s="47">
        <f t="shared" si="19"/>
        <v>2.6622278592000002</v>
      </c>
      <c r="R24" s="47">
        <f t="shared" si="19"/>
        <v>2.6622278592000002</v>
      </c>
      <c r="S24" s="47">
        <f t="shared" si="19"/>
        <v>2.7117317664000002</v>
      </c>
      <c r="T24" s="47">
        <f t="shared" si="19"/>
        <v>2.7117317664000002</v>
      </c>
      <c r="U24" s="47">
        <f t="shared" si="19"/>
        <v>5.9665116959999995</v>
      </c>
      <c r="V24" s="47">
        <f t="shared" si="19"/>
        <v>5.9665116959999995</v>
      </c>
      <c r="W24" s="47">
        <f t="shared" si="19"/>
        <v>6.5592558480000003</v>
      </c>
      <c r="X24" s="47">
        <f t="shared" si="19"/>
        <v>6.5592558480000003</v>
      </c>
      <c r="Y24" s="47">
        <f t="shared" si="19"/>
        <v>15.198260383999997</v>
      </c>
      <c r="Z24" s="47">
        <f t="shared" si="19"/>
        <v>15.198260383999997</v>
      </c>
      <c r="AA24" s="47">
        <f t="shared" si="19"/>
        <v>15.198260383999997</v>
      </c>
      <c r="AB24" s="47">
        <f t="shared" si="19"/>
        <v>15.376466719999998</v>
      </c>
    </row>
    <row r="25" spans="1:28" x14ac:dyDescent="0.25">
      <c r="A25" s="24" t="s">
        <v>222</v>
      </c>
      <c r="B25" s="24"/>
      <c r="C25" s="46">
        <f t="shared" ref="C25:AB25" si="20">C18-C23</f>
        <v>0.21258046784000001</v>
      </c>
      <c r="D25" s="47">
        <f t="shared" si="20"/>
        <v>0.21258046784000001</v>
      </c>
      <c r="E25" s="47">
        <f t="shared" si="20"/>
        <v>0.21258046784000001</v>
      </c>
      <c r="F25" s="47">
        <f t="shared" si="20"/>
        <v>0.23741927039999999</v>
      </c>
      <c r="G25" s="47">
        <f t="shared" si="20"/>
        <v>0.23741927039999999</v>
      </c>
      <c r="H25" s="47">
        <f t="shared" si="20"/>
        <v>0.23741927039999999</v>
      </c>
      <c r="I25" s="47">
        <f t="shared" si="20"/>
        <v>0.23741927039999999</v>
      </c>
      <c r="J25" s="47">
        <f t="shared" si="20"/>
        <v>0.23741927039999999</v>
      </c>
      <c r="K25" s="47">
        <f t="shared" si="20"/>
        <v>1.7349869759999998</v>
      </c>
      <c r="L25" s="47">
        <f t="shared" si="20"/>
        <v>1.5534726496</v>
      </c>
      <c r="M25" s="47">
        <f t="shared" si="20"/>
        <v>1.5534726496</v>
      </c>
      <c r="N25" s="47">
        <f t="shared" si="20"/>
        <v>1.5534726496</v>
      </c>
      <c r="O25" s="47">
        <f t="shared" si="20"/>
        <v>1.589750368</v>
      </c>
      <c r="P25" s="47">
        <f t="shared" si="20"/>
        <v>1.6194778591999999</v>
      </c>
      <c r="Q25" s="47">
        <f t="shared" si="20"/>
        <v>1.6194778591999999</v>
      </c>
      <c r="R25" s="47">
        <f t="shared" si="20"/>
        <v>1.6194778591999999</v>
      </c>
      <c r="S25" s="47">
        <f t="shared" si="20"/>
        <v>1.6689817664</v>
      </c>
      <c r="T25" s="47">
        <f t="shared" si="20"/>
        <v>1.6689817664</v>
      </c>
      <c r="U25" s="47">
        <f t="shared" si="20"/>
        <v>4.0645116960000003</v>
      </c>
      <c r="V25" s="47">
        <f t="shared" si="20"/>
        <v>4.0645116960000003</v>
      </c>
      <c r="W25" s="47">
        <f t="shared" si="20"/>
        <v>4.6572558480000001</v>
      </c>
      <c r="X25" s="47">
        <f t="shared" si="20"/>
        <v>4.6572558480000001</v>
      </c>
      <c r="Y25" s="47">
        <f t="shared" si="20"/>
        <v>10.547760384</v>
      </c>
      <c r="Z25" s="47">
        <f t="shared" si="20"/>
        <v>10.547760384</v>
      </c>
      <c r="AA25" s="47">
        <f t="shared" si="20"/>
        <v>10.547760384</v>
      </c>
      <c r="AB25" s="47">
        <f t="shared" si="20"/>
        <v>10.725966720000001</v>
      </c>
    </row>
    <row r="26" spans="1:28" x14ac:dyDescent="0.25">
      <c r="A26" s="24" t="s">
        <v>223</v>
      </c>
      <c r="B26" s="24" t="s">
        <v>216</v>
      </c>
      <c r="C26" s="29">
        <f>+C12</f>
        <v>2.5000000000000001E-2</v>
      </c>
      <c r="D26" s="30">
        <f t="shared" ref="D26:AB26" si="21">+D12</f>
        <v>2.5000000000000001E-2</v>
      </c>
      <c r="E26" s="30">
        <f t="shared" si="21"/>
        <v>2.5000000000000001E-2</v>
      </c>
      <c r="F26" s="30">
        <f t="shared" si="21"/>
        <v>2.5000000000000001E-2</v>
      </c>
      <c r="G26" s="30">
        <f t="shared" si="21"/>
        <v>2.5000000000000001E-2</v>
      </c>
      <c r="H26" s="30">
        <f t="shared" si="21"/>
        <v>2.5000000000000001E-2</v>
      </c>
      <c r="I26" s="30">
        <f t="shared" si="21"/>
        <v>2.5000000000000001E-2</v>
      </c>
      <c r="J26" s="30">
        <f t="shared" si="21"/>
        <v>2.5000000000000001E-2</v>
      </c>
      <c r="K26" s="30">
        <f t="shared" si="21"/>
        <v>2.5000000000000001E-2</v>
      </c>
      <c r="L26" s="30">
        <f t="shared" si="21"/>
        <v>2.5000000000000001E-2</v>
      </c>
      <c r="M26" s="30">
        <f t="shared" si="21"/>
        <v>2.5000000000000001E-2</v>
      </c>
      <c r="N26" s="30">
        <f t="shared" si="21"/>
        <v>2.5000000000000001E-2</v>
      </c>
      <c r="O26" s="30">
        <f t="shared" si="21"/>
        <v>2.5000000000000001E-2</v>
      </c>
      <c r="P26" s="30">
        <f t="shared" si="21"/>
        <v>2.5000000000000001E-2</v>
      </c>
      <c r="Q26" s="30">
        <f t="shared" si="21"/>
        <v>2.5000000000000001E-2</v>
      </c>
      <c r="R26" s="30">
        <f t="shared" si="21"/>
        <v>2.5000000000000001E-2</v>
      </c>
      <c r="S26" s="30">
        <f t="shared" si="21"/>
        <v>2.5000000000000001E-2</v>
      </c>
      <c r="T26" s="30">
        <f t="shared" si="21"/>
        <v>2.5000000000000001E-2</v>
      </c>
      <c r="U26" s="30">
        <f t="shared" si="21"/>
        <v>2.5000000000000001E-2</v>
      </c>
      <c r="V26" s="30">
        <f t="shared" si="21"/>
        <v>2.5000000000000001E-2</v>
      </c>
      <c r="W26" s="30">
        <f t="shared" si="21"/>
        <v>2.5000000000000001E-2</v>
      </c>
      <c r="X26" s="30">
        <f t="shared" si="21"/>
        <v>2.5000000000000001E-2</v>
      </c>
      <c r="Y26" s="30">
        <f t="shared" si="21"/>
        <v>2.5000000000000001E-2</v>
      </c>
      <c r="Z26" s="30">
        <f t="shared" si="21"/>
        <v>2.5000000000000001E-2</v>
      </c>
      <c r="AA26" s="30">
        <f t="shared" si="21"/>
        <v>2.5000000000000001E-2</v>
      </c>
      <c r="AB26" s="30">
        <f t="shared" si="21"/>
        <v>2.5000000000000001E-2</v>
      </c>
    </row>
    <row r="27" spans="1:28" x14ac:dyDescent="0.25">
      <c r="A27" s="24" t="s">
        <v>224</v>
      </c>
      <c r="B27" s="24"/>
      <c r="C27" s="44">
        <f>C25*C26</f>
        <v>5.3145116960000007E-3</v>
      </c>
      <c r="D27" s="45">
        <f t="shared" ref="D27:AB27" si="22">D25*D26</f>
        <v>5.3145116960000007E-3</v>
      </c>
      <c r="E27" s="45">
        <f t="shared" si="22"/>
        <v>5.3145116960000007E-3</v>
      </c>
      <c r="F27" s="45">
        <f t="shared" si="22"/>
        <v>5.9354817599999998E-3</v>
      </c>
      <c r="G27" s="45">
        <f t="shared" si="22"/>
        <v>5.9354817599999998E-3</v>
      </c>
      <c r="H27" s="45">
        <f t="shared" si="22"/>
        <v>5.9354817599999998E-3</v>
      </c>
      <c r="I27" s="45">
        <f t="shared" si="22"/>
        <v>5.9354817599999998E-3</v>
      </c>
      <c r="J27" s="45">
        <f t="shared" si="22"/>
        <v>5.9354817599999998E-3</v>
      </c>
      <c r="K27" s="45">
        <f t="shared" si="22"/>
        <v>4.33746744E-2</v>
      </c>
      <c r="L27" s="45">
        <f t="shared" si="22"/>
        <v>3.8836816240000002E-2</v>
      </c>
      <c r="M27" s="45">
        <f t="shared" si="22"/>
        <v>3.8836816240000002E-2</v>
      </c>
      <c r="N27" s="45">
        <f t="shared" si="22"/>
        <v>3.8836816240000002E-2</v>
      </c>
      <c r="O27" s="45">
        <f t="shared" si="22"/>
        <v>3.9743759200000006E-2</v>
      </c>
      <c r="P27" s="45">
        <f t="shared" si="22"/>
        <v>4.0486946480000001E-2</v>
      </c>
      <c r="Q27" s="45">
        <f t="shared" si="22"/>
        <v>4.0486946480000001E-2</v>
      </c>
      <c r="R27" s="45">
        <f t="shared" si="22"/>
        <v>4.0486946480000001E-2</v>
      </c>
      <c r="S27" s="45">
        <f t="shared" si="22"/>
        <v>4.1724544160000002E-2</v>
      </c>
      <c r="T27" s="45">
        <f t="shared" si="22"/>
        <v>4.1724544160000002E-2</v>
      </c>
      <c r="U27" s="45">
        <f t="shared" si="22"/>
        <v>0.10161279240000001</v>
      </c>
      <c r="V27" s="45">
        <f t="shared" si="22"/>
        <v>0.10161279240000001</v>
      </c>
      <c r="W27" s="45">
        <f t="shared" si="22"/>
        <v>0.11643139620000001</v>
      </c>
      <c r="X27" s="45">
        <f t="shared" si="22"/>
        <v>0.11643139620000001</v>
      </c>
      <c r="Y27" s="45">
        <f t="shared" si="22"/>
        <v>0.2636940096</v>
      </c>
      <c r="Z27" s="45">
        <f t="shared" si="22"/>
        <v>0.2636940096</v>
      </c>
      <c r="AA27" s="45">
        <f t="shared" si="22"/>
        <v>0.2636940096</v>
      </c>
      <c r="AB27" s="45">
        <f t="shared" si="22"/>
        <v>0.26814916800000005</v>
      </c>
    </row>
    <row r="28" spans="1:28" x14ac:dyDescent="0.25">
      <c r="A28" s="24" t="s">
        <v>225</v>
      </c>
      <c r="B28" s="24"/>
      <c r="C28" s="46">
        <f>C24-C27</f>
        <v>0.39726595614400001</v>
      </c>
      <c r="D28" s="47">
        <f t="shared" ref="D28:AB28" si="23">D24-D27</f>
        <v>0.39726595614400001</v>
      </c>
      <c r="E28" s="47">
        <f t="shared" si="23"/>
        <v>0.39726595614400001</v>
      </c>
      <c r="F28" s="47">
        <f t="shared" si="23"/>
        <v>0.42573378864</v>
      </c>
      <c r="G28" s="47">
        <f t="shared" si="23"/>
        <v>0.42573378864</v>
      </c>
      <c r="H28" s="47">
        <f t="shared" si="23"/>
        <v>0.42573378864</v>
      </c>
      <c r="I28" s="47">
        <f t="shared" si="23"/>
        <v>0.42573378864</v>
      </c>
      <c r="J28" s="47">
        <f t="shared" si="23"/>
        <v>0.42573378864</v>
      </c>
      <c r="K28" s="47">
        <f t="shared" si="23"/>
        <v>2.7258623016000003</v>
      </c>
      <c r="L28" s="47">
        <f t="shared" si="23"/>
        <v>2.5446358333600001</v>
      </c>
      <c r="M28" s="47">
        <f t="shared" si="23"/>
        <v>2.5446358333600001</v>
      </c>
      <c r="N28" s="47">
        <f t="shared" si="23"/>
        <v>2.5446358333600001</v>
      </c>
      <c r="O28" s="47">
        <f t="shared" si="23"/>
        <v>2.5800066088000002</v>
      </c>
      <c r="P28" s="47">
        <f t="shared" si="23"/>
        <v>2.62174091272</v>
      </c>
      <c r="Q28" s="47">
        <f t="shared" si="23"/>
        <v>2.62174091272</v>
      </c>
      <c r="R28" s="47">
        <f t="shared" si="23"/>
        <v>2.62174091272</v>
      </c>
      <c r="S28" s="47">
        <f t="shared" si="23"/>
        <v>2.6700072222400002</v>
      </c>
      <c r="T28" s="47">
        <f t="shared" si="23"/>
        <v>2.6700072222400002</v>
      </c>
      <c r="U28" s="47">
        <f t="shared" si="23"/>
        <v>5.8648989035999994</v>
      </c>
      <c r="V28" s="47">
        <f t="shared" si="23"/>
        <v>5.8648989035999994</v>
      </c>
      <c r="W28" s="47">
        <f t="shared" si="23"/>
        <v>6.4428244518</v>
      </c>
      <c r="X28" s="47">
        <f t="shared" si="23"/>
        <v>6.4428244518</v>
      </c>
      <c r="Y28" s="47">
        <f t="shared" si="23"/>
        <v>14.934566374399997</v>
      </c>
      <c r="Z28" s="47">
        <f t="shared" si="23"/>
        <v>14.934566374399997</v>
      </c>
      <c r="AA28" s="47">
        <f t="shared" si="23"/>
        <v>14.934566374399997</v>
      </c>
      <c r="AB28" s="47">
        <f t="shared" si="23"/>
        <v>15.108317551999997</v>
      </c>
    </row>
    <row r="29" spans="1:28" x14ac:dyDescent="0.25">
      <c r="A29" s="24"/>
      <c r="B29" s="24"/>
      <c r="C29" s="3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 spans="1:28" x14ac:dyDescent="0.25">
      <c r="A30" s="40" t="s">
        <v>230</v>
      </c>
      <c r="B30" s="40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8" x14ac:dyDescent="0.25">
      <c r="A31" s="24" t="s">
        <v>231</v>
      </c>
      <c r="B31" s="24"/>
      <c r="C31" s="50">
        <f>C9+C13</f>
        <v>5.9735000000000003E-2</v>
      </c>
      <c r="D31" s="51">
        <f t="shared" ref="D31:AB31" si="24">D9+D13</f>
        <v>5.9735000000000003E-2</v>
      </c>
      <c r="E31" s="51">
        <f t="shared" si="24"/>
        <v>5.9735000000000003E-2</v>
      </c>
      <c r="F31" s="51">
        <f t="shared" si="24"/>
        <v>3.1850000000000003E-2</v>
      </c>
      <c r="G31" s="51">
        <f t="shared" si="24"/>
        <v>3.1850000000000003E-2</v>
      </c>
      <c r="H31" s="51">
        <f t="shared" si="24"/>
        <v>3.1850000000000003E-2</v>
      </c>
      <c r="I31" s="51">
        <f t="shared" si="24"/>
        <v>3.1850000000000003E-2</v>
      </c>
      <c r="J31" s="51">
        <f t="shared" si="24"/>
        <v>3.1850000000000003E-2</v>
      </c>
      <c r="K31" s="51">
        <f t="shared" si="24"/>
        <v>0.23275000000000001</v>
      </c>
      <c r="L31" s="51">
        <f t="shared" si="24"/>
        <v>0.43652499999999994</v>
      </c>
      <c r="M31" s="51">
        <f t="shared" si="24"/>
        <v>0.43652499999999994</v>
      </c>
      <c r="N31" s="51">
        <f t="shared" si="24"/>
        <v>0.43652499999999994</v>
      </c>
      <c r="O31" s="51">
        <f t="shared" si="24"/>
        <v>0.43652499999999994</v>
      </c>
      <c r="P31" s="51">
        <f t="shared" si="24"/>
        <v>0.362425</v>
      </c>
      <c r="Q31" s="51">
        <f t="shared" si="24"/>
        <v>0.362425</v>
      </c>
      <c r="R31" s="51">
        <f t="shared" si="24"/>
        <v>0.362425</v>
      </c>
      <c r="S31" s="51">
        <f t="shared" si="24"/>
        <v>0.30685000000000001</v>
      </c>
      <c r="T31" s="51">
        <f t="shared" si="24"/>
        <v>0.30685000000000001</v>
      </c>
      <c r="U31" s="51">
        <f t="shared" si="24"/>
        <v>1.4621249999999999</v>
      </c>
      <c r="V31" s="51">
        <f t="shared" si="24"/>
        <v>1.4621249999999999</v>
      </c>
      <c r="W31" s="51">
        <f t="shared" si="24"/>
        <v>0.79668749999999999</v>
      </c>
      <c r="X31" s="51">
        <f t="shared" si="24"/>
        <v>0.79668749999999999</v>
      </c>
      <c r="Y31" s="51">
        <f t="shared" si="24"/>
        <v>2.2172499999999999</v>
      </c>
      <c r="Z31" s="51">
        <f t="shared" si="24"/>
        <v>2.2172499999999999</v>
      </c>
      <c r="AA31" s="51">
        <f t="shared" si="24"/>
        <v>2.2172499999999999</v>
      </c>
      <c r="AB31" s="51">
        <f t="shared" si="24"/>
        <v>2.2172499999999999</v>
      </c>
    </row>
    <row r="32" spans="1:28" x14ac:dyDescent="0.25">
      <c r="A32" s="24" t="s">
        <v>232</v>
      </c>
      <c r="B32" s="24"/>
      <c r="C32" s="48">
        <f>C23+C27</f>
        <v>5.2734043856000001E-2</v>
      </c>
      <c r="D32" s="49">
        <f t="shared" ref="D32:AB32" si="25">D23+D27</f>
        <v>5.2734043856000001E-2</v>
      </c>
      <c r="E32" s="49">
        <f t="shared" si="25"/>
        <v>5.2734043856000001E-2</v>
      </c>
      <c r="F32" s="49">
        <f t="shared" si="25"/>
        <v>2.8516211360000002E-2</v>
      </c>
      <c r="G32" s="49">
        <f t="shared" si="25"/>
        <v>2.8516211360000002E-2</v>
      </c>
      <c r="H32" s="49">
        <f t="shared" si="25"/>
        <v>2.8516211360000002E-2</v>
      </c>
      <c r="I32" s="49">
        <f t="shared" si="25"/>
        <v>2.8516211360000002E-2</v>
      </c>
      <c r="J32" s="49">
        <f t="shared" si="25"/>
        <v>2.8516211360000002E-2</v>
      </c>
      <c r="K32" s="49">
        <f t="shared" si="25"/>
        <v>0.20838769840000002</v>
      </c>
      <c r="L32" s="49">
        <f t="shared" si="25"/>
        <v>0.38536416664000001</v>
      </c>
      <c r="M32" s="49">
        <f t="shared" si="25"/>
        <v>0.38536416664000001</v>
      </c>
      <c r="N32" s="49">
        <f t="shared" si="25"/>
        <v>0.38536416664000001</v>
      </c>
      <c r="O32" s="49">
        <f t="shared" si="25"/>
        <v>0.34999339119999995</v>
      </c>
      <c r="P32" s="49">
        <f t="shared" si="25"/>
        <v>0.32100908727999999</v>
      </c>
      <c r="Q32" s="49">
        <f t="shared" si="25"/>
        <v>0.32100908727999999</v>
      </c>
      <c r="R32" s="49">
        <f t="shared" si="25"/>
        <v>0.32100908727999999</v>
      </c>
      <c r="S32" s="49">
        <f t="shared" si="25"/>
        <v>0.27274277776000005</v>
      </c>
      <c r="T32" s="49">
        <f t="shared" si="25"/>
        <v>0.27274277776000005</v>
      </c>
      <c r="U32" s="49">
        <f t="shared" si="25"/>
        <v>1.2871010964000003</v>
      </c>
      <c r="V32" s="49">
        <f t="shared" si="25"/>
        <v>1.2871010964000003</v>
      </c>
      <c r="W32" s="49">
        <f t="shared" si="25"/>
        <v>0.70917554820000006</v>
      </c>
      <c r="X32" s="49">
        <f t="shared" si="25"/>
        <v>0.70917554820000006</v>
      </c>
      <c r="Y32" s="49">
        <f t="shared" si="25"/>
        <v>1.9659336256000002</v>
      </c>
      <c r="Z32" s="49">
        <f t="shared" si="25"/>
        <v>1.9659336256000002</v>
      </c>
      <c r="AA32" s="49">
        <f t="shared" si="25"/>
        <v>1.9659336256000002</v>
      </c>
      <c r="AB32" s="49">
        <f t="shared" si="25"/>
        <v>1.7921824480000002</v>
      </c>
    </row>
    <row r="33" spans="1:28" x14ac:dyDescent="0.25">
      <c r="A33" s="24" t="s">
        <v>233</v>
      </c>
      <c r="B33" s="24"/>
      <c r="C33" s="48">
        <f>C31-C32</f>
        <v>7.000956144000002E-3</v>
      </c>
      <c r="D33" s="49">
        <f t="shared" ref="D33:AB33" si="26">D31-D32</f>
        <v>7.000956144000002E-3</v>
      </c>
      <c r="E33" s="49">
        <f t="shared" si="26"/>
        <v>7.000956144000002E-3</v>
      </c>
      <c r="F33" s="49">
        <f t="shared" si="26"/>
        <v>3.3337886400000016E-3</v>
      </c>
      <c r="G33" s="49">
        <f t="shared" si="26"/>
        <v>3.3337886400000016E-3</v>
      </c>
      <c r="H33" s="49">
        <f t="shared" si="26"/>
        <v>3.3337886400000016E-3</v>
      </c>
      <c r="I33" s="49">
        <f t="shared" si="26"/>
        <v>3.3337886400000016E-3</v>
      </c>
      <c r="J33" s="49">
        <f t="shared" si="26"/>
        <v>3.3337886400000016E-3</v>
      </c>
      <c r="K33" s="49">
        <f t="shared" si="26"/>
        <v>2.4362301599999997E-2</v>
      </c>
      <c r="L33" s="49">
        <f t="shared" si="26"/>
        <v>5.1160833359999935E-2</v>
      </c>
      <c r="M33" s="49">
        <f t="shared" si="26"/>
        <v>5.1160833359999935E-2</v>
      </c>
      <c r="N33" s="49">
        <f t="shared" si="26"/>
        <v>5.1160833359999935E-2</v>
      </c>
      <c r="O33" s="49">
        <f t="shared" si="26"/>
        <v>8.6531608799999993E-2</v>
      </c>
      <c r="P33" s="49">
        <f t="shared" si="26"/>
        <v>4.1415912720000003E-2</v>
      </c>
      <c r="Q33" s="49">
        <f t="shared" si="26"/>
        <v>4.1415912720000003E-2</v>
      </c>
      <c r="R33" s="49">
        <f t="shared" si="26"/>
        <v>4.1415912720000003E-2</v>
      </c>
      <c r="S33" s="49">
        <f t="shared" si="26"/>
        <v>3.4107222239999957E-2</v>
      </c>
      <c r="T33" s="49">
        <f t="shared" si="26"/>
        <v>3.4107222239999957E-2</v>
      </c>
      <c r="U33" s="49">
        <f t="shared" si="26"/>
        <v>0.17502390359999964</v>
      </c>
      <c r="V33" s="49">
        <f t="shared" si="26"/>
        <v>0.17502390359999964</v>
      </c>
      <c r="W33" s="49">
        <f t="shared" si="26"/>
        <v>8.7511951799999932E-2</v>
      </c>
      <c r="X33" s="49">
        <f t="shared" si="26"/>
        <v>8.7511951799999932E-2</v>
      </c>
      <c r="Y33" s="49">
        <f t="shared" si="26"/>
        <v>0.25131637439999976</v>
      </c>
      <c r="Z33" s="49">
        <f t="shared" si="26"/>
        <v>0.25131637439999976</v>
      </c>
      <c r="AA33" s="49">
        <f t="shared" si="26"/>
        <v>0.25131637439999976</v>
      </c>
      <c r="AB33" s="49">
        <f t="shared" si="26"/>
        <v>0.42506755199999979</v>
      </c>
    </row>
    <row r="34" spans="1:28" x14ac:dyDescent="0.25">
      <c r="A34" s="24" t="s">
        <v>234</v>
      </c>
      <c r="B34" s="24"/>
      <c r="C34" s="48">
        <f>0.01*(44/28)</f>
        <v>1.5714285714285715E-2</v>
      </c>
      <c r="D34" s="49">
        <f t="shared" ref="D34:AB34" si="27">0.01*(44/28)</f>
        <v>1.5714285714285715E-2</v>
      </c>
      <c r="E34" s="49">
        <f t="shared" si="27"/>
        <v>1.5714285714285715E-2</v>
      </c>
      <c r="F34" s="49">
        <f t="shared" si="27"/>
        <v>1.5714285714285715E-2</v>
      </c>
      <c r="G34" s="49">
        <f t="shared" si="27"/>
        <v>1.5714285714285715E-2</v>
      </c>
      <c r="H34" s="49">
        <f t="shared" si="27"/>
        <v>1.5714285714285715E-2</v>
      </c>
      <c r="I34" s="49">
        <f t="shared" si="27"/>
        <v>1.5714285714285715E-2</v>
      </c>
      <c r="J34" s="49">
        <f t="shared" si="27"/>
        <v>1.5714285714285715E-2</v>
      </c>
      <c r="K34" s="49">
        <f t="shared" si="27"/>
        <v>1.5714285714285715E-2</v>
      </c>
      <c r="L34" s="49">
        <f t="shared" si="27"/>
        <v>1.5714285714285715E-2</v>
      </c>
      <c r="M34" s="49">
        <f t="shared" si="27"/>
        <v>1.5714285714285715E-2</v>
      </c>
      <c r="N34" s="49">
        <f t="shared" si="27"/>
        <v>1.5714285714285715E-2</v>
      </c>
      <c r="O34" s="49">
        <f t="shared" si="27"/>
        <v>1.5714285714285715E-2</v>
      </c>
      <c r="P34" s="49">
        <f t="shared" si="27"/>
        <v>1.5714285714285715E-2</v>
      </c>
      <c r="Q34" s="49">
        <f t="shared" si="27"/>
        <v>1.5714285714285715E-2</v>
      </c>
      <c r="R34" s="49">
        <f t="shared" si="27"/>
        <v>1.5714285714285715E-2</v>
      </c>
      <c r="S34" s="49">
        <f t="shared" si="27"/>
        <v>1.5714285714285715E-2</v>
      </c>
      <c r="T34" s="49">
        <f t="shared" si="27"/>
        <v>1.5714285714285715E-2</v>
      </c>
      <c r="U34" s="49">
        <f t="shared" si="27"/>
        <v>1.5714285714285715E-2</v>
      </c>
      <c r="V34" s="49">
        <f t="shared" si="27"/>
        <v>1.5714285714285715E-2</v>
      </c>
      <c r="W34" s="49">
        <f t="shared" si="27"/>
        <v>1.5714285714285715E-2</v>
      </c>
      <c r="X34" s="49">
        <f t="shared" si="27"/>
        <v>1.5714285714285715E-2</v>
      </c>
      <c r="Y34" s="49">
        <f t="shared" si="27"/>
        <v>1.5714285714285715E-2</v>
      </c>
      <c r="Z34" s="49">
        <f t="shared" si="27"/>
        <v>1.5714285714285715E-2</v>
      </c>
      <c r="AA34" s="49">
        <f t="shared" si="27"/>
        <v>1.5714285714285715E-2</v>
      </c>
      <c r="AB34" s="49">
        <f t="shared" si="27"/>
        <v>1.5714285714285715E-2</v>
      </c>
    </row>
    <row r="35" spans="1:28" x14ac:dyDescent="0.25">
      <c r="A35" s="24" t="s">
        <v>235</v>
      </c>
      <c r="B35" s="24"/>
      <c r="C35" s="48">
        <f>C33*C34</f>
        <v>1.1001502512000004E-4</v>
      </c>
      <c r="D35" s="49">
        <f t="shared" ref="D35:AB35" si="28">D33*D34</f>
        <v>1.1001502512000004E-4</v>
      </c>
      <c r="E35" s="49">
        <f t="shared" si="28"/>
        <v>1.1001502512000004E-4</v>
      </c>
      <c r="F35" s="49">
        <f t="shared" si="28"/>
        <v>5.238810720000003E-5</v>
      </c>
      <c r="G35" s="49">
        <f t="shared" si="28"/>
        <v>5.238810720000003E-5</v>
      </c>
      <c r="H35" s="49">
        <f t="shared" si="28"/>
        <v>5.238810720000003E-5</v>
      </c>
      <c r="I35" s="49">
        <f t="shared" si="28"/>
        <v>5.238810720000003E-5</v>
      </c>
      <c r="J35" s="49">
        <f t="shared" si="28"/>
        <v>5.238810720000003E-5</v>
      </c>
      <c r="K35" s="49">
        <f t="shared" si="28"/>
        <v>3.8283616799999998E-4</v>
      </c>
      <c r="L35" s="49">
        <f t="shared" si="28"/>
        <v>8.0395595279999902E-4</v>
      </c>
      <c r="M35" s="49">
        <f t="shared" si="28"/>
        <v>8.0395595279999902E-4</v>
      </c>
      <c r="N35" s="49">
        <f t="shared" si="28"/>
        <v>8.0395595279999902E-4</v>
      </c>
      <c r="O35" s="49">
        <f t="shared" si="28"/>
        <v>1.359782424E-3</v>
      </c>
      <c r="P35" s="49">
        <f t="shared" si="28"/>
        <v>6.5082148560000009E-4</v>
      </c>
      <c r="Q35" s="49">
        <f t="shared" si="28"/>
        <v>6.5082148560000009E-4</v>
      </c>
      <c r="R35" s="49">
        <f t="shared" si="28"/>
        <v>6.5082148560000009E-4</v>
      </c>
      <c r="S35" s="49">
        <f t="shared" si="28"/>
        <v>5.3597063519999935E-4</v>
      </c>
      <c r="T35" s="49">
        <f t="shared" si="28"/>
        <v>5.3597063519999935E-4</v>
      </c>
      <c r="U35" s="49">
        <f t="shared" si="28"/>
        <v>2.7503756279999947E-3</v>
      </c>
      <c r="V35" s="49">
        <f t="shared" si="28"/>
        <v>2.7503756279999947E-3</v>
      </c>
      <c r="W35" s="49">
        <f t="shared" si="28"/>
        <v>1.3751878139999991E-3</v>
      </c>
      <c r="X35" s="49">
        <f t="shared" si="28"/>
        <v>1.3751878139999991E-3</v>
      </c>
      <c r="Y35" s="49">
        <f t="shared" si="28"/>
        <v>3.9492573119999964E-3</v>
      </c>
      <c r="Z35" s="49">
        <f t="shared" si="28"/>
        <v>3.9492573119999964E-3</v>
      </c>
      <c r="AA35" s="49">
        <f t="shared" si="28"/>
        <v>3.9492573119999964E-3</v>
      </c>
      <c r="AB35" s="49">
        <f t="shared" si="28"/>
        <v>6.6796329599999975E-3</v>
      </c>
    </row>
    <row r="36" spans="1:28" x14ac:dyDescent="0.25">
      <c r="A36" s="24" t="s">
        <v>236</v>
      </c>
      <c r="B36" s="24" t="s">
        <v>237</v>
      </c>
      <c r="C36" s="29">
        <v>4.7499999999999999E-3</v>
      </c>
      <c r="D36" s="30">
        <f>+$C$36</f>
        <v>4.7499999999999999E-3</v>
      </c>
      <c r="E36" s="30">
        <f t="shared" ref="E36:AB36" si="29">+$C$36</f>
        <v>4.7499999999999999E-3</v>
      </c>
      <c r="F36" s="30">
        <f t="shared" si="29"/>
        <v>4.7499999999999999E-3</v>
      </c>
      <c r="G36" s="30">
        <f t="shared" si="29"/>
        <v>4.7499999999999999E-3</v>
      </c>
      <c r="H36" s="30">
        <f t="shared" si="29"/>
        <v>4.7499999999999999E-3</v>
      </c>
      <c r="I36" s="30">
        <f t="shared" si="29"/>
        <v>4.7499999999999999E-3</v>
      </c>
      <c r="J36" s="30">
        <f t="shared" si="29"/>
        <v>4.7499999999999999E-3</v>
      </c>
      <c r="K36" s="30">
        <f t="shared" si="29"/>
        <v>4.7499999999999999E-3</v>
      </c>
      <c r="L36" s="30">
        <f t="shared" si="29"/>
        <v>4.7499999999999999E-3</v>
      </c>
      <c r="M36" s="30">
        <f t="shared" si="29"/>
        <v>4.7499999999999999E-3</v>
      </c>
      <c r="N36" s="30">
        <f t="shared" si="29"/>
        <v>4.7499999999999999E-3</v>
      </c>
      <c r="O36" s="30">
        <f t="shared" si="29"/>
        <v>4.7499999999999999E-3</v>
      </c>
      <c r="P36" s="30">
        <f t="shared" si="29"/>
        <v>4.7499999999999999E-3</v>
      </c>
      <c r="Q36" s="30">
        <f t="shared" si="29"/>
        <v>4.7499999999999999E-3</v>
      </c>
      <c r="R36" s="30">
        <f t="shared" si="29"/>
        <v>4.7499999999999999E-3</v>
      </c>
      <c r="S36" s="30">
        <f t="shared" si="29"/>
        <v>4.7499999999999999E-3</v>
      </c>
      <c r="T36" s="30">
        <f t="shared" si="29"/>
        <v>4.7499999999999999E-3</v>
      </c>
      <c r="U36" s="30">
        <f t="shared" si="29"/>
        <v>4.7499999999999999E-3</v>
      </c>
      <c r="V36" s="30">
        <f t="shared" si="29"/>
        <v>4.7499999999999999E-3</v>
      </c>
      <c r="W36" s="30">
        <f t="shared" si="29"/>
        <v>4.7499999999999999E-3</v>
      </c>
      <c r="X36" s="30">
        <f t="shared" si="29"/>
        <v>4.7499999999999999E-3</v>
      </c>
      <c r="Y36" s="30">
        <f t="shared" si="29"/>
        <v>4.7499999999999999E-3</v>
      </c>
      <c r="Z36" s="30">
        <f t="shared" si="29"/>
        <v>4.7499999999999999E-3</v>
      </c>
      <c r="AA36" s="30">
        <f t="shared" si="29"/>
        <v>4.7499999999999999E-3</v>
      </c>
      <c r="AB36" s="30">
        <f t="shared" si="29"/>
        <v>4.7499999999999999E-3</v>
      </c>
    </row>
    <row r="37" spans="1:28" x14ac:dyDescent="0.25">
      <c r="A37" s="24" t="s">
        <v>238</v>
      </c>
      <c r="B37" s="24"/>
      <c r="C37" s="31">
        <f>C5*C36</f>
        <v>2.1375000000000001E-3</v>
      </c>
      <c r="D37" s="32">
        <f t="shared" ref="D37:AB37" si="30">D5*D36</f>
        <v>2.1375000000000001E-3</v>
      </c>
      <c r="E37" s="32">
        <f t="shared" si="30"/>
        <v>2.1375000000000001E-3</v>
      </c>
      <c r="F37" s="32">
        <f t="shared" si="30"/>
        <v>2.1375000000000001E-3</v>
      </c>
      <c r="G37" s="32">
        <f t="shared" si="30"/>
        <v>2.1375000000000001E-3</v>
      </c>
      <c r="H37" s="32">
        <f t="shared" si="30"/>
        <v>2.1375000000000001E-3</v>
      </c>
      <c r="I37" s="32">
        <f t="shared" si="30"/>
        <v>2.1375000000000001E-3</v>
      </c>
      <c r="J37" s="32">
        <f t="shared" si="30"/>
        <v>2.1375000000000001E-3</v>
      </c>
      <c r="K37" s="32">
        <f t="shared" si="30"/>
        <v>1.3917500000000001E-2</v>
      </c>
      <c r="L37" s="32">
        <f t="shared" si="30"/>
        <v>1.3917500000000001E-2</v>
      </c>
      <c r="M37" s="32">
        <f t="shared" si="30"/>
        <v>1.3917500000000001E-2</v>
      </c>
      <c r="N37" s="32">
        <f t="shared" si="30"/>
        <v>1.3917500000000001E-2</v>
      </c>
      <c r="O37" s="32">
        <f t="shared" si="30"/>
        <v>1.3917500000000001E-2</v>
      </c>
      <c r="P37" s="32">
        <f t="shared" si="30"/>
        <v>1.3917500000000001E-2</v>
      </c>
      <c r="Q37" s="32">
        <f t="shared" si="30"/>
        <v>1.3917500000000001E-2</v>
      </c>
      <c r="R37" s="32">
        <f t="shared" si="30"/>
        <v>1.3917500000000001E-2</v>
      </c>
      <c r="S37" s="32">
        <f t="shared" si="30"/>
        <v>1.3917500000000001E-2</v>
      </c>
      <c r="T37" s="32">
        <f t="shared" si="30"/>
        <v>1.3917500000000001E-2</v>
      </c>
      <c r="U37" s="32">
        <f t="shared" si="30"/>
        <v>3.3972000000000002E-2</v>
      </c>
      <c r="V37" s="32">
        <f t="shared" si="30"/>
        <v>3.3972000000000002E-2</v>
      </c>
      <c r="W37" s="32">
        <f t="shared" si="30"/>
        <v>3.3972000000000002E-2</v>
      </c>
      <c r="X37" s="32">
        <f t="shared" si="30"/>
        <v>3.3972000000000002E-2</v>
      </c>
      <c r="Y37" s="32">
        <f t="shared" si="30"/>
        <v>7.9267999999999991E-2</v>
      </c>
      <c r="Z37" s="32">
        <f t="shared" si="30"/>
        <v>7.9267999999999991E-2</v>
      </c>
      <c r="AA37" s="32">
        <f t="shared" si="30"/>
        <v>7.9267999999999991E-2</v>
      </c>
      <c r="AB37" s="32">
        <f t="shared" si="30"/>
        <v>7.9267999999999991E-2</v>
      </c>
    </row>
    <row r="38" spans="1:28" x14ac:dyDescent="0.25">
      <c r="A38" s="24" t="s">
        <v>239</v>
      </c>
      <c r="B38" s="24" t="s">
        <v>240</v>
      </c>
      <c r="C38" s="31">
        <v>265</v>
      </c>
      <c r="D38" s="32">
        <f>$C$38</f>
        <v>265</v>
      </c>
      <c r="E38" s="32">
        <f t="shared" ref="E38:AB38" si="31">$C$38</f>
        <v>265</v>
      </c>
      <c r="F38" s="32">
        <f t="shared" si="31"/>
        <v>265</v>
      </c>
      <c r="G38" s="32">
        <f t="shared" si="31"/>
        <v>265</v>
      </c>
      <c r="H38" s="32">
        <f t="shared" si="31"/>
        <v>265</v>
      </c>
      <c r="I38" s="32">
        <f t="shared" si="31"/>
        <v>265</v>
      </c>
      <c r="J38" s="32">
        <f t="shared" si="31"/>
        <v>265</v>
      </c>
      <c r="K38" s="32">
        <f t="shared" si="31"/>
        <v>265</v>
      </c>
      <c r="L38" s="32">
        <f t="shared" si="31"/>
        <v>265</v>
      </c>
      <c r="M38" s="32">
        <f t="shared" si="31"/>
        <v>265</v>
      </c>
      <c r="N38" s="32">
        <f t="shared" si="31"/>
        <v>265</v>
      </c>
      <c r="O38" s="32">
        <f t="shared" si="31"/>
        <v>265</v>
      </c>
      <c r="P38" s="32">
        <f t="shared" si="31"/>
        <v>265</v>
      </c>
      <c r="Q38" s="32">
        <f t="shared" si="31"/>
        <v>265</v>
      </c>
      <c r="R38" s="32">
        <f t="shared" si="31"/>
        <v>265</v>
      </c>
      <c r="S38" s="32">
        <f t="shared" si="31"/>
        <v>265</v>
      </c>
      <c r="T38" s="32">
        <f t="shared" si="31"/>
        <v>265</v>
      </c>
      <c r="U38" s="32">
        <f t="shared" si="31"/>
        <v>265</v>
      </c>
      <c r="V38" s="32">
        <f t="shared" si="31"/>
        <v>265</v>
      </c>
      <c r="W38" s="32">
        <f t="shared" si="31"/>
        <v>265</v>
      </c>
      <c r="X38" s="32">
        <f t="shared" si="31"/>
        <v>265</v>
      </c>
      <c r="Y38" s="32">
        <f t="shared" si="31"/>
        <v>265</v>
      </c>
      <c r="Z38" s="32">
        <f t="shared" si="31"/>
        <v>265</v>
      </c>
      <c r="AA38" s="32">
        <f t="shared" si="31"/>
        <v>265</v>
      </c>
      <c r="AB38" s="32">
        <f t="shared" si="31"/>
        <v>265</v>
      </c>
    </row>
    <row r="39" spans="1:28" x14ac:dyDescent="0.25">
      <c r="A39" s="24" t="s">
        <v>241</v>
      </c>
      <c r="B39" s="24"/>
      <c r="C39" s="52">
        <f t="shared" ref="C39:AB39" si="32">C35*C38</f>
        <v>2.9153981656800013E-2</v>
      </c>
      <c r="D39" s="53">
        <f t="shared" si="32"/>
        <v>2.9153981656800013E-2</v>
      </c>
      <c r="E39" s="53">
        <f t="shared" si="32"/>
        <v>2.9153981656800013E-2</v>
      </c>
      <c r="F39" s="53">
        <f t="shared" si="32"/>
        <v>1.3882848408000008E-2</v>
      </c>
      <c r="G39" s="53">
        <f t="shared" si="32"/>
        <v>1.3882848408000008E-2</v>
      </c>
      <c r="H39" s="53">
        <f t="shared" si="32"/>
        <v>1.3882848408000008E-2</v>
      </c>
      <c r="I39" s="53">
        <f t="shared" si="32"/>
        <v>1.3882848408000008E-2</v>
      </c>
      <c r="J39" s="53">
        <f t="shared" si="32"/>
        <v>1.3882848408000008E-2</v>
      </c>
      <c r="K39" s="53">
        <f t="shared" si="32"/>
        <v>0.10145158452</v>
      </c>
      <c r="L39" s="53">
        <f t="shared" si="32"/>
        <v>0.21304832749199973</v>
      </c>
      <c r="M39" s="53">
        <f t="shared" si="32"/>
        <v>0.21304832749199973</v>
      </c>
      <c r="N39" s="53">
        <f t="shared" si="32"/>
        <v>0.21304832749199973</v>
      </c>
      <c r="O39" s="53">
        <f t="shared" si="32"/>
        <v>0.36034234236000001</v>
      </c>
      <c r="P39" s="53">
        <f t="shared" si="32"/>
        <v>0.17246769368400003</v>
      </c>
      <c r="Q39" s="53">
        <f t="shared" si="32"/>
        <v>0.17246769368400003</v>
      </c>
      <c r="R39" s="53">
        <f t="shared" si="32"/>
        <v>0.17246769368400003</v>
      </c>
      <c r="S39" s="53">
        <f t="shared" si="32"/>
        <v>0.14203221832799984</v>
      </c>
      <c r="T39" s="53">
        <f t="shared" si="32"/>
        <v>0.14203221832799984</v>
      </c>
      <c r="U39" s="53">
        <f t="shared" si="32"/>
        <v>0.72884954141999858</v>
      </c>
      <c r="V39" s="53">
        <f t="shared" si="32"/>
        <v>0.72884954141999858</v>
      </c>
      <c r="W39" s="53">
        <f t="shared" si="32"/>
        <v>0.36442477070999973</v>
      </c>
      <c r="X39" s="53">
        <f t="shared" si="32"/>
        <v>0.36442477070999973</v>
      </c>
      <c r="Y39" s="53">
        <f t="shared" si="32"/>
        <v>1.0465531876799992</v>
      </c>
      <c r="Z39" s="53">
        <f t="shared" si="32"/>
        <v>1.0465531876799992</v>
      </c>
      <c r="AA39" s="53">
        <f t="shared" si="32"/>
        <v>1.0465531876799992</v>
      </c>
      <c r="AB39" s="53">
        <f t="shared" si="32"/>
        <v>1.7701027343999993</v>
      </c>
    </row>
    <row r="40" spans="1:28" x14ac:dyDescent="0.25">
      <c r="A40" s="24" t="s">
        <v>113</v>
      </c>
      <c r="B40" s="24" t="s">
        <v>242</v>
      </c>
      <c r="C40" s="43">
        <f>Tabel_svin!C85</f>
        <v>104.44564909090909</v>
      </c>
      <c r="D40" s="43" t="e">
        <f>Tabel_svin!#REF!</f>
        <v>#REF!</v>
      </c>
      <c r="E40" s="43">
        <f>Tabel_svin!D85</f>
        <v>104.44564909090909</v>
      </c>
      <c r="F40" s="43" t="e">
        <f>Tabel_svin!#REF!</f>
        <v>#REF!</v>
      </c>
      <c r="G40" s="43" t="e">
        <f>Tabel_svin!#REF!</f>
        <v>#REF!</v>
      </c>
      <c r="H40" s="43" t="e">
        <f>Tabel_svin!#REF!</f>
        <v>#REF!</v>
      </c>
      <c r="I40" s="43">
        <f>Tabel_svin!F85</f>
        <v>105.44564909090909</v>
      </c>
      <c r="J40" s="43" t="e">
        <f>Tabel_svin!#REF!</f>
        <v>#REF!</v>
      </c>
      <c r="K40" s="43" t="e">
        <f>Tabel_svin!#REF!</f>
        <v>#REF!</v>
      </c>
      <c r="L40" s="43">
        <f>Tabel_svin!I85</f>
        <v>571.40243076923082</v>
      </c>
      <c r="M40" s="43" t="e">
        <f>Tabel_svin!#REF!</f>
        <v>#REF!</v>
      </c>
      <c r="N40" s="43" t="e">
        <f>Tabel_svin!#REF!</f>
        <v>#REF!</v>
      </c>
      <c r="O40" s="43" t="e">
        <f>Tabel_svin!#REF!</f>
        <v>#REF!</v>
      </c>
      <c r="P40" s="43">
        <f>Tabel_svin!L85</f>
        <v>571.40243076923082</v>
      </c>
      <c r="Q40" s="43" t="e">
        <f>Tabel_svin!#REF!</f>
        <v>#REF!</v>
      </c>
      <c r="R40" s="43" t="e">
        <f>Tabel_svin!#REF!</f>
        <v>#REF!</v>
      </c>
      <c r="S40" s="43">
        <f>Tabel_svin!O85</f>
        <v>571.40243076923082</v>
      </c>
      <c r="T40" s="43" t="e">
        <f>Tabel_svin!#REF!</f>
        <v>#REF!</v>
      </c>
      <c r="U40" s="43">
        <f>Tabel_svin!R85</f>
        <v>1778.9003921568624</v>
      </c>
      <c r="V40" s="43" t="e">
        <f>Tabel_svin!#REF!</f>
        <v>#REF!</v>
      </c>
      <c r="W40" s="43">
        <f>Tabel_svin!T85</f>
        <v>1778.9003921568624</v>
      </c>
      <c r="X40" s="43" t="e">
        <f>Tabel_svin!#REF!</f>
        <v>#REF!</v>
      </c>
      <c r="Y40" s="43">
        <f>Tabel_svin!W85</f>
        <v>2649.855686274509</v>
      </c>
      <c r="Z40" s="43" t="e">
        <f>Tabel_svin!#REF!</f>
        <v>#REF!</v>
      </c>
      <c r="AA40" s="43" t="e">
        <f>Tabel_svin!#REF!</f>
        <v>#REF!</v>
      </c>
      <c r="AB40" s="43" t="e">
        <f>Tabel_svin!#REF!</f>
        <v>#REF!</v>
      </c>
    </row>
    <row r="41" spans="1:28" x14ac:dyDescent="0.25">
      <c r="A41" s="24" t="s">
        <v>243</v>
      </c>
      <c r="B41" s="24" t="s">
        <v>244</v>
      </c>
      <c r="C41" s="46">
        <f>C39/(C40/1000)</f>
        <v>0.27913064747603322</v>
      </c>
      <c r="D41" s="47" t="e">
        <f t="shared" ref="D41:AB41" si="33">D39/(D40/1000)</f>
        <v>#REF!</v>
      </c>
      <c r="E41" s="47">
        <f t="shared" si="33"/>
        <v>0.27913064747603322</v>
      </c>
      <c r="F41" s="47" t="e">
        <f t="shared" si="33"/>
        <v>#REF!</v>
      </c>
      <c r="G41" s="47" t="e">
        <f t="shared" si="33"/>
        <v>#REF!</v>
      </c>
      <c r="H41" s="47" t="e">
        <f t="shared" si="33"/>
        <v>#REF!</v>
      </c>
      <c r="I41" s="47">
        <f t="shared" si="33"/>
        <v>0.13165880743008207</v>
      </c>
      <c r="J41" s="47" t="e">
        <f t="shared" si="33"/>
        <v>#REF!</v>
      </c>
      <c r="K41" s="47" t="e">
        <f t="shared" si="33"/>
        <v>#REF!</v>
      </c>
      <c r="L41" s="47">
        <f t="shared" si="33"/>
        <v>0.37285162963901075</v>
      </c>
      <c r="M41" s="47" t="e">
        <f t="shared" si="33"/>
        <v>#REF!</v>
      </c>
      <c r="N41" s="47" t="e">
        <f t="shared" si="33"/>
        <v>#REF!</v>
      </c>
      <c r="O41" s="47" t="e">
        <f t="shared" si="33"/>
        <v>#REF!</v>
      </c>
      <c r="P41" s="47">
        <f t="shared" si="33"/>
        <v>0.30183227161253295</v>
      </c>
      <c r="Q41" s="47" t="e">
        <f t="shared" si="33"/>
        <v>#REF!</v>
      </c>
      <c r="R41" s="47" t="e">
        <f t="shared" si="33"/>
        <v>#REF!</v>
      </c>
      <c r="S41" s="47">
        <f t="shared" si="33"/>
        <v>0.24856775309267387</v>
      </c>
      <c r="T41" s="47" t="e">
        <f t="shared" si="33"/>
        <v>#REF!</v>
      </c>
      <c r="U41" s="47">
        <f t="shared" si="33"/>
        <v>0.40971914146147931</v>
      </c>
      <c r="V41" s="47" t="e">
        <f t="shared" si="33"/>
        <v>#REF!</v>
      </c>
      <c r="W41" s="47">
        <f t="shared" si="33"/>
        <v>0.2048595707307399</v>
      </c>
      <c r="X41" s="47" t="e">
        <f t="shared" si="33"/>
        <v>#REF!</v>
      </c>
      <c r="Y41" s="47">
        <f t="shared" si="33"/>
        <v>0.39494723924055336</v>
      </c>
      <c r="Z41" s="47" t="e">
        <f t="shared" si="33"/>
        <v>#REF!</v>
      </c>
      <c r="AA41" s="47" t="e">
        <f t="shared" si="33"/>
        <v>#REF!</v>
      </c>
      <c r="AB41" s="47" t="e">
        <f t="shared" si="33"/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N4"/>
  <sheetViews>
    <sheetView workbookViewId="0">
      <selection activeCell="C39" sqref="C39"/>
    </sheetView>
  </sheetViews>
  <sheetFormatPr defaultRowHeight="15" x14ac:dyDescent="0.25"/>
  <cols>
    <col min="2" max="3" width="43.140625" customWidth="1"/>
    <col min="4" max="91" width="43.140625" bestFit="1" customWidth="1"/>
    <col min="92" max="92" width="10.7109375" bestFit="1" customWidth="1"/>
  </cols>
  <sheetData>
    <row r="3" spans="2:92" x14ac:dyDescent="0.25">
      <c r="B3" s="21" t="s">
        <v>245</v>
      </c>
    </row>
    <row r="4" spans="2:92" x14ac:dyDescent="0.25">
      <c r="B4" t="s">
        <v>65</v>
      </c>
      <c r="C4" t="s">
        <v>69</v>
      </c>
      <c r="D4" t="s">
        <v>27</v>
      </c>
      <c r="E4" t="s">
        <v>127</v>
      </c>
      <c r="F4" t="s">
        <v>126</v>
      </c>
      <c r="G4" t="s">
        <v>128</v>
      </c>
      <c r="H4" t="s">
        <v>142</v>
      </c>
      <c r="I4" t="s">
        <v>143</v>
      </c>
      <c r="J4" t="s">
        <v>202</v>
      </c>
      <c r="K4" t="s">
        <v>206</v>
      </c>
      <c r="L4" t="s">
        <v>203</v>
      </c>
      <c r="M4" t="s">
        <v>204</v>
      </c>
      <c r="N4" t="s">
        <v>201</v>
      </c>
      <c r="O4" t="s">
        <v>205</v>
      </c>
      <c r="P4" t="s">
        <v>33</v>
      </c>
      <c r="Q4" t="s">
        <v>200</v>
      </c>
      <c r="R4" t="s">
        <v>117</v>
      </c>
      <c r="S4" t="s">
        <v>61</v>
      </c>
      <c r="T4" t="s">
        <v>120</v>
      </c>
      <c r="U4" t="s">
        <v>105</v>
      </c>
      <c r="V4" t="s">
        <v>98</v>
      </c>
      <c r="W4" t="s">
        <v>96</v>
      </c>
      <c r="X4" t="s">
        <v>95</v>
      </c>
      <c r="Y4" t="s">
        <v>85</v>
      </c>
      <c r="Z4" t="s">
        <v>83</v>
      </c>
      <c r="AA4" t="s">
        <v>88</v>
      </c>
      <c r="AB4" t="s">
        <v>89</v>
      </c>
      <c r="AC4" t="s">
        <v>86</v>
      </c>
      <c r="AD4" t="s">
        <v>91</v>
      </c>
      <c r="AE4" t="s">
        <v>25</v>
      </c>
      <c r="AF4" t="s">
        <v>113</v>
      </c>
      <c r="AG4" t="s">
        <v>118</v>
      </c>
      <c r="AH4" t="s">
        <v>24</v>
      </c>
      <c r="AI4" t="s">
        <v>26</v>
      </c>
      <c r="AJ4" t="s">
        <v>80</v>
      </c>
      <c r="AK4" t="s">
        <v>67</v>
      </c>
      <c r="AL4" t="s">
        <v>77</v>
      </c>
      <c r="AM4" t="s">
        <v>79</v>
      </c>
      <c r="AN4" t="s">
        <v>208</v>
      </c>
      <c r="AO4" t="s">
        <v>132</v>
      </c>
      <c r="AP4" t="s">
        <v>144</v>
      </c>
      <c r="AQ4" t="s">
        <v>59</v>
      </c>
      <c r="AR4" t="s">
        <v>55</v>
      </c>
      <c r="AS4" t="s">
        <v>20</v>
      </c>
      <c r="AT4" t="s">
        <v>76</v>
      </c>
      <c r="AU4" t="s">
        <v>93</v>
      </c>
      <c r="AV4" t="s">
        <v>78</v>
      </c>
      <c r="AW4" t="s">
        <v>63</v>
      </c>
      <c r="AX4" t="s">
        <v>74</v>
      </c>
      <c r="AY4" t="s">
        <v>22</v>
      </c>
      <c r="AZ4" t="s">
        <v>129</v>
      </c>
      <c r="BA4" t="s">
        <v>73</v>
      </c>
      <c r="BB4" t="s">
        <v>5</v>
      </c>
      <c r="BC4" t="s">
        <v>112</v>
      </c>
      <c r="BD4" t="s">
        <v>109</v>
      </c>
      <c r="BE4" t="s">
        <v>52</v>
      </c>
      <c r="BF4" t="s">
        <v>54</v>
      </c>
      <c r="BG4" t="s">
        <v>18</v>
      </c>
      <c r="BH4" t="s">
        <v>81</v>
      </c>
      <c r="BI4" t="s">
        <v>111</v>
      </c>
      <c r="BJ4" t="s">
        <v>50</v>
      </c>
      <c r="BK4" t="s">
        <v>16</v>
      </c>
      <c r="BL4" t="s">
        <v>103</v>
      </c>
      <c r="BM4" t="s">
        <v>101</v>
      </c>
      <c r="BN4" t="s">
        <v>99</v>
      </c>
      <c r="BO4" t="s">
        <v>107</v>
      </c>
      <c r="BP4" t="s">
        <v>124</v>
      </c>
      <c r="BQ4" t="s">
        <v>130</v>
      </c>
      <c r="BR4" t="s">
        <v>122</v>
      </c>
      <c r="BS4" t="s">
        <v>121</v>
      </c>
      <c r="BT4" t="s">
        <v>125</v>
      </c>
      <c r="BU4" t="s">
        <v>138</v>
      </c>
      <c r="BV4" t="s">
        <v>140</v>
      </c>
      <c r="BW4" t="s">
        <v>131</v>
      </c>
      <c r="BX4" t="s">
        <v>133</v>
      </c>
      <c r="BY4" t="s">
        <v>135</v>
      </c>
      <c r="BZ4" t="s">
        <v>119</v>
      </c>
      <c r="CA4" t="s">
        <v>123</v>
      </c>
      <c r="CB4" t="s">
        <v>141</v>
      </c>
      <c r="CC4" t="s">
        <v>134</v>
      </c>
      <c r="CD4" t="s">
        <v>136</v>
      </c>
      <c r="CE4" t="s">
        <v>212</v>
      </c>
      <c r="CF4" t="s">
        <v>158</v>
      </c>
      <c r="CG4" t="s">
        <v>160</v>
      </c>
      <c r="CH4" t="s">
        <v>210</v>
      </c>
      <c r="CI4" t="s">
        <v>209</v>
      </c>
      <c r="CJ4" t="s">
        <v>148</v>
      </c>
      <c r="CK4" t="s">
        <v>70</v>
      </c>
      <c r="CL4" t="s">
        <v>72</v>
      </c>
      <c r="CM4" t="s">
        <v>246</v>
      </c>
      <c r="CN4" t="s">
        <v>247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21</vt:i4>
      </vt:variant>
    </vt:vector>
  </HeadingPairs>
  <TitlesOfParts>
    <vt:vector size="27" baseType="lpstr">
      <vt:lpstr>Tabel_svin</vt:lpstr>
      <vt:lpstr>Tabel_kvæg</vt:lpstr>
      <vt:lpstr>Lager</vt:lpstr>
      <vt:lpstr>Tabel_gyllekøling</vt:lpstr>
      <vt:lpstr>NH3_N2O</vt:lpstr>
      <vt:lpstr>Pivot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2024-01-16T07:57:16Z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