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98" documentId="8_{B0DDC718-100D-4010-9A34-67F04E8643A1}" xr6:coauthVersionLast="47" xr6:coauthVersionMax="47" xr10:uidLastSave="{B907E914-50AF-44FD-A172-D4B111665F52}"/>
  <bookViews>
    <workbookView minimized="1" xWindow="27030" yWindow="345" windowWidth="21600" windowHeight="11295" tabRatio="846" firstSheet="2" activeTab="2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4" i="6" l="1"/>
  <c r="AL33" i="6"/>
  <c r="AK34" i="6"/>
  <c r="AK33" i="6"/>
  <c r="AL17" i="6"/>
  <c r="AL16" i="6"/>
  <c r="AL20" i="6"/>
  <c r="AL19" i="6"/>
  <c r="AL18" i="6"/>
  <c r="AH36" i="14"/>
  <c r="AH34" i="14"/>
  <c r="AG2" i="14"/>
  <c r="W34" i="14"/>
  <c r="W37" i="15"/>
  <c r="R37" i="15"/>
  <c r="AK37" i="15"/>
  <c r="AH37" i="15"/>
  <c r="AG37" i="15"/>
  <c r="AG36" i="15"/>
  <c r="AG35" i="15"/>
  <c r="AF24" i="6"/>
  <c r="AG24" i="6" s="1"/>
  <c r="AF23" i="6"/>
  <c r="AG2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<sst xmlns="http://schemas.openxmlformats.org/spreadsheetml/2006/main" count="1401" uniqueCount="354">
  <si>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</si>
  <si>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</si>
  <si>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</si>
  <si>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</si>
  <si>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</si>
  <si>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</si>
  <si>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</si>
  <si>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</si>
  <si>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</si>
  <si>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</si>
  <si>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</si>
  <si>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</si>
  <si>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</si>
  <si>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</si>
  <si>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</si>
  <si>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</si>
  <si>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</si>
  <si>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</si>
  <si>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</si>
  <si>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</si>
  <si>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</si>
  <si>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</si>
  <si>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</si>
  <si>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</si>
  <si>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</si>
  <si>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</si>
  <si>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</si>
  <si>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</si>
  <si>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</si>
  <si>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</si>
  <si>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</si>
  <si>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</si>
  <si>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</si>
  <si>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</si>
  <si>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</si>
  <si>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</si>
  <si>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</si>
  <si>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</si>
  <si>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</si>
  <si>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</si>
  <si>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</si>
  <si>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</si>
  <si>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</si>
  <si>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</si>
  <si>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</si>
  <si>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</si>
  <si>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</si>
  <si>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</si>
  <si>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</si>
  <si>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</si>
  <si>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</si>
  <si>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</si>
  <si>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</si>
  <si>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</si>
  <si>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</si>
  <si>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</si>
  <si>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</si>
  <si>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</si>
  <si>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</si>
  <si>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</si>
  <si>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</si>
  <si>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</si>
  <si>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</si>
  <si>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</si>
  <si>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</si>
  <si>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</si>
  <si>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</si>
  <si>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</si>
  <si>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</si>
  <si>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</si>
  <si>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</si>
  <si>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</si>
  <si>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</si>
  <si>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</si>
  <si>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</si>
  <si>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</si>
  <si>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</si>
  <si>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</si>
  <si>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</si>
  <si>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</si>
  <si>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</si>
  <si>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</si>
  <si>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</si>
  <si>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</si>
  <si>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</si>
  <si>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</si>
  <si>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</si>
  <si>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</si>
  <si>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</si>
  <si>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</si>
  <si>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</si>
  <si>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</si>
  <si>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</si>
  <si>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</si>
  <si>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</si>
  <si>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</si>
  <si>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</si>
  <si>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</si>
  <si>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</si>
  <si>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</si>
  <si>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</si>
  <si>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</si>
  <si>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</si>
  <si>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</si>
  <si>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</si>
  <si>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</si>
  <si>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</si>
  <si>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</si>
  <si>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</si>
  <si>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</si>
  <si>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</si>
  <si>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</si>
  <si>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</si>
  <si>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</si>
  <si>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</si>
  <si>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</si>
  <si>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</si>
  <si>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</si>
  <si>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</si>
  <si>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</si>
  <si>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</si>
  <si>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</si>
  <si>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</si>
  <si>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</si>
  <si>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</si>
  <si>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</si>
  <si>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</si>
  <si>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</si>
  <si>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</si>
  <si>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</si>
  <si>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</si>
  <si>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</si>
  <si>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</si>
  <si>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</si>
  <si>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</si>
  <si>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</si>
  <si>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</si>
  <si>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</si>
  <si>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</si>
  <si>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</si>
  <si>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</si>
  <si>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</si>
  <si>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</si>
  <si>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</si>
  <si>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</si>
  <si>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</si>
  <si>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</si>
  <si>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</si>
  <si>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</si>
  <si>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</si>
  <si>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</si>
  <si>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</si>
  <si>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</si>
  <si>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</si>
  <si>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</si>
  <si>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</si>
  <si>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</si>
  <si>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</si>
  <si>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</si>
  <si>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</si>
  <si>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</si>
  <si>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</si>
  <si>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</si>
  <si>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</si>
  <si>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</si>
  <si>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</si>
  <si>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</si>
  <si>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</si>
  <si>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</si>
  <si>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</si>
  <si>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</si>
  <si>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</si>
  <si>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</si>
  <si>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</si>
  <si>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</si>
  <si>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</si>
  <si>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</si>
  <si>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</si>
  <si>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</si>
  <si>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</si>
  <si>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</si>
  <si>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</si>
  <si>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</si>
  <si>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</si>
  <si>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</si>
  <si>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</si>
  <si>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</si>
  <si>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</si>
  <si>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</si>
  <si>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</si>
  <si>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</si>
  <si>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</si>
  <si>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</si>
  <si>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</si>
  <si>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</si>
  <si>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</si>
  <si>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</si>
  <si>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</si>
  <si>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</si>
  <si>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</si>
  <si>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</si>
  <si>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</si>
  <si>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</si>
  <si>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</si>
  <si>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</si>
  <si>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</si>
  <si>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</si>
  <si>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</si>
  <si>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</si>
  <si>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</si>
  <si>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</si>
  <si>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</si>
  <si>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</si>
  <si>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</si>
  <si>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</si>
  <si>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</si>
  <si>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</si>
  <si>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</si>
  <si>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</si>
  <si>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</si>
  <si>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</si>
  <si>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</si>
  <si>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</si>
  <si>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</si>
  <si>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</si>
  <si>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</si>
  <si>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</si>
  <si>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</si>
  <si>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</si>
  <si>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</si>
  <si>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</si>
  <si>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</si>
  <si>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</si>
  <si>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</si>
  <si>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</si>
  <si>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</si>
  <si>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</si>
  <si>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</si>
  <si>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</si>
  <si>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</si>
  <si>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</si>
  <si>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</si>
  <si>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</si>
  <si>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</si>
  <si>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</si>
  <si>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</si>
  <si>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</si>
  <si>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</si>
  <si>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</si>
  <si>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</si>
  <si>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</si>
  <si>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</si>
  <si>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</si>
  <si>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</si>
  <si>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</si>
  <si>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</si>
  <si>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</si>
  <si>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</si>
  <si>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</si>
  <si>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</si>
  <si>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</si>
  <si>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</si>
  <si>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</si>
  <si>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</si>
  <si>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</si>
  <si>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</si>
  <si>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</si>
  <si>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</si>
  <si>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</si>
  <si>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</si>
  <si>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</si>
  <si>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</si>
  <si>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</si>
  <si>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</si>
  <si>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</si>
  <si>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</si>
  <si>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</si>
  <si>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</si>
  <si>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</si>
  <si>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</si>
  <si>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</si>
  <si>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</si>
  <si>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</si>
  <si>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</si>
  <si>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</si>
  <si>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</si>
  <si>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</si>
  <si>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</si>
  <si>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</si>
  <si>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</si>
  <si>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</si>
  <si>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</si>
  <si>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</si>
  <si>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</si>
  <si>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</si>
  <si>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</si>
  <si>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</si>
  <si>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</si>
  <si>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</si>
  <si>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</si>
  <si>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</si>
  <si>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</si>
  <si>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</si>
  <si>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</si>
  <si>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</si>
  <si>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</si>
  <si>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</si>
  <si>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</si>
  <si>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</si>
  <si>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</si>
  <si>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</si>
  <si>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</si>
  <si>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</si>
  <si>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</si>
  <si>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</si>
  <si>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</si>
  <si>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</si>
  <si>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</si>
  <si>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</si>
  <si>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</si>
  <si>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</si>
  <si>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</si>
  <si>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</si>
  <si>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</si>
  <si>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</si>
  <si>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</si>
  <si>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</si>
  <si>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</si>
  <si>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</si>
  <si>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</si>
  <si>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</si>
  <si>
    <t>svin</t>
  </si>
  <si>
    <t>kvæg</t>
  </si>
  <si>
    <t>kvæg % af alt gylle</t>
  </si>
  <si>
    <t>svin% i alt</t>
  </si>
  <si>
    <t>ab_lager</t>
  </si>
  <si>
    <t>ab_stald</t>
  </si>
  <si>
    <t>model_gruppe</t>
  </si>
  <si>
    <t>ab_dyr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</si>
  <si>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</si>
  <si>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</si>
  <si>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</si>
  <si>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</si>
  <si>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</si>
  <si>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</si>
  <si>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</si>
  <si>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</si>
  <si>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</si>
  <si>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</si>
  <si>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</si>
  <si>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</si>
  <si>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</si>
  <si>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 xml:space="preserve">svin_abstald </t>
  </si>
  <si>
    <t>kvæg_abstald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</si>
</sst>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8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  <xf numFmtId="3" fontId="24" fillId="0" borderId="0" xfId="0" applyNumberFormat="1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tabSelected="1" workbookViewId="0">
      <pane xSplit="2" ySplit="6" topLeftCell="W7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I4" sqref="AI4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6"/>
  <sheetViews>
    <sheetView topLeftCell="A4" workbookViewId="0">
      <selection activeCell="B11" sqref="B11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2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  <c r="AG2">
        <f>(AG9+AG11)/(AG9+AG10+AG11)</f>
        <v>0.80875567641584589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M32">
        <v>2.3495860459098217</v>
      </c>
      <c r="AH32">
        <f>+AH31/AH30</f>
        <v>0.11707947389579378</v>
      </c>
    </row>
    <row r="33" spans="18:34" x14ac:dyDescent="0.25">
      <c r="R33" s="6"/>
      <c r="W33" s="39">
        <v>6151515.6510000005</v>
      </c>
      <c r="AB33" s="6"/>
    </row>
    <row r="34" spans="18:34" x14ac:dyDescent="0.25">
      <c r="W34">
        <f>4192784*0.4/SUM(AG9:AG11)</f>
        <v>7.5658155570930738E-2</v>
      </c>
      <c r="AH34" s="6">
        <f>SUM(AH7:AH8,AH18:AH19)</f>
        <v>21747166.21103159</v>
      </c>
    </row>
    <row r="36" spans="18:34" x14ac:dyDescent="0.25">
      <c r="AH36" s="6">
        <f>SUM(AH9:AH11,AH20:AH22)</f>
        <v>21330625.65526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8"/>
  <sheetViews>
    <sheetView topLeftCell="A3" workbookViewId="0">
      <selection activeCell="B36" sqref="B36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7" x14ac:dyDescent="0.25">
      <c r="A33" s="5" t="s">
        <v>110</v>
      </c>
      <c r="B33" s="5"/>
      <c r="C33" t="s">
        <v>256</v>
      </c>
    </row>
    <row r="35" spans="1:37" x14ac:dyDescent="0.25">
      <c r="AG35">
        <f>AH10*'Tabel 1 Antal dyr'!AH7/('Tabel 1 Antal dyr'!AH7+'Tabel 1 Antal dyr'!AH8)</f>
        <v>1.8407353512007416</v>
      </c>
    </row>
    <row r="36" spans="1:37" x14ac:dyDescent="0.25">
      <c r="AG36">
        <f>AH11*'Tabel 1 Antal dyr'!AH8/(('Tabel 1 Antal dyr'!AH7+'Tabel 1 Antal dyr'!AH8))</f>
        <v>0.50885069470908018</v>
      </c>
    </row>
    <row r="37" spans="1:37" x14ac:dyDescent="0.25">
      <c r="R37">
        <f>(AH7/100*'Tabel 6 Gødningsmængder'!AH9+'Tabel 6 Gødningsmængder'!AH10*'Tabel 7 Miljøteknologi'!AH8/100+'Tabel 7 Miljøteknologi'!AH9*'Tabel 6 Gødningsmængder'!AH11/100)/SUM('Tabel 6 Gødningsmængder'!AH9:AH11)</f>
        <v>4.9470946481968335E-2</v>
      </c>
      <c r="W37">
        <f>R37*100</f>
        <v>4.9470946481968339</v>
      </c>
      <c r="AG37">
        <f>SUM(AG35:AG36)</f>
        <v>2.3495860459098217</v>
      </c>
      <c r="AH37">
        <f>AG37*'Tabel 6 Gødningsmængder'!AH7/('Tabel 6 Gødningsmængder'!AH7+'Tabel 6 Gødningsmængder'!AH8)</f>
        <v>2.0624038945052026</v>
      </c>
      <c r="AK37">
        <f>(AH17/100*'Tabel 6 Gødningsmængder'!AH9+'Tabel 7 Miljøteknologi'!AH18/100*'Tabel 6 Gødningsmængder'!AH10+'Tabel 7 Miljøteknologi'!AH19/100*'Tabel 6 Gødningsmængder'!AH11)/SUM('Tabel 6 Gødningsmængder'!AH9:AH11)*100</f>
        <v>2.2747331608836707</v>
      </c>
    </row>
    <row r="38" spans="1:37" x14ac:dyDescent="0.25">
      <c r="W38" t="s">
        <v>334</v>
      </c>
      <c r="AH38" t="s">
        <v>333</v>
      </c>
      <c r="AK38" t="s">
        <v>334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34"/>
  <sheetViews>
    <sheetView zoomScale="85" zoomScaleNormal="85" workbookViewId="0">
      <selection activeCell="AL35" sqref="AL35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13" spans="1:52" x14ac:dyDescent="0.25">
      <c r="AR13" t="s">
        <v>337</v>
      </c>
      <c r="AS13" t="s">
        <v>338</v>
      </c>
      <c r="AT13" t="s">
        <v>336</v>
      </c>
      <c r="AU13" t="s">
        <v>335</v>
      </c>
    </row>
    <row r="14" spans="1:52" x14ac:dyDescent="0.25">
      <c r="AK14" t="s">
        <v>335</v>
      </c>
      <c r="AL14" t="s">
        <v>336</v>
      </c>
      <c r="AR14" t="s">
        <v>339</v>
      </c>
      <c r="AS14">
        <v>0.09</v>
      </c>
      <c r="AT14">
        <v>0.13</v>
      </c>
      <c r="AU14">
        <v>0.13</v>
      </c>
    </row>
    <row r="15" spans="1:52" x14ac:dyDescent="0.25">
      <c r="AI15" s="2" t="s">
        <v>218</v>
      </c>
      <c r="AJ15" s="2" t="s">
        <v>70</v>
      </c>
      <c r="AK15" s="13">
        <v>2021</v>
      </c>
      <c r="AR15" t="s">
        <v>340</v>
      </c>
      <c r="AS15">
        <v>0.09</v>
      </c>
      <c r="AT15">
        <v>0.12</v>
      </c>
      <c r="AU15">
        <v>0.13</v>
      </c>
    </row>
    <row r="16" spans="1:52" x14ac:dyDescent="0.25">
      <c r="AI16" t="s">
        <v>235</v>
      </c>
      <c r="AJ16" t="s">
        <v>71</v>
      </c>
      <c r="AK16" s="39">
        <v>16369820.093135342</v>
      </c>
      <c r="AL16">
        <f>AK16*AT22/AU22</f>
        <v>17761106.791828584</v>
      </c>
      <c r="AR16" t="s">
        <v>341</v>
      </c>
      <c r="AS16">
        <v>0.5</v>
      </c>
      <c r="AT16">
        <v>0.59</v>
      </c>
      <c r="AU16">
        <v>0.55000000000000004</v>
      </c>
    </row>
    <row r="17" spans="22:72" x14ac:dyDescent="0.25">
      <c r="AJ17" t="s">
        <v>76</v>
      </c>
      <c r="AK17" s="39">
        <v>2279437.1970389588</v>
      </c>
      <c r="AL17">
        <f>AK17*AT23/AU23</f>
        <v>2473168.7490476952</v>
      </c>
      <c r="AM17" s="39"/>
      <c r="AN17" s="39"/>
      <c r="AO17" s="39"/>
      <c r="AR17" t="s">
        <v>342</v>
      </c>
      <c r="AS17">
        <v>0.5</v>
      </c>
      <c r="AT17">
        <v>0.6</v>
      </c>
      <c r="AU17">
        <v>0.54</v>
      </c>
    </row>
    <row r="18" spans="22:72" x14ac:dyDescent="0.25">
      <c r="AJ18" t="s">
        <v>89</v>
      </c>
      <c r="AK18" s="39">
        <v>6119516.2642199993</v>
      </c>
      <c r="AL18" s="39">
        <f>AK18*AT19/AU19</f>
        <v>4179181.8389795115</v>
      </c>
      <c r="AM18" s="39"/>
      <c r="AN18" s="39"/>
      <c r="AO18" s="39"/>
      <c r="AR18" t="s">
        <v>343</v>
      </c>
      <c r="AS18">
        <v>0.5</v>
      </c>
      <c r="AT18">
        <v>0.6</v>
      </c>
      <c r="AU18">
        <v>0.54</v>
      </c>
    </row>
    <row r="19" spans="22:72" x14ac:dyDescent="0.25">
      <c r="AJ19" t="s">
        <v>90</v>
      </c>
      <c r="AK19" s="39">
        <v>3876248.6047300003</v>
      </c>
      <c r="AL19" s="39">
        <f>AK19</f>
        <v>3876248.6047300003</v>
      </c>
      <c r="AM19" s="39"/>
      <c r="AN19" s="39"/>
      <c r="AO19" s="39"/>
      <c r="AR19" t="s">
        <v>344</v>
      </c>
      <c r="AS19">
        <v>2.82</v>
      </c>
      <c r="AT19">
        <v>2.8</v>
      </c>
      <c r="AU19">
        <v>4.0999999999999996</v>
      </c>
    </row>
    <row r="20" spans="22:72" x14ac:dyDescent="0.25">
      <c r="AJ20" t="s">
        <v>91</v>
      </c>
      <c r="AK20" s="39">
        <v>11052477.611959999</v>
      </c>
      <c r="AL20" s="39">
        <f>AK20*(AVERAGE(AT16:AT18)/AVERAGE(AU16:AU18))</f>
        <v>12137383.389821105</v>
      </c>
      <c r="AM20" s="39"/>
      <c r="AN20" s="39"/>
      <c r="AO20" s="39"/>
      <c r="AR20" t="s">
        <v>345</v>
      </c>
      <c r="AS20">
        <v>1.21</v>
      </c>
      <c r="AT20">
        <v>1.27</v>
      </c>
      <c r="AU20">
        <v>1.76</v>
      </c>
    </row>
    <row r="21" spans="22:72" x14ac:dyDescent="0.25">
      <c r="AJ21" t="s">
        <v>97</v>
      </c>
      <c r="AK21" s="39">
        <v>0</v>
      </c>
      <c r="AL21" s="39"/>
      <c r="AM21" s="39"/>
      <c r="AN21" s="39"/>
      <c r="AO21" s="39"/>
      <c r="AR21" t="s">
        <v>346</v>
      </c>
      <c r="AS21">
        <v>1.21</v>
      </c>
      <c r="AT21">
        <v>1.27</v>
      </c>
      <c r="AU21">
        <v>1.76</v>
      </c>
    </row>
    <row r="22" spans="22:72" x14ac:dyDescent="0.25">
      <c r="AJ22" t="s">
        <v>171</v>
      </c>
      <c r="AK22" s="39">
        <v>112.6905</v>
      </c>
      <c r="AL22" s="39"/>
      <c r="AM22" s="39"/>
      <c r="AN22" s="39"/>
      <c r="AO22" s="39"/>
      <c r="AR22" t="s">
        <v>347</v>
      </c>
      <c r="AS22">
        <v>28.06</v>
      </c>
      <c r="AT22">
        <v>36</v>
      </c>
      <c r="AU22">
        <v>33.18</v>
      </c>
    </row>
    <row r="23" spans="22:72" x14ac:dyDescent="0.25">
      <c r="V23" t="s">
        <v>331</v>
      </c>
      <c r="W23">
        <v>19541412.881735247</v>
      </c>
      <c r="AA23">
        <v>19541412.881735247</v>
      </c>
      <c r="AF23">
        <f>AG8*1000</f>
        <v>3648347.9305396029</v>
      </c>
      <c r="AG23">
        <f>AF23/AA23</f>
        <v>0.18669826755206634</v>
      </c>
      <c r="AJ23" t="s">
        <v>178</v>
      </c>
      <c r="AK23" s="39">
        <v>0</v>
      </c>
      <c r="AL23" s="39"/>
      <c r="AM23" s="39"/>
      <c r="AN23" s="39"/>
      <c r="AO23" s="39"/>
      <c r="AR23" t="s">
        <v>348</v>
      </c>
      <c r="AS23">
        <v>28.06</v>
      </c>
      <c r="AT23">
        <v>36</v>
      </c>
      <c r="AU23">
        <v>33.18</v>
      </c>
    </row>
    <row r="24" spans="22:72" x14ac:dyDescent="0.25">
      <c r="V24" t="s">
        <v>332</v>
      </c>
      <c r="W24">
        <v>21171832.974870004</v>
      </c>
      <c r="AA24">
        <v>21171832.974870004</v>
      </c>
      <c r="AF24">
        <f>AG7*1000</f>
        <v>5926751.0694603976</v>
      </c>
      <c r="AG24">
        <f>AF24/AA24</f>
        <v>0.27993566152232446</v>
      </c>
      <c r="AJ24" t="s">
        <v>236</v>
      </c>
      <c r="AK24" s="39">
        <v>0</v>
      </c>
      <c r="AL24" s="39"/>
      <c r="AM24" s="39"/>
      <c r="AN24" s="39"/>
      <c r="AO24" s="39"/>
      <c r="AR24" t="s">
        <v>349</v>
      </c>
      <c r="AS24">
        <v>28.06</v>
      </c>
      <c r="AT24">
        <v>36</v>
      </c>
      <c r="AU24">
        <v>33.18</v>
      </c>
    </row>
    <row r="25" spans="22:72" x14ac:dyDescent="0.25">
      <c r="AJ25" t="s">
        <v>96</v>
      </c>
      <c r="AK25" s="39">
        <v>0</v>
      </c>
      <c r="AL25" s="39"/>
      <c r="AM25" s="39"/>
      <c r="AN25" s="39"/>
      <c r="AO25" s="39"/>
      <c r="AR25" t="s">
        <v>350</v>
      </c>
      <c r="AS25">
        <v>28.06</v>
      </c>
      <c r="AT25">
        <v>36</v>
      </c>
      <c r="AU25">
        <v>33.18</v>
      </c>
    </row>
    <row r="26" spans="22:72" x14ac:dyDescent="0.25">
      <c r="AI26" s="4"/>
      <c r="AJ26" s="4" t="s">
        <v>98</v>
      </c>
      <c r="AK26" s="44">
        <v>0</v>
      </c>
      <c r="AL26" s="39"/>
      <c r="AM26" s="39"/>
      <c r="AN26" s="39"/>
      <c r="AO26" s="39"/>
      <c r="AR26" t="s">
        <v>351</v>
      </c>
      <c r="AS26">
        <v>28.06</v>
      </c>
      <c r="AT26">
        <v>28.3</v>
      </c>
      <c r="AU26">
        <v>33.07</v>
      </c>
    </row>
    <row r="27" spans="22:72" x14ac:dyDescent="0.25">
      <c r="AM27" s="4"/>
      <c r="AN27" s="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</row>
    <row r="28" spans="22:72" x14ac:dyDescent="0.25">
      <c r="AA28" s="127"/>
    </row>
    <row r="33" spans="36:38" x14ac:dyDescent="0.25">
      <c r="AJ33" t="s">
        <v>352</v>
      </c>
      <c r="AK33" s="6">
        <f>SUM(AL18:AL20)</f>
        <v>20192813.833530616</v>
      </c>
      <c r="AL33">
        <f>AF23/AK33</f>
        <v>0.1806755591675609</v>
      </c>
    </row>
    <row r="34" spans="36:38" x14ac:dyDescent="0.25">
      <c r="AJ34" t="s">
        <v>353</v>
      </c>
      <c r="AK34">
        <f>SUM(AL16:AL17)</f>
        <v>20234275.540876281</v>
      </c>
      <c r="AL34">
        <f>AF24/AK34</f>
        <v>0.29290651189796585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2024-03-18T10:44:13Z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