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26" documentId="11_E233A8774101746E13308FD79B26E4775C9729D3" xr6:coauthVersionLast="47" xr6:coauthVersionMax="47" xr10:uidLastSave="{A9D37411-2F51-4CF5-94C9-662A2B3D4F4E}"/>
  <bookViews>
    <workbookView xWindow="28680" yWindow="-120" windowWidth="19440" windowHeight="11520" xr2:uid="{00000000-000D-0000-FFFF-FFFF00000000}"/>
  </bookViews>
  <sheets>
    <sheet name="Tabel_svin" sheetId="1" r:id="rId1"/>
    <sheet name="Tabel_kvæg" sheetId="10" r:id="rId2"/>
    <sheet name="Lager" sheetId="2" r:id="rId3"/>
    <sheet name="Tabel_gyllekøling" sheetId="7" r:id="rId4"/>
    <sheet name="NH3_N2O" sheetId="8" r:id="rId5"/>
    <sheet name="Pivot" sheetId="6" r:id="rId6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40" i="10"/>
  <c r="C40" i="10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C40" i="1"/>
  <c r="D128" i="1" l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D73" i="10" l="1"/>
  <c r="D75" i="10" s="1"/>
  <c r="C73" i="10"/>
  <c r="C75" i="10" s="1"/>
  <c r="D67" i="10"/>
  <c r="D70" i="10" s="1"/>
  <c r="D71" i="10" s="1"/>
  <c r="C67" i="10"/>
  <c r="C70" i="10" s="1"/>
  <c r="C71" i="10" s="1"/>
  <c r="D65" i="10"/>
  <c r="C65" i="10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D128" i="10"/>
  <c r="C128" i="10"/>
  <c r="D55" i="10"/>
  <c r="C55" i="10"/>
  <c r="D52" i="10"/>
  <c r="C52" i="10"/>
  <c r="D51" i="10"/>
  <c r="C51" i="10"/>
  <c r="D48" i="10"/>
  <c r="C48" i="10"/>
  <c r="D47" i="10"/>
  <c r="C47" i="10"/>
  <c r="D38" i="10"/>
  <c r="D84" i="10" s="1"/>
  <c r="D85" i="10" s="1"/>
  <c r="C38" i="10"/>
  <c r="C84" i="10" s="1"/>
  <c r="C85" i="10" s="1"/>
  <c r="D76" i="10" l="1"/>
  <c r="D29" i="10" s="1"/>
  <c r="C76" i="10"/>
  <c r="C29" i="10" s="1"/>
  <c r="C128" i="1"/>
  <c r="C77" i="10" l="1"/>
  <c r="C80" i="10"/>
  <c r="C12" i="10" s="1"/>
  <c r="C10" i="10" s="1"/>
  <c r="C11" i="10" s="1"/>
  <c r="C13" i="10" s="1"/>
  <c r="C78" i="10"/>
  <c r="C121" i="10" s="1"/>
  <c r="D80" i="10"/>
  <c r="D77" i="10"/>
  <c r="D78" i="10"/>
  <c r="D121" i="10" s="1"/>
  <c r="D88" i="10"/>
  <c r="D87" i="10"/>
  <c r="C88" i="10"/>
  <c r="C87" i="10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C21" i="7"/>
  <c r="C118" i="10" l="1"/>
  <c r="C120" i="10" s="1"/>
  <c r="C105" i="10"/>
  <c r="C107" i="10" s="1"/>
  <c r="D105" i="10"/>
  <c r="D107" i="10" s="1"/>
  <c r="D118" i="10"/>
  <c r="D120" i="10" s="1"/>
  <c r="C97" i="10"/>
  <c r="C98" i="10" s="1"/>
  <c r="C99" i="10" s="1"/>
  <c r="C100" i="10" s="1"/>
  <c r="C101" i="10" s="1"/>
  <c r="C19" i="10" s="1"/>
  <c r="C30" i="10" s="1"/>
  <c r="C90" i="10"/>
  <c r="D12" i="10"/>
  <c r="D10" i="10" s="1"/>
  <c r="D11" i="10" s="1"/>
  <c r="D13" i="10" s="1"/>
  <c r="C59" i="7"/>
  <c r="AD58" i="7"/>
  <c r="AC58" i="7"/>
  <c r="AB58" i="7"/>
  <c r="AB59" i="7" s="1"/>
  <c r="AA58" i="7"/>
  <c r="AA59" i="7" s="1"/>
  <c r="Z58" i="7"/>
  <c r="Z59" i="7" s="1"/>
  <c r="Y58" i="7"/>
  <c r="Y59" i="7" s="1"/>
  <c r="X58" i="7"/>
  <c r="X59" i="7" s="1"/>
  <c r="W58" i="7"/>
  <c r="W59" i="7" s="1"/>
  <c r="V58" i="7"/>
  <c r="V59" i="7" s="1"/>
  <c r="U58" i="7"/>
  <c r="U59" i="7" s="1"/>
  <c r="T58" i="7"/>
  <c r="T59" i="7" s="1"/>
  <c r="S58" i="7"/>
  <c r="S59" i="7" s="1"/>
  <c r="R58" i="7"/>
  <c r="R59" i="7" s="1"/>
  <c r="Q58" i="7"/>
  <c r="Q59" i="7" s="1"/>
  <c r="P58" i="7"/>
  <c r="P59" i="7" s="1"/>
  <c r="O58" i="7"/>
  <c r="O59" i="7" s="1"/>
  <c r="N58" i="7"/>
  <c r="N59" i="7" s="1"/>
  <c r="M58" i="7"/>
  <c r="M59" i="7" s="1"/>
  <c r="L58" i="7"/>
  <c r="L59" i="7" s="1"/>
  <c r="K58" i="7"/>
  <c r="K59" i="7" s="1"/>
  <c r="J58" i="7"/>
  <c r="J59" i="7" s="1"/>
  <c r="I58" i="7"/>
  <c r="I59" i="7" s="1"/>
  <c r="H58" i="7"/>
  <c r="H59" i="7" s="1"/>
  <c r="G58" i="7"/>
  <c r="G59" i="7" s="1"/>
  <c r="F58" i="7"/>
  <c r="F59" i="7" s="1"/>
  <c r="E58" i="7"/>
  <c r="E59" i="7" s="1"/>
  <c r="D58" i="7"/>
  <c r="D59" i="7" s="1"/>
  <c r="AD57" i="7"/>
  <c r="AC57" i="7"/>
  <c r="AC59" i="7" s="1"/>
  <c r="AD51" i="7"/>
  <c r="AD54" i="7" s="1"/>
  <c r="AD55" i="7" s="1"/>
  <c r="AC51" i="7"/>
  <c r="AC54" i="7" s="1"/>
  <c r="AC55" i="7" s="1"/>
  <c r="AC60" i="7" s="1"/>
  <c r="AD49" i="7"/>
  <c r="AC49" i="7"/>
  <c r="T45" i="7"/>
  <c r="T46" i="7" s="1"/>
  <c r="S45" i="7"/>
  <c r="S46" i="7" s="1"/>
  <c r="R45" i="7"/>
  <c r="R46" i="7" s="1"/>
  <c r="Q45" i="7"/>
  <c r="Q46" i="7" s="1"/>
  <c r="P45" i="7"/>
  <c r="P46" i="7" s="1"/>
  <c r="O45" i="7"/>
  <c r="O46" i="7" s="1"/>
  <c r="O51" i="7" s="1"/>
  <c r="N45" i="7"/>
  <c r="N46" i="7" s="1"/>
  <c r="N51" i="7" s="1"/>
  <c r="M45" i="7"/>
  <c r="M46" i="7" s="1"/>
  <c r="L45" i="7"/>
  <c r="L46" i="7" s="1"/>
  <c r="K45" i="7"/>
  <c r="K46" i="7" s="1"/>
  <c r="J45" i="7"/>
  <c r="J46" i="7" s="1"/>
  <c r="I45" i="7"/>
  <c r="I46" i="7" s="1"/>
  <c r="H45" i="7"/>
  <c r="H46" i="7" s="1"/>
  <c r="G45" i="7"/>
  <c r="G46" i="7" s="1"/>
  <c r="G51" i="7" s="1"/>
  <c r="F45" i="7"/>
  <c r="F46" i="7" s="1"/>
  <c r="F51" i="7" s="1"/>
  <c r="E45" i="7"/>
  <c r="E46" i="7" s="1"/>
  <c r="D45" i="7"/>
  <c r="D46" i="7" s="1"/>
  <c r="C45" i="7"/>
  <c r="C46" i="7" s="1"/>
  <c r="AB42" i="7"/>
  <c r="AB45" i="7" s="1"/>
  <c r="AB46" i="7" s="1"/>
  <c r="AA42" i="7"/>
  <c r="AA45" i="7" s="1"/>
  <c r="AA46" i="7" s="1"/>
  <c r="Z42" i="7"/>
  <c r="Z45" i="7" s="1"/>
  <c r="Z46" i="7" s="1"/>
  <c r="Y42" i="7"/>
  <c r="Y45" i="7" s="1"/>
  <c r="Y46" i="7" s="1"/>
  <c r="X42" i="7"/>
  <c r="X45" i="7" s="1"/>
  <c r="X46" i="7" s="1"/>
  <c r="W42" i="7"/>
  <c r="W45" i="7" s="1"/>
  <c r="W46" i="7" s="1"/>
  <c r="V42" i="7"/>
  <c r="V45" i="7" s="1"/>
  <c r="V46" i="7" s="1"/>
  <c r="U42" i="7"/>
  <c r="U45" i="7" s="1"/>
  <c r="U46" i="7" s="1"/>
  <c r="AB40" i="7"/>
  <c r="AA40" i="7"/>
  <c r="Z40" i="7"/>
  <c r="Y40" i="7"/>
  <c r="X40" i="7"/>
  <c r="W40" i="7"/>
  <c r="V40" i="7"/>
  <c r="U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22" i="7"/>
  <c r="AD66" i="7" s="1"/>
  <c r="AD67" i="7" s="1"/>
  <c r="AC22" i="7"/>
  <c r="AC66" i="7" s="1"/>
  <c r="AC67" i="7" s="1"/>
  <c r="P22" i="7"/>
  <c r="P66" i="7" s="1"/>
  <c r="P67" i="7" s="1"/>
  <c r="AB22" i="7"/>
  <c r="AB66" i="7" s="1"/>
  <c r="AA22" i="7"/>
  <c r="AA66" i="7" s="1"/>
  <c r="AA67" i="7" s="1"/>
  <c r="Z22" i="7"/>
  <c r="Z66" i="7" s="1"/>
  <c r="Z67" i="7" s="1"/>
  <c r="Y22" i="7"/>
  <c r="Y66" i="7" s="1"/>
  <c r="X22" i="7"/>
  <c r="X66" i="7" s="1"/>
  <c r="W22" i="7"/>
  <c r="W66" i="7" s="1"/>
  <c r="V22" i="7"/>
  <c r="V66" i="7" s="1"/>
  <c r="V67" i="7" s="1"/>
  <c r="U22" i="7"/>
  <c r="U66" i="7" s="1"/>
  <c r="U67" i="7" s="1"/>
  <c r="T22" i="7"/>
  <c r="T66" i="7" s="1"/>
  <c r="S22" i="7"/>
  <c r="S66" i="7" s="1"/>
  <c r="S67" i="7" s="1"/>
  <c r="R22" i="7"/>
  <c r="R66" i="7" s="1"/>
  <c r="R67" i="7" s="1"/>
  <c r="Q22" i="7"/>
  <c r="Q66" i="7" s="1"/>
  <c r="O22" i="7"/>
  <c r="O66" i="7" s="1"/>
  <c r="N22" i="7"/>
  <c r="N66" i="7" s="1"/>
  <c r="N67" i="7" s="1"/>
  <c r="M22" i="7"/>
  <c r="M66" i="7" s="1"/>
  <c r="M67" i="7" s="1"/>
  <c r="L22" i="7"/>
  <c r="L66" i="7" s="1"/>
  <c r="K22" i="7"/>
  <c r="K66" i="7" s="1"/>
  <c r="K67" i="7" s="1"/>
  <c r="J22" i="7"/>
  <c r="J66" i="7" s="1"/>
  <c r="J67" i="7" s="1"/>
  <c r="I22" i="7"/>
  <c r="I66" i="7" s="1"/>
  <c r="H22" i="7"/>
  <c r="H66" i="7" s="1"/>
  <c r="G22" i="7"/>
  <c r="G66" i="7" s="1"/>
  <c r="F22" i="7"/>
  <c r="F66" i="7" s="1"/>
  <c r="F67" i="7" s="1"/>
  <c r="E22" i="7"/>
  <c r="E66" i="7" s="1"/>
  <c r="E67" i="7" s="1"/>
  <c r="D22" i="7"/>
  <c r="D66" i="7" s="1"/>
  <c r="C22" i="7"/>
  <c r="C66" i="7" s="1"/>
  <c r="C67" i="7" s="1"/>
  <c r="AB19" i="7"/>
  <c r="AA19" i="7"/>
  <c r="Z19" i="7"/>
  <c r="Y19" i="7"/>
  <c r="R19" i="7"/>
  <c r="Q19" i="7"/>
  <c r="P19" i="7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7" i="8"/>
  <c r="AB36" i="8"/>
  <c r="AA36" i="8"/>
  <c r="Z36" i="8"/>
  <c r="Y36" i="8"/>
  <c r="X36" i="8"/>
  <c r="W36" i="8"/>
  <c r="V36" i="8"/>
  <c r="U36" i="8"/>
  <c r="T36" i="8"/>
  <c r="T37" i="8" s="1"/>
  <c r="S36" i="8"/>
  <c r="S37" i="8" s="1"/>
  <c r="R36" i="8"/>
  <c r="R37" i="8" s="1"/>
  <c r="Q36" i="8"/>
  <c r="Q37" i="8" s="1"/>
  <c r="P36" i="8"/>
  <c r="P37" i="8" s="1"/>
  <c r="O36" i="8"/>
  <c r="O37" i="8" s="1"/>
  <c r="N36" i="8"/>
  <c r="N37" i="8" s="1"/>
  <c r="M36" i="8"/>
  <c r="M37" i="8" s="1"/>
  <c r="L36" i="8"/>
  <c r="L37" i="8" s="1"/>
  <c r="K36" i="8"/>
  <c r="K37" i="8" s="1"/>
  <c r="J36" i="8"/>
  <c r="J37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1" i="8"/>
  <c r="AB22" i="8" s="1"/>
  <c r="AA21" i="8"/>
  <c r="AA22" i="8" s="1"/>
  <c r="Z21" i="8"/>
  <c r="Z22" i="8" s="1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AB19" i="8"/>
  <c r="AA19" i="8"/>
  <c r="Z19" i="8"/>
  <c r="Y19" i="8"/>
  <c r="T19" i="8"/>
  <c r="S19" i="8"/>
  <c r="R19" i="8"/>
  <c r="Q19" i="8"/>
  <c r="P19" i="8"/>
  <c r="K19" i="8"/>
  <c r="J19" i="8"/>
  <c r="I19" i="8"/>
  <c r="H19" i="8"/>
  <c r="G19" i="8"/>
  <c r="F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9" i="8"/>
  <c r="S9" i="8"/>
  <c r="R9" i="8"/>
  <c r="R11" i="8" s="1"/>
  <c r="R13" i="8" s="1"/>
  <c r="Q9" i="8"/>
  <c r="Q11" i="8" s="1"/>
  <c r="Q13" i="8" s="1"/>
  <c r="Q31" i="8" s="1"/>
  <c r="P9" i="8"/>
  <c r="P11" i="8" s="1"/>
  <c r="P13" i="8" s="1"/>
  <c r="O9" i="8"/>
  <c r="O11" i="8" s="1"/>
  <c r="O13" i="8" s="1"/>
  <c r="O31" i="8" s="1"/>
  <c r="N9" i="8"/>
  <c r="M9" i="8"/>
  <c r="L9" i="8"/>
  <c r="K9" i="8"/>
  <c r="J9" i="8"/>
  <c r="J11" i="8" s="1"/>
  <c r="J13" i="8" s="1"/>
  <c r="I9" i="8"/>
  <c r="I11" i="8" s="1"/>
  <c r="I13" i="8" s="1"/>
  <c r="I31" i="8" s="1"/>
  <c r="H9" i="8"/>
  <c r="G9" i="8"/>
  <c r="G11" i="8" s="1"/>
  <c r="G13" i="8" s="1"/>
  <c r="G31" i="8" s="1"/>
  <c r="F9" i="8"/>
  <c r="E9" i="8"/>
  <c r="D9" i="8"/>
  <c r="C9" i="8"/>
  <c r="AB7" i="8"/>
  <c r="AA7" i="8"/>
  <c r="Z7" i="8"/>
  <c r="Y7" i="8"/>
  <c r="T7" i="8"/>
  <c r="T10" i="8" s="1"/>
  <c r="S7" i="8"/>
  <c r="R7" i="8"/>
  <c r="Q7" i="8"/>
  <c r="Q10" i="8" s="1"/>
  <c r="P7" i="8"/>
  <c r="P10" i="8" s="1"/>
  <c r="P14" i="8" s="1"/>
  <c r="K7" i="8"/>
  <c r="J7" i="8"/>
  <c r="J10" i="8" s="1"/>
  <c r="I7" i="8"/>
  <c r="I10" i="8" s="1"/>
  <c r="H7" i="8"/>
  <c r="H10" i="8" s="1"/>
  <c r="G7" i="8"/>
  <c r="G10" i="8" s="1"/>
  <c r="F7" i="8"/>
  <c r="F10" i="8" s="1"/>
  <c r="AB6" i="8"/>
  <c r="AB18" i="8" s="1"/>
  <c r="AA6" i="8"/>
  <c r="AA9" i="8" s="1"/>
  <c r="Z6" i="8"/>
  <c r="Y6" i="8"/>
  <c r="Y9" i="8" s="1"/>
  <c r="X6" i="8"/>
  <c r="W6" i="8"/>
  <c r="W18" i="8" s="1"/>
  <c r="V6" i="8"/>
  <c r="V18" i="8" s="1"/>
  <c r="U6" i="8"/>
  <c r="U18" i="8" s="1"/>
  <c r="AB5" i="8"/>
  <c r="AB17" i="8" s="1"/>
  <c r="AA5" i="8"/>
  <c r="AA37" i="8" s="1"/>
  <c r="Z5" i="8"/>
  <c r="Z17" i="8" s="1"/>
  <c r="Y5" i="8"/>
  <c r="Y17" i="8" s="1"/>
  <c r="X5" i="8"/>
  <c r="X17" i="8" s="1"/>
  <c r="W5" i="8"/>
  <c r="W17" i="8" s="1"/>
  <c r="V5" i="8"/>
  <c r="V17" i="8" s="1"/>
  <c r="U5" i="8"/>
  <c r="U17" i="8" s="1"/>
  <c r="C37" i="2"/>
  <c r="E37" i="2" s="1"/>
  <c r="O34" i="2" s="1"/>
  <c r="C36" i="2"/>
  <c r="E36" i="2" s="1"/>
  <c r="N33" i="2" s="1"/>
  <c r="N34" i="2" s="1"/>
  <c r="C35" i="2"/>
  <c r="E35" i="2" s="1"/>
  <c r="M32" i="2" s="1"/>
  <c r="M33" i="2" s="1"/>
  <c r="M34" i="2" s="1"/>
  <c r="C34" i="2"/>
  <c r="E34" i="2" s="1"/>
  <c r="L31" i="2" s="1"/>
  <c r="L32" i="2" s="1"/>
  <c r="C33" i="2"/>
  <c r="E33" i="2" s="1"/>
  <c r="K30" i="2" s="1"/>
  <c r="K31" i="2" s="1"/>
  <c r="C32" i="2"/>
  <c r="E32" i="2" s="1"/>
  <c r="J29" i="2" s="1"/>
  <c r="J30" i="2" s="1"/>
  <c r="C31" i="2"/>
  <c r="E31" i="2" s="1"/>
  <c r="I28" i="2" s="1"/>
  <c r="I29" i="2" s="1"/>
  <c r="C30" i="2"/>
  <c r="E30" i="2" s="1"/>
  <c r="C29" i="2"/>
  <c r="E29" i="2" s="1"/>
  <c r="S38" i="2" s="1"/>
  <c r="C28" i="2"/>
  <c r="E28" i="2" s="1"/>
  <c r="R37" i="2" s="1"/>
  <c r="R38" i="2" s="1"/>
  <c r="C27" i="2"/>
  <c r="E27" i="2" s="1"/>
  <c r="Q36" i="2" s="1"/>
  <c r="Q37" i="2" s="1"/>
  <c r="Q38" i="2" s="1"/>
  <c r="C26" i="2"/>
  <c r="E26" i="2" s="1"/>
  <c r="P35" i="2" s="1"/>
  <c r="P36" i="2" s="1"/>
  <c r="P37" i="2" s="1"/>
  <c r="P38" i="2" s="1"/>
  <c r="H27" i="2" l="1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04" i="10"/>
  <c r="C106" i="10" s="1"/>
  <c r="C91" i="10"/>
  <c r="C92" i="10" s="1"/>
  <c r="C93" i="10" s="1"/>
  <c r="C94" i="10" s="1"/>
  <c r="C15" i="10" s="1"/>
  <c r="C26" i="10" s="1"/>
  <c r="C117" i="10"/>
  <c r="C119" i="10" s="1"/>
  <c r="D90" i="10"/>
  <c r="D97" i="10"/>
  <c r="D98" i="10" s="1"/>
  <c r="D99" i="10" s="1"/>
  <c r="D100" i="10" s="1"/>
  <c r="D101" i="10" s="1"/>
  <c r="D19" i="10" s="1"/>
  <c r="D30" i="10" s="1"/>
  <c r="X9" i="8"/>
  <c r="X18" i="8"/>
  <c r="Z9" i="8"/>
  <c r="Z18" i="8"/>
  <c r="C23" i="8"/>
  <c r="E23" i="8"/>
  <c r="K23" i="8"/>
  <c r="M23" i="8"/>
  <c r="S23" i="8"/>
  <c r="X23" i="8"/>
  <c r="X25" i="8" s="1"/>
  <c r="X27" i="8" s="1"/>
  <c r="G23" i="8"/>
  <c r="G25" i="8" s="1"/>
  <c r="G27" i="8" s="1"/>
  <c r="O23" i="8"/>
  <c r="O24" i="8" s="1"/>
  <c r="H23" i="8"/>
  <c r="H24" i="8" s="1"/>
  <c r="P23" i="8"/>
  <c r="R10" i="8"/>
  <c r="E25" i="8"/>
  <c r="E27" i="8" s="1"/>
  <c r="AB37" i="8"/>
  <c r="S10" i="8"/>
  <c r="V9" i="8"/>
  <c r="H67" i="7"/>
  <c r="X67" i="7"/>
  <c r="Z23" i="8"/>
  <c r="AB9" i="8"/>
  <c r="E24" i="8"/>
  <c r="E28" i="8" s="1"/>
  <c r="M24" i="8"/>
  <c r="X24" i="8"/>
  <c r="J23" i="8"/>
  <c r="J25" i="8" s="1"/>
  <c r="J27" i="8" s="1"/>
  <c r="J32" i="8" s="1"/>
  <c r="R23" i="8"/>
  <c r="R25" i="8" s="1"/>
  <c r="R27" i="8" s="1"/>
  <c r="AC62" i="7"/>
  <c r="AC9" i="7" s="1"/>
  <c r="AC7" i="7" s="1"/>
  <c r="AC8" i="7" s="1"/>
  <c r="AC10" i="7" s="1"/>
  <c r="P31" i="8"/>
  <c r="H11" i="8"/>
  <c r="H13" i="8" s="1"/>
  <c r="K25" i="8"/>
  <c r="K27" i="8" s="1"/>
  <c r="K32" i="8" s="1"/>
  <c r="S25" i="8"/>
  <c r="S27" i="8" s="1"/>
  <c r="S32" i="8" s="1"/>
  <c r="M25" i="8"/>
  <c r="M27" i="8" s="1"/>
  <c r="M32" i="8" s="1"/>
  <c r="Z37" i="8"/>
  <c r="K10" i="8"/>
  <c r="P24" i="8"/>
  <c r="K24" i="8"/>
  <c r="I67" i="7"/>
  <c r="Q67" i="7"/>
  <c r="Y67" i="7"/>
  <c r="AD60" i="7"/>
  <c r="AD62" i="7" s="1"/>
  <c r="AD9" i="7" s="1"/>
  <c r="AD7" i="7" s="1"/>
  <c r="AD8" i="7" s="1"/>
  <c r="AD10" i="7" s="1"/>
  <c r="AD72" i="7" s="1"/>
  <c r="G67" i="7"/>
  <c r="AD59" i="7"/>
  <c r="D67" i="7"/>
  <c r="L67" i="7"/>
  <c r="T67" i="7"/>
  <c r="O67" i="7"/>
  <c r="W67" i="7"/>
  <c r="Y54" i="7"/>
  <c r="Y49" i="7"/>
  <c r="Y51" i="7"/>
  <c r="Z54" i="7"/>
  <c r="Z49" i="7"/>
  <c r="Z51" i="7"/>
  <c r="H54" i="7"/>
  <c r="H49" i="7"/>
  <c r="H51" i="7"/>
  <c r="P54" i="7"/>
  <c r="P49" i="7"/>
  <c r="P51" i="7"/>
  <c r="AB67" i="7"/>
  <c r="AA54" i="7"/>
  <c r="AA49" i="7"/>
  <c r="AA51" i="7"/>
  <c r="I54" i="7"/>
  <c r="I49" i="7"/>
  <c r="I51" i="7"/>
  <c r="Q54" i="7"/>
  <c r="Q49" i="7"/>
  <c r="Q51" i="7"/>
  <c r="AB51" i="7"/>
  <c r="AB54" i="7"/>
  <c r="AB49" i="7"/>
  <c r="J54" i="7"/>
  <c r="J49" i="7"/>
  <c r="J51" i="7"/>
  <c r="R54" i="7"/>
  <c r="R49" i="7"/>
  <c r="R51" i="7"/>
  <c r="U51" i="7"/>
  <c r="U54" i="7"/>
  <c r="U49" i="7"/>
  <c r="C54" i="7"/>
  <c r="C49" i="7"/>
  <c r="C51" i="7"/>
  <c r="K54" i="7"/>
  <c r="K49" i="7"/>
  <c r="K51" i="7"/>
  <c r="S54" i="7"/>
  <c r="S49" i="7"/>
  <c r="S51" i="7"/>
  <c r="V51" i="7"/>
  <c r="V54" i="7"/>
  <c r="V55" i="7" s="1"/>
  <c r="V60" i="7" s="1"/>
  <c r="V62" i="7" s="1"/>
  <c r="V9" i="7" s="1"/>
  <c r="V7" i="7" s="1"/>
  <c r="V8" i="7" s="1"/>
  <c r="V10" i="7" s="1"/>
  <c r="V72" i="7" s="1"/>
  <c r="V49" i="7"/>
  <c r="D51" i="7"/>
  <c r="D54" i="7"/>
  <c r="D49" i="7"/>
  <c r="L51" i="7"/>
  <c r="L54" i="7"/>
  <c r="L49" i="7"/>
  <c r="T51" i="7"/>
  <c r="T54" i="7"/>
  <c r="T49" i="7"/>
  <c r="AC79" i="7"/>
  <c r="AC80" i="7" s="1"/>
  <c r="AC81" i="7" s="1"/>
  <c r="AC82" i="7" s="1"/>
  <c r="AC83" i="7" s="1"/>
  <c r="AC16" i="7" s="1"/>
  <c r="AC72" i="7"/>
  <c r="W51" i="7"/>
  <c r="W54" i="7"/>
  <c r="W49" i="7"/>
  <c r="E51" i="7"/>
  <c r="E54" i="7"/>
  <c r="E49" i="7"/>
  <c r="M51" i="7"/>
  <c r="M54" i="7"/>
  <c r="M49" i="7"/>
  <c r="X54" i="7"/>
  <c r="X49" i="7"/>
  <c r="X51" i="7"/>
  <c r="F49" i="7"/>
  <c r="N49" i="7"/>
  <c r="F54" i="7"/>
  <c r="F55" i="7" s="1"/>
  <c r="F60" i="7" s="1"/>
  <c r="F62" i="7" s="1"/>
  <c r="F9" i="7" s="1"/>
  <c r="F7" i="7" s="1"/>
  <c r="F8" i="7" s="1"/>
  <c r="F10" i="7" s="1"/>
  <c r="F79" i="7" s="1"/>
  <c r="F80" i="7" s="1"/>
  <c r="F81" i="7" s="1"/>
  <c r="N54" i="7"/>
  <c r="N55" i="7" s="1"/>
  <c r="N60" i="7" s="1"/>
  <c r="N62" i="7" s="1"/>
  <c r="N9" i="7" s="1"/>
  <c r="N7" i="7" s="1"/>
  <c r="N8" i="7" s="1"/>
  <c r="N10" i="7" s="1"/>
  <c r="N79" i="7" s="1"/>
  <c r="N80" i="7" s="1"/>
  <c r="N81" i="7" s="1"/>
  <c r="AC69" i="7"/>
  <c r="AC99" i="7" s="1"/>
  <c r="AC101" i="7" s="1"/>
  <c r="G49" i="7"/>
  <c r="O49" i="7"/>
  <c r="G54" i="7"/>
  <c r="G55" i="7" s="1"/>
  <c r="G60" i="7" s="1"/>
  <c r="G62" i="7" s="1"/>
  <c r="G9" i="7" s="1"/>
  <c r="G7" i="7" s="1"/>
  <c r="G8" i="7" s="1"/>
  <c r="G10" i="7" s="1"/>
  <c r="G79" i="7" s="1"/>
  <c r="G80" i="7" s="1"/>
  <c r="G81" i="7" s="1"/>
  <c r="O54" i="7"/>
  <c r="O55" i="7" s="1"/>
  <c r="O60" i="7" s="1"/>
  <c r="O62" i="7" s="1"/>
  <c r="O9" i="7" s="1"/>
  <c r="O7" i="7" s="1"/>
  <c r="O8" i="7" s="1"/>
  <c r="O10" i="7" s="1"/>
  <c r="O79" i="7" s="1"/>
  <c r="O80" i="7" s="1"/>
  <c r="O81" i="7" s="1"/>
  <c r="AD69" i="7"/>
  <c r="AC70" i="7"/>
  <c r="AD70" i="7"/>
  <c r="X11" i="8"/>
  <c r="X13" i="8" s="1"/>
  <c r="X31" i="8" s="1"/>
  <c r="I14" i="8"/>
  <c r="J14" i="8"/>
  <c r="C25" i="8"/>
  <c r="C27" i="8" s="1"/>
  <c r="Z10" i="8"/>
  <c r="Z11" i="8"/>
  <c r="Z13" i="8" s="1"/>
  <c r="Z31" i="8" s="1"/>
  <c r="J31" i="8"/>
  <c r="R31" i="8"/>
  <c r="AB23" i="8"/>
  <c r="AB25" i="8" s="1"/>
  <c r="AB27" i="8" s="1"/>
  <c r="Q14" i="8"/>
  <c r="C32" i="8"/>
  <c r="C24" i="8"/>
  <c r="C28" i="8" s="1"/>
  <c r="S24" i="8"/>
  <c r="U23" i="8"/>
  <c r="R14" i="8"/>
  <c r="O25" i="8"/>
  <c r="O27" i="8" s="1"/>
  <c r="O32" i="8" s="1"/>
  <c r="O33" i="8" s="1"/>
  <c r="O35" i="8" s="1"/>
  <c r="O39" i="8" s="1"/>
  <c r="V23" i="8"/>
  <c r="V24" i="8" s="1"/>
  <c r="G14" i="8"/>
  <c r="E32" i="8"/>
  <c r="W23" i="8"/>
  <c r="Z24" i="8"/>
  <c r="I23" i="8"/>
  <c r="I24" i="8" s="1"/>
  <c r="Q23" i="8"/>
  <c r="U9" i="8"/>
  <c r="U10" i="8" s="1"/>
  <c r="C10" i="8"/>
  <c r="AA10" i="8"/>
  <c r="Y11" i="8"/>
  <c r="Y13" i="8" s="1"/>
  <c r="Y31" i="8" s="1"/>
  <c r="AA17" i="8"/>
  <c r="Y18" i="8"/>
  <c r="D23" i="8"/>
  <c r="D24" i="8" s="1"/>
  <c r="L23" i="8"/>
  <c r="T23" i="8"/>
  <c r="T25" i="8" s="1"/>
  <c r="T27" i="8" s="1"/>
  <c r="H25" i="8"/>
  <c r="H27" i="8" s="1"/>
  <c r="H32" i="8" s="1"/>
  <c r="P25" i="8"/>
  <c r="P27" i="8" s="1"/>
  <c r="P28" i="8" s="1"/>
  <c r="U37" i="8"/>
  <c r="V37" i="8"/>
  <c r="L10" i="8"/>
  <c r="W9" i="8"/>
  <c r="E10" i="8"/>
  <c r="M10" i="8"/>
  <c r="C11" i="8"/>
  <c r="C13" i="8" s="1"/>
  <c r="C31" i="8" s="1"/>
  <c r="K11" i="8"/>
  <c r="K13" i="8" s="1"/>
  <c r="K31" i="8" s="1"/>
  <c r="S11" i="8"/>
  <c r="S13" i="8" s="1"/>
  <c r="S14" i="8" s="1"/>
  <c r="AA11" i="8"/>
  <c r="AA13" i="8" s="1"/>
  <c r="AA31" i="8" s="1"/>
  <c r="AA18" i="8"/>
  <c r="F23" i="8"/>
  <c r="N23" i="8"/>
  <c r="N25" i="8" s="1"/>
  <c r="N27" i="8" s="1"/>
  <c r="Z25" i="8"/>
  <c r="Z27" i="8" s="1"/>
  <c r="Z32" i="8" s="1"/>
  <c r="W37" i="8"/>
  <c r="D10" i="8"/>
  <c r="AB10" i="8"/>
  <c r="N10" i="8"/>
  <c r="V10" i="8"/>
  <c r="D11" i="8"/>
  <c r="D13" i="8" s="1"/>
  <c r="D31" i="8" s="1"/>
  <c r="L11" i="8"/>
  <c r="L13" i="8" s="1"/>
  <c r="L31" i="8" s="1"/>
  <c r="T11" i="8"/>
  <c r="T13" i="8" s="1"/>
  <c r="T14" i="8" s="1"/>
  <c r="AB11" i="8"/>
  <c r="AB13" i="8" s="1"/>
  <c r="AB31" i="8" s="1"/>
  <c r="X37" i="8"/>
  <c r="O10" i="8"/>
  <c r="O14" i="8" s="1"/>
  <c r="E11" i="8"/>
  <c r="E13" i="8" s="1"/>
  <c r="E31" i="8" s="1"/>
  <c r="M11" i="8"/>
  <c r="M13" i="8" s="1"/>
  <c r="M31" i="8" s="1"/>
  <c r="Y37" i="8"/>
  <c r="X10" i="8"/>
  <c r="X14" i="8" s="1"/>
  <c r="F11" i="8"/>
  <c r="F13" i="8" s="1"/>
  <c r="F31" i="8" s="1"/>
  <c r="N11" i="8"/>
  <c r="N13" i="8" s="1"/>
  <c r="N31" i="8" s="1"/>
  <c r="V11" i="8"/>
  <c r="V13" i="8" s="1"/>
  <c r="V31" i="8" s="1"/>
  <c r="Y10" i="8"/>
  <c r="Y14" i="8" s="1"/>
  <c r="C123" i="10" l="1"/>
  <c r="C122" i="10"/>
  <c r="C129" i="10" s="1"/>
  <c r="C23" i="10" s="1"/>
  <c r="C34" i="10" s="1"/>
  <c r="D104" i="10"/>
  <c r="D106" i="10" s="1"/>
  <c r="D91" i="10"/>
  <c r="D92" i="10" s="1"/>
  <c r="D93" i="10" s="1"/>
  <c r="D94" i="10" s="1"/>
  <c r="D15" i="10" s="1"/>
  <c r="D26" i="10" s="1"/>
  <c r="D117" i="10"/>
  <c r="D119" i="10" s="1"/>
  <c r="C108" i="10"/>
  <c r="C22" i="10" s="1"/>
  <c r="C33" i="10" s="1"/>
  <c r="V14" i="8"/>
  <c r="D14" i="8"/>
  <c r="F25" i="8"/>
  <c r="F27" i="8" s="1"/>
  <c r="F24" i="8"/>
  <c r="W25" i="8"/>
  <c r="W27" i="8" s="1"/>
  <c r="W24" i="8"/>
  <c r="H14" i="8"/>
  <c r="H31" i="8"/>
  <c r="H33" i="8" s="1"/>
  <c r="H35" i="8" s="1"/>
  <c r="H39" i="8" s="1"/>
  <c r="X28" i="8"/>
  <c r="K28" i="8"/>
  <c r="G24" i="8"/>
  <c r="G28" i="8" s="1"/>
  <c r="X32" i="8"/>
  <c r="E33" i="8"/>
  <c r="E35" i="8" s="1"/>
  <c r="E39" i="8" s="1"/>
  <c r="S28" i="8"/>
  <c r="K33" i="8"/>
  <c r="K35" i="8" s="1"/>
  <c r="K39" i="8" s="1"/>
  <c r="O28" i="8"/>
  <c r="AB14" i="8"/>
  <c r="T24" i="8"/>
  <c r="L14" i="8"/>
  <c r="G32" i="8"/>
  <c r="G33" i="8" s="1"/>
  <c r="G35" i="8" s="1"/>
  <c r="G39" i="8" s="1"/>
  <c r="X55" i="7"/>
  <c r="X60" i="7" s="1"/>
  <c r="X62" i="7" s="1"/>
  <c r="X9" i="7" s="1"/>
  <c r="X7" i="7" s="1"/>
  <c r="X8" i="7" s="1"/>
  <c r="X10" i="7" s="1"/>
  <c r="X72" i="7" s="1"/>
  <c r="X73" i="7" s="1"/>
  <c r="X74" i="7" s="1"/>
  <c r="X75" i="7" s="1"/>
  <c r="X76" i="7" s="1"/>
  <c r="X12" i="7" s="1"/>
  <c r="W55" i="7"/>
  <c r="W60" i="7" s="1"/>
  <c r="W62" i="7" s="1"/>
  <c r="W9" i="7" s="1"/>
  <c r="W7" i="7" s="1"/>
  <c r="W8" i="7" s="1"/>
  <c r="W10" i="7" s="1"/>
  <c r="W72" i="7" s="1"/>
  <c r="L55" i="7"/>
  <c r="L60" i="7" s="1"/>
  <c r="L62" i="7" s="1"/>
  <c r="L9" i="7" s="1"/>
  <c r="L7" i="7" s="1"/>
  <c r="L8" i="7" s="1"/>
  <c r="L10" i="7" s="1"/>
  <c r="L79" i="7" s="1"/>
  <c r="L80" i="7" s="1"/>
  <c r="L81" i="7" s="1"/>
  <c r="G72" i="7"/>
  <c r="M28" i="8"/>
  <c r="R24" i="8"/>
  <c r="R28" i="8" s="1"/>
  <c r="AD79" i="7"/>
  <c r="AD80" i="7" s="1"/>
  <c r="AD81" i="7" s="1"/>
  <c r="AD82" i="7" s="1"/>
  <c r="AD83" i="7" s="1"/>
  <c r="AD16" i="7" s="1"/>
  <c r="H28" i="8"/>
  <c r="C33" i="8"/>
  <c r="C35" i="8" s="1"/>
  <c r="C39" i="8" s="1"/>
  <c r="D55" i="7"/>
  <c r="D60" i="7" s="1"/>
  <c r="D62" i="7" s="1"/>
  <c r="D9" i="7" s="1"/>
  <c r="D7" i="7" s="1"/>
  <c r="D8" i="7" s="1"/>
  <c r="D10" i="7" s="1"/>
  <c r="P55" i="7"/>
  <c r="P60" i="7" s="1"/>
  <c r="P62" i="7" s="1"/>
  <c r="P9" i="7" s="1"/>
  <c r="P7" i="7" s="1"/>
  <c r="P8" i="7" s="1"/>
  <c r="P10" i="7" s="1"/>
  <c r="P79" i="7" s="1"/>
  <c r="P80" i="7" s="1"/>
  <c r="P81" i="7" s="1"/>
  <c r="J24" i="8"/>
  <c r="J28" i="8" s="1"/>
  <c r="U11" i="8"/>
  <c r="U13" i="8" s="1"/>
  <c r="K55" i="7"/>
  <c r="K60" i="7" s="1"/>
  <c r="K62" i="7" s="1"/>
  <c r="K9" i="7" s="1"/>
  <c r="K7" i="7" s="1"/>
  <c r="K8" i="7" s="1"/>
  <c r="K10" i="7" s="1"/>
  <c r="K79" i="7" s="1"/>
  <c r="K80" i="7" s="1"/>
  <c r="K81" i="7" s="1"/>
  <c r="K82" i="7" s="1"/>
  <c r="K83" i="7" s="1"/>
  <c r="K16" i="7" s="1"/>
  <c r="C55" i="7"/>
  <c r="C60" i="7" s="1"/>
  <c r="C62" i="7" s="1"/>
  <c r="C9" i="7" s="1"/>
  <c r="C7" i="7" s="1"/>
  <c r="C8" i="7" s="1"/>
  <c r="C10" i="7" s="1"/>
  <c r="C79" i="7" s="1"/>
  <c r="C80" i="7" s="1"/>
  <c r="C81" i="7" s="1"/>
  <c r="C82" i="7" s="1"/>
  <c r="C83" i="7" s="1"/>
  <c r="C16" i="7" s="1"/>
  <c r="AA55" i="7"/>
  <c r="AA60" i="7" s="1"/>
  <c r="AA62" i="7" s="1"/>
  <c r="AA9" i="7" s="1"/>
  <c r="AA7" i="7" s="1"/>
  <c r="AA8" i="7" s="1"/>
  <c r="AA10" i="7" s="1"/>
  <c r="D79" i="7"/>
  <c r="D80" i="7" s="1"/>
  <c r="D81" i="7" s="1"/>
  <c r="D82" i="7" s="1"/>
  <c r="D83" i="7" s="1"/>
  <c r="D16" i="7" s="1"/>
  <c r="U55" i="7"/>
  <c r="U60" i="7" s="1"/>
  <c r="U62" i="7" s="1"/>
  <c r="U9" i="7" s="1"/>
  <c r="U7" i="7" s="1"/>
  <c r="U8" i="7" s="1"/>
  <c r="U10" i="7" s="1"/>
  <c r="Q55" i="7"/>
  <c r="Q60" i="7" s="1"/>
  <c r="Q62" i="7" s="1"/>
  <c r="Q9" i="7" s="1"/>
  <c r="Q7" i="7" s="1"/>
  <c r="Q8" i="7" s="1"/>
  <c r="Q10" i="7" s="1"/>
  <c r="Q79" i="7" s="1"/>
  <c r="Q80" i="7" s="1"/>
  <c r="Q81" i="7" s="1"/>
  <c r="Q82" i="7" s="1"/>
  <c r="Q83" i="7" s="1"/>
  <c r="Q16" i="7" s="1"/>
  <c r="Z55" i="7"/>
  <c r="Z60" i="7" s="1"/>
  <c r="Z62" i="7" s="1"/>
  <c r="Z9" i="7" s="1"/>
  <c r="Z7" i="7" s="1"/>
  <c r="Z8" i="7" s="1"/>
  <c r="Z10" i="7" s="1"/>
  <c r="V79" i="7"/>
  <c r="V80" i="7" s="1"/>
  <c r="V81" i="7" s="1"/>
  <c r="V82" i="7" s="1"/>
  <c r="V83" i="7" s="1"/>
  <c r="V16" i="7" s="1"/>
  <c r="W73" i="7"/>
  <c r="W74" i="7" s="1"/>
  <c r="W75" i="7" s="1"/>
  <c r="W76" i="7" s="1"/>
  <c r="W12" i="7" s="1"/>
  <c r="V73" i="7"/>
  <c r="V74" i="7" s="1"/>
  <c r="V75" i="7" s="1"/>
  <c r="V76" i="7" s="1"/>
  <c r="V12" i="7" s="1"/>
  <c r="N72" i="7"/>
  <c r="J69" i="7"/>
  <c r="J70" i="7"/>
  <c r="O82" i="7"/>
  <c r="O83" i="7" s="1"/>
  <c r="O16" i="7" s="1"/>
  <c r="O69" i="7"/>
  <c r="O70" i="7"/>
  <c r="C70" i="7"/>
  <c r="C69" i="7"/>
  <c r="M55" i="7"/>
  <c r="M60" i="7" s="1"/>
  <c r="M62" i="7" s="1"/>
  <c r="M9" i="7" s="1"/>
  <c r="M7" i="7" s="1"/>
  <c r="M8" i="7" s="1"/>
  <c r="M10" i="7" s="1"/>
  <c r="AC73" i="7"/>
  <c r="AC74" i="7" s="1"/>
  <c r="AC75" i="7" s="1"/>
  <c r="AC76" i="7" s="1"/>
  <c r="AC12" i="7" s="1"/>
  <c r="AC86" i="7"/>
  <c r="AC88" i="7" s="1"/>
  <c r="D70" i="7"/>
  <c r="D69" i="7"/>
  <c r="W79" i="7"/>
  <c r="W80" i="7" s="1"/>
  <c r="W81" i="7" s="1"/>
  <c r="W82" i="7" s="1"/>
  <c r="W83" i="7" s="1"/>
  <c r="W16" i="7" s="1"/>
  <c r="S70" i="7"/>
  <c r="S69" i="7"/>
  <c r="U70" i="7"/>
  <c r="U69" i="7"/>
  <c r="J55" i="7"/>
  <c r="J60" i="7" s="1"/>
  <c r="J62" i="7" s="1"/>
  <c r="J9" i="7" s="1"/>
  <c r="J7" i="7" s="1"/>
  <c r="J8" i="7" s="1"/>
  <c r="J10" i="7" s="1"/>
  <c r="I69" i="7"/>
  <c r="I70" i="7"/>
  <c r="L72" i="7"/>
  <c r="H69" i="7"/>
  <c r="H70" i="7"/>
  <c r="S55" i="7"/>
  <c r="S60" i="7" s="1"/>
  <c r="S62" i="7" s="1"/>
  <c r="S9" i="7" s="1"/>
  <c r="S7" i="7" s="1"/>
  <c r="S8" i="7" s="1"/>
  <c r="S10" i="7" s="1"/>
  <c r="F72" i="7"/>
  <c r="AB70" i="7"/>
  <c r="AB69" i="7"/>
  <c r="I55" i="7"/>
  <c r="I60" i="7" s="1"/>
  <c r="I62" i="7" s="1"/>
  <c r="I9" i="7" s="1"/>
  <c r="I7" i="7" s="1"/>
  <c r="I8" i="7" s="1"/>
  <c r="I10" i="7" s="1"/>
  <c r="H55" i="7"/>
  <c r="H60" i="7" s="1"/>
  <c r="H62" i="7" s="1"/>
  <c r="H9" i="7" s="1"/>
  <c r="H7" i="7" s="1"/>
  <c r="H8" i="7" s="1"/>
  <c r="H10" i="7" s="1"/>
  <c r="AD86" i="7"/>
  <c r="AD88" i="7" s="1"/>
  <c r="AD73" i="7"/>
  <c r="AD74" i="7" s="1"/>
  <c r="AD75" i="7" s="1"/>
  <c r="AD76" i="7" s="1"/>
  <c r="AD12" i="7" s="1"/>
  <c r="G82" i="7"/>
  <c r="G83" i="7" s="1"/>
  <c r="G16" i="7" s="1"/>
  <c r="G69" i="7"/>
  <c r="G70" i="7"/>
  <c r="AC87" i="7"/>
  <c r="AC89" i="7" s="1"/>
  <c r="AC100" i="7"/>
  <c r="AC102" i="7" s="1"/>
  <c r="AC103" i="7" s="1"/>
  <c r="AC105" i="7" s="1"/>
  <c r="E70" i="7"/>
  <c r="E69" i="7"/>
  <c r="T70" i="7"/>
  <c r="T69" i="7"/>
  <c r="O72" i="7"/>
  <c r="AB55" i="7"/>
  <c r="AB60" i="7" s="1"/>
  <c r="AB62" i="7" s="1"/>
  <c r="AB9" i="7" s="1"/>
  <c r="AB7" i="7" s="1"/>
  <c r="AB8" i="7" s="1"/>
  <c r="AB10" i="7" s="1"/>
  <c r="AB72" i="7" s="1"/>
  <c r="D72" i="7"/>
  <c r="AD99" i="7"/>
  <c r="AD101" i="7" s="1"/>
  <c r="E55" i="7"/>
  <c r="E60" i="7" s="1"/>
  <c r="E62" i="7" s="1"/>
  <c r="E9" i="7" s="1"/>
  <c r="E7" i="7" s="1"/>
  <c r="E8" i="7" s="1"/>
  <c r="E10" i="7" s="1"/>
  <c r="T55" i="7"/>
  <c r="T60" i="7" s="1"/>
  <c r="T62" i="7" s="1"/>
  <c r="T9" i="7" s="1"/>
  <c r="T7" i="7" s="1"/>
  <c r="T8" i="7" s="1"/>
  <c r="T10" i="7" s="1"/>
  <c r="V70" i="7"/>
  <c r="V69" i="7"/>
  <c r="V99" i="7" s="1"/>
  <c r="V101" i="7" s="1"/>
  <c r="K70" i="7"/>
  <c r="K69" i="7"/>
  <c r="P72" i="7"/>
  <c r="AA70" i="7"/>
  <c r="AA69" i="7"/>
  <c r="Z69" i="7"/>
  <c r="Z70" i="7"/>
  <c r="C72" i="7"/>
  <c r="AD87" i="7"/>
  <c r="AD89" i="7" s="1"/>
  <c r="AD100" i="7"/>
  <c r="AD102" i="7" s="1"/>
  <c r="G73" i="7"/>
  <c r="G74" i="7" s="1"/>
  <c r="G75" i="7" s="1"/>
  <c r="G76" i="7" s="1"/>
  <c r="G12" i="7" s="1"/>
  <c r="R69" i="7"/>
  <c r="R70" i="7"/>
  <c r="Y69" i="7"/>
  <c r="Y70" i="7"/>
  <c r="M70" i="7"/>
  <c r="M69" i="7"/>
  <c r="N82" i="7"/>
  <c r="N83" i="7" s="1"/>
  <c r="N16" i="7" s="1"/>
  <c r="N70" i="7"/>
  <c r="N69" i="7"/>
  <c r="N99" i="7" s="1"/>
  <c r="N101" i="7" s="1"/>
  <c r="F82" i="7"/>
  <c r="F83" i="7" s="1"/>
  <c r="F16" i="7" s="1"/>
  <c r="F70" i="7"/>
  <c r="F69" i="7"/>
  <c r="F99" i="7" s="1"/>
  <c r="F101" i="7" s="1"/>
  <c r="X69" i="7"/>
  <c r="X70" i="7"/>
  <c r="W69" i="7"/>
  <c r="W99" i="7" s="1"/>
  <c r="W101" i="7" s="1"/>
  <c r="W70" i="7"/>
  <c r="L82" i="7"/>
  <c r="L83" i="7" s="1"/>
  <c r="L16" i="7" s="1"/>
  <c r="L70" i="7"/>
  <c r="L69" i="7"/>
  <c r="R55" i="7"/>
  <c r="R60" i="7" s="1"/>
  <c r="R62" i="7" s="1"/>
  <c r="R9" i="7" s="1"/>
  <c r="R7" i="7" s="1"/>
  <c r="R8" i="7" s="1"/>
  <c r="R10" i="7" s="1"/>
  <c r="Q69" i="7"/>
  <c r="Q70" i="7"/>
  <c r="P82" i="7"/>
  <c r="P83" i="7" s="1"/>
  <c r="P16" i="7" s="1"/>
  <c r="P69" i="7"/>
  <c r="P70" i="7"/>
  <c r="Y55" i="7"/>
  <c r="Y60" i="7" s="1"/>
  <c r="Y62" i="7" s="1"/>
  <c r="Y9" i="7" s="1"/>
  <c r="Y7" i="7" s="1"/>
  <c r="Y8" i="7" s="1"/>
  <c r="Y10" i="7" s="1"/>
  <c r="Z33" i="8"/>
  <c r="Z35" i="8" s="1"/>
  <c r="Z39" i="8" s="1"/>
  <c r="AA23" i="8"/>
  <c r="AA24" i="8" s="1"/>
  <c r="F28" i="8"/>
  <c r="Q25" i="8"/>
  <c r="Q27" i="8" s="1"/>
  <c r="Q32" i="8" s="1"/>
  <c r="Q33" i="8" s="1"/>
  <c r="Q35" i="8" s="1"/>
  <c r="Q39" i="8" s="1"/>
  <c r="Q24" i="8"/>
  <c r="W32" i="8"/>
  <c r="K14" i="8"/>
  <c r="S31" i="8"/>
  <c r="S33" i="8" s="1"/>
  <c r="S35" i="8" s="1"/>
  <c r="S39" i="8" s="1"/>
  <c r="W28" i="8"/>
  <c r="M33" i="8"/>
  <c r="M35" i="8" s="1"/>
  <c r="M39" i="8" s="1"/>
  <c r="F14" i="8"/>
  <c r="J33" i="8"/>
  <c r="J35" i="8" s="1"/>
  <c r="J39" i="8" s="1"/>
  <c r="Z28" i="8"/>
  <c r="Z14" i="8"/>
  <c r="P32" i="8"/>
  <c r="P33" i="8" s="1"/>
  <c r="P35" i="8" s="1"/>
  <c r="P39" i="8" s="1"/>
  <c r="U25" i="8"/>
  <c r="U27" i="8" s="1"/>
  <c r="U32" i="8" s="1"/>
  <c r="R32" i="8"/>
  <c r="R33" i="8" s="1"/>
  <c r="R35" i="8" s="1"/>
  <c r="R39" i="8" s="1"/>
  <c r="Y23" i="8"/>
  <c r="Y25" i="8" s="1"/>
  <c r="Y27" i="8" s="1"/>
  <c r="W11" i="8"/>
  <c r="W13" i="8" s="1"/>
  <c r="W31" i="8" s="1"/>
  <c r="U14" i="8"/>
  <c r="AA14" i="8"/>
  <c r="U24" i="8"/>
  <c r="AB32" i="8"/>
  <c r="AB33" i="8" s="1"/>
  <c r="AB35" i="8" s="1"/>
  <c r="AB39" i="8" s="1"/>
  <c r="L25" i="8"/>
  <c r="L27" i="8" s="1"/>
  <c r="L32" i="8" s="1"/>
  <c r="L33" i="8" s="1"/>
  <c r="L35" i="8" s="1"/>
  <c r="L39" i="8" s="1"/>
  <c r="M14" i="8"/>
  <c r="C14" i="8"/>
  <c r="T28" i="8"/>
  <c r="T31" i="8"/>
  <c r="D25" i="8"/>
  <c r="D27" i="8" s="1"/>
  <c r="D28" i="8" s="1"/>
  <c r="AB24" i="8"/>
  <c r="AB28" i="8" s="1"/>
  <c r="X33" i="8"/>
  <c r="X35" i="8" s="1"/>
  <c r="X39" i="8" s="1"/>
  <c r="I25" i="8"/>
  <c r="I27" i="8" s="1"/>
  <c r="I28" i="8" s="1"/>
  <c r="N32" i="8"/>
  <c r="N33" i="8" s="1"/>
  <c r="N35" i="8" s="1"/>
  <c r="N39" i="8" s="1"/>
  <c r="W10" i="8"/>
  <c r="W14" i="8" s="1"/>
  <c r="N14" i="8"/>
  <c r="F32" i="8"/>
  <c r="F33" i="8" s="1"/>
  <c r="F35" i="8" s="1"/>
  <c r="F39" i="8" s="1"/>
  <c r="E14" i="8"/>
  <c r="T32" i="8"/>
  <c r="U31" i="8"/>
  <c r="L24" i="8"/>
  <c r="V25" i="8"/>
  <c r="V27" i="8" s="1"/>
  <c r="V28" i="8" s="1"/>
  <c r="N24" i="8"/>
  <c r="N28" i="8" s="1"/>
  <c r="D122" i="10" l="1"/>
  <c r="D129" i="10" s="1"/>
  <c r="D23" i="10" s="1"/>
  <c r="D34" i="10" s="1"/>
  <c r="D123" i="10"/>
  <c r="D130" i="10" s="1"/>
  <c r="D24" i="10" s="1"/>
  <c r="C131" i="10"/>
  <c r="C130" i="10"/>
  <c r="C24" i="10" s="1"/>
  <c r="D108" i="10"/>
  <c r="D22" i="10" s="1"/>
  <c r="D33" i="10" s="1"/>
  <c r="W33" i="8"/>
  <c r="W35" i="8" s="1"/>
  <c r="W39" i="8" s="1"/>
  <c r="D32" i="8"/>
  <c r="D33" i="8" s="1"/>
  <c r="D35" i="8" s="1"/>
  <c r="D39" i="8" s="1"/>
  <c r="U28" i="8"/>
  <c r="G99" i="7"/>
  <c r="G101" i="7" s="1"/>
  <c r="P99" i="7"/>
  <c r="P101" i="7" s="1"/>
  <c r="L99" i="7"/>
  <c r="L101" i="7" s="1"/>
  <c r="AA25" i="8"/>
  <c r="AA27" i="8" s="1"/>
  <c r="AA28" i="8" s="1"/>
  <c r="AB79" i="7"/>
  <c r="AB80" i="7" s="1"/>
  <c r="AB81" i="7" s="1"/>
  <c r="AB82" i="7" s="1"/>
  <c r="AB83" i="7" s="1"/>
  <c r="AB16" i="7" s="1"/>
  <c r="L28" i="8"/>
  <c r="I32" i="8"/>
  <c r="I33" i="8" s="1"/>
  <c r="I35" i="8" s="1"/>
  <c r="I39" i="8" s="1"/>
  <c r="G86" i="7"/>
  <c r="G88" i="7" s="1"/>
  <c r="K72" i="7"/>
  <c r="K73" i="7" s="1"/>
  <c r="K74" i="7" s="1"/>
  <c r="K75" i="7" s="1"/>
  <c r="K76" i="7" s="1"/>
  <c r="K12" i="7" s="1"/>
  <c r="X99" i="7"/>
  <c r="X101" i="7" s="1"/>
  <c r="Q72" i="7"/>
  <c r="Q99" i="7" s="1"/>
  <c r="Q101" i="7" s="1"/>
  <c r="X79" i="7"/>
  <c r="X80" i="7" s="1"/>
  <c r="X81" i="7" s="1"/>
  <c r="X82" i="7" s="1"/>
  <c r="X83" i="7" s="1"/>
  <c r="X16" i="7" s="1"/>
  <c r="Z72" i="7"/>
  <c r="Z73" i="7" s="1"/>
  <c r="Z74" i="7" s="1"/>
  <c r="Z75" i="7" s="1"/>
  <c r="Z76" i="7" s="1"/>
  <c r="Z12" i="7" s="1"/>
  <c r="Z79" i="7"/>
  <c r="Z80" i="7" s="1"/>
  <c r="Z81" i="7" s="1"/>
  <c r="Z82" i="7" s="1"/>
  <c r="Z83" i="7" s="1"/>
  <c r="Z16" i="7" s="1"/>
  <c r="U72" i="7"/>
  <c r="U79" i="7"/>
  <c r="U80" i="7" s="1"/>
  <c r="U81" i="7" s="1"/>
  <c r="U82" i="7" s="1"/>
  <c r="U83" i="7" s="1"/>
  <c r="U16" i="7" s="1"/>
  <c r="AA72" i="7"/>
  <c r="AA73" i="7" s="1"/>
  <c r="AA74" i="7" s="1"/>
  <c r="AA75" i="7" s="1"/>
  <c r="AA76" i="7" s="1"/>
  <c r="AA12" i="7" s="1"/>
  <c r="AA79" i="7"/>
  <c r="AA80" i="7" s="1"/>
  <c r="AA81" i="7" s="1"/>
  <c r="AA82" i="7" s="1"/>
  <c r="AA83" i="7" s="1"/>
  <c r="AA16" i="7" s="1"/>
  <c r="N87" i="7"/>
  <c r="N89" i="7" s="1"/>
  <c r="N100" i="7"/>
  <c r="N102" i="7" s="1"/>
  <c r="N103" i="7" s="1"/>
  <c r="N105" i="7" s="1"/>
  <c r="R100" i="7"/>
  <c r="R102" i="7" s="1"/>
  <c r="R87" i="7"/>
  <c r="R89" i="7" s="1"/>
  <c r="Z100" i="7"/>
  <c r="Z102" i="7" s="1"/>
  <c r="Z87" i="7"/>
  <c r="Z89" i="7" s="1"/>
  <c r="F86" i="7"/>
  <c r="F88" i="7" s="1"/>
  <c r="F73" i="7"/>
  <c r="F74" i="7" s="1"/>
  <c r="F75" i="7" s="1"/>
  <c r="F76" i="7" s="1"/>
  <c r="F12" i="7" s="1"/>
  <c r="J100" i="7"/>
  <c r="J102" i="7" s="1"/>
  <c r="J87" i="7"/>
  <c r="J89" i="7" s="1"/>
  <c r="Y72" i="7"/>
  <c r="Y99" i="7" s="1"/>
  <c r="Y101" i="7" s="1"/>
  <c r="Y79" i="7"/>
  <c r="Y80" i="7" s="1"/>
  <c r="Y81" i="7" s="1"/>
  <c r="Y82" i="7" s="1"/>
  <c r="Y83" i="7" s="1"/>
  <c r="Y16" i="7" s="1"/>
  <c r="X100" i="7"/>
  <c r="X102" i="7" s="1"/>
  <c r="X103" i="7" s="1"/>
  <c r="X105" i="7" s="1"/>
  <c r="X87" i="7"/>
  <c r="X89" i="7" s="1"/>
  <c r="K87" i="7"/>
  <c r="K89" i="7" s="1"/>
  <c r="K100" i="7"/>
  <c r="K102" i="7" s="1"/>
  <c r="Q86" i="7"/>
  <c r="Q88" i="7" s="1"/>
  <c r="Q73" i="7"/>
  <c r="Q74" i="7" s="1"/>
  <c r="Q75" i="7" s="1"/>
  <c r="Q76" i="7" s="1"/>
  <c r="Q12" i="7" s="1"/>
  <c r="AD90" i="7"/>
  <c r="S79" i="7"/>
  <c r="S80" i="7" s="1"/>
  <c r="S81" i="7" s="1"/>
  <c r="S82" i="7" s="1"/>
  <c r="S83" i="7" s="1"/>
  <c r="S16" i="7" s="1"/>
  <c r="S72" i="7"/>
  <c r="J79" i="7"/>
  <c r="J80" i="7" s="1"/>
  <c r="J81" i="7" s="1"/>
  <c r="J82" i="7" s="1"/>
  <c r="J83" i="7" s="1"/>
  <c r="J16" i="7" s="1"/>
  <c r="J72" i="7"/>
  <c r="J99" i="7" s="1"/>
  <c r="J101" i="7" s="1"/>
  <c r="J103" i="7" s="1"/>
  <c r="J105" i="7" s="1"/>
  <c r="D99" i="7"/>
  <c r="D101" i="7" s="1"/>
  <c r="AA86" i="7"/>
  <c r="AA88" i="7" s="1"/>
  <c r="P100" i="7"/>
  <c r="P102" i="7" s="1"/>
  <c r="P87" i="7"/>
  <c r="P89" i="7" s="1"/>
  <c r="R79" i="7"/>
  <c r="R80" i="7" s="1"/>
  <c r="R81" i="7" s="1"/>
  <c r="R82" i="7" s="1"/>
  <c r="R83" i="7" s="1"/>
  <c r="R16" i="7" s="1"/>
  <c r="R72" i="7"/>
  <c r="R99" i="7" s="1"/>
  <c r="R101" i="7" s="1"/>
  <c r="R103" i="7" s="1"/>
  <c r="R105" i="7" s="1"/>
  <c r="D86" i="7"/>
  <c r="D88" i="7" s="1"/>
  <c r="D73" i="7"/>
  <c r="D74" i="7" s="1"/>
  <c r="D75" i="7" s="1"/>
  <c r="D76" i="7" s="1"/>
  <c r="D12" i="7" s="1"/>
  <c r="E87" i="7"/>
  <c r="E89" i="7" s="1"/>
  <c r="E100" i="7"/>
  <c r="E102" i="7" s="1"/>
  <c r="H100" i="7"/>
  <c r="H102" i="7" s="1"/>
  <c r="H87" i="7"/>
  <c r="H89" i="7" s="1"/>
  <c r="D87" i="7"/>
  <c r="D89" i="7" s="1"/>
  <c r="D100" i="7"/>
  <c r="D102" i="7" s="1"/>
  <c r="C99" i="7"/>
  <c r="C101" i="7" s="1"/>
  <c r="V87" i="7"/>
  <c r="V89" i="7" s="1"/>
  <c r="V100" i="7"/>
  <c r="V102" i="7" s="1"/>
  <c r="V103" i="7" s="1"/>
  <c r="V105" i="7" s="1"/>
  <c r="H79" i="7"/>
  <c r="H80" i="7" s="1"/>
  <c r="H81" i="7" s="1"/>
  <c r="H82" i="7" s="1"/>
  <c r="H83" i="7" s="1"/>
  <c r="H16" i="7" s="1"/>
  <c r="H72" i="7"/>
  <c r="H99" i="7" s="1"/>
  <c r="H101" i="7" s="1"/>
  <c r="N86" i="7"/>
  <c r="N88" i="7" s="1"/>
  <c r="N73" i="7"/>
  <c r="N74" i="7" s="1"/>
  <c r="N75" i="7" s="1"/>
  <c r="N76" i="7" s="1"/>
  <c r="N12" i="7" s="1"/>
  <c r="M87" i="7"/>
  <c r="M89" i="7" s="1"/>
  <c r="M100" i="7"/>
  <c r="M102" i="7" s="1"/>
  <c r="AA87" i="7"/>
  <c r="AA89" i="7" s="1"/>
  <c r="AA100" i="7"/>
  <c r="AA102" i="7" s="1"/>
  <c r="O86" i="7"/>
  <c r="O88" i="7" s="1"/>
  <c r="O73" i="7"/>
  <c r="O74" i="7" s="1"/>
  <c r="O75" i="7" s="1"/>
  <c r="O76" i="7" s="1"/>
  <c r="O12" i="7" s="1"/>
  <c r="I72" i="7"/>
  <c r="I99" i="7" s="1"/>
  <c r="I101" i="7" s="1"/>
  <c r="I79" i="7"/>
  <c r="I80" i="7" s="1"/>
  <c r="I81" i="7" s="1"/>
  <c r="I82" i="7" s="1"/>
  <c r="I83" i="7" s="1"/>
  <c r="I16" i="7" s="1"/>
  <c r="U87" i="7"/>
  <c r="U89" i="7" s="1"/>
  <c r="U100" i="7"/>
  <c r="U102" i="7" s="1"/>
  <c r="AC90" i="7"/>
  <c r="C87" i="7"/>
  <c r="C89" i="7" s="1"/>
  <c r="C100" i="7"/>
  <c r="C102" i="7" s="1"/>
  <c r="L87" i="7"/>
  <c r="L89" i="7" s="1"/>
  <c r="L100" i="7"/>
  <c r="L102" i="7" s="1"/>
  <c r="L103" i="7" s="1"/>
  <c r="L105" i="7" s="1"/>
  <c r="AB86" i="7"/>
  <c r="AB88" i="7" s="1"/>
  <c r="AB73" i="7"/>
  <c r="AB74" i="7" s="1"/>
  <c r="AB75" i="7" s="1"/>
  <c r="AB76" i="7" s="1"/>
  <c r="AB12" i="7" s="1"/>
  <c r="F87" i="7"/>
  <c r="F89" i="7" s="1"/>
  <c r="F100" i="7"/>
  <c r="F102" i="7" s="1"/>
  <c r="F103" i="7" s="1"/>
  <c r="F105" i="7" s="1"/>
  <c r="Y100" i="7"/>
  <c r="Y102" i="7" s="1"/>
  <c r="Y87" i="7"/>
  <c r="Y89" i="7" s="1"/>
  <c r="T79" i="7"/>
  <c r="T80" i="7" s="1"/>
  <c r="T81" i="7" s="1"/>
  <c r="T82" i="7" s="1"/>
  <c r="T83" i="7" s="1"/>
  <c r="T16" i="7" s="1"/>
  <c r="T72" i="7"/>
  <c r="T99" i="7" s="1"/>
  <c r="T101" i="7" s="1"/>
  <c r="G100" i="7"/>
  <c r="G102" i="7" s="1"/>
  <c r="G103" i="7" s="1"/>
  <c r="G105" i="7" s="1"/>
  <c r="G87" i="7"/>
  <c r="G89" i="7" s="1"/>
  <c r="AB99" i="7"/>
  <c r="AB101" i="7" s="1"/>
  <c r="L86" i="7"/>
  <c r="L88" i="7" s="1"/>
  <c r="L73" i="7"/>
  <c r="L74" i="7" s="1"/>
  <c r="L75" i="7" s="1"/>
  <c r="L76" i="7" s="1"/>
  <c r="L12" i="7" s="1"/>
  <c r="S99" i="7"/>
  <c r="S101" i="7" s="1"/>
  <c r="O100" i="7"/>
  <c r="O102" i="7" s="1"/>
  <c r="O87" i="7"/>
  <c r="O89" i="7" s="1"/>
  <c r="W86" i="7"/>
  <c r="W88" i="7" s="1"/>
  <c r="P86" i="7"/>
  <c r="P88" i="7" s="1"/>
  <c r="P73" i="7"/>
  <c r="P74" i="7" s="1"/>
  <c r="P75" i="7" s="1"/>
  <c r="P76" i="7" s="1"/>
  <c r="P12" i="7" s="1"/>
  <c r="E79" i="7"/>
  <c r="E80" i="7" s="1"/>
  <c r="E81" i="7" s="1"/>
  <c r="E82" i="7" s="1"/>
  <c r="E83" i="7" s="1"/>
  <c r="E16" i="7" s="1"/>
  <c r="E72" i="7"/>
  <c r="E99" i="7" s="1"/>
  <c r="E101" i="7" s="1"/>
  <c r="T87" i="7"/>
  <c r="T89" i="7" s="1"/>
  <c r="T100" i="7"/>
  <c r="T102" i="7" s="1"/>
  <c r="AB87" i="7"/>
  <c r="AB89" i="7" s="1"/>
  <c r="AB100" i="7"/>
  <c r="AB102" i="7" s="1"/>
  <c r="I100" i="7"/>
  <c r="I102" i="7" s="1"/>
  <c r="I87" i="7"/>
  <c r="I89" i="7" s="1"/>
  <c r="S87" i="7"/>
  <c r="S89" i="7" s="1"/>
  <c r="S100" i="7"/>
  <c r="S102" i="7" s="1"/>
  <c r="M79" i="7"/>
  <c r="M80" i="7" s="1"/>
  <c r="M81" i="7" s="1"/>
  <c r="M82" i="7" s="1"/>
  <c r="M83" i="7" s="1"/>
  <c r="M16" i="7" s="1"/>
  <c r="M72" i="7"/>
  <c r="M99" i="7" s="1"/>
  <c r="M101" i="7" s="1"/>
  <c r="O99" i="7"/>
  <c r="O101" i="7" s="1"/>
  <c r="P103" i="7"/>
  <c r="P105" i="7" s="1"/>
  <c r="W100" i="7"/>
  <c r="W102" i="7" s="1"/>
  <c r="W103" i="7" s="1"/>
  <c r="W105" i="7" s="1"/>
  <c r="W87" i="7"/>
  <c r="W89" i="7" s="1"/>
  <c r="Q100" i="7"/>
  <c r="Q102" i="7" s="1"/>
  <c r="Q87" i="7"/>
  <c r="Q89" i="7" s="1"/>
  <c r="C86" i="7"/>
  <c r="C88" i="7" s="1"/>
  <c r="C73" i="7"/>
  <c r="C74" i="7" s="1"/>
  <c r="C75" i="7" s="1"/>
  <c r="C76" i="7" s="1"/>
  <c r="C12" i="7" s="1"/>
  <c r="AD103" i="7"/>
  <c r="AD105" i="7" s="1"/>
  <c r="V86" i="7"/>
  <c r="V88" i="7" s="1"/>
  <c r="X86" i="7"/>
  <c r="X88" i="7" s="1"/>
  <c r="V32" i="8"/>
  <c r="V33" i="8" s="1"/>
  <c r="V35" i="8" s="1"/>
  <c r="V39" i="8" s="1"/>
  <c r="U33" i="8"/>
  <c r="U35" i="8" s="1"/>
  <c r="U39" i="8" s="1"/>
  <c r="Y32" i="8"/>
  <c r="Y33" i="8" s="1"/>
  <c r="Y35" i="8" s="1"/>
  <c r="Y39" i="8" s="1"/>
  <c r="Y24" i="8"/>
  <c r="Y28" i="8" s="1"/>
  <c r="T33" i="8"/>
  <c r="T35" i="8" s="1"/>
  <c r="T39" i="8" s="1"/>
  <c r="Q28" i="8"/>
  <c r="AA32" i="8"/>
  <c r="AA33" i="8" s="1"/>
  <c r="AA35" i="8" s="1"/>
  <c r="AA39" i="8" s="1"/>
  <c r="C75" i="1"/>
  <c r="D74" i="1"/>
  <c r="D75" i="1" s="1"/>
  <c r="E74" i="1"/>
  <c r="E75" i="1" s="1"/>
  <c r="F74" i="1"/>
  <c r="F75" i="1" s="1"/>
  <c r="G74" i="1"/>
  <c r="G75" i="1" s="1"/>
  <c r="H74" i="1"/>
  <c r="H75" i="1" s="1"/>
  <c r="I74" i="1"/>
  <c r="I75" i="1" s="1"/>
  <c r="J74" i="1"/>
  <c r="J75" i="1" s="1"/>
  <c r="K74" i="1"/>
  <c r="K75" i="1" s="1"/>
  <c r="L74" i="1"/>
  <c r="L75" i="1" s="1"/>
  <c r="M74" i="1"/>
  <c r="M75" i="1" s="1"/>
  <c r="N74" i="1"/>
  <c r="N75" i="1" s="1"/>
  <c r="O74" i="1"/>
  <c r="O75" i="1" s="1"/>
  <c r="P74" i="1"/>
  <c r="P75" i="1" s="1"/>
  <c r="Q74" i="1"/>
  <c r="Q75" i="1" s="1"/>
  <c r="R74" i="1"/>
  <c r="R75" i="1" s="1"/>
  <c r="S74" i="1"/>
  <c r="S75" i="1" s="1"/>
  <c r="T74" i="1"/>
  <c r="T75" i="1" s="1"/>
  <c r="S58" i="1"/>
  <c r="T58" i="1"/>
  <c r="R58" i="1"/>
  <c r="Q58" i="1"/>
  <c r="P58" i="1"/>
  <c r="D61" i="1"/>
  <c r="E61" i="1"/>
  <c r="F61" i="1"/>
  <c r="G61" i="1"/>
  <c r="H61" i="1"/>
  <c r="I61" i="1"/>
  <c r="J61" i="1"/>
  <c r="K61" i="1"/>
  <c r="L61" i="1"/>
  <c r="M61" i="1"/>
  <c r="N61" i="1"/>
  <c r="O61" i="1"/>
  <c r="C61" i="1"/>
  <c r="D131" i="10" l="1"/>
  <c r="T103" i="7"/>
  <c r="T105" i="7" s="1"/>
  <c r="Q103" i="7"/>
  <c r="Q105" i="7" s="1"/>
  <c r="E103" i="7"/>
  <c r="E105" i="7" s="1"/>
  <c r="K86" i="7"/>
  <c r="K88" i="7" s="1"/>
  <c r="K90" i="7" s="1"/>
  <c r="K99" i="7"/>
  <c r="K101" i="7" s="1"/>
  <c r="K103" i="7" s="1"/>
  <c r="K105" i="7" s="1"/>
  <c r="AA99" i="7"/>
  <c r="AA101" i="7" s="1"/>
  <c r="AA103" i="7" s="1"/>
  <c r="AA105" i="7" s="1"/>
  <c r="AB103" i="7"/>
  <c r="AB105" i="7" s="1"/>
  <c r="Z86" i="7"/>
  <c r="Z88" i="7" s="1"/>
  <c r="U86" i="7"/>
  <c r="U88" i="7" s="1"/>
  <c r="U73" i="7"/>
  <c r="U74" i="7" s="1"/>
  <c r="U75" i="7" s="1"/>
  <c r="U76" i="7" s="1"/>
  <c r="U12" i="7" s="1"/>
  <c r="M103" i="7"/>
  <c r="M105" i="7" s="1"/>
  <c r="H103" i="7"/>
  <c r="H105" i="7" s="1"/>
  <c r="U99" i="7"/>
  <c r="U101" i="7" s="1"/>
  <c r="U103" i="7" s="1"/>
  <c r="U105" i="7" s="1"/>
  <c r="G90" i="7"/>
  <c r="Z99" i="7"/>
  <c r="Z101" i="7" s="1"/>
  <c r="Z103" i="7" s="1"/>
  <c r="Z105" i="7" s="1"/>
  <c r="S103" i="7"/>
  <c r="S105" i="7" s="1"/>
  <c r="AA90" i="7"/>
  <c r="Y103" i="7"/>
  <c r="Y105" i="7" s="1"/>
  <c r="W90" i="7"/>
  <c r="I86" i="7"/>
  <c r="I88" i="7" s="1"/>
  <c r="I73" i="7"/>
  <c r="I74" i="7" s="1"/>
  <c r="I75" i="7" s="1"/>
  <c r="I76" i="7" s="1"/>
  <c r="I12" i="7" s="1"/>
  <c r="E86" i="7"/>
  <c r="E88" i="7" s="1"/>
  <c r="E73" i="7"/>
  <c r="E74" i="7" s="1"/>
  <c r="E75" i="7" s="1"/>
  <c r="E76" i="7" s="1"/>
  <c r="E12" i="7" s="1"/>
  <c r="O90" i="7"/>
  <c r="D103" i="7"/>
  <c r="D105" i="7" s="1"/>
  <c r="U90" i="7"/>
  <c r="X90" i="7"/>
  <c r="C90" i="7"/>
  <c r="T86" i="7"/>
  <c r="T88" i="7" s="1"/>
  <c r="T73" i="7"/>
  <c r="T74" i="7" s="1"/>
  <c r="T75" i="7" s="1"/>
  <c r="T76" i="7" s="1"/>
  <c r="T12" i="7" s="1"/>
  <c r="H86" i="7"/>
  <c r="H88" i="7" s="1"/>
  <c r="H73" i="7"/>
  <c r="H74" i="7" s="1"/>
  <c r="H75" i="7" s="1"/>
  <c r="H76" i="7" s="1"/>
  <c r="H12" i="7" s="1"/>
  <c r="C103" i="7"/>
  <c r="C105" i="7" s="1"/>
  <c r="R86" i="7"/>
  <c r="R88" i="7" s="1"/>
  <c r="R73" i="7"/>
  <c r="R74" i="7" s="1"/>
  <c r="R75" i="7" s="1"/>
  <c r="R76" i="7" s="1"/>
  <c r="R12" i="7" s="1"/>
  <c r="J86" i="7"/>
  <c r="J88" i="7" s="1"/>
  <c r="J73" i="7"/>
  <c r="J74" i="7" s="1"/>
  <c r="J75" i="7" s="1"/>
  <c r="J76" i="7" s="1"/>
  <c r="J12" i="7" s="1"/>
  <c r="Q90" i="7"/>
  <c r="V90" i="7"/>
  <c r="AB90" i="7"/>
  <c r="Z90" i="7"/>
  <c r="F90" i="7"/>
  <c r="M73" i="7"/>
  <c r="M74" i="7" s="1"/>
  <c r="M75" i="7" s="1"/>
  <c r="M76" i="7" s="1"/>
  <c r="M12" i="7" s="1"/>
  <c r="M86" i="7"/>
  <c r="M88" i="7" s="1"/>
  <c r="P90" i="7"/>
  <c r="S73" i="7"/>
  <c r="S74" i="7" s="1"/>
  <c r="S75" i="7" s="1"/>
  <c r="S76" i="7" s="1"/>
  <c r="S12" i="7" s="1"/>
  <c r="S86" i="7"/>
  <c r="S88" i="7" s="1"/>
  <c r="Y86" i="7"/>
  <c r="Y88" i="7" s="1"/>
  <c r="Y73" i="7"/>
  <c r="Y74" i="7" s="1"/>
  <c r="Y75" i="7" s="1"/>
  <c r="Y76" i="7" s="1"/>
  <c r="Y12" i="7" s="1"/>
  <c r="I103" i="7"/>
  <c r="I105" i="7" s="1"/>
  <c r="O103" i="7"/>
  <c r="O105" i="7" s="1"/>
  <c r="L90" i="7"/>
  <c r="N90" i="7"/>
  <c r="D90" i="7"/>
  <c r="G55" i="1"/>
  <c r="G52" i="1"/>
  <c r="G51" i="1"/>
  <c r="G48" i="1"/>
  <c r="G47" i="1"/>
  <c r="G84" i="1"/>
  <c r="F55" i="1"/>
  <c r="F52" i="1"/>
  <c r="F51" i="1"/>
  <c r="F48" i="1"/>
  <c r="F47" i="1"/>
  <c r="F84" i="1"/>
  <c r="F85" i="1" l="1"/>
  <c r="Y90" i="7"/>
  <c r="I90" i="7"/>
  <c r="S90" i="7"/>
  <c r="M90" i="7"/>
  <c r="H90" i="7"/>
  <c r="E90" i="7"/>
  <c r="J90" i="7"/>
  <c r="T90" i="7"/>
  <c r="R90" i="7"/>
  <c r="G85" i="1"/>
  <c r="F62" i="1"/>
  <c r="G62" i="1"/>
  <c r="G70" i="1" l="1"/>
  <c r="G67" i="1"/>
  <c r="F70" i="1"/>
  <c r="F67" i="1"/>
  <c r="F65" i="1"/>
  <c r="G65" i="1"/>
  <c r="G88" i="1" s="1"/>
  <c r="T61" i="1"/>
  <c r="T56" i="1"/>
  <c r="T55" i="1"/>
  <c r="T52" i="1"/>
  <c r="T51" i="1"/>
  <c r="T48" i="1"/>
  <c r="T47" i="1"/>
  <c r="T84" i="1"/>
  <c r="T35" i="1"/>
  <c r="K84" i="1"/>
  <c r="K47" i="1"/>
  <c r="K48" i="1"/>
  <c r="K51" i="1"/>
  <c r="K52" i="1"/>
  <c r="K55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G87" i="1"/>
  <c r="E69" i="2"/>
  <c r="K85" i="1"/>
  <c r="F71" i="1"/>
  <c r="F76" i="1" s="1"/>
  <c r="F78" i="1" s="1"/>
  <c r="F121" i="1" s="1"/>
  <c r="G71" i="1"/>
  <c r="G76" i="1" s="1"/>
  <c r="G78" i="1" s="1"/>
  <c r="G121" i="1" s="1"/>
  <c r="F88" i="1"/>
  <c r="F118" i="1" s="1"/>
  <c r="F87" i="1"/>
  <c r="T85" i="1"/>
  <c r="T62" i="1"/>
  <c r="T65" i="1" s="1"/>
  <c r="K62" i="1"/>
  <c r="K70" i="1" s="1"/>
  <c r="G105" i="1"/>
  <c r="G118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D51" i="1"/>
  <c r="E51" i="1"/>
  <c r="H51" i="1"/>
  <c r="I51" i="1"/>
  <c r="J51" i="1"/>
  <c r="L51" i="1"/>
  <c r="M51" i="1"/>
  <c r="N51" i="1"/>
  <c r="O51" i="1"/>
  <c r="P51" i="1"/>
  <c r="Q51" i="1"/>
  <c r="R51" i="1"/>
  <c r="S51" i="1"/>
  <c r="D52" i="1"/>
  <c r="E52" i="1"/>
  <c r="H52" i="1"/>
  <c r="I52" i="1"/>
  <c r="J52" i="1"/>
  <c r="L52" i="1"/>
  <c r="M52" i="1"/>
  <c r="N52" i="1"/>
  <c r="O52" i="1"/>
  <c r="P52" i="1"/>
  <c r="Q52" i="1"/>
  <c r="R52" i="1"/>
  <c r="S52" i="1"/>
  <c r="C52" i="1"/>
  <c r="C51" i="1"/>
  <c r="F105" i="1" l="1"/>
  <c r="F107" i="1" s="1"/>
  <c r="J40" i="8"/>
  <c r="J41" i="8" s="1"/>
  <c r="G77" i="1"/>
  <c r="I40" i="8"/>
  <c r="I41" i="8" s="1"/>
  <c r="F77" i="1"/>
  <c r="H40" i="8"/>
  <c r="H41" i="8" s="1"/>
  <c r="G80" i="1"/>
  <c r="G12" i="1" s="1"/>
  <c r="G10" i="1" s="1"/>
  <c r="G11" i="1" s="1"/>
  <c r="G13" i="1" s="1"/>
  <c r="F80" i="1"/>
  <c r="F12" i="1" s="1"/>
  <c r="F10" i="1" s="1"/>
  <c r="F11" i="1" s="1"/>
  <c r="F13" i="1" s="1"/>
  <c r="F97" i="1" s="1"/>
  <c r="F98" i="1" s="1"/>
  <c r="F99" i="1" s="1"/>
  <c r="F100" i="1" s="1"/>
  <c r="F101" i="1" s="1"/>
  <c r="F19" i="1" s="1"/>
  <c r="F30" i="1" s="1"/>
  <c r="T70" i="1"/>
  <c r="T67" i="1"/>
  <c r="K65" i="1"/>
  <c r="K88" i="1" s="1"/>
  <c r="K67" i="1"/>
  <c r="K71" i="1" s="1"/>
  <c r="F120" i="1"/>
  <c r="G120" i="1"/>
  <c r="G107" i="1"/>
  <c r="T88" i="1"/>
  <c r="T87" i="1"/>
  <c r="S35" i="1"/>
  <c r="R35" i="1"/>
  <c r="M35" i="1"/>
  <c r="L35" i="1"/>
  <c r="K87" i="1" l="1"/>
  <c r="F90" i="1"/>
  <c r="F104" i="1" s="1"/>
  <c r="F106" i="1" s="1"/>
  <c r="F108" i="1" s="1"/>
  <c r="F22" i="1" s="1"/>
  <c r="F33" i="1" s="1"/>
  <c r="T71" i="1"/>
  <c r="T76" i="1" s="1"/>
  <c r="T78" i="1" s="1"/>
  <c r="T121" i="1" s="1"/>
  <c r="G97" i="1"/>
  <c r="G98" i="1" s="1"/>
  <c r="G99" i="1" s="1"/>
  <c r="G100" i="1" s="1"/>
  <c r="G101" i="1" s="1"/>
  <c r="G19" i="1" s="1"/>
  <c r="G30" i="1" s="1"/>
  <c r="G90" i="1"/>
  <c r="K76" i="1"/>
  <c r="K78" i="1" s="1"/>
  <c r="K121" i="1" s="1"/>
  <c r="K118" i="1"/>
  <c r="K105" i="1"/>
  <c r="T118" i="1"/>
  <c r="T105" i="1"/>
  <c r="S84" i="1"/>
  <c r="S47" i="1"/>
  <c r="S48" i="1"/>
  <c r="S55" i="1"/>
  <c r="S56" i="1"/>
  <c r="S61" i="1"/>
  <c r="R61" i="1"/>
  <c r="R56" i="1"/>
  <c r="D84" i="1"/>
  <c r="E84" i="1"/>
  <c r="D47" i="1"/>
  <c r="E47" i="1"/>
  <c r="D48" i="1"/>
  <c r="E48" i="1"/>
  <c r="D55" i="1"/>
  <c r="E55" i="1"/>
  <c r="H84" i="1"/>
  <c r="H47" i="1"/>
  <c r="H48" i="1"/>
  <c r="H55" i="1"/>
  <c r="C62" i="1"/>
  <c r="C67" i="1" s="1"/>
  <c r="C55" i="1"/>
  <c r="C48" i="1"/>
  <c r="C47" i="1"/>
  <c r="C38" i="1"/>
  <c r="C84" i="1" s="1"/>
  <c r="N84" i="1"/>
  <c r="O84" i="1"/>
  <c r="N47" i="1"/>
  <c r="O47" i="1"/>
  <c r="N48" i="1"/>
  <c r="O48" i="1"/>
  <c r="N55" i="1"/>
  <c r="O55" i="1"/>
  <c r="Q61" i="1"/>
  <c r="P61" i="1"/>
  <c r="Q56" i="1"/>
  <c r="P56" i="1"/>
  <c r="K107" i="1" l="1"/>
  <c r="F117" i="1"/>
  <c r="F119" i="1" s="1"/>
  <c r="F91" i="1"/>
  <c r="F92" i="1" s="1"/>
  <c r="F93" i="1" s="1"/>
  <c r="F94" i="1" s="1"/>
  <c r="F15" i="1" s="1"/>
  <c r="F26" i="1" s="1"/>
  <c r="K77" i="1"/>
  <c r="O40" i="8"/>
  <c r="O41" i="8" s="1"/>
  <c r="T77" i="1"/>
  <c r="AB40" i="8"/>
  <c r="AB41" i="8" s="1"/>
  <c r="T80" i="1"/>
  <c r="T12" i="1" s="1"/>
  <c r="T10" i="1" s="1"/>
  <c r="T11" i="1" s="1"/>
  <c r="T13" i="1" s="1"/>
  <c r="T97" i="1" s="1"/>
  <c r="T98" i="1" s="1"/>
  <c r="T99" i="1" s="1"/>
  <c r="T100" i="1" s="1"/>
  <c r="T101" i="1" s="1"/>
  <c r="T19" i="1" s="1"/>
  <c r="T30" i="1" s="1"/>
  <c r="K80" i="1"/>
  <c r="K12" i="1" s="1"/>
  <c r="K10" i="1" s="1"/>
  <c r="K11" i="1" s="1"/>
  <c r="K13" i="1" s="1"/>
  <c r="K90" i="1" s="1"/>
  <c r="K91" i="1" s="1"/>
  <c r="K92" i="1" s="1"/>
  <c r="K93" i="1" s="1"/>
  <c r="K94" i="1" s="1"/>
  <c r="K15" i="1" s="1"/>
  <c r="K26" i="1" s="1"/>
  <c r="T107" i="1"/>
  <c r="K120" i="1"/>
  <c r="T120" i="1"/>
  <c r="G117" i="1"/>
  <c r="G119" i="1" s="1"/>
  <c r="G104" i="1"/>
  <c r="G106" i="1" s="1"/>
  <c r="G108" i="1" s="1"/>
  <c r="G22" i="1" s="1"/>
  <c r="G33" i="1" s="1"/>
  <c r="G91" i="1"/>
  <c r="G92" i="1" s="1"/>
  <c r="G93" i="1" s="1"/>
  <c r="G94" i="1" s="1"/>
  <c r="G15" i="1" s="1"/>
  <c r="G26" i="1" s="1"/>
  <c r="O62" i="1"/>
  <c r="N62" i="1"/>
  <c r="E62" i="1"/>
  <c r="D62" i="1"/>
  <c r="S62" i="1"/>
  <c r="H62" i="1"/>
  <c r="S85" i="1"/>
  <c r="D85" i="1"/>
  <c r="H85" i="1"/>
  <c r="E85" i="1"/>
  <c r="C85" i="1"/>
  <c r="C65" i="1"/>
  <c r="C87" i="1" s="1"/>
  <c r="C70" i="1"/>
  <c r="O85" i="1"/>
  <c r="N85" i="1"/>
  <c r="R84" i="1"/>
  <c r="R47" i="1"/>
  <c r="R48" i="1"/>
  <c r="R55" i="1"/>
  <c r="Q84" i="1"/>
  <c r="Q47" i="1"/>
  <c r="Q48" i="1"/>
  <c r="Q55" i="1"/>
  <c r="P84" i="1"/>
  <c r="P47" i="1"/>
  <c r="P48" i="1"/>
  <c r="P55" i="1"/>
  <c r="J48" i="1"/>
  <c r="L48" i="1"/>
  <c r="M48" i="1"/>
  <c r="I48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C7" i="2"/>
  <c r="E7" i="2" s="1"/>
  <c r="C8" i="2"/>
  <c r="E8" i="2" s="1"/>
  <c r="C9" i="2"/>
  <c r="E9" i="2" s="1"/>
  <c r="S39" i="2" s="1"/>
  <c r="S40" i="2" s="1"/>
  <c r="C10" i="2"/>
  <c r="E10" i="2" s="1"/>
  <c r="H7" i="2" s="1"/>
  <c r="C11" i="2"/>
  <c r="E11" i="2" s="1"/>
  <c r="I39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6" i="2"/>
  <c r="L84" i="1"/>
  <c r="M84" i="1"/>
  <c r="L47" i="1"/>
  <c r="M47" i="1"/>
  <c r="L55" i="1"/>
  <c r="M55" i="1"/>
  <c r="J55" i="1"/>
  <c r="J47" i="1"/>
  <c r="J84" i="1"/>
  <c r="I55" i="1"/>
  <c r="I84" i="1"/>
  <c r="I47" i="1"/>
  <c r="G122" i="1" l="1"/>
  <c r="G123" i="1" s="1"/>
  <c r="G130" i="1" s="1"/>
  <c r="G24" i="1" s="1"/>
  <c r="F122" i="1"/>
  <c r="F123" i="1" s="1"/>
  <c r="F130" i="1" s="1"/>
  <c r="F24" i="1" s="1"/>
  <c r="K117" i="1"/>
  <c r="K119" i="1" s="1"/>
  <c r="K97" i="1"/>
  <c r="K98" i="1" s="1"/>
  <c r="K99" i="1" s="1"/>
  <c r="K100" i="1" s="1"/>
  <c r="K101" i="1" s="1"/>
  <c r="K19" i="1" s="1"/>
  <c r="K30" i="1" s="1"/>
  <c r="T90" i="1"/>
  <c r="T117" i="1" s="1"/>
  <c r="T119" i="1" s="1"/>
  <c r="K104" i="1"/>
  <c r="K106" i="1" s="1"/>
  <c r="K108" i="1" s="1"/>
  <c r="K22" i="1" s="1"/>
  <c r="K33" i="1" s="1"/>
  <c r="P39" i="2"/>
  <c r="P40" i="2" s="1"/>
  <c r="I40" i="2"/>
  <c r="E47" i="2"/>
  <c r="Q56" i="2" s="1"/>
  <c r="E70" i="1"/>
  <c r="E67" i="1"/>
  <c r="N65" i="1"/>
  <c r="N88" i="1" s="1"/>
  <c r="N67" i="1"/>
  <c r="O70" i="1"/>
  <c r="O67" i="1"/>
  <c r="D65" i="1"/>
  <c r="D88" i="1" s="1"/>
  <c r="D67" i="1"/>
  <c r="H65" i="1"/>
  <c r="H87" i="1" s="1"/>
  <c r="H67" i="1"/>
  <c r="S65" i="1"/>
  <c r="S87" i="1" s="1"/>
  <c r="S67" i="1"/>
  <c r="O65" i="1"/>
  <c r="O88" i="1" s="1"/>
  <c r="S70" i="1"/>
  <c r="N70" i="1"/>
  <c r="E65" i="1"/>
  <c r="E88" i="1" s="1"/>
  <c r="L62" i="1"/>
  <c r="R62" i="1"/>
  <c r="Q62" i="1"/>
  <c r="D70" i="1"/>
  <c r="I62" i="1"/>
  <c r="I67" i="1" s="1"/>
  <c r="J62" i="1"/>
  <c r="M62" i="1"/>
  <c r="M70" i="1" s="1"/>
  <c r="P62" i="1"/>
  <c r="H70" i="1"/>
  <c r="C71" i="1"/>
  <c r="C76" i="1" s="1"/>
  <c r="C78" i="1" s="1"/>
  <c r="C121" i="1" s="1"/>
  <c r="C88" i="1"/>
  <c r="R85" i="1"/>
  <c r="Q85" i="1"/>
  <c r="P85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M85" i="1"/>
  <c r="I85" i="1"/>
  <c r="L85" i="1"/>
  <c r="J85" i="1"/>
  <c r="G131" i="1" l="1"/>
  <c r="G129" i="1"/>
  <c r="G23" i="1" s="1"/>
  <c r="G34" i="1" s="1"/>
  <c r="F131" i="1"/>
  <c r="F129" i="1"/>
  <c r="F23" i="1" s="1"/>
  <c r="F34" i="1" s="1"/>
  <c r="T122" i="1"/>
  <c r="T123" i="1" s="1"/>
  <c r="T130" i="1" s="1"/>
  <c r="T24" i="1" s="1"/>
  <c r="K122" i="1"/>
  <c r="K123" i="1" s="1"/>
  <c r="K130" i="1" s="1"/>
  <c r="K24" i="1" s="1"/>
  <c r="H88" i="1"/>
  <c r="H118" i="1" s="1"/>
  <c r="O87" i="1"/>
  <c r="N71" i="1"/>
  <c r="N76" i="1" s="1"/>
  <c r="N78" i="1" s="1"/>
  <c r="N121" i="1" s="1"/>
  <c r="T104" i="1"/>
  <c r="T106" i="1" s="1"/>
  <c r="T108" i="1" s="1"/>
  <c r="T22" i="1" s="1"/>
  <c r="T33" i="1" s="1"/>
  <c r="T91" i="1"/>
  <c r="T92" i="1" s="1"/>
  <c r="T93" i="1" s="1"/>
  <c r="T94" i="1" s="1"/>
  <c r="T15" i="1" s="1"/>
  <c r="T26" i="1" s="1"/>
  <c r="N87" i="1"/>
  <c r="C77" i="1"/>
  <c r="C40" i="8"/>
  <c r="C41" i="8" s="1"/>
  <c r="O71" i="1"/>
  <c r="O76" i="1" s="1"/>
  <c r="O78" i="1" s="1"/>
  <c r="O121" i="1" s="1"/>
  <c r="J39" i="2"/>
  <c r="J40" i="2" s="1"/>
  <c r="R39" i="2"/>
  <c r="R40" i="2" s="1"/>
  <c r="Q39" i="2"/>
  <c r="Q40" i="2" s="1"/>
  <c r="S88" i="1"/>
  <c r="S118" i="1" s="1"/>
  <c r="D87" i="1"/>
  <c r="I65" i="1"/>
  <c r="I87" i="1" s="1"/>
  <c r="E87" i="1"/>
  <c r="Q70" i="1"/>
  <c r="Q67" i="1"/>
  <c r="I70" i="1"/>
  <c r="P65" i="1"/>
  <c r="P88" i="1" s="1"/>
  <c r="P67" i="1"/>
  <c r="R70" i="1"/>
  <c r="R67" i="1"/>
  <c r="M65" i="1"/>
  <c r="M87" i="1" s="1"/>
  <c r="M67" i="1"/>
  <c r="M71" i="1" s="1"/>
  <c r="J70" i="1"/>
  <c r="J67" i="1"/>
  <c r="L70" i="1"/>
  <c r="L67" i="1"/>
  <c r="L65" i="1"/>
  <c r="L88" i="1" s="1"/>
  <c r="E71" i="1"/>
  <c r="H71" i="1"/>
  <c r="H76" i="1" s="1"/>
  <c r="H78" i="1" s="1"/>
  <c r="H121" i="1" s="1"/>
  <c r="R65" i="1"/>
  <c r="R87" i="1" s="1"/>
  <c r="D71" i="1"/>
  <c r="S71" i="1"/>
  <c r="J65" i="1"/>
  <c r="J88" i="1" s="1"/>
  <c r="Q65" i="1"/>
  <c r="Q88" i="1" s="1"/>
  <c r="P70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C80" i="1"/>
  <c r="C12" i="1" s="1"/>
  <c r="C10" i="1" s="1"/>
  <c r="C11" i="1" s="1"/>
  <c r="D105" i="1"/>
  <c r="D118" i="1"/>
  <c r="E105" i="1"/>
  <c r="E118" i="1"/>
  <c r="C105" i="1"/>
  <c r="C118" i="1"/>
  <c r="N118" i="1"/>
  <c r="N105" i="1"/>
  <c r="O105" i="1"/>
  <c r="O118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H105" i="1" l="1"/>
  <c r="H107" i="1" s="1"/>
  <c r="T131" i="1"/>
  <c r="T129" i="1"/>
  <c r="T23" i="1" s="1"/>
  <c r="T34" i="1" s="1"/>
  <c r="O120" i="1"/>
  <c r="K129" i="1"/>
  <c r="K23" i="1" s="1"/>
  <c r="K34" i="1" s="1"/>
  <c r="I88" i="1"/>
  <c r="K131" i="1"/>
  <c r="L87" i="1"/>
  <c r="P87" i="1"/>
  <c r="S105" i="1"/>
  <c r="N77" i="1"/>
  <c r="S40" i="8"/>
  <c r="S41" i="8" s="1"/>
  <c r="H77" i="1"/>
  <c r="K40" i="8"/>
  <c r="K41" i="8" s="1"/>
  <c r="G40" i="8"/>
  <c r="G41" i="8" s="1"/>
  <c r="O77" i="1"/>
  <c r="T40" i="8"/>
  <c r="T41" i="8" s="1"/>
  <c r="D40" i="8"/>
  <c r="D41" i="8" s="1"/>
  <c r="O80" i="1"/>
  <c r="O12" i="1" s="1"/>
  <c r="O10" i="1" s="1"/>
  <c r="O11" i="1" s="1"/>
  <c r="O13" i="1" s="1"/>
  <c r="O97" i="1" s="1"/>
  <c r="O98" i="1" s="1"/>
  <c r="O99" i="1" s="1"/>
  <c r="O100" i="1" s="1"/>
  <c r="O101" i="1" s="1"/>
  <c r="O19" i="1" s="1"/>
  <c r="O30" i="1" s="1"/>
  <c r="N80" i="1"/>
  <c r="N12" i="1" s="1"/>
  <c r="N10" i="1" s="1"/>
  <c r="N11" i="1" s="1"/>
  <c r="N13" i="1" s="1"/>
  <c r="N97" i="1" s="1"/>
  <c r="N98" i="1" s="1"/>
  <c r="N99" i="1" s="1"/>
  <c r="N100" i="1" s="1"/>
  <c r="N101" i="1" s="1"/>
  <c r="N19" i="1" s="1"/>
  <c r="N30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O19" i="2"/>
  <c r="O20" i="2" s="1"/>
  <c r="P19" i="2"/>
  <c r="P20" i="2" s="1"/>
  <c r="J71" i="1"/>
  <c r="J76" i="1" s="1"/>
  <c r="J78" i="1" s="1"/>
  <c r="J121" i="1" s="1"/>
  <c r="J87" i="1"/>
  <c r="L71" i="1"/>
  <c r="L76" i="1" s="1"/>
  <c r="L78" i="1" s="1"/>
  <c r="L121" i="1" s="1"/>
  <c r="I71" i="1"/>
  <c r="Q71" i="1"/>
  <c r="Q76" i="1" s="1"/>
  <c r="Q78" i="1" s="1"/>
  <c r="Q121" i="1" s="1"/>
  <c r="M88" i="1"/>
  <c r="M118" i="1" s="1"/>
  <c r="Q87" i="1"/>
  <c r="N107" i="1"/>
  <c r="N120" i="1"/>
  <c r="R88" i="1"/>
  <c r="R118" i="1" s="1"/>
  <c r="R71" i="1"/>
  <c r="S76" i="1"/>
  <c r="S78" i="1" s="1"/>
  <c r="S121" i="1" s="1"/>
  <c r="E76" i="1"/>
  <c r="E78" i="1" s="1"/>
  <c r="E121" i="1" s="1"/>
  <c r="O107" i="1"/>
  <c r="M76" i="1"/>
  <c r="M78" i="1" s="1"/>
  <c r="M121" i="1" s="1"/>
  <c r="D76" i="1"/>
  <c r="D78" i="1" s="1"/>
  <c r="D121" i="1" s="1"/>
  <c r="H80" i="1"/>
  <c r="H12" i="1" s="1"/>
  <c r="H10" i="1" s="1"/>
  <c r="H11" i="1" s="1"/>
  <c r="H13" i="1" s="1"/>
  <c r="H120" i="1"/>
  <c r="P71" i="1"/>
  <c r="C120" i="1"/>
  <c r="C107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L20" i="2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C13" i="1"/>
  <c r="C90" i="1" s="1"/>
  <c r="Q105" i="1"/>
  <c r="Q118" i="1"/>
  <c r="P118" i="1"/>
  <c r="P105" i="1"/>
  <c r="L118" i="1"/>
  <c r="L105" i="1"/>
  <c r="J118" i="1"/>
  <c r="J105" i="1"/>
  <c r="I105" i="1"/>
  <c r="I118" i="1"/>
  <c r="O90" i="1" l="1"/>
  <c r="O104" i="1" s="1"/>
  <c r="O106" i="1" s="1"/>
  <c r="M105" i="1"/>
  <c r="M107" i="1" s="1"/>
  <c r="M40" i="8"/>
  <c r="M41" i="8" s="1"/>
  <c r="X40" i="8"/>
  <c r="X41" i="8" s="1"/>
  <c r="Z40" i="8"/>
  <c r="Z41" i="8" s="1"/>
  <c r="M77" i="1"/>
  <c r="R40" i="8"/>
  <c r="R41" i="8" s="1"/>
  <c r="S77" i="1"/>
  <c r="AA40" i="8"/>
  <c r="AA41" i="8" s="1"/>
  <c r="Q40" i="8"/>
  <c r="Q41" i="8" s="1"/>
  <c r="V40" i="8"/>
  <c r="V41" i="8" s="1"/>
  <c r="Q77" i="1"/>
  <c r="W40" i="8"/>
  <c r="W41" i="8" s="1"/>
  <c r="J77" i="1"/>
  <c r="N40" i="8"/>
  <c r="N41" i="8" s="1"/>
  <c r="D77" i="1"/>
  <c r="E40" i="8"/>
  <c r="E41" i="8" s="1"/>
  <c r="E77" i="1"/>
  <c r="F40" i="8"/>
  <c r="F41" i="8" s="1"/>
  <c r="L77" i="1"/>
  <c r="P40" i="8"/>
  <c r="P41" i="8" s="1"/>
  <c r="E120" i="1"/>
  <c r="Q80" i="1"/>
  <c r="Q12" i="1" s="1"/>
  <c r="Q10" i="1" s="1"/>
  <c r="Q11" i="1" s="1"/>
  <c r="Q13" i="1" s="1"/>
  <c r="Q90" i="1" s="1"/>
  <c r="D120" i="1"/>
  <c r="S80" i="1"/>
  <c r="S12" i="1" s="1"/>
  <c r="S10" i="1" s="1"/>
  <c r="S11" i="1" s="1"/>
  <c r="S13" i="1" s="1"/>
  <c r="S90" i="1" s="1"/>
  <c r="S117" i="1" s="1"/>
  <c r="S119" i="1" s="1"/>
  <c r="I76" i="1"/>
  <c r="L80" i="1"/>
  <c r="L12" i="1" s="1"/>
  <c r="L10" i="1" s="1"/>
  <c r="L11" i="1" s="1"/>
  <c r="L13" i="1" s="1"/>
  <c r="L90" i="1" s="1"/>
  <c r="L117" i="1" s="1"/>
  <c r="L119" i="1" s="1"/>
  <c r="M80" i="1"/>
  <c r="M12" i="1" s="1"/>
  <c r="M10" i="1" s="1"/>
  <c r="M11" i="1" s="1"/>
  <c r="M13" i="1" s="1"/>
  <c r="M90" i="1" s="1"/>
  <c r="M104" i="1" s="1"/>
  <c r="M106" i="1" s="1"/>
  <c r="T40" i="2"/>
  <c r="T39" i="2"/>
  <c r="O59" i="2"/>
  <c r="J59" i="2"/>
  <c r="J60" i="2" s="1"/>
  <c r="I19" i="2"/>
  <c r="I20" i="2" s="1"/>
  <c r="K59" i="2"/>
  <c r="K60" i="2" s="1"/>
  <c r="I59" i="2"/>
  <c r="I60" i="2" s="1"/>
  <c r="R105" i="1"/>
  <c r="K19" i="2"/>
  <c r="K20" i="2" s="1"/>
  <c r="H59" i="2"/>
  <c r="H60" i="2" s="1"/>
  <c r="J19" i="2"/>
  <c r="J20" i="2" s="1"/>
  <c r="H19" i="2"/>
  <c r="N59" i="2"/>
  <c r="N60" i="2" s="1"/>
  <c r="Q120" i="1"/>
  <c r="Q107" i="1"/>
  <c r="M120" i="1"/>
  <c r="L120" i="1"/>
  <c r="L107" i="1"/>
  <c r="S107" i="1"/>
  <c r="D107" i="1"/>
  <c r="S120" i="1"/>
  <c r="D80" i="1"/>
  <c r="D12" i="1" s="1"/>
  <c r="D10" i="1" s="1"/>
  <c r="D11" i="1" s="1"/>
  <c r="D13" i="1" s="1"/>
  <c r="D90" i="1" s="1"/>
  <c r="D117" i="1" s="1"/>
  <c r="D119" i="1" s="1"/>
  <c r="J107" i="1"/>
  <c r="E80" i="1"/>
  <c r="E12" i="1" s="1"/>
  <c r="E10" i="1" s="1"/>
  <c r="E11" i="1" s="1"/>
  <c r="E13" i="1" s="1"/>
  <c r="R76" i="1"/>
  <c r="R78" i="1" s="1"/>
  <c r="R121" i="1" s="1"/>
  <c r="E107" i="1"/>
  <c r="P76" i="1"/>
  <c r="P78" i="1" s="1"/>
  <c r="P121" i="1" s="1"/>
  <c r="H97" i="1"/>
  <c r="H98" i="1" s="1"/>
  <c r="H99" i="1" s="1"/>
  <c r="H100" i="1" s="1"/>
  <c r="H101" i="1" s="1"/>
  <c r="H19" i="1" s="1"/>
  <c r="H30" i="1" s="1"/>
  <c r="H90" i="1"/>
  <c r="C97" i="1"/>
  <c r="C98" i="1" s="1"/>
  <c r="C99" i="1" s="1"/>
  <c r="C100" i="1" s="1"/>
  <c r="C101" i="1" s="1"/>
  <c r="C19" i="1" s="1"/>
  <c r="C30" i="1" s="1"/>
  <c r="C117" i="1"/>
  <c r="L60" i="2"/>
  <c r="O60" i="2"/>
  <c r="Q60" i="2"/>
  <c r="N90" i="1"/>
  <c r="N117" i="1" s="1"/>
  <c r="N119" i="1" s="1"/>
  <c r="N122" i="1" s="1"/>
  <c r="N123" i="1" s="1"/>
  <c r="N130" i="1" s="1"/>
  <c r="O117" i="1" l="1"/>
  <c r="O119" i="1" s="1"/>
  <c r="O122" i="1" s="1"/>
  <c r="D122" i="1"/>
  <c r="D123" i="1" s="1"/>
  <c r="D130" i="1" s="1"/>
  <c r="D24" i="1" s="1"/>
  <c r="M97" i="1"/>
  <c r="M98" i="1" s="1"/>
  <c r="M99" i="1" s="1"/>
  <c r="M100" i="1" s="1"/>
  <c r="M101" i="1" s="1"/>
  <c r="M19" i="1" s="1"/>
  <c r="M30" i="1" s="1"/>
  <c r="D109" i="10"/>
  <c r="C109" i="10"/>
  <c r="L122" i="1"/>
  <c r="L123" i="1" s="1"/>
  <c r="L130" i="1" s="1"/>
  <c r="L24" i="1" s="1"/>
  <c r="I107" i="1"/>
  <c r="I78" i="1"/>
  <c r="I121" i="1" s="1"/>
  <c r="S122" i="1"/>
  <c r="S123" i="1" s="1"/>
  <c r="S130" i="1" s="1"/>
  <c r="N24" i="1"/>
  <c r="L104" i="1"/>
  <c r="L106" i="1" s="1"/>
  <c r="L108" i="1" s="1"/>
  <c r="L22" i="1" s="1"/>
  <c r="L33" i="1" s="1"/>
  <c r="O91" i="1"/>
  <c r="O92" i="1" s="1"/>
  <c r="O93" i="1" s="1"/>
  <c r="O94" i="1" s="1"/>
  <c r="O15" i="1" s="1"/>
  <c r="O26" i="1" s="1"/>
  <c r="L97" i="1"/>
  <c r="L98" i="1" s="1"/>
  <c r="L99" i="1" s="1"/>
  <c r="L100" i="1" s="1"/>
  <c r="L101" i="1" s="1"/>
  <c r="L19" i="1" s="1"/>
  <c r="L30" i="1" s="1"/>
  <c r="M117" i="1"/>
  <c r="M119" i="1" s="1"/>
  <c r="M91" i="1"/>
  <c r="M92" i="1" s="1"/>
  <c r="M93" i="1" s="1"/>
  <c r="M94" i="1" s="1"/>
  <c r="M15" i="1" s="1"/>
  <c r="M26" i="1" s="1"/>
  <c r="L91" i="1"/>
  <c r="L92" i="1" s="1"/>
  <c r="L93" i="1" s="1"/>
  <c r="L94" i="1" s="1"/>
  <c r="L15" i="1" s="1"/>
  <c r="L26" i="1" s="1"/>
  <c r="I120" i="1"/>
  <c r="N131" i="1"/>
  <c r="N129" i="1"/>
  <c r="N23" i="1" s="1"/>
  <c r="N34" i="1" s="1"/>
  <c r="C119" i="1"/>
  <c r="C122" i="1" s="1"/>
  <c r="C131" i="1" s="1"/>
  <c r="S97" i="1"/>
  <c r="S98" i="1" s="1"/>
  <c r="S99" i="1" s="1"/>
  <c r="S100" i="1" s="1"/>
  <c r="S101" i="1" s="1"/>
  <c r="S19" i="1" s="1"/>
  <c r="S30" i="1" s="1"/>
  <c r="P77" i="1"/>
  <c r="U40" i="8"/>
  <c r="U41" i="8" s="1"/>
  <c r="R77" i="1"/>
  <c r="Y40" i="8"/>
  <c r="Y41" i="8" s="1"/>
  <c r="I77" i="1"/>
  <c r="L40" i="8"/>
  <c r="L41" i="8" s="1"/>
  <c r="I80" i="1"/>
  <c r="I12" i="1" s="1"/>
  <c r="I10" i="1" s="1"/>
  <c r="I11" i="1" s="1"/>
  <c r="I13" i="1" s="1"/>
  <c r="I97" i="1" s="1"/>
  <c r="I98" i="1" s="1"/>
  <c r="I99" i="1" s="1"/>
  <c r="I100" i="1" s="1"/>
  <c r="I101" i="1" s="1"/>
  <c r="I19" i="1" s="1"/>
  <c r="I30" i="1" s="1"/>
  <c r="R80" i="1"/>
  <c r="R12" i="1" s="1"/>
  <c r="R10" i="1" s="1"/>
  <c r="R11" i="1" s="1"/>
  <c r="R13" i="1" s="1"/>
  <c r="R97" i="1" s="1"/>
  <c r="R98" i="1" s="1"/>
  <c r="R99" i="1" s="1"/>
  <c r="R100" i="1" s="1"/>
  <c r="R101" i="1" s="1"/>
  <c r="R19" i="1" s="1"/>
  <c r="R30" i="1" s="1"/>
  <c r="P80" i="1"/>
  <c r="P12" i="1" s="1"/>
  <c r="P10" i="1" s="1"/>
  <c r="P11" i="1" s="1"/>
  <c r="P13" i="1" s="1"/>
  <c r="P97" i="1" s="1"/>
  <c r="P98" i="1" s="1"/>
  <c r="P99" i="1" s="1"/>
  <c r="P100" i="1" s="1"/>
  <c r="P101" i="1" s="1"/>
  <c r="P19" i="1" s="1"/>
  <c r="P30" i="1" s="1"/>
  <c r="H20" i="2"/>
  <c r="T20" i="2" s="1"/>
  <c r="T19" i="2"/>
  <c r="T59" i="2"/>
  <c r="M108" i="1"/>
  <c r="M22" i="1" s="1"/>
  <c r="M33" i="1" s="1"/>
  <c r="R107" i="1"/>
  <c r="S91" i="1"/>
  <c r="S92" i="1" s="1"/>
  <c r="S93" i="1" s="1"/>
  <c r="S94" i="1" s="1"/>
  <c r="S15" i="1" s="1"/>
  <c r="S26" i="1" s="1"/>
  <c r="D91" i="1"/>
  <c r="D92" i="1" s="1"/>
  <c r="D93" i="1" s="1"/>
  <c r="D94" i="1" s="1"/>
  <c r="D15" i="1" s="1"/>
  <c r="D26" i="1" s="1"/>
  <c r="P120" i="1"/>
  <c r="D97" i="1"/>
  <c r="D98" i="1" s="1"/>
  <c r="D99" i="1" s="1"/>
  <c r="D100" i="1" s="1"/>
  <c r="D101" i="1" s="1"/>
  <c r="D19" i="1" s="1"/>
  <c r="D30" i="1" s="1"/>
  <c r="P107" i="1"/>
  <c r="S24" i="1"/>
  <c r="J80" i="1"/>
  <c r="J12" i="1" s="1"/>
  <c r="J10" i="1" s="1"/>
  <c r="J11" i="1" s="1"/>
  <c r="J13" i="1" s="1"/>
  <c r="J90" i="1" s="1"/>
  <c r="J104" i="1" s="1"/>
  <c r="J106" i="1" s="1"/>
  <c r="S104" i="1"/>
  <c r="S106" i="1" s="1"/>
  <c r="S108" i="1" s="1"/>
  <c r="S22" i="1" s="1"/>
  <c r="S33" i="1" s="1"/>
  <c r="D104" i="1"/>
  <c r="D106" i="1" s="1"/>
  <c r="D108" i="1" s="1"/>
  <c r="D22" i="1" s="1"/>
  <c r="D33" i="1" s="1"/>
  <c r="E97" i="1"/>
  <c r="E98" i="1" s="1"/>
  <c r="E99" i="1" s="1"/>
  <c r="E100" i="1" s="1"/>
  <c r="E101" i="1" s="1"/>
  <c r="E19" i="1" s="1"/>
  <c r="E30" i="1" s="1"/>
  <c r="E90" i="1"/>
  <c r="J120" i="1"/>
  <c r="R120" i="1"/>
  <c r="H104" i="1"/>
  <c r="H106" i="1" s="1"/>
  <c r="H108" i="1" s="1"/>
  <c r="H22" i="1" s="1"/>
  <c r="H33" i="1" s="1"/>
  <c r="H91" i="1"/>
  <c r="H92" i="1" s="1"/>
  <c r="H93" i="1" s="1"/>
  <c r="H94" i="1" s="1"/>
  <c r="H15" i="1" s="1"/>
  <c r="H26" i="1" s="1"/>
  <c r="H117" i="1"/>
  <c r="H119" i="1" s="1"/>
  <c r="C104" i="1"/>
  <c r="C106" i="1" s="1"/>
  <c r="C108" i="1" s="1"/>
  <c r="C22" i="1" s="1"/>
  <c r="C33" i="1" s="1"/>
  <c r="C91" i="1"/>
  <c r="T60" i="2"/>
  <c r="Q97" i="1"/>
  <c r="Q98" i="1" s="1"/>
  <c r="Q99" i="1" s="1"/>
  <c r="Q100" i="1" s="1"/>
  <c r="Q101" i="1" s="1"/>
  <c r="Q19" i="1" s="1"/>
  <c r="Q30" i="1" s="1"/>
  <c r="N91" i="1"/>
  <c r="N92" i="1" s="1"/>
  <c r="N93" i="1" s="1"/>
  <c r="N94" i="1" s="1"/>
  <c r="N15" i="1" s="1"/>
  <c r="N26" i="1" s="1"/>
  <c r="N104" i="1"/>
  <c r="N106" i="1" s="1"/>
  <c r="O108" i="1"/>
  <c r="O22" i="1" s="1"/>
  <c r="O33" i="1" s="1"/>
  <c r="Q91" i="1"/>
  <c r="Q92" i="1" s="1"/>
  <c r="Q93" i="1" s="1"/>
  <c r="Q94" i="1" s="1"/>
  <c r="Q15" i="1" s="1"/>
  <c r="Q26" i="1" s="1"/>
  <c r="Q104" i="1"/>
  <c r="Q106" i="1" s="1"/>
  <c r="Q117" i="1"/>
  <c r="Q119" i="1" s="1"/>
  <c r="O123" i="1" l="1"/>
  <c r="O130" i="1" s="1"/>
  <c r="O24" i="1" s="1"/>
  <c r="O131" i="1"/>
  <c r="O129" i="1"/>
  <c r="O23" i="1" s="1"/>
  <c r="O34" i="1" s="1"/>
  <c r="Q122" i="1"/>
  <c r="Q123" i="1" s="1"/>
  <c r="Q130" i="1" s="1"/>
  <c r="Q24" i="1" s="1"/>
  <c r="C92" i="1"/>
  <c r="C93" i="1" s="1"/>
  <c r="C94" i="1" s="1"/>
  <c r="C15" i="1" s="1"/>
  <c r="C26" i="1" s="1"/>
  <c r="H122" i="1"/>
  <c r="H123" i="1" s="1"/>
  <c r="H130" i="1" s="1"/>
  <c r="H24" i="1" s="1"/>
  <c r="E132" i="1"/>
  <c r="D132" i="10"/>
  <c r="D133" i="10" s="1"/>
  <c r="D134" i="10" s="1"/>
  <c r="D20" i="10" s="1"/>
  <c r="C132" i="10"/>
  <c r="C133" i="10" s="1"/>
  <c r="C134" i="10" s="1"/>
  <c r="C20" i="10" s="1"/>
  <c r="C123" i="1"/>
  <c r="C130" i="1" s="1"/>
  <c r="C129" i="1"/>
  <c r="C23" i="1" s="1"/>
  <c r="C34" i="1" s="1"/>
  <c r="M122" i="1"/>
  <c r="M123" i="1" s="1"/>
  <c r="M130" i="1" s="1"/>
  <c r="M24" i="1" s="1"/>
  <c r="C111" i="10"/>
  <c r="C113" i="10" s="1"/>
  <c r="C110" i="10"/>
  <c r="C112" i="10" s="1"/>
  <c r="D111" i="10"/>
  <c r="D113" i="10" s="1"/>
  <c r="D110" i="10"/>
  <c r="D112" i="10" s="1"/>
  <c r="D129" i="1"/>
  <c r="D23" i="1" s="1"/>
  <c r="D34" i="1" s="1"/>
  <c r="D131" i="1"/>
  <c r="C24" i="1"/>
  <c r="I90" i="1"/>
  <c r="I91" i="1" s="1"/>
  <c r="I92" i="1" s="1"/>
  <c r="S131" i="1"/>
  <c r="S129" i="1"/>
  <c r="S23" i="1" s="1"/>
  <c r="S34" i="1" s="1"/>
  <c r="L131" i="1"/>
  <c r="L129" i="1"/>
  <c r="L23" i="1" s="1"/>
  <c r="L34" i="1" s="1"/>
  <c r="P90" i="1"/>
  <c r="P104" i="1" s="1"/>
  <c r="P106" i="1" s="1"/>
  <c r="P108" i="1" s="1"/>
  <c r="P22" i="1" s="1"/>
  <c r="P33" i="1" s="1"/>
  <c r="Z91" i="7"/>
  <c r="R91" i="7"/>
  <c r="J91" i="7"/>
  <c r="T91" i="7"/>
  <c r="S91" i="7"/>
  <c r="Y91" i="7"/>
  <c r="Q91" i="7"/>
  <c r="I91" i="7"/>
  <c r="L91" i="7"/>
  <c r="K91" i="7"/>
  <c r="X91" i="7"/>
  <c r="P91" i="7"/>
  <c r="H91" i="7"/>
  <c r="W91" i="7"/>
  <c r="O91" i="7"/>
  <c r="G91" i="7"/>
  <c r="AA91" i="7"/>
  <c r="AD91" i="7"/>
  <c r="V91" i="7"/>
  <c r="N91" i="7"/>
  <c r="F91" i="7"/>
  <c r="AB91" i="7"/>
  <c r="AC91" i="7"/>
  <c r="U91" i="7"/>
  <c r="M91" i="7"/>
  <c r="E91" i="7"/>
  <c r="D91" i="7"/>
  <c r="C91" i="7"/>
  <c r="AD106" i="7"/>
  <c r="AD107" i="7" s="1"/>
  <c r="AD108" i="7" s="1"/>
  <c r="AD17" i="7" s="1"/>
  <c r="AD18" i="7" s="1"/>
  <c r="V106" i="7"/>
  <c r="V107" i="7" s="1"/>
  <c r="V108" i="7" s="1"/>
  <c r="V17" i="7" s="1"/>
  <c r="V18" i="7" s="1"/>
  <c r="N106" i="7"/>
  <c r="N107" i="7" s="1"/>
  <c r="N108" i="7" s="1"/>
  <c r="N17" i="7" s="1"/>
  <c r="N18" i="7" s="1"/>
  <c r="F106" i="7"/>
  <c r="F107" i="7" s="1"/>
  <c r="F108" i="7" s="1"/>
  <c r="F17" i="7" s="1"/>
  <c r="F18" i="7" s="1"/>
  <c r="AC106" i="7"/>
  <c r="AC107" i="7" s="1"/>
  <c r="AC108" i="7" s="1"/>
  <c r="AC17" i="7" s="1"/>
  <c r="AC18" i="7" s="1"/>
  <c r="U106" i="7"/>
  <c r="U107" i="7" s="1"/>
  <c r="U108" i="7" s="1"/>
  <c r="U17" i="7" s="1"/>
  <c r="U18" i="7" s="1"/>
  <c r="M106" i="7"/>
  <c r="M107" i="7" s="1"/>
  <c r="M108" i="7" s="1"/>
  <c r="M17" i="7" s="1"/>
  <c r="M18" i="7" s="1"/>
  <c r="E106" i="7"/>
  <c r="E107" i="7" s="1"/>
  <c r="E108" i="7" s="1"/>
  <c r="E17" i="7" s="1"/>
  <c r="E18" i="7" s="1"/>
  <c r="AB106" i="7"/>
  <c r="AB107" i="7" s="1"/>
  <c r="AB108" i="7" s="1"/>
  <c r="AB17" i="7" s="1"/>
  <c r="AB18" i="7" s="1"/>
  <c r="T106" i="7"/>
  <c r="T107" i="7" s="1"/>
  <c r="T108" i="7" s="1"/>
  <c r="T17" i="7" s="1"/>
  <c r="T18" i="7" s="1"/>
  <c r="L106" i="7"/>
  <c r="L107" i="7" s="1"/>
  <c r="L108" i="7" s="1"/>
  <c r="L17" i="7" s="1"/>
  <c r="L18" i="7" s="1"/>
  <c r="D106" i="7"/>
  <c r="D107" i="7" s="1"/>
  <c r="D108" i="7" s="1"/>
  <c r="D17" i="7" s="1"/>
  <c r="D18" i="7" s="1"/>
  <c r="P106" i="7"/>
  <c r="P107" i="7" s="1"/>
  <c r="P108" i="7" s="1"/>
  <c r="P17" i="7" s="1"/>
  <c r="P18" i="7" s="1"/>
  <c r="W106" i="7"/>
  <c r="W107" i="7" s="1"/>
  <c r="W108" i="7" s="1"/>
  <c r="W17" i="7" s="1"/>
  <c r="W18" i="7" s="1"/>
  <c r="AA106" i="7"/>
  <c r="AA107" i="7" s="1"/>
  <c r="AA108" i="7" s="1"/>
  <c r="AA17" i="7" s="1"/>
  <c r="AA18" i="7" s="1"/>
  <c r="S106" i="7"/>
  <c r="S107" i="7" s="1"/>
  <c r="S108" i="7" s="1"/>
  <c r="S17" i="7" s="1"/>
  <c r="S18" i="7" s="1"/>
  <c r="K106" i="7"/>
  <c r="K107" i="7" s="1"/>
  <c r="K108" i="7" s="1"/>
  <c r="K17" i="7" s="1"/>
  <c r="K18" i="7" s="1"/>
  <c r="C106" i="7"/>
  <c r="C107" i="7" s="1"/>
  <c r="C108" i="7" s="1"/>
  <c r="C17" i="7" s="1"/>
  <c r="C18" i="7" s="1"/>
  <c r="H106" i="7"/>
  <c r="H107" i="7" s="1"/>
  <c r="H108" i="7" s="1"/>
  <c r="H17" i="7" s="1"/>
  <c r="H18" i="7" s="1"/>
  <c r="Z106" i="7"/>
  <c r="Z107" i="7" s="1"/>
  <c r="Z108" i="7" s="1"/>
  <c r="Z17" i="7" s="1"/>
  <c r="Z18" i="7" s="1"/>
  <c r="R106" i="7"/>
  <c r="R107" i="7" s="1"/>
  <c r="R108" i="7" s="1"/>
  <c r="R17" i="7" s="1"/>
  <c r="R18" i="7" s="1"/>
  <c r="J106" i="7"/>
  <c r="J107" i="7" s="1"/>
  <c r="J108" i="7" s="1"/>
  <c r="J17" i="7" s="1"/>
  <c r="J18" i="7" s="1"/>
  <c r="G106" i="7"/>
  <c r="G107" i="7" s="1"/>
  <c r="G108" i="7" s="1"/>
  <c r="G17" i="7" s="1"/>
  <c r="G18" i="7" s="1"/>
  <c r="Y106" i="7"/>
  <c r="Y107" i="7" s="1"/>
  <c r="Y108" i="7" s="1"/>
  <c r="Y17" i="7" s="1"/>
  <c r="Y18" i="7" s="1"/>
  <c r="Q106" i="7"/>
  <c r="Q107" i="7" s="1"/>
  <c r="Q108" i="7" s="1"/>
  <c r="Q17" i="7" s="1"/>
  <c r="Q18" i="7" s="1"/>
  <c r="I106" i="7"/>
  <c r="I107" i="7" s="1"/>
  <c r="I108" i="7" s="1"/>
  <c r="I17" i="7" s="1"/>
  <c r="I18" i="7" s="1"/>
  <c r="X106" i="7"/>
  <c r="X107" i="7" s="1"/>
  <c r="X108" i="7" s="1"/>
  <c r="X17" i="7" s="1"/>
  <c r="X18" i="7" s="1"/>
  <c r="O106" i="7"/>
  <c r="O107" i="7" s="1"/>
  <c r="O108" i="7" s="1"/>
  <c r="O17" i="7" s="1"/>
  <c r="O18" i="7" s="1"/>
  <c r="R90" i="1"/>
  <c r="R91" i="1" s="1"/>
  <c r="R92" i="1" s="1"/>
  <c r="R93" i="1" s="1"/>
  <c r="R94" i="1" s="1"/>
  <c r="R15" i="1" s="1"/>
  <c r="R26" i="1" s="1"/>
  <c r="D109" i="1"/>
  <c r="D110" i="1" s="1"/>
  <c r="D112" i="1" s="1"/>
  <c r="P109" i="1"/>
  <c r="P111" i="1" s="1"/>
  <c r="P113" i="1" s="1"/>
  <c r="C109" i="1"/>
  <c r="E109" i="1"/>
  <c r="E111" i="1" s="1"/>
  <c r="E113" i="1" s="1"/>
  <c r="J109" i="1"/>
  <c r="J111" i="1" s="1"/>
  <c r="J113" i="1" s="1"/>
  <c r="K109" i="1"/>
  <c r="K110" i="1" s="1"/>
  <c r="K112" i="1" s="1"/>
  <c r="Q109" i="1"/>
  <c r="Q111" i="1" s="1"/>
  <c r="Q113" i="1" s="1"/>
  <c r="M109" i="1"/>
  <c r="M111" i="1" s="1"/>
  <c r="M113" i="1" s="1"/>
  <c r="T109" i="1"/>
  <c r="T110" i="1" s="1"/>
  <c r="T112" i="1" s="1"/>
  <c r="F109" i="1"/>
  <c r="F110" i="1" s="1"/>
  <c r="F112" i="1" s="1"/>
  <c r="L109" i="1"/>
  <c r="L110" i="1" s="1"/>
  <c r="L112" i="1" s="1"/>
  <c r="I109" i="1"/>
  <c r="I111" i="1" s="1"/>
  <c r="I113" i="1" s="1"/>
  <c r="G109" i="1"/>
  <c r="G111" i="1" s="1"/>
  <c r="G113" i="1" s="1"/>
  <c r="R109" i="1"/>
  <c r="R111" i="1" s="1"/>
  <c r="R113" i="1" s="1"/>
  <c r="S109" i="1"/>
  <c r="S111" i="1" s="1"/>
  <c r="S113" i="1" s="1"/>
  <c r="O109" i="1"/>
  <c r="O111" i="1" s="1"/>
  <c r="O113" i="1" s="1"/>
  <c r="H109" i="1"/>
  <c r="H111" i="1" s="1"/>
  <c r="H113" i="1" s="1"/>
  <c r="N109" i="1"/>
  <c r="N111" i="1" s="1"/>
  <c r="N113" i="1" s="1"/>
  <c r="O132" i="1"/>
  <c r="M132" i="1"/>
  <c r="J132" i="1"/>
  <c r="K132" i="1"/>
  <c r="K133" i="1" s="1"/>
  <c r="K134" i="1" s="1"/>
  <c r="K20" i="1" s="1"/>
  <c r="H132" i="1"/>
  <c r="I132" i="1"/>
  <c r="G132" i="1"/>
  <c r="G133" i="1" s="1"/>
  <c r="G134" i="1" s="1"/>
  <c r="G20" i="1" s="1"/>
  <c r="N132" i="1"/>
  <c r="N133" i="1" s="1"/>
  <c r="N134" i="1" s="1"/>
  <c r="N20" i="1" s="1"/>
  <c r="L132" i="1"/>
  <c r="T132" i="1"/>
  <c r="T133" i="1" s="1"/>
  <c r="T134" i="1" s="1"/>
  <c r="T20" i="1" s="1"/>
  <c r="C132" i="1"/>
  <c r="C133" i="1" s="1"/>
  <c r="C134" i="1" s="1"/>
  <c r="C20" i="1" s="1"/>
  <c r="F132" i="1"/>
  <c r="F133" i="1" s="1"/>
  <c r="F134" i="1" s="1"/>
  <c r="F20" i="1" s="1"/>
  <c r="S132" i="1"/>
  <c r="R132" i="1"/>
  <c r="Q132" i="1"/>
  <c r="P132" i="1"/>
  <c r="D132" i="1"/>
  <c r="J117" i="1"/>
  <c r="J119" i="1" s="1"/>
  <c r="J91" i="1"/>
  <c r="J92" i="1" s="1"/>
  <c r="J93" i="1" s="1"/>
  <c r="J94" i="1" s="1"/>
  <c r="J15" i="1" s="1"/>
  <c r="J26" i="1" s="1"/>
  <c r="J97" i="1"/>
  <c r="J98" i="1" s="1"/>
  <c r="J99" i="1" s="1"/>
  <c r="J100" i="1" s="1"/>
  <c r="J101" i="1" s="1"/>
  <c r="J19" i="1" s="1"/>
  <c r="J30" i="1" s="1"/>
  <c r="E91" i="1"/>
  <c r="E92" i="1" s="1"/>
  <c r="E93" i="1" s="1"/>
  <c r="E94" i="1" s="1"/>
  <c r="E15" i="1" s="1"/>
  <c r="E26" i="1" s="1"/>
  <c r="E104" i="1"/>
  <c r="E106" i="1" s="1"/>
  <c r="E108" i="1" s="1"/>
  <c r="E22" i="1" s="1"/>
  <c r="E33" i="1" s="1"/>
  <c r="E117" i="1"/>
  <c r="E119" i="1" s="1"/>
  <c r="N108" i="1"/>
  <c r="N22" i="1" s="1"/>
  <c r="N33" i="1" s="1"/>
  <c r="Q108" i="1"/>
  <c r="Q22" i="1" s="1"/>
  <c r="Q33" i="1" s="1"/>
  <c r="J108" i="1"/>
  <c r="J22" i="1" s="1"/>
  <c r="J33" i="1" s="1"/>
  <c r="O133" i="1" l="1"/>
  <c r="O134" i="1" s="1"/>
  <c r="O20" i="1" s="1"/>
  <c r="O21" i="1" s="1"/>
  <c r="O32" i="1" s="1"/>
  <c r="M131" i="1"/>
  <c r="M133" i="1" s="1"/>
  <c r="M134" i="1" s="1"/>
  <c r="M20" i="1" s="1"/>
  <c r="Q131" i="1"/>
  <c r="H129" i="1"/>
  <c r="H23" i="1" s="1"/>
  <c r="H34" i="1" s="1"/>
  <c r="K111" i="1"/>
  <c r="K113" i="1" s="1"/>
  <c r="K114" i="1" s="1"/>
  <c r="K16" i="1" s="1"/>
  <c r="Q133" i="1"/>
  <c r="Q134" i="1" s="1"/>
  <c r="Q20" i="1" s="1"/>
  <c r="Q21" i="1" s="1"/>
  <c r="Q32" i="1" s="1"/>
  <c r="M129" i="1"/>
  <c r="M23" i="1" s="1"/>
  <c r="M34" i="1" s="1"/>
  <c r="H131" i="1"/>
  <c r="H133" i="1" s="1"/>
  <c r="H134" i="1" s="1"/>
  <c r="H20" i="1" s="1"/>
  <c r="I104" i="1"/>
  <c r="I106" i="1" s="1"/>
  <c r="I108" i="1" s="1"/>
  <c r="I22" i="1" s="1"/>
  <c r="I33" i="1" s="1"/>
  <c r="Q129" i="1"/>
  <c r="Q23" i="1" s="1"/>
  <c r="Q34" i="1" s="1"/>
  <c r="C114" i="10"/>
  <c r="C16" i="10" s="1"/>
  <c r="C27" i="10" s="1"/>
  <c r="D114" i="10"/>
  <c r="D16" i="10" s="1"/>
  <c r="D17" i="10" s="1"/>
  <c r="D28" i="10" s="1"/>
  <c r="C110" i="1"/>
  <c r="C112" i="1" s="1"/>
  <c r="C111" i="1"/>
  <c r="C113" i="1" s="1"/>
  <c r="E122" i="1"/>
  <c r="E123" i="1" s="1"/>
  <c r="E130" i="1" s="1"/>
  <c r="E24" i="1" s="1"/>
  <c r="J122" i="1"/>
  <c r="J123" i="1" s="1"/>
  <c r="J130" i="1" s="1"/>
  <c r="J24" i="1" s="1"/>
  <c r="C31" i="10"/>
  <c r="C21" i="10"/>
  <c r="C32" i="10" s="1"/>
  <c r="D31" i="10"/>
  <c r="D21" i="10"/>
  <c r="D32" i="10" s="1"/>
  <c r="P91" i="1"/>
  <c r="P92" i="1" s="1"/>
  <c r="P93" i="1" s="1"/>
  <c r="P94" i="1" s="1"/>
  <c r="P15" i="1" s="1"/>
  <c r="P26" i="1" s="1"/>
  <c r="P117" i="1"/>
  <c r="P119" i="1" s="1"/>
  <c r="D133" i="1"/>
  <c r="D134" i="1" s="1"/>
  <c r="D20" i="1" s="1"/>
  <c r="D21" i="1" s="1"/>
  <c r="D32" i="1" s="1"/>
  <c r="L133" i="1"/>
  <c r="L134" i="1" s="1"/>
  <c r="L20" i="1" s="1"/>
  <c r="L31" i="1" s="1"/>
  <c r="S133" i="1"/>
  <c r="S134" i="1" s="1"/>
  <c r="S20" i="1" s="1"/>
  <c r="S21" i="1" s="1"/>
  <c r="S32" i="1" s="1"/>
  <c r="T111" i="1"/>
  <c r="T113" i="1" s="1"/>
  <c r="T114" i="1" s="1"/>
  <c r="T16" i="1" s="1"/>
  <c r="D111" i="1"/>
  <c r="D113" i="1" s="1"/>
  <c r="D114" i="1" s="1"/>
  <c r="D16" i="1" s="1"/>
  <c r="G21" i="1"/>
  <c r="G32" i="1" s="1"/>
  <c r="G31" i="1"/>
  <c r="F21" i="1"/>
  <c r="F32" i="1" s="1"/>
  <c r="F31" i="1"/>
  <c r="C21" i="1"/>
  <c r="C32" i="1" s="1"/>
  <c r="C31" i="1"/>
  <c r="T21" i="1"/>
  <c r="T32" i="1" s="1"/>
  <c r="T31" i="1"/>
  <c r="K21" i="1"/>
  <c r="K32" i="1" s="1"/>
  <c r="K31" i="1"/>
  <c r="I117" i="1"/>
  <c r="I119" i="1" s="1"/>
  <c r="N21" i="1"/>
  <c r="N32" i="1" s="1"/>
  <c r="N31" i="1"/>
  <c r="I93" i="1"/>
  <c r="I94" i="1" s="1"/>
  <c r="I15" i="1" s="1"/>
  <c r="I26" i="1" s="1"/>
  <c r="M110" i="1"/>
  <c r="M112" i="1" s="1"/>
  <c r="M114" i="1" s="1"/>
  <c r="M16" i="1" s="1"/>
  <c r="P110" i="1"/>
  <c r="P112" i="1" s="1"/>
  <c r="P114" i="1" s="1"/>
  <c r="P16" i="1" s="1"/>
  <c r="G110" i="1"/>
  <c r="G112" i="1" s="1"/>
  <c r="G114" i="1" s="1"/>
  <c r="G16" i="1" s="1"/>
  <c r="R104" i="1"/>
  <c r="R106" i="1" s="1"/>
  <c r="R108" i="1" s="1"/>
  <c r="R22" i="1" s="1"/>
  <c r="R33" i="1" s="1"/>
  <c r="R117" i="1"/>
  <c r="R119" i="1" s="1"/>
  <c r="N110" i="1"/>
  <c r="N112" i="1" s="1"/>
  <c r="N114" i="1" s="1"/>
  <c r="N16" i="1" s="1"/>
  <c r="Q110" i="1"/>
  <c r="Q112" i="1" s="1"/>
  <c r="Q114" i="1" s="1"/>
  <c r="Q16" i="1" s="1"/>
  <c r="U93" i="7"/>
  <c r="U95" i="7" s="1"/>
  <c r="U92" i="7"/>
  <c r="U94" i="7" s="1"/>
  <c r="Q93" i="7"/>
  <c r="Q95" i="7" s="1"/>
  <c r="Q92" i="7"/>
  <c r="Q94" i="7" s="1"/>
  <c r="AB92" i="7"/>
  <c r="AB94" i="7" s="1"/>
  <c r="AB93" i="7"/>
  <c r="AB95" i="7" s="1"/>
  <c r="W93" i="7"/>
  <c r="W95" i="7" s="1"/>
  <c r="W92" i="7"/>
  <c r="W94" i="7" s="1"/>
  <c r="Y93" i="7"/>
  <c r="Y95" i="7" s="1"/>
  <c r="Y92" i="7"/>
  <c r="Y94" i="7" s="1"/>
  <c r="Y96" i="7" s="1"/>
  <c r="Y13" i="7" s="1"/>
  <c r="Y14" i="7" s="1"/>
  <c r="O92" i="7"/>
  <c r="O94" i="7" s="1"/>
  <c r="O93" i="7"/>
  <c r="O95" i="7" s="1"/>
  <c r="F93" i="7"/>
  <c r="F95" i="7" s="1"/>
  <c r="F92" i="7"/>
  <c r="F94" i="7" s="1"/>
  <c r="H93" i="7"/>
  <c r="H95" i="7" s="1"/>
  <c r="H92" i="7"/>
  <c r="H94" i="7" s="1"/>
  <c r="S93" i="7"/>
  <c r="S95" i="7" s="1"/>
  <c r="S92" i="7"/>
  <c r="S94" i="7" s="1"/>
  <c r="AC92" i="7"/>
  <c r="AC94" i="7" s="1"/>
  <c r="AC93" i="7"/>
  <c r="AC95" i="7" s="1"/>
  <c r="C92" i="7"/>
  <c r="C94" i="7" s="1"/>
  <c r="C93" i="7"/>
  <c r="C95" i="7" s="1"/>
  <c r="N93" i="7"/>
  <c r="N95" i="7" s="1"/>
  <c r="N92" i="7"/>
  <c r="N94" i="7" s="1"/>
  <c r="P93" i="7"/>
  <c r="P95" i="7" s="1"/>
  <c r="P92" i="7"/>
  <c r="P94" i="7" s="1"/>
  <c r="T93" i="7"/>
  <c r="T95" i="7" s="1"/>
  <c r="T92" i="7"/>
  <c r="T94" i="7" s="1"/>
  <c r="T96" i="7" s="1"/>
  <c r="T13" i="7" s="1"/>
  <c r="T14" i="7" s="1"/>
  <c r="D92" i="7"/>
  <c r="D94" i="7" s="1"/>
  <c r="D93" i="7"/>
  <c r="D95" i="7" s="1"/>
  <c r="V93" i="7"/>
  <c r="V95" i="7" s="1"/>
  <c r="V92" i="7"/>
  <c r="V94" i="7" s="1"/>
  <c r="X92" i="7"/>
  <c r="X94" i="7" s="1"/>
  <c r="X93" i="7"/>
  <c r="X95" i="7" s="1"/>
  <c r="J93" i="7"/>
  <c r="J95" i="7" s="1"/>
  <c r="J92" i="7"/>
  <c r="J94" i="7" s="1"/>
  <c r="J96" i="7" s="1"/>
  <c r="J13" i="7" s="1"/>
  <c r="J14" i="7" s="1"/>
  <c r="G92" i="7"/>
  <c r="G94" i="7" s="1"/>
  <c r="G93" i="7"/>
  <c r="G95" i="7" s="1"/>
  <c r="E93" i="7"/>
  <c r="E95" i="7" s="1"/>
  <c r="E92" i="7"/>
  <c r="E94" i="7" s="1"/>
  <c r="AD92" i="7"/>
  <c r="AD94" i="7" s="1"/>
  <c r="AD93" i="7"/>
  <c r="AD95" i="7" s="1"/>
  <c r="K92" i="7"/>
  <c r="K94" i="7" s="1"/>
  <c r="K93" i="7"/>
  <c r="K95" i="7" s="1"/>
  <c r="R93" i="7"/>
  <c r="R95" i="7" s="1"/>
  <c r="R92" i="7"/>
  <c r="R94" i="7" s="1"/>
  <c r="I93" i="7"/>
  <c r="I95" i="7" s="1"/>
  <c r="I92" i="7"/>
  <c r="I94" i="7" s="1"/>
  <c r="M93" i="7"/>
  <c r="M95" i="7" s="1"/>
  <c r="M92" i="7"/>
  <c r="M94" i="7" s="1"/>
  <c r="AA93" i="7"/>
  <c r="AA95" i="7" s="1"/>
  <c r="AA92" i="7"/>
  <c r="AA94" i="7" s="1"/>
  <c r="L93" i="7"/>
  <c r="L95" i="7" s="1"/>
  <c r="L92" i="7"/>
  <c r="L94" i="7" s="1"/>
  <c r="Z92" i="7"/>
  <c r="Z94" i="7" s="1"/>
  <c r="Z93" i="7"/>
  <c r="Z95" i="7" s="1"/>
  <c r="J110" i="1"/>
  <c r="J112" i="1" s="1"/>
  <c r="J114" i="1" s="1"/>
  <c r="J16" i="1" s="1"/>
  <c r="F111" i="1"/>
  <c r="F113" i="1" s="1"/>
  <c r="F114" i="1" s="1"/>
  <c r="F16" i="1" s="1"/>
  <c r="H110" i="1"/>
  <c r="H112" i="1" s="1"/>
  <c r="H114" i="1" s="1"/>
  <c r="H16" i="1" s="1"/>
  <c r="O110" i="1"/>
  <c r="O112" i="1" s="1"/>
  <c r="O114" i="1" s="1"/>
  <c r="O16" i="1" s="1"/>
  <c r="S110" i="1"/>
  <c r="S112" i="1" s="1"/>
  <c r="S114" i="1" s="1"/>
  <c r="S16" i="1" s="1"/>
  <c r="L111" i="1"/>
  <c r="L113" i="1" s="1"/>
  <c r="L114" i="1" s="1"/>
  <c r="L16" i="1" s="1"/>
  <c r="E110" i="1"/>
  <c r="E112" i="1" s="1"/>
  <c r="E114" i="1" s="1"/>
  <c r="E16" i="1" s="1"/>
  <c r="O31" i="1" l="1"/>
  <c r="M21" i="1"/>
  <c r="M32" i="1" s="1"/>
  <c r="M31" i="1"/>
  <c r="R110" i="1"/>
  <c r="R112" i="1" s="1"/>
  <c r="R114" i="1" s="1"/>
  <c r="R16" i="1" s="1"/>
  <c r="R27" i="1" s="1"/>
  <c r="J131" i="1"/>
  <c r="J133" i="1" s="1"/>
  <c r="J134" i="1" s="1"/>
  <c r="J20" i="1" s="1"/>
  <c r="J31" i="1" s="1"/>
  <c r="E131" i="1"/>
  <c r="E133" i="1" s="1"/>
  <c r="E134" i="1" s="1"/>
  <c r="E20" i="1" s="1"/>
  <c r="E31" i="1" s="1"/>
  <c r="Q31" i="1"/>
  <c r="E129" i="1"/>
  <c r="E23" i="1" s="1"/>
  <c r="E34" i="1" s="1"/>
  <c r="J129" i="1"/>
  <c r="J23" i="1" s="1"/>
  <c r="J34" i="1" s="1"/>
  <c r="H21" i="1"/>
  <c r="H32" i="1" s="1"/>
  <c r="H31" i="1"/>
  <c r="I110" i="1"/>
  <c r="I112" i="1" s="1"/>
  <c r="I114" i="1" s="1"/>
  <c r="I16" i="1" s="1"/>
  <c r="I17" i="1" s="1"/>
  <c r="I28" i="1" s="1"/>
  <c r="U96" i="7"/>
  <c r="U13" i="7" s="1"/>
  <c r="U14" i="7" s="1"/>
  <c r="C17" i="10"/>
  <c r="C28" i="10" s="1"/>
  <c r="D27" i="10"/>
  <c r="D31" i="1"/>
  <c r="C114" i="1"/>
  <c r="C16" i="1" s="1"/>
  <c r="C17" i="1" s="1"/>
  <c r="C28" i="1" s="1"/>
  <c r="R96" i="7"/>
  <c r="R13" i="7" s="1"/>
  <c r="R14" i="7" s="1"/>
  <c r="F96" i="7"/>
  <c r="F13" i="7" s="1"/>
  <c r="F14" i="7" s="1"/>
  <c r="R122" i="1"/>
  <c r="R123" i="1" s="1"/>
  <c r="R130" i="1" s="1"/>
  <c r="R24" i="1" s="1"/>
  <c r="I122" i="1"/>
  <c r="I123" i="1" s="1"/>
  <c r="I130" i="1" s="1"/>
  <c r="I24" i="1" s="1"/>
  <c r="P122" i="1"/>
  <c r="P129" i="1" s="1"/>
  <c r="P23" i="1" s="1"/>
  <c r="P34" i="1" s="1"/>
  <c r="L21" i="1"/>
  <c r="L32" i="1" s="1"/>
  <c r="S31" i="1"/>
  <c r="J17" i="1"/>
  <c r="J28" i="1" s="1"/>
  <c r="J27" i="1"/>
  <c r="G17" i="1"/>
  <c r="G28" i="1" s="1"/>
  <c r="G27" i="1"/>
  <c r="T17" i="1"/>
  <c r="T28" i="1" s="1"/>
  <c r="T27" i="1"/>
  <c r="H17" i="1"/>
  <c r="H28" i="1" s="1"/>
  <c r="H27" i="1"/>
  <c r="Q17" i="1"/>
  <c r="Q28" i="1" s="1"/>
  <c r="Q27" i="1"/>
  <c r="E17" i="1"/>
  <c r="E28" i="1" s="1"/>
  <c r="E27" i="1"/>
  <c r="S17" i="1"/>
  <c r="S28" i="1" s="1"/>
  <c r="S27" i="1"/>
  <c r="F17" i="1"/>
  <c r="F28" i="1" s="1"/>
  <c r="F27" i="1"/>
  <c r="N17" i="1"/>
  <c r="N28" i="1" s="1"/>
  <c r="N27" i="1"/>
  <c r="M17" i="1"/>
  <c r="M28" i="1" s="1"/>
  <c r="M27" i="1"/>
  <c r="L17" i="1"/>
  <c r="L28" i="1" s="1"/>
  <c r="L27" i="1"/>
  <c r="O17" i="1"/>
  <c r="O28" i="1" s="1"/>
  <c r="O27" i="1"/>
  <c r="D17" i="1"/>
  <c r="D28" i="1" s="1"/>
  <c r="D27" i="1"/>
  <c r="K17" i="1"/>
  <c r="K28" i="1" s="1"/>
  <c r="K27" i="1"/>
  <c r="P17" i="1"/>
  <c r="P28" i="1" s="1"/>
  <c r="P27" i="1"/>
  <c r="AB96" i="7"/>
  <c r="AB13" i="7" s="1"/>
  <c r="AB14" i="7" s="1"/>
  <c r="L96" i="7"/>
  <c r="L13" i="7" s="1"/>
  <c r="L14" i="7" s="1"/>
  <c r="W96" i="7"/>
  <c r="W13" i="7" s="1"/>
  <c r="W14" i="7" s="1"/>
  <c r="M96" i="7"/>
  <c r="M13" i="7" s="1"/>
  <c r="M14" i="7" s="1"/>
  <c r="Q96" i="7"/>
  <c r="Q13" i="7" s="1"/>
  <c r="Q14" i="7" s="1"/>
  <c r="AD96" i="7"/>
  <c r="AD13" i="7" s="1"/>
  <c r="AD14" i="7" s="1"/>
  <c r="X96" i="7"/>
  <c r="X13" i="7" s="1"/>
  <c r="X14" i="7" s="1"/>
  <c r="AA96" i="7"/>
  <c r="AA13" i="7" s="1"/>
  <c r="AA14" i="7" s="1"/>
  <c r="G96" i="7"/>
  <c r="G13" i="7" s="1"/>
  <c r="G14" i="7" s="1"/>
  <c r="D96" i="7"/>
  <c r="D13" i="7" s="1"/>
  <c r="D14" i="7" s="1"/>
  <c r="C96" i="7"/>
  <c r="C13" i="7" s="1"/>
  <c r="C14" i="7" s="1"/>
  <c r="K96" i="7"/>
  <c r="K13" i="7" s="1"/>
  <c r="K14" i="7" s="1"/>
  <c r="AC96" i="7"/>
  <c r="AC13" i="7" s="1"/>
  <c r="AC14" i="7" s="1"/>
  <c r="P96" i="7"/>
  <c r="P13" i="7" s="1"/>
  <c r="P14" i="7" s="1"/>
  <c r="S96" i="7"/>
  <c r="S13" i="7" s="1"/>
  <c r="S14" i="7" s="1"/>
  <c r="O96" i="7"/>
  <c r="O13" i="7" s="1"/>
  <c r="O14" i="7" s="1"/>
  <c r="Z96" i="7"/>
  <c r="Z13" i="7" s="1"/>
  <c r="Z14" i="7" s="1"/>
  <c r="I96" i="7"/>
  <c r="I13" i="7" s="1"/>
  <c r="I14" i="7" s="1"/>
  <c r="E96" i="7"/>
  <c r="E13" i="7" s="1"/>
  <c r="E14" i="7" s="1"/>
  <c r="V96" i="7"/>
  <c r="V13" i="7" s="1"/>
  <c r="V14" i="7" s="1"/>
  <c r="N96" i="7"/>
  <c r="N13" i="7" s="1"/>
  <c r="N14" i="7" s="1"/>
  <c r="H96" i="7"/>
  <c r="H13" i="7" s="1"/>
  <c r="H14" i="7" s="1"/>
  <c r="E21" i="1" l="1"/>
  <c r="E32" i="1" s="1"/>
  <c r="J21" i="1"/>
  <c r="J32" i="1" s="1"/>
  <c r="R17" i="1"/>
  <c r="R28" i="1" s="1"/>
  <c r="R129" i="1"/>
  <c r="R23" i="1" s="1"/>
  <c r="R34" i="1" s="1"/>
  <c r="I131" i="1"/>
  <c r="I133" i="1" s="1"/>
  <c r="I134" i="1" s="1"/>
  <c r="I20" i="1" s="1"/>
  <c r="I21" i="1" s="1"/>
  <c r="I32" i="1" s="1"/>
  <c r="R131" i="1"/>
  <c r="R133" i="1" s="1"/>
  <c r="R134" i="1" s="1"/>
  <c r="R20" i="1" s="1"/>
  <c r="R21" i="1" s="1"/>
  <c r="R32" i="1" s="1"/>
  <c r="I129" i="1"/>
  <c r="I23" i="1" s="1"/>
  <c r="I34" i="1" s="1"/>
  <c r="I27" i="1"/>
  <c r="C27" i="1"/>
  <c r="P123" i="1"/>
  <c r="P130" i="1" s="1"/>
  <c r="P24" i="1" s="1"/>
  <c r="P131" i="1"/>
  <c r="P133" i="1" s="1"/>
  <c r="P134" i="1" s="1"/>
  <c r="P20" i="1" s="1"/>
  <c r="R31" i="1" l="1"/>
  <c r="I31" i="1"/>
  <c r="P21" i="1"/>
  <c r="P32" i="1" s="1"/>
  <c r="P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3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6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68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6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6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6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6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<sst xmlns="http://schemas.openxmlformats.org/spreadsheetml/2006/main" count="829" uniqueCount="257">
  <si>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</si>
  <si>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</si>
  <si>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</si>
  <si>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</si>
  <si>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</si>
  <si>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</si>
  <si>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</si>
  <si>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</si>
  <si>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25-49% fast gulv 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</si>
  <si>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</si>
  <si>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</si>
  <si>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</si>
  <si>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</si>
  <si>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</si>
  <si>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</si>
  <si>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</si>
  <si>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</si>
  <si>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</si>
  <si>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</si>
  <si>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</si>
  <si>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</si>
  <si>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</si>
  <si>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</si>
  <si>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</si>
  <si>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</si>
  <si>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</si>
  <si>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</si>
  <si>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</si>
  <si>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</si>
  <si>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</si>
  <si>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</si>
  <si>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</si>
  <si>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</si>
  <si>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</si>
  <si>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</si>
  <si>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</si>
  <si>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</si>
  <si>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</si>
  <si>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</si>
  <si>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</si>
  <si>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</si>
  <si>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</si>
  <si>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</si>
  <si>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</si>
  <si>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</si>
  <si>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</si>
  <si>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</si>
  <si>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</si>
  <si>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IKKE AB DYR</t>
  </si>
  <si>
    <t>CH4-produktion, biogasanlæg, kg CH4/t gylle ab dyr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</si>
  <si>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</si>
  <si>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</si>
  <si>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</si>
  <si>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</si>
  <si>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</si>
  <si>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</si>
  <si>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</si>
  <si>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</si>
  <si>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</si>
  <si>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</si>
  <si>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</si>
  <si>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</si>
  <si>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</si>
  <si>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</si>
  <si>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</si>
  <si>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</si>
  <si>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</si>
  <si>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</si>
  <si>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</si>
  <si>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</si>
  <si>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</si>
  <si>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</si>
  <si>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</si>
  <si>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</si>
  <si>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</si>
  <si>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</si>
  <si>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</si>
  <si>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</si>
  <si>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</si>
  <si>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</si>
  <si>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</si>
  <si>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</si>
  <si>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>Normtal 2021/22 (smg. Og sl.) Søer: 1 kg for årsdyr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</si>
  <si>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</si>
  <si>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</si>
  <si>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</si>
  <si>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</si>
  <si>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</si>
  <si>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</si>
  <si>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</si>
  <si>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</si>
  <si>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</si>
  <si>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</si>
  <si>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</si>
  <si>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</si>
  <si>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</si>
  <si>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</si>
  <si>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</si>
  <si>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</si>
  <si>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</si>
  <si>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</si>
  <si>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</si>
  <si>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</si>
  <si>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</si>
  <si>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</si>
  <si>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</si>
  <si>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</si>
  <si>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</si>
  <si>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</si>
  <si>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</si>
  <si>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</si>
  <si>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</si>
  <si>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</si>
  <si>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</si>
  <si>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</si>
  <si>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</si>
  <si>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</si>
  <si>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</si>
  <si>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</si>
  <si>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</si>
  <si>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</si>
  <si>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</si>
  <si>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</si>
  <si>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</si>
  <si>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</si>
  <si>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</si>
  <si>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</si>
  <si>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</si>
  <si>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</si>
  <si>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</si>
  <si>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</si>
  <si>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</si>
  <si>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</si>
  <si>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</si>
  <si>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</si>
  <si>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</si>
  <si>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</si>
  <si>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</si>
  <si>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</si>
  <si>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</si>
  <si>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</si>
  <si>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</si>
  <si>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</si>
  <si>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</si>
  <si>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</si>
  <si>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</si>
  <si>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</si>
  <si>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</si>
  <si>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</si>
  <si>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</si>
  <si>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</si>
  <si>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</si>
  <si>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</si>
  <si>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</si>
  <si>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</si>
  <si>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</si>
  <si>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</si>
  <si>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</si>
  <si>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</si>
  <si>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</si>
  <si>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</si>
  <si>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</si>
  <si>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</si>
  <si>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</si>
  <si>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</si>
  <si>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</si>
  <si>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</si>
  <si>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</si>
  <si>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</si>
  <si>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</si>
  <si>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</si>
  <si>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</si>
  <si>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</si>
  <si>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</si>
  <si>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</si>
  <si>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 xml:space="preserve">Ln(A)' 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</si>
  <si>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</si>
  <si>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</si>
  <si>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</si>
  <si>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</si>
  <si>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</si>
  <si>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</si>
  <si>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</si>
  <si>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</si>
  <si>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</si>
  <si>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</si>
  <si>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</si>
  <si>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Ln(A)'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</si>
  <si>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</si>
  <si>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</si>
  <si>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</si>
  <si>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</si>
  <si>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</si>
  <si>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</si>
  <si>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</si>
  <si>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</si>
  <si>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</si>
  <si>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</si>
  <si>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Ringkanal</t>
  </si>
  <si>
    <t>Fast drænet</t>
  </si>
  <si>
    <t>CH4-udledning, gylle ubehandlet</t>
  </si>
  <si>
    <t>CH4-udledning stald, kg/t gylle</t>
  </si>
  <si>
    <t>CH4-udledning lager, kg/t gylle</t>
  </si>
  <si>
    <t>CH4-udledning stald &amp; lager, kg /t gylle</t>
  </si>
  <si>
    <t>CH4-udledning stald og for/afhent.tank, kg/t gylle</t>
  </si>
  <si>
    <t>CH4-udledning, afgasset gylle, kg/t gylle</t>
  </si>
  <si>
    <t>CH4-udledning stald &amp; lager, afg. gylle, kg /t gylle</t>
  </si>
  <si>
    <t>Fra DCE-rapport 197; Effekt af gyllekøling: -2,3°C/20 w/m2</t>
  </si>
  <si>
    <t>La(A) lager</t>
  </si>
  <si>
    <t>VS_tot tilført, kg/ gylle</t>
  </si>
  <si>
    <t>VS_tot tilført biogasanlæg</t>
  </si>
  <si>
    <t>HML, personlig kommunikation</t>
  </si>
  <si>
    <t>VS_tot efter biogasanlæg, kg/kg</t>
  </si>
  <si>
    <t>Ingen gyllekøling</t>
  </si>
  <si>
    <t> </t>
  </si>
  <si>
    <t>Total-N ab dyr, kg/gris el. årsso</t>
  </si>
  <si>
    <t>Normtal 2021/2022</t>
  </si>
  <si>
    <t>TAN ab dyr, kg/gris el. årsso</t>
  </si>
  <si>
    <t>N i strøelse</t>
  </si>
  <si>
    <t>Fordampningskoefficient stald, kg NH3-N/kg TAN ab dyr</t>
  </si>
  <si>
    <t>Ammoniaktab stald, kg NH3-N/gris el. årsso</t>
  </si>
  <si>
    <t>Total-N ab stald, kg/gris el. årsso</t>
  </si>
  <si>
    <t>TAN ab stald, kg/gris el. årsso</t>
  </si>
  <si>
    <t>Fordampningskoefficient lager, kg NH3-N/kg TAN ab dyr</t>
  </si>
  <si>
    <t>Ammoniaktab lager, kg NH3-N/gris el. årsso</t>
  </si>
  <si>
    <t>Total-N ab lager, kg/gris el. årsso</t>
  </si>
  <si>
    <t>Gyllekøling</t>
  </si>
  <si>
    <t>Gyllekøling, køleeffekt/m2 gyllekumme</t>
  </si>
  <si>
    <t>NH3-reduktion v. 16,8W/m2, %</t>
  </si>
  <si>
    <t>MST teknologiliste; bemærk to forskellige ligninger afhængig af rørudslusning eller linespil</t>
  </si>
  <si>
    <t>Nettoeffekt på NH3 og N2O</t>
  </si>
  <si>
    <t>Samlet ammoniaktab stald og lager, kg NH3-N/gris el. årsso</t>
  </si>
  <si>
    <t>Samlet ammoniaktab stald og lager ved gyllekøling, kg NH3-N/gris el. årsso</t>
  </si>
  <si>
    <t>Forskel NH3-tab s.f.a. gyllekøling, kg NH3-N/gris el. årsso</t>
  </si>
  <si>
    <t>Indirekte lattergasudledning, kg N2O/kg NH3-N</t>
  </si>
  <si>
    <t>Reduceret indirekte lattergasudledning, kg N2O/gris el. årsso</t>
  </si>
  <si>
    <t>Direkte N2O-udledning stald+lager, kg N20-N/kg NH3-N ab dyr</t>
  </si>
  <si>
    <t xml:space="preserve">IPCC 2006 guidelines </t>
  </si>
  <si>
    <t>Direkte N2O-udledning stald+lager, kg N20-N/gris el. årsso</t>
  </si>
  <si>
    <t>GWP-værdi N2O</t>
  </si>
  <si>
    <t>IPCC AR5</t>
  </si>
  <si>
    <t>Reduceret CO2e, kg CO2e/gris el. årsso</t>
  </si>
  <si>
    <t>hentet i "TABEL" OBS! ab stald-værdi ikke ab lager!!</t>
  </si>
  <si>
    <t>Reduceret CO2e, kg CO2e/m3 gylle</t>
  </si>
  <si>
    <t>Antager gylledensitet 1 kg/liter</t>
  </si>
  <si>
    <t>Column Labels</t>
  </si>
  <si>
    <t>(blank)</t>
  </si>
  <si>
    <t>Grand Total</t>
  </si>
  <si>
    <t>StaldID</t>
  </si>
  <si>
    <t>60. 63</t>
  </si>
  <si>
    <t>ugentlig</t>
  </si>
  <si>
    <t>kontrol</t>
  </si>
  <si>
    <t>linespil</t>
  </si>
  <si>
    <t>Scenarie</t>
  </si>
  <si>
    <t>6.7.13.14</t>
  </si>
  <si>
    <t>5.11.49</t>
  </si>
  <si>
    <t>GoedningsID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</si>
</sst>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5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0" fontId="0" fillId="0" borderId="0" xfId="0" pivotButton="1"/>
    <xf numFmtId="167" fontId="2" fillId="2" borderId="1" xfId="3" applyNumberFormat="1"/>
    <xf numFmtId="164" fontId="2" fillId="2" borderId="1" xfId="3" applyNumberFormat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6" xfId="0" applyFont="1" applyFill="1" applyBorder="1"/>
    <xf numFmtId="0" fontId="7" fillId="4" borderId="7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4" borderId="1" xfId="0" applyFont="1" applyFill="1" applyBorder="1"/>
    <xf numFmtId="0" fontId="7" fillId="4" borderId="5" xfId="0" applyFont="1" applyFill="1" applyBorder="1"/>
    <xf numFmtId="9" fontId="7" fillId="4" borderId="6" xfId="0" applyNumberFormat="1" applyFont="1" applyFill="1" applyBorder="1"/>
    <xf numFmtId="9" fontId="7" fillId="4" borderId="7" xfId="0" applyNumberFormat="1" applyFont="1" applyFill="1" applyBorder="1"/>
    <xf numFmtId="0" fontId="6" fillId="0" borderId="0" xfId="0" applyFont="1" applyAlignment="1">
      <alignment wrapText="1"/>
    </xf>
    <xf numFmtId="0" fontId="9" fillId="6" borderId="0" xfId="0" applyFont="1" applyFill="1"/>
    <xf numFmtId="0" fontId="6" fillId="6" borderId="0" xfId="0" applyFont="1" applyFill="1"/>
    <xf numFmtId="0" fontId="6" fillId="7" borderId="0" xfId="0" applyFont="1" applyFill="1"/>
    <xf numFmtId="1" fontId="7" fillId="4" borderId="1" xfId="0" applyNumberFormat="1" applyFont="1" applyFill="1" applyBorder="1"/>
    <xf numFmtId="165" fontId="8" fillId="5" borderId="6" xfId="0" applyNumberFormat="1" applyFont="1" applyFill="1" applyBorder="1"/>
    <xf numFmtId="165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7" xfId="0" applyNumberFormat="1" applyFont="1" applyFill="1" applyBorder="1"/>
    <xf numFmtId="168" fontId="8" fillId="5" borderId="6" xfId="0" applyNumberFormat="1" applyFont="1" applyFill="1" applyBorder="1"/>
    <xf numFmtId="168" fontId="8" fillId="5" borderId="7" xfId="0" applyNumberFormat="1" applyFont="1" applyFill="1" applyBorder="1"/>
    <xf numFmtId="168" fontId="8" fillId="5" borderId="1" xfId="0" applyNumberFormat="1" applyFont="1" applyFill="1" applyBorder="1"/>
    <xf numFmtId="168" fontId="8" fillId="5" borderId="5" xfId="0" applyNumberFormat="1" applyFont="1" applyFill="1" applyBorder="1"/>
    <xf numFmtId="165" fontId="10" fillId="5" borderId="4" xfId="0" applyNumberFormat="1" applyFont="1" applyFill="1" applyBorder="1"/>
    <xf numFmtId="165" fontId="10" fillId="5" borderId="8" xfId="0" applyNumberFormat="1" applyFont="1" applyFill="1" applyBorder="1"/>
    <xf numFmtId="2" fontId="8" fillId="5" borderId="6" xfId="0" applyNumberFormat="1" applyFont="1" applyFill="1" applyBorder="1"/>
    <xf numFmtId="2" fontId="8" fillId="5" borderId="7" xfId="0" applyNumberFormat="1" applyFont="1" applyFill="1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2" fontId="8" fillId="5" borderId="1" xfId="0" applyNumberFormat="1" applyFont="1" applyFill="1" applyBorder="1"/>
    <xf numFmtId="2" fontId="8" fillId="5" borderId="5" xfId="0" applyNumberFormat="1" applyFont="1" applyFill="1" applyBorder="1"/>
    <xf numFmtId="1" fontId="8" fillId="5" borderId="6" xfId="0" applyNumberFormat="1" applyFont="1" applyFill="1" applyBorder="1"/>
    <xf numFmtId="1" fontId="8" fillId="5" borderId="7" xfId="0" applyNumberFormat="1" applyFont="1" applyFill="1" applyBorder="1"/>
    <xf numFmtId="164" fontId="8" fillId="5" borderId="1" xfId="0" applyNumberFormat="1" applyFont="1" applyFill="1" applyBorder="1"/>
    <xf numFmtId="164" fontId="8" fillId="5" borderId="5" xfId="0" applyNumberFormat="1" applyFont="1" applyFill="1" applyBorder="1"/>
    <xf numFmtId="167" fontId="8" fillId="5" borderId="1" xfId="0" applyNumberFormat="1" applyFont="1" applyFill="1" applyBorder="1"/>
    <xf numFmtId="167" fontId="8" fillId="5" borderId="5" xfId="0" applyNumberFormat="1" applyFont="1" applyFill="1" applyBorder="1"/>
    <xf numFmtId="2" fontId="7" fillId="4" borderId="6" xfId="0" applyNumberFormat="1" applyFont="1" applyFill="1" applyBorder="1"/>
    <xf numFmtId="2" fontId="7" fillId="4" borderId="7" xfId="0" applyNumberFormat="1" applyFont="1" applyFill="1" applyBorder="1"/>
    <xf numFmtId="2" fontId="0" fillId="0" borderId="0" xfId="0" applyNumberFormat="1" applyAlignment="1">
      <alignment horizontal="left"/>
    </xf>
    <xf numFmtId="2" fontId="0" fillId="8" borderId="0" xfId="0" applyNumberFormat="1" applyFill="1"/>
    <xf numFmtId="2" fontId="11" fillId="0" borderId="0" xfId="0" applyNumberFormat="1" applyFont="1"/>
    <xf numFmtId="0" fontId="11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Peter S. Adamsen" refreshedDate="44739.627855324077" createdVersion="6" refreshedVersion="6" minRefreshableVersion="3" recordCount="107" xr:uid="{00000000-000A-0000-FFFF-FFFF01000000}">
  <cacheSource type="worksheet">
    <worksheetSource ref="A1:T134" sheet="Tabel_svin"/>
  </cacheSource>
  <cacheFields count="28">
    <cacheField name="Dyretype" numFmtId="0">
      <sharedItems containsBlank="1" count="90">
        <s v="Staldtype"/>
        <s v="Udslusninginterval, dage"/>
        <s v="Tid i for-/afhentningstanke biogas, dage"/>
        <s v="Maks. gyllehøjde kumme, cm"/>
        <s v="Restgylle ved udslusning, cm"/>
        <s v="Gyllehøjde ved udslusning, cm"/>
        <s v="Gennemsnitlig gyllehøjde, cm"/>
        <s v="Gylleproduktion, cm/dag"/>
        <s v="Beregnet HRT, stald, dage"/>
        <s v="CH4-udledning, gylle ubehandlet"/>
        <s v="CH4-udledning stald, kg/t gylle"/>
        <s v="CH4-udledning lager, kg/t gylle"/>
        <s v="CH4-udledning stald &amp; lager, kg /t gylle"/>
        <s v="CH4-udledning, gylle til biogas"/>
        <s v="CH4-udledning stald og for/afhent.tank, kg/t gylle"/>
        <s v="CH4-udledning, afgasset gylle, kg/t gylle"/>
        <s v="CH4-udledning stald &amp; lager, afg. gylle, kg /t gylle"/>
        <s v="Udbredelse i følge DCE for pågældende dyretype"/>
        <m/>
        <s v="Temp gylle stald, °C"/>
        <s v="Temp gylle stald, K"/>
        <s v="Ln(A) stald"/>
        <s v="La(A) lager"/>
        <s v="Ln(A) afgasset gylle i lager"/>
        <s v="E_a"/>
        <s v="R"/>
        <s v="(CO2-C + CH4-C)/CH4-C"/>
        <s v="Kulstof/VS, kg/kg"/>
        <s v="(CO2-C + CH4-C)/CH4-C_afg"/>
        <s v="VS_tot/CH4, kg/kg"/>
        <s v="VS_tot/CH4_afg, kg/kg"/>
        <s v="Stald + fortanke (ens temp)"/>
        <s v="Restgylle højde, cm"/>
        <s v="Maks. Gyllehøjde, cm"/>
        <s v="Kummeareal"/>
        <s v="Prod. areal, m2"/>
        <s v="Kummeareal, m2"/>
        <s v="Holdtid, per prod. dyr eller årsdyr, dage"/>
        <s v="Tilvækst, kg"/>
        <s v="Foder, FE/kg, FE/år"/>
        <s v="FEsv eller FEso/kg foder"/>
        <s v="Fodertørstof, "/>
        <s v="Foderforbrug, kg/prod. gris el. årsso"/>
        <s v="Foderforbrug, TS, kg"/>
        <s v="Fordøjelighed TS"/>
        <s v="Org. stof  ab dyr (VS_tot/TS)"/>
        <s v="Fæces VS ab dyr, kg"/>
        <s v="Fæces TS"/>
        <s v="Fæces ab dyr (kg)"/>
        <s v="Urinprod. ab dyr kg/kg foder"/>
        <s v="Urin, kg/kg TS"/>
        <s v="Urin ab dyr, kg"/>
        <s v="Fæces &amp; urin, ab dyr, kg"/>
        <s v="Vand (drikkevandsspild), kg"/>
        <s v="Strøelse, kg/prod. gris el. årsso"/>
        <s v="TS i strøelse"/>
        <s v="Strøelse TS, kg/prod. gris el. årsso"/>
        <s v="Gylle i alt ab stald, kg/prod. gris el. årsso"/>
        <s v="Densitet gylle, kg/kg"/>
        <s v="Gylle, cm/dag"/>
        <s v="VS_d/VS_tot, ab dyr"/>
        <s v="F_t kg CH4 · kg VS_d-1"/>
        <s v="VS_d ab stald, kg · kg-1 · d-1"/>
        <s v="VS_d ab dyr, kg"/>
        <s v="VS_nd ab dyr, kg"/>
        <s v="VS_d (HRT), kg · kg-1 · HRT-1"/>
        <s v="VS_d omsat, kg · kg-1 · HRT-1"/>
        <s v="CH4-prod, kg/kg VS_d"/>
        <s v="CH4-prod, kg/dyr"/>
        <s v="CH4-prod, kg/t gylle"/>
        <s v="Stald &amp; for-/afhentningstank"/>
        <s v="VS_d (HRT), kg/kg"/>
        <s v="VS_d omsat, kgkg"/>
        <s v="Lager (fra prod. til april)"/>
        <s v="VS_d tilført, kg/dyr"/>
        <s v="VS_nd tilført, kg/dyr"/>
        <s v="VS_d tilført, kg/t gylle"/>
        <s v="VS_nd tilført, kg/t gylle"/>
        <s v="VS_tot tilført, kg/ gylle"/>
        <s v="VS_d omsat, kg/kg"/>
        <s v="VS_d omsat, kg/t gylle"/>
        <s v="VS_nd omsat kg/kg gylle"/>
        <s v="CH4-prod_VS_d, kg/t gylle"/>
        <s v="CH4-prod_VS_nd, kg/t gylle"/>
        <s v="Lager, biogasgylle, fra prod til april)"/>
        <s v="VS_tot tilført biogasanlæg"/>
        <s v="VS_tot, omsat i biogasanlæg, kg/kg"/>
        <s v="VS_tot efter biogasanlæg, kg/kg"/>
        <s v="VS_tot omsat lager, kg/kg"/>
        <s v="VS_tot omsat lager, kg/t gylle"/>
      </sharedItems>
    </cacheField>
    <cacheField name="Forklaring mv." numFmtId="0">
      <sharedItems containsBlank="1"/>
    </cacheField>
    <cacheField name="Smågrise" numFmtId="0">
      <sharedItems containsBlank="1" containsMixedTypes="1" containsNumber="1" minValue="0" maxValue="81000"/>
    </cacheField>
    <cacheField name="Smågrise2" numFmtId="0">
      <sharedItems containsBlank="1" containsMixedTypes="1" containsNumber="1" minValue="0" maxValue="81000"/>
    </cacheField>
    <cacheField name="Smågrise3" numFmtId="0">
      <sharedItems containsBlank="1" containsMixedTypes="1" containsNumber="1" minValue="0" maxValue="81000"/>
    </cacheField>
    <cacheField name="Smågrise4" numFmtId="0">
      <sharedItems containsBlank="1" containsMixedTypes="1" containsNumber="1" minValue="2.9104600986036597E-3" maxValue="81000"/>
    </cacheField>
    <cacheField name="Smågrise5" numFmtId="0">
      <sharedItems containsBlank="1" containsMixedTypes="1" containsNumber="1" minValue="2.9104600986036597E-3" maxValue="81000"/>
    </cacheField>
    <cacheField name="Smågrise6" numFmtId="0">
      <sharedItems containsBlank="1" containsMixedTypes="1" containsNumber="1" minValue="2.9104600986036597E-3" maxValue="81000"/>
    </cacheField>
    <cacheField name="Smågrise7" numFmtId="0">
      <sharedItems containsBlank="1" containsMixedTypes="1" containsNumber="1" minValue="2.9104600986036597E-3" maxValue="81000"/>
    </cacheField>
    <cacheField name="Smågrise8" numFmtId="0">
      <sharedItems containsBlank="1" containsMixedTypes="1" containsNumber="1" minValue="2.9104600986036597E-3" maxValue="81000"/>
    </cacheField>
    <cacheField name="Smågrise9" numFmtId="0">
      <sharedItems containsBlank="1" containsMixedTypes="1" containsNumber="1" minValue="2.9104600986036597E-3" maxValue="81000"/>
    </cacheField>
    <cacheField name="Slagtesvin" numFmtId="0">
      <sharedItems containsBlank="1" containsMixedTypes="1" containsNumber="1" minValue="2.9104600986036597E-3" maxValue="81000"/>
    </cacheField>
    <cacheField name="Slagtesvin2" numFmtId="0">
      <sharedItems containsBlank="1" containsMixedTypes="1" containsNumber="1" minValue="2.9104600986036597E-3" maxValue="81000"/>
    </cacheField>
    <cacheField name="Slagtesvin3" numFmtId="0">
      <sharedItems containsBlank="1" containsMixedTypes="1" containsNumber="1" minValue="2.9104600986036597E-3" maxValue="81000"/>
    </cacheField>
    <cacheField name="Slagtesvin4" numFmtId="0">
      <sharedItems containsBlank="1" containsMixedTypes="1" containsNumber="1" minValue="2.9104600986036597E-3" maxValue="81000"/>
    </cacheField>
    <cacheField name="Slagtesvin5" numFmtId="0">
      <sharedItems containsBlank="1" containsMixedTypes="1" containsNumber="1" minValue="2.9104600986036597E-3" maxValue="81000"/>
    </cacheField>
    <cacheField name="Slagtesvin6" numFmtId="0">
      <sharedItems containsBlank="1" containsMixedTypes="1" containsNumber="1" minValue="2.9104600986036597E-3" maxValue="81000"/>
    </cacheField>
    <cacheField name="Slagtesvin7" numFmtId="0">
      <sharedItems containsBlank="1" containsMixedTypes="1" containsNumber="1" minValue="2.9104600986036597E-3" maxValue="81000"/>
    </cacheField>
    <cacheField name="Slagtesvin8" numFmtId="0">
      <sharedItems containsBlank="1" containsMixedTypes="1" containsNumber="1" minValue="2.9104600986036597E-3" maxValue="81000"/>
    </cacheField>
    <cacheField name="Slagtesvin9" numFmtId="0">
      <sharedItems containsBlank="1" containsMixedTypes="1" containsNumber="1" minValue="2.9104600986036597E-3" maxValue="81000"/>
    </cacheField>
    <cacheField name="Søer" numFmtId="0">
      <sharedItems containsBlank="1" containsMixedTypes="1" containsNumber="1" minValue="0" maxValue="81000"/>
    </cacheField>
    <cacheField name="Søer2" numFmtId="0">
      <sharedItems containsBlank="1" containsMixedTypes="1" containsNumber="1" minValue="0" maxValue="81000"/>
    </cacheField>
    <cacheField name="Søer3" numFmtId="0">
      <sharedItems containsBlank="1" containsMixedTypes="1" containsNumber="1" minValue="0" maxValue="81000"/>
    </cacheField>
    <cacheField name="Søer4" numFmtId="0">
      <sharedItems containsBlank="1" containsMixedTypes="1" containsNumber="1" minValue="0" maxValue="81000"/>
    </cacheField>
    <cacheField name="Søer5" numFmtId="0">
      <sharedItems containsBlank="1" containsMixedTypes="1" containsNumber="1" minValue="0" maxValue="81000"/>
    </cacheField>
    <cacheField name="Søer6" numFmtId="0">
      <sharedItems containsBlank="1" containsMixedTypes="1" containsNumber="1" minValue="0" maxValue="81000"/>
    </cacheField>
    <cacheField name="Søer7" numFmtId="0">
      <sharedItems containsBlank="1" containsMixedTypes="1" containsNumber="1" minValue="0" maxValue="81000"/>
    </cacheField>
    <cacheField name="Søer8" numFmtId="0">
      <sharedItems containsBlank="1" containsMixedTypes="1" containsNumber="1" minValue="0" maxValue="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Følger Normtal"/>
    <s v="Drænet gulv + spalter (50/50)"/>
    <s v="Drænet gulv + spalter (50/50)"/>
    <s v="Drænet gulv + spalter (50/50)"/>
    <s v="Toklimastald, 25-49% fast gulv "/>
    <s v="Toklimastald, 25-49% fast gulv "/>
    <s v="Toklimastald, 25-49% fast gulv "/>
    <s v="Toklimastald, 50-75% fast gulv "/>
    <s v="Toklimastald, 50-75% fast gulv "/>
    <s v="Toklimastald, 50-75% fast gulv "/>
    <s v="Drænet gulv + spalte (33/67)"/>
    <s v="Drænet gulv + spalte (33/67)"/>
    <s v="Drænet gulv + spalte (33/67)"/>
    <s v="Drænet gulv + spalte (33/67)"/>
    <s v="Delvis spaltegulv, 25-49% fast gulv"/>
    <s v="Delvis spaltegulv, 25-49% fast gulv"/>
    <s v="Delvis spaltegulv, 25-49% fast gulv"/>
    <s v="Delvis spaltegulv, 50-75% fast gulv"/>
    <s v="Delvis spaltegulv, 50-75% fast gulv"/>
    <s v="Farestald, kassestier, fuldspalte-gulv"/>
    <s v="Farestald, kassestier, fuldspalte-gulv"/>
    <s v="Farestald, kassestier, delvis spalte-gulv"/>
    <s v="Farestald, kassestier, delvis spalte-gulv"/>
    <s v="Løbe- og drægtigheds-stald, delvis spaltegulv"/>
    <s v="Løbe- og drægtigheds-stald, delvis spaltegulv"/>
    <s v="Løbe- og drægtigheds-stald, delvis spaltegulv"/>
    <s v="Løbe- og drægtigheds-stald, delvis spaltegulv"/>
  </r>
  <r>
    <x v="1"/>
    <s v="Ændret siden sidste version pga. ændrede gyllemængder."/>
    <n v="48"/>
    <n v="14"/>
    <n v="7"/>
    <n v="36"/>
    <n v="14"/>
    <n v="7"/>
    <n v="24"/>
    <n v="14"/>
    <n v="7"/>
    <n v="29"/>
    <n v="14"/>
    <n v="7"/>
    <n v="1"/>
    <n v="26"/>
    <n v="14"/>
    <n v="7"/>
    <n v="17"/>
    <n v="7"/>
    <n v="41"/>
    <n v="14"/>
    <n v="41"/>
    <n v="14"/>
    <n v="30"/>
    <n v="14"/>
    <n v="7"/>
    <n v="1"/>
  </r>
  <r>
    <x v="2"/>
    <s v="Antal dage ved nogenlunde samme temp. som i stald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3"/>
    <s v="Kummehøjde 40 cm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4"/>
    <s v="Skønnet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5"/>
    <m/>
    <n v="34.983266262626266"/>
    <n v="12.328452659932662"/>
    <n v="7.6642263299663309"/>
    <n v="35.279562558922564"/>
    <n v="15.553163217358776"/>
    <n v="9.276581608679388"/>
    <n v="35.279562558922557"/>
    <n v="21.829744826038159"/>
    <n v="12.414872413019079"/>
    <n v="34.649528740490268"/>
    <n v="18.279082840236683"/>
    <n v="10.639541420118341"/>
    <n v="2.091363060016906"/>
    <n v="40.833919413919403"/>
    <n v="23.372110453648911"/>
    <n v="13.186055226824456"/>
    <n v="40.106344040574804"/>
    <n v="18.279082840236683"/>
    <n v="16.908630708920732"/>
    <n v="7.7492885347534219"/>
    <n v="30.817261417841468"/>
    <n v="12.498577069506844"/>
    <n v="40.623765183557573"/>
    <n v="20.557757085660203"/>
    <n v="11.778878542830101"/>
    <n v="2.2541255061185859"/>
  </r>
  <r>
    <x v="6"/>
    <m/>
    <n v="18.991633131313133"/>
    <n v="7.6642263299663309"/>
    <n v="5.3321131649831655"/>
    <n v="19.139781279461282"/>
    <n v="9.276581608679388"/>
    <n v="6.138290804339694"/>
    <n v="19.139781279461278"/>
    <n v="12.414872413019079"/>
    <n v="7.7074362065095396"/>
    <n v="18.824764370245134"/>
    <n v="10.639541420118341"/>
    <n v="6.8197707100591707"/>
    <n v="1.545681530008453"/>
    <n v="21.916959706959702"/>
    <n v="13.186055226824456"/>
    <n v="8.0930276134122288"/>
    <n v="21.553172020287402"/>
    <n v="10.639541420118341"/>
    <n v="9.9543153544603662"/>
    <n v="5.374644267376711"/>
    <n v="16.908630708920732"/>
    <n v="7.7492885347534219"/>
    <n v="21.811882591778787"/>
    <n v="11.778878542830101"/>
    <n v="7.3894392714150507"/>
    <n v="1.6270627530592929"/>
  </r>
  <r>
    <x v="7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8"/>
    <m/>
    <n v="28.502354413009712"/>
    <n v="11.502354413009712"/>
    <n v="8.0023544130097122"/>
    <n v="21.345770247129547"/>
    <n v="10.345770247129547"/>
    <n v="6.8457702471295461"/>
    <n v="14.230513498086363"/>
    <n v="9.2305134980863652"/>
    <n v="5.7305134980863643"/>
    <n v="17.248856095563216"/>
    <n v="9.7488560955632195"/>
    <n v="6.2488560955632195"/>
    <n v="1.4162853651877398"/>
    <n v="15.061642071672413"/>
    <n v="9.0616420716724146"/>
    <n v="5.5616420716724155"/>
    <n v="9.8744280477816098"/>
    <n v="4.8744280477816098"/>
    <n v="29.343429851157818"/>
    <n v="15.843429851157822"/>
    <n v="24.921714925578907"/>
    <n v="11.421714925578911"/>
    <n v="17.392105084669517"/>
    <n v="9.3921050846695167"/>
    <n v="5.8921050846695167"/>
    <n v="1.2973683615565055"/>
  </r>
  <r>
    <x v="9"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1"/>
    <s v="En årlig udbringning, april"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2"/>
    <m/>
    <n v="3.939434817198932"/>
    <n v="3.1458086760716286"/>
    <n v="2.94695374518097"/>
    <n v="3.6038159094415025"/>
    <n v="3.0533129892859847"/>
    <n v="2.8517673272349473"/>
    <n v="3.2614107200797164"/>
    <n v="2.9905855784410438"/>
    <n v="2.7845872489901771"/>
    <n v="3.822285965251913"/>
    <n v="3.3825429809540104"/>
    <n v="3.1541397866309104"/>
    <n v="2.8118906527045628"/>
    <n v="3.7006486103809415"/>
    <n v="3.3389238844805633"/>
    <n v="3.1074244149205121"/>
    <n v="3.3904500574044558"/>
    <n v="3.0600757611361011"/>
    <n v="3.7785319890525324"/>
    <n v="3.2096816455321999"/>
    <n v="3.6085120986942556"/>
    <n v="2.9881796868385924"/>
    <n v="4.1388885209346249"/>
    <n v="3.630885092026622"/>
    <n v="3.3823345460657586"/>
    <n v="3.0290620529700614"/>
  </r>
  <r>
    <x v="13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5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  <r>
    <x v="16"/>
    <m/>
    <n v="2.4477728253596132"/>
    <n v="1.3364672994021551"/>
    <n v="1.058013034716802"/>
    <n v="2.0059761756210137"/>
    <n v="1.2351132900366919"/>
    <n v="0.95289122556194705"/>
    <n v="1.5265101407525568"/>
    <n v="1.1472768205852586"/>
    <n v="0.8588197373400237"/>
    <n v="1.9468033796294368"/>
    <n v="1.3310363539148777"/>
    <n v="1.0112059969699179"/>
    <n v="0.53195848472662599"/>
    <n v="1.7764759954546305"/>
    <n v="1.2699570365434041"/>
    <n v="0.94579100111912529"/>
    <n v="1.342108541810636"/>
    <n v="0.87948922768898052"/>
    <n v="2.3721110144537021"/>
    <n v="1.5755564436844163"/>
    <n v="2.1340341242325085"/>
    <n v="1.2653898073423284"/>
    <n v="2.1155548384094263"/>
    <n v="1.4042034999203845"/>
    <n v="1.0561610390033314"/>
    <n v="0.56147764413889489"/>
  </r>
  <r>
    <x v="17"/>
    <s v="Baseret på indberetninger til gødningsregnskab. Uden biogas"/>
    <n v="19.2"/>
    <n v="19.2"/>
    <n v="19.2"/>
    <n v="78.599999999999994"/>
    <n v="78.599999999999994"/>
    <n v="78.599999999999994"/>
    <n v="78.599999999999994"/>
    <n v="78.599999999999994"/>
    <n v="78.599999999999994"/>
    <n v="49.2"/>
    <n v="49.2"/>
    <n v="49.2"/>
    <n v="49.2"/>
    <n v="38.299999999999997"/>
    <n v="38.299999999999997"/>
    <n v="38.299999999999997"/>
    <n v="10.6"/>
    <n v="10.6"/>
    <n v="16.8"/>
    <n v="16.8"/>
    <n v="83.3"/>
    <n v="83.3"/>
    <n v="89.7"/>
    <n v="89.7"/>
    <n v="89.7"/>
    <n v="89.7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Fra DCE-rapport 197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</r>
  <r>
    <x v="20"/>
    <m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</r>
  <r>
    <x v="21"/>
    <s v="Arrheniusparameter for substratet. Sættes til 31,3 i stalden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</r>
  <r>
    <x v="22"/>
    <s v="30,3 estimeret ud fra Husted (1994), og xx. Gælder for VS_tot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</r>
  <r>
    <x v="23"/>
    <s v="Fra bæredygtig biogas. 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</r>
  <r>
    <x v="24"/>
    <s v="Aktiveringsenergi. Sættes til 81 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</r>
  <r>
    <x v="25"/>
    <s v="8,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</r>
  <r>
    <x v="26"/>
    <s v="Forholdet mellem CH4 og sum af CO2 og CH4 i gassen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</r>
  <r>
    <x v="27"/>
    <s v="Andel af kulstof i organisk materiale, sættes til 0,45 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</r>
  <r>
    <x v="28"/>
    <m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x v="29"/>
    <s v="Beregnes, bør være 6,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</r>
  <r>
    <x v="30"/>
    <m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Gennemsnitlig resthøjde ved udslusning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33"/>
    <m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34"/>
    <m/>
    <n v="1"/>
    <n v="1"/>
    <n v="1"/>
    <n v="0.75"/>
    <n v="0.75"/>
    <n v="0.75"/>
    <n v="0.5"/>
    <n v="0.5"/>
    <n v="0.5"/>
    <n v="1"/>
    <n v="1"/>
    <n v="1"/>
    <n v="1"/>
    <n v="0.75"/>
    <n v="0.75"/>
    <n v="0.75"/>
    <n v="0.5"/>
    <n v="0.5"/>
    <n v="1"/>
    <n v="1"/>
    <n v="0.5"/>
    <n v="0.5"/>
    <n v="0.39"/>
    <n v="0.39"/>
    <n v="0.39"/>
    <n v="0.39"/>
  </r>
  <r>
    <x v="35"/>
    <m/>
    <n v="0.3"/>
    <n v="0.3"/>
    <n v="0.3"/>
    <n v="0.3"/>
    <n v="0.3"/>
    <n v="0.3"/>
    <n v="0.3"/>
    <n v="0.3"/>
    <n v="0.3"/>
    <n v="0.65"/>
    <n v="0.65"/>
    <n v="0.65"/>
    <n v="0.65"/>
    <n v="0.65"/>
    <n v="0.65"/>
    <n v="0.65"/>
    <n v="0.65"/>
    <n v="0.65"/>
    <n v="4.9000000000000004"/>
    <n v="4.9000000000000004"/>
    <n v="4.9000000000000004"/>
    <n v="4.9000000000000004"/>
    <n v="2.14"/>
    <n v="2.14"/>
    <n v="2.14"/>
    <n v="2.14"/>
  </r>
  <r>
    <x v="36"/>
    <m/>
    <n v="0.3"/>
    <n v="0.3"/>
    <n v="0.3"/>
    <n v="0.22499999999999998"/>
    <n v="0.22499999999999998"/>
    <n v="0.22499999999999998"/>
    <n v="0.15"/>
    <n v="0.15"/>
    <n v="0.15"/>
    <n v="0.65"/>
    <n v="0.65"/>
    <n v="0.65"/>
    <n v="0.65"/>
    <n v="0.48750000000000004"/>
    <n v="0.48750000000000004"/>
    <n v="0.48750000000000004"/>
    <n v="0.32500000000000001"/>
    <n v="0.32500000000000001"/>
    <n v="4.9000000000000004"/>
    <n v="4.9000000000000004"/>
    <n v="2.4500000000000002"/>
    <n v="2.4500000000000002"/>
    <n v="0.83460000000000012"/>
    <n v="0.83460000000000012"/>
    <n v="0.83460000000000012"/>
    <n v="0.83460000000000012"/>
  </r>
  <r>
    <x v="37"/>
    <m/>
    <n v="54"/>
    <n v="54"/>
    <n v="54"/>
    <n v="54"/>
    <n v="54"/>
    <n v="54"/>
    <n v="54"/>
    <n v="54"/>
    <n v="54"/>
    <n v="84"/>
    <n v="84"/>
    <n v="84"/>
    <n v="84"/>
    <n v="84"/>
    <n v="84"/>
    <n v="84"/>
    <n v="84"/>
    <n v="84"/>
    <n v="92.66"/>
    <n v="92.66"/>
    <n v="92.66"/>
    <n v="92.66"/>
    <n v="272.34000000000003"/>
    <n v="272.34000000000003"/>
    <n v="272.34000000000003"/>
    <n v="272.34000000000003"/>
  </r>
  <r>
    <x v="38"/>
    <s v="Normtal 2021/22 (smg. Og sl.) Søer: 1 kg for årsdyr"/>
    <n v="24.3"/>
    <n v="24.3"/>
    <n v="24.3"/>
    <n v="24.3"/>
    <n v="24.3"/>
    <n v="24.3"/>
    <n v="24.3"/>
    <n v="24.3"/>
    <n v="24.3"/>
    <n v="84"/>
    <n v="84"/>
    <n v="84"/>
    <n v="84"/>
    <n v="84"/>
    <n v="84"/>
    <n v="84"/>
    <n v="84"/>
    <n v="84"/>
    <n v="1"/>
    <n v="1"/>
    <n v="1"/>
    <n v="1"/>
    <n v="1"/>
    <n v="1"/>
    <n v="1"/>
    <n v="1"/>
  </r>
  <r>
    <x v="39"/>
    <s v="Normtal 2021/22"/>
    <n v="1.86"/>
    <n v="1.86"/>
    <n v="1.86"/>
    <n v="1.86"/>
    <n v="1.86"/>
    <n v="1.86"/>
    <n v="1.86"/>
    <n v="1.86"/>
    <n v="1.86"/>
    <n v="2.75"/>
    <n v="2.75"/>
    <n v="2.75"/>
    <n v="2.75"/>
    <n v="2.75"/>
    <n v="2.75"/>
    <n v="2.75"/>
    <n v="2.75"/>
    <n v="2.75"/>
    <n v="449.09999999999997"/>
    <n v="449.09999999999997"/>
    <n v="449.09999999999997"/>
    <n v="449.09999999999997"/>
    <n v="1047.8999999999999"/>
    <n v="1047.8999999999999"/>
    <n v="1047.8999999999999"/>
    <n v="1047.8999999999999"/>
  </r>
  <r>
    <x v="40"/>
    <s v="Normtal 2021/22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04"/>
    <n v="1.04"/>
    <n v="1.04"/>
    <n v="1.04"/>
    <n v="1.04"/>
    <n v="1.04"/>
    <n v="1.04"/>
    <n v="1.04"/>
    <n v="1.04"/>
    <n v="1.02"/>
    <n v="1.02"/>
    <n v="1.02"/>
    <n v="1.02"/>
    <n v="1.02"/>
    <n v="1.02"/>
    <n v="1.02"/>
    <n v="1.02"/>
  </r>
  <r>
    <x v="41"/>
    <s v="0,87 jf. normtal 2021/22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</r>
  <r>
    <x v="42"/>
    <m/>
    <n v="41.089090909090906"/>
    <n v="41.089090909090906"/>
    <n v="41.089090909090906"/>
    <n v="41.089090909090906"/>
    <n v="41.089090909090906"/>
    <n v="41.089090909090906"/>
    <n v="41.089090909090906"/>
    <n v="41.089090909090906"/>
    <n v="41.089090909090906"/>
    <n v="222.11538461538461"/>
    <n v="222.11538461538461"/>
    <n v="222.11538461538461"/>
    <n v="222.11538461538461"/>
    <n v="222.11538461538461"/>
    <n v="222.11538461538461"/>
    <n v="222.11538461538461"/>
    <n v="222.11538461538461"/>
    <n v="222.11538461538461"/>
    <n v="440.29411764705878"/>
    <n v="440.29411764705878"/>
    <n v="440.29411764705878"/>
    <n v="440.29411764705878"/>
    <n v="1027.3529411764705"/>
    <n v="1027.3529411764705"/>
    <n v="1027.3529411764705"/>
    <n v="1027.3529411764705"/>
  </r>
  <r>
    <x v="43"/>
    <m/>
    <n v="35.747509090909091"/>
    <n v="35.747509090909091"/>
    <n v="35.747509090909091"/>
    <n v="35.747509090909091"/>
    <n v="35.747509090909091"/>
    <n v="35.747509090909091"/>
    <n v="35.747509090909091"/>
    <n v="35.747509090909091"/>
    <n v="35.747509090909091"/>
    <n v="193.24038461538461"/>
    <n v="193.24038461538461"/>
    <n v="193.24038461538461"/>
    <n v="193.24038461538461"/>
    <n v="193.24038461538461"/>
    <n v="193.24038461538461"/>
    <n v="193.24038461538461"/>
    <n v="193.24038461538461"/>
    <n v="193.24038461538461"/>
    <n v="383.05588235294113"/>
    <n v="383.05588235294113"/>
    <n v="383.05588235294113"/>
    <n v="383.05588235294113"/>
    <n v="893.79705882352937"/>
    <n v="893.79705882352937"/>
    <n v="893.79705882352937"/>
    <n v="893.79705882352937"/>
  </r>
  <r>
    <x v="44"/>
    <s v="Normtal 2021/22 tabel 2.2.8: Søer 81%, smågrise 85%, sl. svin 83%"/>
    <n v="0.85"/>
    <n v="0.85"/>
    <n v="0.85"/>
    <n v="0.85"/>
    <n v="0.85"/>
    <n v="0.85"/>
    <n v="0.85"/>
    <n v="0.85"/>
    <n v="0.85"/>
    <n v="0.83"/>
    <n v="0.83"/>
    <n v="0.83"/>
    <n v="0.83"/>
    <n v="0.83"/>
    <n v="0.83"/>
    <n v="0.83"/>
    <n v="0.83"/>
    <n v="0.83"/>
    <n v="0.81"/>
    <n v="0.81"/>
    <n v="0.81"/>
    <n v="0.81"/>
    <n v="0.81"/>
    <n v="0.81"/>
    <n v="0.81"/>
    <n v="0.81"/>
  </r>
  <r>
    <x v="45"/>
    <s v="som fæces-TS. Salte kommer fra urin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6"/>
    <m/>
    <n v="5.3621263636363645"/>
    <n v="5.3621263636363645"/>
    <n v="5.3621263636363645"/>
    <n v="5.3621263636363645"/>
    <n v="5.3621263636363645"/>
    <n v="5.3621263636363645"/>
    <n v="5.3621263636363645"/>
    <n v="5.3621263636363645"/>
    <n v="5.3621263636363645"/>
    <n v="32.850865384615389"/>
    <n v="32.850865384615389"/>
    <n v="32.850865384615389"/>
    <n v="32.850865384615389"/>
    <n v="32.850865384615389"/>
    <n v="32.850865384615389"/>
    <n v="32.850865384615389"/>
    <n v="32.850865384615389"/>
    <n v="32.850865384615389"/>
    <n v="72.78061764705879"/>
    <n v="72.78061764705879"/>
    <n v="72.78061764705879"/>
    <n v="72.78061764705879"/>
    <n v="169.82144117647053"/>
    <n v="169.82144117647053"/>
    <n v="169.82144117647053"/>
    <n v="169.82144117647053"/>
  </r>
  <r>
    <x v="47"/>
    <s v="Normtal 2021/22, tabel 2.2.9: Søer, 30%, Sl. &amp; smågrise, 25%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3"/>
    <n v="0.3"/>
    <n v="0.3"/>
    <n v="0.3"/>
    <n v="0.3"/>
    <n v="0.3"/>
    <n v="0.3"/>
    <n v="0.3"/>
  </r>
  <r>
    <x v="48"/>
    <m/>
    <n v="21.448505454545458"/>
    <n v="21.448505454545458"/>
    <n v="21.448505454545458"/>
    <n v="21.448505454545458"/>
    <n v="21.448505454545458"/>
    <n v="21.448505454545458"/>
    <n v="21.448505454545458"/>
    <n v="21.448505454545458"/>
    <n v="21.448505454545458"/>
    <n v="131.40346153846156"/>
    <n v="131.40346153846156"/>
    <n v="131.40346153846156"/>
    <n v="131.40346153846156"/>
    <n v="131.40346153846156"/>
    <n v="131.40346153846156"/>
    <n v="131.40346153846156"/>
    <n v="131.40346153846156"/>
    <n v="131.40346153846156"/>
    <n v="242.60205882352932"/>
    <n v="242.60205882352932"/>
    <n v="242.60205882352932"/>
    <n v="242.60205882352932"/>
    <n v="566.07147058823512"/>
    <n v="566.07147058823512"/>
    <n v="566.07147058823512"/>
    <n v="566.07147058823512"/>
  </r>
  <r>
    <x v="49"/>
    <s v="Normtal 2021/22, tabel 2.2.9: Søer 2,5 kg/kg, Sl. &amp; smågrise, 2,0 kg/kg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.5"/>
    <n v="2.5"/>
    <n v="2.5"/>
    <n v="2.5"/>
    <n v="2.5"/>
    <n v="2.5"/>
    <n v="2.5"/>
    <n v="2.5"/>
  </r>
  <r>
    <x v="50"/>
    <s v="Normtal 2021/22, tabel 2.2.9: Søer, sl. &amp; smågrise: 2%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</r>
  <r>
    <x v="51"/>
    <m/>
    <n v="71.495018181818182"/>
    <n v="71.495018181818182"/>
    <n v="71.495018181818182"/>
    <n v="71.495018181818182"/>
    <n v="71.495018181818182"/>
    <n v="71.495018181818182"/>
    <n v="71.495018181818182"/>
    <n v="71.495018181818182"/>
    <n v="71.495018181818182"/>
    <n v="386.48076923076923"/>
    <n v="386.48076923076923"/>
    <n v="386.48076923076923"/>
    <n v="386.48076923076923"/>
    <n v="386.48076923076923"/>
    <n v="386.48076923076923"/>
    <n v="386.48076923076923"/>
    <n v="386.48076923076923"/>
    <n v="386.48076923076923"/>
    <n v="957.63970588235281"/>
    <n v="957.63970588235281"/>
    <n v="957.63970588235281"/>
    <n v="957.63970588235281"/>
    <n v="2234.4926470588234"/>
    <n v="2234.4926470588234"/>
    <n v="2234.4926470588234"/>
    <n v="2234.4926470588234"/>
  </r>
  <r>
    <x v="52"/>
    <s v="OK sammenlignet med Normtal 2021/22"/>
    <n v="92.943523636363636"/>
    <n v="92.943523636363636"/>
    <n v="92.943523636363636"/>
    <n v="92.943523636363636"/>
    <n v="92.943523636363636"/>
    <n v="92.943523636363636"/>
    <n v="92.943523636363636"/>
    <n v="92.943523636363636"/>
    <n v="92.943523636363636"/>
    <n v="517.88423076923073"/>
    <n v="517.88423076923073"/>
    <n v="517.88423076923073"/>
    <n v="517.88423076923073"/>
    <n v="517.88423076923073"/>
    <n v="517.88423076923073"/>
    <n v="517.88423076923073"/>
    <n v="517.88423076923073"/>
    <n v="517.88423076923073"/>
    <n v="1200.2417647058821"/>
    <n v="1200.2417647058821"/>
    <n v="1200.2417647058821"/>
    <n v="1200.2417647058821"/>
    <n v="2800.5641176470585"/>
    <n v="2800.5641176470585"/>
    <n v="2800.5641176470585"/>
    <n v="2800.5641176470585"/>
  </r>
  <r>
    <x v="53"/>
    <s v="Djf rapport 36. drikkevandspild ikke vaskevand"/>
    <n v="15"/>
    <n v="15"/>
    <n v="15"/>
    <n v="15"/>
    <n v="15"/>
    <n v="15"/>
    <n v="15"/>
    <n v="15"/>
    <n v="15"/>
    <n v="75"/>
    <n v="75"/>
    <n v="75"/>
    <n v="75"/>
    <n v="75"/>
    <n v="75"/>
    <n v="75"/>
    <n v="75"/>
    <n v="75"/>
    <n v="340"/>
    <n v="340"/>
    <n v="340"/>
    <n v="340"/>
    <n v="0"/>
    <n v="0"/>
    <n v="0"/>
    <n v="0"/>
  </r>
  <r>
    <x v="54"/>
    <s v="Normtal 2021/22 kap. 8 Tabel 8,5"/>
    <n v="0"/>
    <n v="0"/>
    <n v="0"/>
    <n v="1"/>
    <n v="1"/>
    <n v="1"/>
    <n v="1"/>
    <n v="1"/>
    <n v="1"/>
    <n v="3"/>
    <n v="3"/>
    <n v="3"/>
    <n v="3"/>
    <n v="3"/>
    <n v="3"/>
    <n v="3"/>
    <n v="3"/>
    <n v="3"/>
    <n v="0"/>
    <n v="0"/>
    <n v="0"/>
    <n v="0"/>
    <n v="50"/>
    <n v="50"/>
    <n v="50"/>
    <n v="50"/>
  </r>
  <r>
    <x v="55"/>
    <m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</r>
  <r>
    <x v="56"/>
    <m/>
    <n v="0"/>
    <n v="0"/>
    <n v="0"/>
    <n v="0.85"/>
    <n v="0.85"/>
    <n v="0.85"/>
    <n v="0.85"/>
    <n v="0.85"/>
    <n v="0.85"/>
    <n v="2.5499999999999998"/>
    <n v="2.5499999999999998"/>
    <n v="2.5499999999999998"/>
    <n v="2.5499999999999998"/>
    <n v="2.5499999999999998"/>
    <n v="2.5499999999999998"/>
    <n v="2.5499999999999998"/>
    <n v="2.5499999999999998"/>
    <n v="2.5499999999999998"/>
    <n v="0"/>
    <n v="0"/>
    <n v="0"/>
    <n v="0"/>
    <n v="42.5"/>
    <n v="42.5"/>
    <n v="42.5"/>
    <n v="42.5"/>
  </r>
  <r>
    <x v="57"/>
    <s v="Formel opdateret pga. fejl i tidligere version"/>
    <n v="107.94352363636364"/>
    <n v="107.94352363636364"/>
    <n v="107.94352363636364"/>
    <n v="108.94352363636364"/>
    <n v="108.94352363636364"/>
    <n v="108.94352363636364"/>
    <n v="108.94352363636364"/>
    <n v="108.94352363636364"/>
    <n v="108.94352363636364"/>
    <n v="595.88423076923073"/>
    <n v="595.88423076923073"/>
    <n v="595.88423076923073"/>
    <n v="595.88423076923073"/>
    <n v="595.88423076923073"/>
    <n v="595.88423076923073"/>
    <n v="595.88423076923073"/>
    <n v="595.88423076923073"/>
    <n v="595.88423076923073"/>
    <n v="1540.2417647058821"/>
    <n v="1540.2417647058821"/>
    <n v="1540.2417647058821"/>
    <n v="1540.2417647058821"/>
    <n v="2850.5641176470585"/>
    <n v="2850.5641176470585"/>
    <n v="2850.5641176470585"/>
    <n v="2850.5641176470585"/>
  </r>
  <r>
    <x v="58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9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m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</r>
  <r>
    <x v="61"/>
    <m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</r>
  <r>
    <x v="62"/>
    <m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m/>
    <n v="3.753488454545455"/>
    <n v="3.753488454545455"/>
    <n v="3.753488454545455"/>
    <n v="3.753488454545455"/>
    <n v="3.753488454545455"/>
    <n v="3.753488454545455"/>
    <n v="3.753488454545455"/>
    <n v="3.753488454545455"/>
    <n v="3.753488454545455"/>
    <n v="22.995605769230771"/>
    <n v="22.995605769230771"/>
    <n v="22.995605769230771"/>
    <n v="22.995605769230771"/>
    <n v="22.995605769230771"/>
    <n v="22.995605769230771"/>
    <n v="22.995605769230771"/>
    <n v="22.995605769230771"/>
    <n v="22.995605769230771"/>
    <n v="50.946432352941152"/>
    <n v="50.946432352941152"/>
    <n v="50.946432352941152"/>
    <n v="50.946432352941152"/>
    <n v="118.87500882352936"/>
    <n v="118.87500882352936"/>
    <n v="118.87500882352936"/>
    <n v="118.87500882352936"/>
  </r>
  <r>
    <x v="64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m/>
    <n v="0.57208436998974233"/>
    <n v="0.79821716953343758"/>
    <n v="0.85487813355044773"/>
    <n v="0.65820142419239636"/>
    <n v="0.81651277294803626"/>
    <n v="0.87447243933115804"/>
    <n v="0.75666888978455193"/>
    <n v="0.8345516618462212"/>
    <n v="0.89379180787044665"/>
    <n v="0.71321650345685139"/>
    <n v="0.82611861017298183"/>
    <n v="0.8847601411139332"/>
    <n v="0.9726311239875991"/>
    <n v="0.74444636751536886"/>
    <n v="0.83731762428066359"/>
    <n v="0.89675411047890685"/>
    <n v="0.82408850253943755"/>
    <n v="0.90891067227367384"/>
    <n v="0.56273376797427321"/>
    <n v="0.7331297036286275"/>
    <n v="0.61366227426322806"/>
    <n v="0.79947937526158552"/>
    <n v="0.71121746207655134"/>
    <n v="0.83191349169936191"/>
    <n v="0.89096636880797464"/>
    <n v="0.97490002922294017"/>
  </r>
  <r>
    <x v="66"/>
    <m/>
    <n v="0.42791563001025767"/>
    <n v="0.20178283046656242"/>
    <n v="0.14512186644955227"/>
    <n v="0.34179857580760364"/>
    <n v="0.18348722705196374"/>
    <n v="0.12552756066884196"/>
    <n v="0.24333111021544807"/>
    <n v="0.1654483381537788"/>
    <n v="0.10620819212955335"/>
    <n v="0.28678349654314861"/>
    <n v="0.17388138982701817"/>
    <n v="0.1152398588860668"/>
    <n v="2.73688760124009E-2"/>
    <n v="0.25555363248463114"/>
    <n v="0.16268237571933641"/>
    <n v="0.10324588952109315"/>
    <n v="0.17591149746056245"/>
    <n v="9.1089327726326164E-2"/>
    <n v="0.43726623202572679"/>
    <n v="0.2668702963713725"/>
    <n v="0.38633772573677194"/>
    <n v="0.20052062473841448"/>
    <n v="0.28878253792344866"/>
    <n v="0.16808650830063809"/>
    <n v="0.10903363119202536"/>
    <n v="2.5099970777059832E-2"/>
  </r>
  <r>
    <x v="67"/>
    <m/>
    <n v="6.4187344501538651E-2"/>
    <n v="3.0267424569984363E-2"/>
    <n v="2.176827996743284E-2"/>
    <n v="5.1269786371140547E-2"/>
    <n v="2.7523084057794561E-2"/>
    <n v="1.8829134100326293E-2"/>
    <n v="3.6499666532317211E-2"/>
    <n v="2.4817250723066817E-2"/>
    <n v="1.5931228819433003E-2"/>
    <n v="4.3017524481472287E-2"/>
    <n v="2.6082208474052723E-2"/>
    <n v="1.7285978832910019E-2"/>
    <n v="4.1053314018601348E-3"/>
    <n v="3.833304487269467E-2"/>
    <n v="2.4402356357900459E-2"/>
    <n v="1.5486883428163971E-2"/>
    <n v="2.6386724619084367E-2"/>
    <n v="1.3663399158948923E-2"/>
    <n v="6.558993480385901E-2"/>
    <n v="4.003054445570587E-2"/>
    <n v="5.7950658860515786E-2"/>
    <n v="3.0078093710762172E-2"/>
    <n v="4.3317380688517294E-2"/>
    <n v="2.5212976245095713E-2"/>
    <n v="1.6355044678803804E-2"/>
    <n v="3.7649956165589746E-3"/>
  </r>
  <r>
    <x v="68"/>
    <m/>
    <n v="0.24092645651445704"/>
    <n v="0.11360842867226173"/>
    <n v="8.1706987533072276E-2"/>
    <n v="0.19244055121108797"/>
    <n v="0.10330757824441596"/>
    <n v="7.0674937454662856E-2"/>
    <n v="0.13700107692381178"/>
    <n v="9.3151264062591152E-2"/>
    <n v="5.9797683440463593E-2"/>
    <n v="0.98921403414417008"/>
    <n v="0.59977618366020646"/>
    <n v="0.39750155457686664"/>
    <n v="9.4404582469219164E-2"/>
    <n v="0.88149158782671955"/>
    <n v="0.56114696664656094"/>
    <n v="0.35613026590809183"/>
    <n v="0.60677871688172014"/>
    <n v="0.31419814052682871"/>
    <n v="3.3415731765186232"/>
    <n v="2.0394134251640224"/>
    <n v="2.9523793214456373"/>
    <n v="1.5323715665407696"/>
    <n v="5.1493540115596739"/>
    <n v="2.9971927736031887"/>
    <n v="1.9442060805020192"/>
    <n v="0.44756388713899747"/>
  </r>
  <r>
    <x v="69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m/>
    <n v="0.55009936466175158"/>
    <n v="0.76754195859313346"/>
    <n v="0.82202546127550613"/>
    <n v="0.6329069701278317"/>
    <n v="0.78513446826903055"/>
    <n v="0.84086676463282406"/>
    <n v="0.72759036492686968"/>
    <n v="0.80248012887897424"/>
    <n v="0.85944369649222696"/>
    <n v="0.68580783884189089"/>
    <n v="0.79437115647741763"/>
    <n v="0.85075911357889933"/>
    <n v="0.93525324484117089"/>
    <n v="0.7158375499793781"/>
    <n v="0.8051397963295851"/>
    <n v="0.86229215883158272"/>
    <n v="0.79241906518111516"/>
    <n v="0.87398154814297491"/>
    <n v="0.54110810306163704"/>
    <n v="0.70495578158864469"/>
    <n v="0.59007944439233695"/>
    <n v="0.76875565818981884"/>
    <n v="0.68388561993341879"/>
    <n v="0.79994334270234269"/>
    <n v="0.85672683807991923"/>
    <n v="0.93743495682966882"/>
  </r>
  <r>
    <x v="72"/>
    <m/>
    <n v="0.44990063533824842"/>
    <n v="0.23245804140686654"/>
    <n v="0.17797453872449387"/>
    <n v="0.3670930298721683"/>
    <n v="0.21486553173096945"/>
    <n v="0.15913323536717594"/>
    <n v="0.27240963507313032"/>
    <n v="0.19751987112102576"/>
    <n v="0.14055630350777304"/>
    <n v="0.31419216115810911"/>
    <n v="0.20562884352258237"/>
    <n v="0.14924088642110067"/>
    <n v="6.4746755158829106E-2"/>
    <n v="0.2841624500206219"/>
    <n v="0.1948602036704149"/>
    <n v="0.13770784116841728"/>
    <n v="0.20758093481888484"/>
    <n v="0.12601845185702509"/>
    <n v="0.45889189693836296"/>
    <n v="0.29504421841135531"/>
    <n v="0.40992055560766305"/>
    <n v="0.23124434181018116"/>
    <n v="0.31611438006658121"/>
    <n v="0.20005665729765731"/>
    <n v="0.14327316192008077"/>
    <n v="6.256504317033118E-2"/>
  </r>
  <r>
    <x v="67"/>
    <m/>
    <n v="6.7485095300737263E-2"/>
    <n v="3.4868706211029978E-2"/>
    <n v="2.6696180808674079E-2"/>
    <n v="5.5063954480825239E-2"/>
    <n v="3.2229829759645418E-2"/>
    <n v="2.3869985305076391E-2"/>
    <n v="4.0861445260969548E-2"/>
    <n v="2.9627980668153864E-2"/>
    <n v="2.1083445526165954E-2"/>
    <n v="4.712882417371636E-2"/>
    <n v="3.0844326528387353E-2"/>
    <n v="2.2386132963165099E-2"/>
    <n v="9.7120132738243662E-3"/>
    <n v="4.2624367503093286E-2"/>
    <n v="2.9229030550562234E-2"/>
    <n v="2.0656176175262591E-2"/>
    <n v="3.1137140222832725E-2"/>
    <n v="1.8902767778553764E-2"/>
    <n v="6.8833784540754436E-2"/>
    <n v="4.4256632761703295E-2"/>
    <n v="6.1488083341149455E-2"/>
    <n v="3.4686651271527175E-2"/>
    <n v="4.7417157009987179E-2"/>
    <n v="3.0008498594648596E-2"/>
    <n v="2.1490974288012114E-2"/>
    <n v="9.3847564755496771E-3"/>
  </r>
  <r>
    <x v="68"/>
    <m/>
    <n v="0.25330452606521708"/>
    <n v="0.13087928618803843"/>
    <n v="0.1002038064458161"/>
    <n v="0.20668191740539402"/>
    <n v="0.1209742938947946"/>
    <n v="8.9595714252773906E-2"/>
    <n v="0.15337296302309028"/>
    <n v="0.11120828336941146"/>
    <n v="7.913646936450193E-2"/>
    <n v="1.0837558610661746"/>
    <n v="0.70928397306422197"/>
    <n v="0.51478268831852647"/>
    <n v="0.22333362847040142"/>
    <n v="0.98017315126394455"/>
    <n v="0.6721392635575314"/>
    <n v="0.47500128402611563"/>
    <n v="0.71601740134551972"/>
    <n v="0.43468059578294044"/>
    <n v="3.5068357477024721"/>
    <n v="2.254717547163076"/>
    <n v="3.1325984784518783"/>
    <n v="1.7671611325549195"/>
    <n v="5.6367149579489029"/>
    <n v="3.5672605352197202"/>
    <n v="2.5547397581136826"/>
    <n v="1.1156130088376421"/>
  </r>
  <r>
    <x v="69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78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79"/>
    <s v="Beregnet i særskilt ark. Udbringning kun i april.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</r>
  <r>
    <x v="80"/>
    <m/>
    <n v="6.5078338975669343"/>
    <n v="9.0802424013136012"/>
    <n v="9.7247979278093357"/>
    <n v="7.4187437053273211"/>
    <n v="9.2031083069442818"/>
    <n v="9.8563853955957459"/>
    <n v="8.5285937659492017"/>
    <n v="9.4064288841197428"/>
    <n v="10.074138561228294"/>
    <n v="9.0041398063479221"/>
    <n v="10.429494307226706"/>
    <n v="11.169825665925485"/>
    <n v="12.279169898540481"/>
    <n v="9.398407270369308"/>
    <n v="10.570878428640167"/>
    <n v="11.321245853865388"/>
    <n v="10.403864820435853"/>
    <n v="11.474718721408495"/>
    <n v="6.0892771584902725"/>
    <n v="7.9331119129155194"/>
    <n v="6.6403686474153494"/>
    <n v="8.6510740522808121"/>
    <n v="9.7028662054297783"/>
    <n v="11.349475701683501"/>
    <n v="12.15511138441493"/>
    <n v="13.300186021306692"/>
  </r>
  <r>
    <x v="81"/>
    <m/>
    <n v="4.8752803199916785"/>
    <n v="4.8752803199916785"/>
    <n v="4.8752803199916785"/>
    <n v="4.8305297909353158"/>
    <n v="4.8305297909353158"/>
    <n v="4.8305297909353158"/>
    <n v="4.8305297909353158"/>
    <n v="4.8305297909353158"/>
    <n v="4.8305297909353158"/>
    <n v="5.4105829592554517"/>
    <n v="5.4105829592554517"/>
    <n v="5.4105829592554517"/>
    <n v="5.4105829592554517"/>
    <n v="5.4105829592554517"/>
    <n v="5.4105829592554517"/>
    <n v="5.4105829592554517"/>
    <n v="5.4105829592554517"/>
    <n v="5.4105829592554517"/>
    <n v="4.6375219674054717"/>
    <n v="4.6375219674054717"/>
    <n v="4.6375219674054717"/>
    <n v="4.6375219674054717"/>
    <n v="5.8468351139147012"/>
    <n v="5.8468351139147012"/>
    <n v="5.8468351139147012"/>
    <n v="5.8468351139147012"/>
  </r>
  <r>
    <x v="82"/>
    <m/>
    <n v="0.9761750846350401"/>
    <n v="1.3620363601970402"/>
    <n v="1.4587196891714003"/>
    <n v="1.1128115557990981"/>
    <n v="1.3804662460416421"/>
    <n v="1.4784578093393619"/>
    <n v="1.2792890648923803"/>
    <n v="1.4109643326179613"/>
    <n v="1.511120784184244"/>
    <n v="1.3506209709521884"/>
    <n v="1.5644241460840058"/>
    <n v="1.6754738498888226"/>
    <n v="1.8418754847810721"/>
    <n v="1.4097610905553961"/>
    <n v="1.5856317642960249"/>
    <n v="1.6981868780798082"/>
    <n v="1.560579723065378"/>
    <n v="1.7212078082112741"/>
    <n v="0.91339157377354085"/>
    <n v="1.1899667869373278"/>
    <n v="0.99605529711230234"/>
    <n v="1.2976611078421219"/>
    <n v="1.4554299308144667"/>
    <n v="1.7024213552525249"/>
    <n v="1.8232667076622393"/>
    <n v="1.9950279031960036"/>
  </r>
  <r>
    <x v="83"/>
    <m/>
    <n v="0.7312920479987518"/>
    <n v="0.7312920479987518"/>
    <n v="0.7312920479987518"/>
    <n v="0.72457946864029732"/>
    <n v="0.72457946864029732"/>
    <n v="0.72457946864029732"/>
    <n v="0.72457946864029732"/>
    <n v="0.72457946864029732"/>
    <n v="0.7245794686402973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69562829511082069"/>
    <n v="0.69562829511082069"/>
    <n v="0.69562829511082069"/>
    <n v="0.69562829511082069"/>
    <n v="0.87702526708720518"/>
    <n v="0.87702526708720518"/>
    <n v="0.87702526708720518"/>
    <n v="0.87702526708720518"/>
  </r>
  <r>
    <x v="69"/>
    <m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85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86"/>
    <s v="HML, personlig kommunikation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</r>
  <r>
    <x v="87"/>
    <m/>
    <n v="12.874338805398882"/>
    <n v="15.78374109989916"/>
    <n v="16.512735474232873"/>
    <n v="13.853967736493551"/>
    <n v="15.872089842142103"/>
    <n v="16.610948331335702"/>
    <n v="15.109211726016051"/>
    <n v="16.102046069114547"/>
    <n v="16.857227862290181"/>
    <n v="16.30309782748331"/>
    <n v="17.915178354076616"/>
    <n v="18.752495502792144"/>
    <n v="20.007167399211347"/>
    <n v="16.749015597852953"/>
    <n v="18.075084250300765"/>
    <n v="18.923752222548892"/>
    <n v="17.886191322052905"/>
    <n v="19.097330529541388"/>
    <n v="12.132044325024561"/>
    <n v="14.21742736484539"/>
    <n v="12.755330572143924"/>
    <n v="15.029444854521447"/>
    <n v="17.586762223574954"/>
    <n v="19.449082861828572"/>
    <n v="20.360259411142668"/>
    <n v="21.655342509762004"/>
  </r>
  <r>
    <x v="88"/>
    <s v="Beregnet i særskilt ark.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</r>
  <r>
    <x v="89"/>
    <m/>
    <n v="1.6855570082204445"/>
    <n v="2.0664669330991572"/>
    <n v="2.1619096269092801"/>
    <n v="1.8138137237862706"/>
    <n v="2.0780338837523904"/>
    <n v="2.1747680246949286"/>
    <n v="1.9781550026315176"/>
    <n v="2.1081406205577626"/>
    <n v="2.2070118700415713"/>
    <n v="2.1344630752838571"/>
    <n v="2.3455227398217802"/>
    <n v="2.4551474599300285"/>
    <n v="2.6194138381878207"/>
    <n v="2.1928443121223182"/>
    <n v="2.3664582230423519"/>
    <n v="2.4775690357914453"/>
    <n v="2.3417276482280598"/>
    <n v="2.5002945626125626"/>
    <n v="1.5883730143493491"/>
    <n v="1.8613992295768074"/>
    <n v="1.6699760013329523"/>
    <n v="1.9677116228740137"/>
    <n v="2.3025252609805693"/>
    <n v="2.5463473050334717"/>
    <n v="2.6656419765220329"/>
    <n v="2.8351991418337188"/>
  </r>
  <r>
    <x v="69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N4" firstHeaderRow="1" firstDataRow="2" firstDataCol="0"/>
  <pivotFields count="28">
    <pivotField axis="axisCol" showAll="0">
      <items count="91">
        <item x="26"/>
        <item x="28"/>
        <item x="8"/>
        <item x="68"/>
        <item x="67"/>
        <item x="69"/>
        <item x="82"/>
        <item x="83"/>
        <item x="11"/>
        <item x="16"/>
        <item x="12"/>
        <item x="14"/>
        <item x="10"/>
        <item x="15"/>
        <item x="13"/>
        <item x="9"/>
        <item x="58"/>
        <item x="24"/>
        <item x="61"/>
        <item x="52"/>
        <item x="48"/>
        <item x="47"/>
        <item x="46"/>
        <item x="40"/>
        <item x="39"/>
        <item x="42"/>
        <item x="43"/>
        <item x="41"/>
        <item x="44"/>
        <item x="6"/>
        <item x="57"/>
        <item x="59"/>
        <item x="5"/>
        <item x="7"/>
        <item x="37"/>
        <item x="27"/>
        <item x="34"/>
        <item x="36"/>
        <item x="22"/>
        <item x="73"/>
        <item x="84"/>
        <item x="23"/>
        <item x="21"/>
        <item x="3"/>
        <item x="33"/>
        <item x="45"/>
        <item x="35"/>
        <item x="25"/>
        <item x="32"/>
        <item x="4"/>
        <item x="70"/>
        <item x="31"/>
        <item x="0"/>
        <item x="56"/>
        <item x="54"/>
        <item x="19"/>
        <item x="20"/>
        <item x="2"/>
        <item x="38"/>
        <item x="55"/>
        <item x="17"/>
        <item x="1"/>
        <item x="51"/>
        <item x="50"/>
        <item x="49"/>
        <item x="53"/>
        <item x="65"/>
        <item x="71"/>
        <item x="63"/>
        <item x="62"/>
        <item x="66"/>
        <item x="79"/>
        <item x="80"/>
        <item x="72"/>
        <item x="74"/>
        <item x="76"/>
        <item x="60"/>
        <item x="64"/>
        <item x="81"/>
        <item x="75"/>
        <item x="77"/>
        <item x="87"/>
        <item x="88"/>
        <item x="89"/>
        <item x="85"/>
        <item x="78"/>
        <item x="86"/>
        <item x="29"/>
        <item x="3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tabSelected="1" zoomScale="70" zoomScaleNormal="70" workbookViewId="0">
      <pane xSplit="2" ySplit="6" topLeftCell="L7" activePane="bottomRight" state="frozen"/>
      <selection pane="topRight" activeCell="C1" sqref="C1"/>
      <selection pane="bottomLeft" activeCell="A3" sqref="A3"/>
      <selection pane="bottomRight" activeCell="C5" sqref="C5:T5"/>
    </sheetView>
  </sheetViews>
  <sheetFormatPr defaultColWidth="9.140625" defaultRowHeight="15" x14ac:dyDescent="0.25"/>
  <cols>
    <col min="1" max="1" width="50.7109375" style="2" customWidth="1"/>
    <col min="2" max="2" width="63" style="2" bestFit="1" customWidth="1"/>
    <col min="3" max="70" width="12.5703125" style="2" customWidth="1"/>
    <col min="71" max="16384" width="9.140625" style="2"/>
  </cols>
  <sheetData>
    <row r="1" spans="1:20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</row>
    <row r="2" spans="1:20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8</v>
      </c>
      <c r="F2" s="6" t="s">
        <v>8</v>
      </c>
      <c r="G2" s="6" t="s">
        <v>9</v>
      </c>
      <c r="H2" s="6" t="s">
        <v>9</v>
      </c>
      <c r="I2" s="6" t="s">
        <v>10</v>
      </c>
      <c r="J2" s="6" t="s">
        <v>10</v>
      </c>
      <c r="K2" s="6" t="s">
        <v>10</v>
      </c>
      <c r="L2" s="6" t="s">
        <v>11</v>
      </c>
      <c r="M2" s="6" t="s">
        <v>11</v>
      </c>
      <c r="N2" s="6" t="s">
        <v>12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15</v>
      </c>
      <c r="T2" s="6" t="s">
        <v>15</v>
      </c>
    </row>
    <row r="3" spans="1:20" x14ac:dyDescent="0.25">
      <c r="A3" s="2" t="s">
        <v>253</v>
      </c>
      <c r="C3" s="6" t="s">
        <v>251</v>
      </c>
      <c r="D3" s="6" t="s">
        <v>250</v>
      </c>
      <c r="E3" s="6" t="s">
        <v>251</v>
      </c>
      <c r="F3" s="6" t="s">
        <v>250</v>
      </c>
      <c r="G3" s="6" t="s">
        <v>251</v>
      </c>
      <c r="H3" s="6" t="s">
        <v>250</v>
      </c>
      <c r="I3" s="6" t="s">
        <v>251</v>
      </c>
      <c r="J3" s="6" t="s">
        <v>250</v>
      </c>
      <c r="K3" s="6" t="s">
        <v>252</v>
      </c>
      <c r="L3" s="6" t="s">
        <v>251</v>
      </c>
      <c r="M3" s="6" t="s">
        <v>250</v>
      </c>
      <c r="N3" s="6" t="s">
        <v>251</v>
      </c>
      <c r="O3" s="6" t="s">
        <v>250</v>
      </c>
      <c r="P3" s="6" t="s">
        <v>251</v>
      </c>
      <c r="Q3" s="6" t="s">
        <v>251</v>
      </c>
      <c r="R3" s="6" t="s">
        <v>251</v>
      </c>
      <c r="S3" s="6" t="s">
        <v>250</v>
      </c>
      <c r="T3" s="6" t="s">
        <v>252</v>
      </c>
    </row>
    <row r="4" spans="1:20" s="73" customFormat="1" x14ac:dyDescent="0.25">
      <c r="A4" s="73" t="s">
        <v>248</v>
      </c>
      <c r="C4" s="74">
        <v>46</v>
      </c>
      <c r="D4" s="74">
        <v>46</v>
      </c>
      <c r="E4" s="74">
        <v>20</v>
      </c>
      <c r="F4" s="74">
        <v>20</v>
      </c>
      <c r="G4" s="74">
        <v>20</v>
      </c>
      <c r="H4" s="74">
        <v>20</v>
      </c>
      <c r="I4" s="74">
        <v>47</v>
      </c>
      <c r="J4" s="74">
        <v>47</v>
      </c>
      <c r="K4" s="74">
        <v>47</v>
      </c>
      <c r="L4" s="74">
        <v>73</v>
      </c>
      <c r="M4" s="74">
        <v>73</v>
      </c>
      <c r="N4" s="74">
        <v>72</v>
      </c>
      <c r="O4" s="74">
        <v>72</v>
      </c>
      <c r="P4" s="74">
        <v>65</v>
      </c>
      <c r="Q4" s="74">
        <v>64</v>
      </c>
      <c r="R4" s="74" t="s">
        <v>249</v>
      </c>
      <c r="S4" s="74" t="s">
        <v>249</v>
      </c>
      <c r="T4" s="74" t="s">
        <v>249</v>
      </c>
    </row>
    <row r="5" spans="1:20" s="73" customFormat="1" x14ac:dyDescent="0.25">
      <c r="A5" s="73" t="s">
        <v>256</v>
      </c>
      <c r="C5" s="74">
        <v>10</v>
      </c>
      <c r="D5" s="74">
        <v>10</v>
      </c>
      <c r="E5" s="74">
        <v>10</v>
      </c>
      <c r="F5" s="74">
        <v>10</v>
      </c>
      <c r="G5" s="74">
        <v>10</v>
      </c>
      <c r="H5" s="74">
        <v>10</v>
      </c>
      <c r="I5" s="74">
        <v>10</v>
      </c>
      <c r="J5" s="74">
        <v>10</v>
      </c>
      <c r="K5" s="74">
        <v>10</v>
      </c>
      <c r="L5" s="74">
        <v>10</v>
      </c>
      <c r="M5" s="74">
        <v>10</v>
      </c>
      <c r="N5" s="74">
        <v>10</v>
      </c>
      <c r="O5" s="74">
        <v>10</v>
      </c>
      <c r="P5" s="74">
        <v>10</v>
      </c>
      <c r="Q5" s="74">
        <v>10</v>
      </c>
      <c r="R5" s="74">
        <v>10</v>
      </c>
      <c r="S5" s="74">
        <v>10</v>
      </c>
      <c r="T5" s="74">
        <v>10</v>
      </c>
    </row>
    <row r="6" spans="1:20" x14ac:dyDescent="0.25">
      <c r="A6" s="2" t="s">
        <v>16</v>
      </c>
      <c r="B6" s="2" t="s">
        <v>17</v>
      </c>
      <c r="C6" s="10">
        <v>48</v>
      </c>
      <c r="D6" s="10">
        <v>7</v>
      </c>
      <c r="E6" s="10">
        <v>36</v>
      </c>
      <c r="F6" s="10">
        <v>7</v>
      </c>
      <c r="G6" s="10">
        <v>24</v>
      </c>
      <c r="H6" s="10">
        <v>7</v>
      </c>
      <c r="I6" s="10">
        <v>29</v>
      </c>
      <c r="J6" s="10">
        <v>7</v>
      </c>
      <c r="K6" s="10">
        <v>1</v>
      </c>
      <c r="L6" s="10">
        <v>22</v>
      </c>
      <c r="M6" s="10">
        <v>7</v>
      </c>
      <c r="N6" s="10">
        <v>15</v>
      </c>
      <c r="O6" s="10">
        <v>7</v>
      </c>
      <c r="P6" s="10">
        <v>41</v>
      </c>
      <c r="Q6" s="10">
        <v>41</v>
      </c>
      <c r="R6" s="10">
        <v>30</v>
      </c>
      <c r="S6" s="10">
        <v>7</v>
      </c>
      <c r="T6" s="10">
        <v>1</v>
      </c>
    </row>
    <row r="7" spans="1:20" x14ac:dyDescent="0.25">
      <c r="A7" s="2" t="s">
        <v>18</v>
      </c>
      <c r="B7" s="2" t="s">
        <v>19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</row>
    <row r="8" spans="1:20" x14ac:dyDescent="0.25">
      <c r="A8" s="2" t="s">
        <v>20</v>
      </c>
      <c r="B8" s="2" t="s">
        <v>21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</row>
    <row r="9" spans="1:20" x14ac:dyDescent="0.25">
      <c r="A9" s="2" t="s">
        <v>22</v>
      </c>
      <c r="B9" s="2" t="s">
        <v>23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1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1</v>
      </c>
    </row>
    <row r="10" spans="1:20" s="17" customFormat="1" x14ac:dyDescent="0.25">
      <c r="A10" s="17" t="s">
        <v>24</v>
      </c>
      <c r="C10" s="20">
        <f t="shared" ref="C10:S10" si="0">+C6*C12+C9</f>
        <v>34.983266262626266</v>
      </c>
      <c r="D10" s="20">
        <f t="shared" si="0"/>
        <v>7.6642263299663309</v>
      </c>
      <c r="E10" s="20">
        <f t="shared" si="0"/>
        <v>35.279562558922564</v>
      </c>
      <c r="F10" s="20">
        <f t="shared" ref="F10:G10" si="1">+F6*F12+F9</f>
        <v>9.276581608679388</v>
      </c>
      <c r="G10" s="20">
        <f t="shared" si="1"/>
        <v>35.279562558922557</v>
      </c>
      <c r="H10" s="20">
        <f t="shared" si="0"/>
        <v>12.414872413019079</v>
      </c>
      <c r="I10" s="20">
        <f t="shared" si="0"/>
        <v>34.649528740490268</v>
      </c>
      <c r="J10" s="20">
        <f t="shared" si="0"/>
        <v>10.639541420118341</v>
      </c>
      <c r="K10" s="20">
        <f t="shared" ref="K10" si="2">+K6*K12+K9</f>
        <v>2.091363060016906</v>
      </c>
      <c r="L10" s="20">
        <f t="shared" si="0"/>
        <v>35.013316427162579</v>
      </c>
      <c r="M10" s="20">
        <f t="shared" si="0"/>
        <v>13.186055226824456</v>
      </c>
      <c r="N10" s="20">
        <f t="shared" si="0"/>
        <v>35.740891800507178</v>
      </c>
      <c r="O10" s="20">
        <f t="shared" si="0"/>
        <v>18.279082840236683</v>
      </c>
      <c r="P10" s="20">
        <f t="shared" si="0"/>
        <v>16.908630708920732</v>
      </c>
      <c r="Q10" s="20">
        <f t="shared" si="0"/>
        <v>30.817261417841468</v>
      </c>
      <c r="R10" s="20">
        <f t="shared" si="0"/>
        <v>35.205942997125291</v>
      </c>
      <c r="S10" s="20">
        <f t="shared" si="0"/>
        <v>10.514720032662566</v>
      </c>
      <c r="T10" s="20">
        <f t="shared" ref="T10" si="3">+T6*T12+T9</f>
        <v>2.0735314332375099</v>
      </c>
    </row>
    <row r="11" spans="1:20" s="17" customFormat="1" x14ac:dyDescent="0.25">
      <c r="A11" s="17" t="s">
        <v>25</v>
      </c>
      <c r="C11" s="20">
        <f t="shared" ref="C11:S11" si="4">0.5*(C10-C9)+C9</f>
        <v>18.991633131313133</v>
      </c>
      <c r="D11" s="20">
        <f t="shared" si="4"/>
        <v>5.3321131649831655</v>
      </c>
      <c r="E11" s="20">
        <f t="shared" si="4"/>
        <v>19.139781279461282</v>
      </c>
      <c r="F11" s="20">
        <f t="shared" ref="F11:G11" si="5">0.5*(F10-F9)+F9</f>
        <v>6.138290804339694</v>
      </c>
      <c r="G11" s="20">
        <f t="shared" si="5"/>
        <v>19.139781279461278</v>
      </c>
      <c r="H11" s="20">
        <f t="shared" si="4"/>
        <v>7.7074362065095396</v>
      </c>
      <c r="I11" s="20">
        <f t="shared" si="4"/>
        <v>18.824764370245134</v>
      </c>
      <c r="J11" s="20">
        <f t="shared" si="4"/>
        <v>6.8197707100591707</v>
      </c>
      <c r="K11" s="20">
        <f t="shared" ref="K11" si="6">0.5*(K10-K9)+K9</f>
        <v>1.545681530008453</v>
      </c>
      <c r="L11" s="20">
        <f t="shared" si="4"/>
        <v>19.006658213581289</v>
      </c>
      <c r="M11" s="20">
        <f t="shared" si="4"/>
        <v>8.0930276134122288</v>
      </c>
      <c r="N11" s="20">
        <f t="shared" si="4"/>
        <v>19.370445900253589</v>
      </c>
      <c r="O11" s="20">
        <f t="shared" si="4"/>
        <v>10.639541420118341</v>
      </c>
      <c r="P11" s="20">
        <f t="shared" si="4"/>
        <v>9.9543153544603662</v>
      </c>
      <c r="Q11" s="20">
        <f t="shared" si="4"/>
        <v>16.908630708920732</v>
      </c>
      <c r="R11" s="20">
        <f t="shared" si="4"/>
        <v>19.102971498562646</v>
      </c>
      <c r="S11" s="20">
        <f t="shared" si="4"/>
        <v>6.7573600163312832</v>
      </c>
      <c r="T11" s="20">
        <f t="shared" ref="T11" si="7">0.5*(T10-T9)+T9</f>
        <v>1.5367657166187549</v>
      </c>
    </row>
    <row r="12" spans="1:20" x14ac:dyDescent="0.25">
      <c r="A12" s="2" t="s">
        <v>26</v>
      </c>
      <c r="C12" s="4">
        <f t="shared" ref="C12:S12" si="8">+C80</f>
        <v>0.66631804713804721</v>
      </c>
      <c r="D12" s="4">
        <f t="shared" si="8"/>
        <v>0.66631804713804721</v>
      </c>
      <c r="E12" s="4">
        <f t="shared" si="8"/>
        <v>0.89665451552562681</v>
      </c>
      <c r="F12" s="4">
        <f>+F80</f>
        <v>0.89665451552562681</v>
      </c>
      <c r="G12" s="4">
        <f t="shared" ref="G12" si="9">+G80</f>
        <v>1.3449817732884399</v>
      </c>
      <c r="H12" s="4">
        <f t="shared" si="8"/>
        <v>1.3449817732884399</v>
      </c>
      <c r="I12" s="4">
        <f t="shared" si="8"/>
        <v>1.091363060016906</v>
      </c>
      <c r="J12" s="4">
        <f t="shared" si="8"/>
        <v>1.091363060016906</v>
      </c>
      <c r="K12" s="4">
        <f t="shared" ref="K12" si="10">+K80</f>
        <v>1.091363060016906</v>
      </c>
      <c r="L12" s="4">
        <f t="shared" si="8"/>
        <v>1.455150746689208</v>
      </c>
      <c r="M12" s="4">
        <f t="shared" si="8"/>
        <v>1.455150746689208</v>
      </c>
      <c r="N12" s="4">
        <f t="shared" si="8"/>
        <v>2.1827261200338119</v>
      </c>
      <c r="O12" s="4">
        <f t="shared" si="8"/>
        <v>2.1827261200338119</v>
      </c>
      <c r="P12" s="4">
        <f t="shared" si="8"/>
        <v>0.33923489533953011</v>
      </c>
      <c r="Q12" s="4">
        <f t="shared" si="8"/>
        <v>0.67846979067906021</v>
      </c>
      <c r="R12" s="4">
        <f t="shared" si="8"/>
        <v>1.0735314332375097</v>
      </c>
      <c r="S12" s="4">
        <f t="shared" si="8"/>
        <v>1.0735314332375097</v>
      </c>
      <c r="T12" s="4">
        <f t="shared" ref="T12" si="11">+T80</f>
        <v>1.0735314332375097</v>
      </c>
    </row>
    <row r="13" spans="1:20" x14ac:dyDescent="0.25">
      <c r="A13" s="2" t="s">
        <v>27</v>
      </c>
      <c r="C13" s="4">
        <f>+C11/C12</f>
        <v>28.502354413009712</v>
      </c>
      <c r="D13" s="4">
        <f t="shared" ref="D13:S13" si="12">+D11/D12</f>
        <v>8.0023544130097122</v>
      </c>
      <c r="E13" s="4">
        <f t="shared" si="12"/>
        <v>21.345770247129547</v>
      </c>
      <c r="F13" s="4">
        <f t="shared" ref="F13:G13" si="13">+F11/F12</f>
        <v>6.8457702471295461</v>
      </c>
      <c r="G13" s="4">
        <f t="shared" si="13"/>
        <v>14.230513498086363</v>
      </c>
      <c r="H13" s="4">
        <f t="shared" si="12"/>
        <v>5.7305134980863643</v>
      </c>
      <c r="I13" s="4">
        <f t="shared" si="12"/>
        <v>17.248856095563216</v>
      </c>
      <c r="J13" s="4">
        <f t="shared" si="12"/>
        <v>6.2488560955632195</v>
      </c>
      <c r="K13" s="4">
        <f t="shared" ref="K13" si="14">+K11/K12</f>
        <v>1.4162853651877398</v>
      </c>
      <c r="L13" s="4">
        <f t="shared" si="12"/>
        <v>13.061642071672416</v>
      </c>
      <c r="M13" s="4">
        <f t="shared" si="12"/>
        <v>5.5616420716724155</v>
      </c>
      <c r="N13" s="4">
        <f t="shared" si="12"/>
        <v>8.8744280477816098</v>
      </c>
      <c r="O13" s="4">
        <f t="shared" si="12"/>
        <v>4.8744280477816098</v>
      </c>
      <c r="P13" s="4">
        <f t="shared" si="12"/>
        <v>29.343429851157818</v>
      </c>
      <c r="Q13" s="4">
        <f t="shared" si="12"/>
        <v>24.921714925578907</v>
      </c>
      <c r="R13" s="4">
        <f t="shared" si="12"/>
        <v>17.794515285828876</v>
      </c>
      <c r="S13" s="4">
        <f t="shared" si="12"/>
        <v>6.2945152858288731</v>
      </c>
      <c r="T13" s="4">
        <f t="shared" ref="T13" si="15">+T11/T12</f>
        <v>1.4315050952762913</v>
      </c>
    </row>
    <row r="14" spans="1:20" s="70" customFormat="1" x14ac:dyDescent="0.25">
      <c r="A14" s="70" t="s">
        <v>28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</row>
    <row r="15" spans="1:20" x14ac:dyDescent="0.25">
      <c r="A15" s="16" t="s">
        <v>29</v>
      </c>
      <c r="C15" s="4">
        <f>+C94</f>
        <v>2.2319676845651402</v>
      </c>
      <c r="D15" s="4">
        <f t="shared" ref="D15:E15" si="16">+D94</f>
        <v>0.7569420080108179</v>
      </c>
      <c r="E15" s="4">
        <f t="shared" si="16"/>
        <v>1.7664248850021071</v>
      </c>
      <c r="F15" s="4">
        <f t="shared" ref="F15:G15" si="17">+F94</f>
        <v>0.64873004925528832</v>
      </c>
      <c r="G15" s="4">
        <f t="shared" si="17"/>
        <v>1.2575421865470393</v>
      </c>
      <c r="H15" s="4">
        <f t="shared" ref="H15:K15" si="18">+H94</f>
        <v>0.54888699616563597</v>
      </c>
      <c r="I15" s="4">
        <f t="shared" si="18"/>
        <v>1.6600775504114069</v>
      </c>
      <c r="J15" s="4">
        <f t="shared" si="18"/>
        <v>0.66707849285377019</v>
      </c>
      <c r="K15" s="4">
        <f t="shared" si="18"/>
        <v>0.15842772403517322</v>
      </c>
      <c r="L15" s="4">
        <f t="shared" ref="L15" si="19">+L94</f>
        <v>1.3070763153365856</v>
      </c>
      <c r="M15" s="4">
        <f>+M94</f>
        <v>0.59765009295238603</v>
      </c>
      <c r="N15" s="4">
        <f t="shared" ref="N15:O15" si="20">+N94</f>
        <v>0.92389246660184676</v>
      </c>
      <c r="O15" s="4">
        <f t="shared" si="20"/>
        <v>0.52728050903650925</v>
      </c>
      <c r="P15" s="4">
        <f t="shared" ref="P15:Q15" si="21">+P94</f>
        <v>2.1695121201681711</v>
      </c>
      <c r="Q15" s="4">
        <f t="shared" si="21"/>
        <v>1.9168285064711323</v>
      </c>
      <c r="R15" s="4">
        <f t="shared" ref="R15" si="22">+R94</f>
        <v>1.8413738583456669</v>
      </c>
      <c r="S15" s="4">
        <f t="shared" ref="S15" si="23">+S94</f>
        <v>0.72581377145091375</v>
      </c>
      <c r="T15" s="4">
        <f t="shared" ref="T15" si="24">+T94</f>
        <v>0.17301575219513848</v>
      </c>
    </row>
    <row r="16" spans="1:20" x14ac:dyDescent="0.25">
      <c r="A16" s="16" t="s">
        <v>30</v>
      </c>
      <c r="B16" s="2" t="s">
        <v>31</v>
      </c>
      <c r="C16" s="4">
        <f>+C114</f>
        <v>1.7074671326337918</v>
      </c>
      <c r="D16" s="4">
        <f t="shared" ref="D16:E16" si="25">+D114</f>
        <v>2.1900117371701522</v>
      </c>
      <c r="E16" s="4">
        <f t="shared" si="25"/>
        <v>1.8373910244393954</v>
      </c>
      <c r="F16" s="4">
        <f t="shared" ref="F16:I16" si="26">+F114</f>
        <v>2.203037277979659</v>
      </c>
      <c r="G16" s="4">
        <f t="shared" si="26"/>
        <v>2.0038685335326774</v>
      </c>
      <c r="H16" s="4">
        <f t="shared" si="26"/>
        <v>2.2357002528245413</v>
      </c>
      <c r="I16" s="4">
        <f t="shared" si="26"/>
        <v>2.1622084148405061</v>
      </c>
      <c r="J16" s="4">
        <f t="shared" ref="J16:L16" si="27">+J114</f>
        <v>2.4870612937771401</v>
      </c>
      <c r="K16" s="4">
        <f t="shared" ref="K16" si="28">+K114</f>
        <v>2.6534629286693896</v>
      </c>
      <c r="L16" s="4">
        <f t="shared" si="27"/>
        <v>2.2776903648076008</v>
      </c>
      <c r="M16" s="4">
        <f>+M114</f>
        <v>2.5097743219681261</v>
      </c>
      <c r="N16" s="4">
        <f t="shared" ref="N16:O16" si="29">+N114</f>
        <v>2.40304635127718</v>
      </c>
      <c r="O16" s="4">
        <f t="shared" si="29"/>
        <v>2.532795252099592</v>
      </c>
      <c r="P16" s="4">
        <f t="shared" ref="P16:Q16" si="30">+P114</f>
        <v>1.6090198688843615</v>
      </c>
      <c r="Q16" s="4">
        <f t="shared" si="30"/>
        <v>1.691683592223123</v>
      </c>
      <c r="R16" s="4">
        <f t="shared" ref="R16" si="31">+R114</f>
        <v>2.3210246397339329</v>
      </c>
      <c r="S16" s="4">
        <f t="shared" ref="S16" si="32">+S114</f>
        <v>2.685972524725786</v>
      </c>
      <c r="T16" s="4">
        <f t="shared" ref="T16" si="33">+T114</f>
        <v>2.8668166319371209</v>
      </c>
    </row>
    <row r="17" spans="1:20" x14ac:dyDescent="0.25">
      <c r="A17" s="16" t="s">
        <v>32</v>
      </c>
      <c r="C17" s="4">
        <f>+C15+C16</f>
        <v>3.939434817198932</v>
      </c>
      <c r="D17" s="4">
        <f t="shared" ref="D17:E17" si="34">+D15+D16</f>
        <v>2.94695374518097</v>
      </c>
      <c r="E17" s="4">
        <f t="shared" si="34"/>
        <v>3.6038159094415025</v>
      </c>
      <c r="F17" s="4">
        <f t="shared" ref="F17:I17" si="35">+F15+F16</f>
        <v>2.8517673272349473</v>
      </c>
      <c r="G17" s="4">
        <f t="shared" si="35"/>
        <v>3.2614107200797164</v>
      </c>
      <c r="H17" s="4">
        <f t="shared" si="35"/>
        <v>2.7845872489901771</v>
      </c>
      <c r="I17" s="4">
        <f t="shared" si="35"/>
        <v>3.822285965251913</v>
      </c>
      <c r="J17" s="4">
        <f t="shared" ref="J17:L17" si="36">+J15+J16</f>
        <v>3.1541397866309104</v>
      </c>
      <c r="K17" s="4">
        <f t="shared" ref="K17" si="37">+K15+K16</f>
        <v>2.8118906527045628</v>
      </c>
      <c r="L17" s="4">
        <f t="shared" si="36"/>
        <v>3.5847666801441864</v>
      </c>
      <c r="M17" s="4">
        <f>+M15+M16</f>
        <v>3.1074244149205121</v>
      </c>
      <c r="N17" s="4">
        <f t="shared" ref="N17:O17" si="38">+N15+N16</f>
        <v>3.3269388178790269</v>
      </c>
      <c r="O17" s="4">
        <f t="shared" si="38"/>
        <v>3.0600757611361011</v>
      </c>
      <c r="P17" s="4">
        <f t="shared" ref="P17:Q17" si="39">+P15+P16</f>
        <v>3.7785319890525324</v>
      </c>
      <c r="Q17" s="4">
        <f t="shared" si="39"/>
        <v>3.6085120986942556</v>
      </c>
      <c r="R17" s="4">
        <f t="shared" ref="R17:S17" si="40">+R15+R16</f>
        <v>4.1623984980796003</v>
      </c>
      <c r="S17" s="4">
        <f t="shared" si="40"/>
        <v>3.4117862961766998</v>
      </c>
      <c r="T17" s="4">
        <f t="shared" ref="T17" si="41">+T15+T16</f>
        <v>3.0398323841322594</v>
      </c>
    </row>
    <row r="18" spans="1:20" x14ac:dyDescent="0.25">
      <c r="A18" s="2" t="s">
        <v>33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x14ac:dyDescent="0.25">
      <c r="A19" s="16" t="s">
        <v>34</v>
      </c>
      <c r="C19" s="4">
        <f>+C101</f>
        <v>2.3466394048663863</v>
      </c>
      <c r="D19" s="4">
        <f t="shared" ref="D19:E19" si="42">+D101</f>
        <v>0.92829845710224523</v>
      </c>
      <c r="E19" s="4">
        <f t="shared" si="42"/>
        <v>1.8971473521938373</v>
      </c>
      <c r="F19" s="4">
        <f t="shared" ref="F19:I19" si="43">+F101</f>
        <v>0.82240514408025134</v>
      </c>
      <c r="G19" s="4">
        <f t="shared" si="43"/>
        <v>1.4078208405946657</v>
      </c>
      <c r="H19" s="4">
        <f t="shared" si="43"/>
        <v>0.72639902513752941</v>
      </c>
      <c r="I19" s="4">
        <f t="shared" si="43"/>
        <v>1.8187355951124053</v>
      </c>
      <c r="J19" s="4">
        <f>+J101</f>
        <v>0.86389714937411621</v>
      </c>
      <c r="K19" s="4">
        <f t="shared" ref="K19" si="44">+K101</f>
        <v>0.37479365443535673</v>
      </c>
      <c r="L19" s="4">
        <f>+L101</f>
        <v>1.4793000759372277</v>
      </c>
      <c r="M19" s="4">
        <f>+M101</f>
        <v>0.79713685897163855</v>
      </c>
      <c r="N19" s="4">
        <f t="shared" ref="N19:O19" si="45">+N101</f>
        <v>1.1108418505509896</v>
      </c>
      <c r="O19" s="4">
        <f t="shared" si="45"/>
        <v>0.72947155393222685</v>
      </c>
      <c r="P19" s="4">
        <f t="shared" ref="P19:Q19" si="46">+P101</f>
        <v>2.2768086335927413</v>
      </c>
      <c r="Q19" s="4">
        <f t="shared" si="46"/>
        <v>2.0338355641525312</v>
      </c>
      <c r="R19" s="4">
        <f t="shared" ref="R19" si="47">+R101</f>
        <v>2.0110011053238339</v>
      </c>
      <c r="S19" s="4">
        <f t="shared" ref="S19" si="48">+S101</f>
        <v>0.93831160839907901</v>
      </c>
      <c r="T19" s="4">
        <f t="shared" ref="T19" si="49">+T101</f>
        <v>0.40675742665429676</v>
      </c>
    </row>
    <row r="20" spans="1:20" x14ac:dyDescent="0.25">
      <c r="A20" s="16" t="s">
        <v>35</v>
      </c>
      <c r="C20" s="4">
        <f>+C134</f>
        <v>7.3800063603165392E-2</v>
      </c>
      <c r="D20" s="4">
        <f t="shared" ref="D20:E20" si="50">+D134</f>
        <v>9.4656583664676594E-2</v>
      </c>
      <c r="E20" s="4">
        <f t="shared" si="50"/>
        <v>7.9415627906317787E-2</v>
      </c>
      <c r="F20" s="4">
        <f t="shared" ref="F20:G20" si="51">+F134</f>
        <v>9.5219572973129316E-2</v>
      </c>
      <c r="G20" s="4">
        <f t="shared" si="51"/>
        <v>8.661111092602862E-2</v>
      </c>
      <c r="H20" s="4">
        <f t="shared" ref="H20:K20" si="52">+H134</f>
        <v>9.6631330526144477E-2</v>
      </c>
      <c r="I20" s="4">
        <f t="shared" si="52"/>
        <v>9.3454869782698596E-2</v>
      </c>
      <c r="J20" s="4">
        <f t="shared" si="52"/>
        <v>0.10749564554288234</v>
      </c>
      <c r="K20" s="4">
        <f t="shared" si="52"/>
        <v>0.11468784913146675</v>
      </c>
      <c r="L20" s="4">
        <f t="shared" ref="L20" si="53">+L134</f>
        <v>9.8446225159151995E-2</v>
      </c>
      <c r="M20" s="4">
        <f>+M134</f>
        <v>0.10847734697249031</v>
      </c>
      <c r="N20" s="4">
        <f t="shared" ref="N20:O20" si="54">+N134</f>
        <v>0.10386435567404059</v>
      </c>
      <c r="O20" s="4">
        <f t="shared" si="54"/>
        <v>0.10947235652519868</v>
      </c>
      <c r="P20" s="4">
        <f t="shared" ref="P20:Q20" si="55">+P134</f>
        <v>6.954498062826879E-2</v>
      </c>
      <c r="Q20" s="4">
        <f t="shared" si="55"/>
        <v>7.3117868166469785E-2</v>
      </c>
      <c r="R20" s="4">
        <f t="shared" ref="R20" si="56">+R134</f>
        <v>0.100319217139283</v>
      </c>
      <c r="S20" s="4">
        <f t="shared" ref="S20" si="57">+S134</f>
        <v>0.11609297735374444</v>
      </c>
      <c r="T20" s="4">
        <f t="shared" ref="T20" si="58">+T134</f>
        <v>0.12390941279743423</v>
      </c>
    </row>
    <row r="21" spans="1:20" x14ac:dyDescent="0.25">
      <c r="A21" s="16" t="s">
        <v>36</v>
      </c>
      <c r="C21" s="4">
        <f>+C19+C20</f>
        <v>2.4204394684695516</v>
      </c>
      <c r="D21" s="4">
        <f t="shared" ref="D21:E21" si="59">+D19+D20</f>
        <v>1.0229550407669219</v>
      </c>
      <c r="E21" s="4">
        <f t="shared" si="59"/>
        <v>1.9765629801001552</v>
      </c>
      <c r="F21" s="4">
        <f t="shared" ref="F21:I21" si="60">+F19+F20</f>
        <v>0.91762471705338067</v>
      </c>
      <c r="G21" s="4">
        <f t="shared" si="60"/>
        <v>1.4944319515206943</v>
      </c>
      <c r="H21" s="4">
        <f t="shared" si="60"/>
        <v>0.82303035566367388</v>
      </c>
      <c r="I21" s="4">
        <f t="shared" si="60"/>
        <v>1.912190464895104</v>
      </c>
      <c r="J21" s="4">
        <f t="shared" ref="J21:L21" si="61">+J19+J20</f>
        <v>0.97139279491699859</v>
      </c>
      <c r="K21" s="4">
        <f t="shared" ref="K21" si="62">+K19+K20</f>
        <v>0.48948150356682346</v>
      </c>
      <c r="L21" s="4">
        <f t="shared" si="61"/>
        <v>1.5777463010963797</v>
      </c>
      <c r="M21" s="4">
        <f>+M19+M20</f>
        <v>0.90561420594412889</v>
      </c>
      <c r="N21" s="4">
        <f t="shared" ref="N21:O21" si="63">+N19+N20</f>
        <v>1.2147062062250302</v>
      </c>
      <c r="O21" s="4">
        <f t="shared" si="63"/>
        <v>0.83894391045742556</v>
      </c>
      <c r="P21" s="4">
        <f t="shared" ref="P21:Q21" si="64">+P19+P20</f>
        <v>2.3463536142210102</v>
      </c>
      <c r="Q21" s="4">
        <f t="shared" si="64"/>
        <v>2.1069534323190009</v>
      </c>
      <c r="R21" s="4">
        <f t="shared" ref="R21:S21" si="65">+R19+R20</f>
        <v>2.1113203224631167</v>
      </c>
      <c r="S21" s="4">
        <f t="shared" si="65"/>
        <v>1.0544045857528235</v>
      </c>
      <c r="T21" s="4">
        <f t="shared" ref="T21" si="66">+T19+T20</f>
        <v>0.53066683945173099</v>
      </c>
    </row>
    <row r="22" spans="1:20" x14ac:dyDescent="0.25">
      <c r="A22" s="68" t="s">
        <v>37</v>
      </c>
      <c r="C22" s="4">
        <f>+C108</f>
        <v>34.795510284861841</v>
      </c>
      <c r="D22" s="4">
        <f t="shared" ref="D22:T22" si="67">+D108</f>
        <v>44.629014795223981</v>
      </c>
      <c r="E22" s="4">
        <f t="shared" si="67"/>
        <v>37.443156044577165</v>
      </c>
      <c r="F22" s="4">
        <f t="shared" si="67"/>
        <v>44.894454949555957</v>
      </c>
      <c r="G22" s="4">
        <f t="shared" si="67"/>
        <v>40.835707367610951</v>
      </c>
      <c r="H22" s="4">
        <f t="shared" si="67"/>
        <v>45.560075303486975</v>
      </c>
      <c r="I22" s="4">
        <f t="shared" si="67"/>
        <v>44.062426560765701</v>
      </c>
      <c r="J22" s="4">
        <f t="shared" si="67"/>
        <v>50.682420277816604</v>
      </c>
      <c r="K22" s="4">
        <f t="shared" si="67"/>
        <v>54.073425403273916</v>
      </c>
      <c r="L22" s="4">
        <f t="shared" si="67"/>
        <v>46.415768127931173</v>
      </c>
      <c r="M22" s="4">
        <f t="shared" si="67"/>
        <v>51.145276277159169</v>
      </c>
      <c r="N22" s="4">
        <f t="shared" si="67"/>
        <v>48.970327119496105</v>
      </c>
      <c r="O22" s="4">
        <f t="shared" si="67"/>
        <v>51.614406836598349</v>
      </c>
      <c r="P22" s="4">
        <f t="shared" si="67"/>
        <v>32.789308986552868</v>
      </c>
      <c r="Q22" s="4">
        <f t="shared" si="67"/>
        <v>34.473866411199793</v>
      </c>
      <c r="R22" s="4">
        <f t="shared" si="67"/>
        <v>47.298852891361065</v>
      </c>
      <c r="S22" s="4">
        <f t="shared" si="67"/>
        <v>54.73592013732609</v>
      </c>
      <c r="T22" s="4">
        <f t="shared" si="67"/>
        <v>58.421240265697925</v>
      </c>
    </row>
    <row r="23" spans="1:20" x14ac:dyDescent="0.25">
      <c r="A23" s="68" t="s">
        <v>38</v>
      </c>
      <c r="C23" s="4">
        <f>+C129</f>
        <v>8.357707592872389</v>
      </c>
      <c r="D23" s="4">
        <f t="shared" ref="D23:T23" si="68">+D129</f>
        <v>10.719666208738824</v>
      </c>
      <c r="E23" s="4">
        <f t="shared" si="68"/>
        <v>8.9936588661272125</v>
      </c>
      <c r="F23" s="4">
        <f t="shared" si="68"/>
        <v>10.783423606608594</v>
      </c>
      <c r="G23" s="4">
        <f t="shared" si="68"/>
        <v>9.8085327311633126</v>
      </c>
      <c r="H23" s="4">
        <f t="shared" si="68"/>
        <v>10.943302287521053</v>
      </c>
      <c r="I23" s="4">
        <f t="shared" si="68"/>
        <v>10.583574547763117</v>
      </c>
      <c r="J23" s="4">
        <f t="shared" si="68"/>
        <v>12.173663938630158</v>
      </c>
      <c r="K23" s="4">
        <f t="shared" si="68"/>
        <v>12.988166414739378</v>
      </c>
      <c r="L23" s="4">
        <f t="shared" si="68"/>
        <v>11.148835425488429</v>
      </c>
      <c r="M23" s="4">
        <f t="shared" si="68"/>
        <v>12.284839635392247</v>
      </c>
      <c r="N23" s="4">
        <f t="shared" si="68"/>
        <v>11.762427722467367</v>
      </c>
      <c r="O23" s="4">
        <f t="shared" si="68"/>
        <v>12.397522450116741</v>
      </c>
      <c r="P23" s="4">
        <f t="shared" si="68"/>
        <v>7.8758280720250662</v>
      </c>
      <c r="Q23" s="4">
        <f t="shared" si="68"/>
        <v>8.2804503426381348</v>
      </c>
      <c r="R23" s="4">
        <f t="shared" si="68"/>
        <v>11.360947970240471</v>
      </c>
      <c r="S23" s="4">
        <f t="shared" si="68"/>
        <v>13.147294337385039</v>
      </c>
      <c r="T23" s="4">
        <f t="shared" si="68"/>
        <v>14.032489805619313</v>
      </c>
    </row>
    <row r="24" spans="1:20" x14ac:dyDescent="0.25">
      <c r="A24" s="68" t="s">
        <v>39</v>
      </c>
      <c r="C24" s="4">
        <f>+C130</f>
        <v>8.357707592872389</v>
      </c>
      <c r="D24" s="4">
        <f t="shared" ref="D24:T24" si="69">+D130</f>
        <v>10.719666208738824</v>
      </c>
      <c r="E24" s="4">
        <f t="shared" si="69"/>
        <v>10.867710146875879</v>
      </c>
      <c r="F24" s="4">
        <f t="shared" si="69"/>
        <v>12.65747488735726</v>
      </c>
      <c r="G24" s="4">
        <f t="shared" si="69"/>
        <v>11.682584011911979</v>
      </c>
      <c r="H24" s="4">
        <f t="shared" si="69"/>
        <v>12.817353568269722</v>
      </c>
      <c r="I24" s="4">
        <f t="shared" si="69"/>
        <v>11.611454156541022</v>
      </c>
      <c r="J24" s="4">
        <f t="shared" si="69"/>
        <v>13.201543547408065</v>
      </c>
      <c r="K24" s="4">
        <f t="shared" si="69"/>
        <v>14.016046023517283</v>
      </c>
      <c r="L24" s="4">
        <f t="shared" si="69"/>
        <v>12.176715034266334</v>
      </c>
      <c r="M24" s="4">
        <f t="shared" si="69"/>
        <v>13.312719244170152</v>
      </c>
      <c r="N24" s="4">
        <f t="shared" si="69"/>
        <v>12.790307331245272</v>
      </c>
      <c r="O24" s="4">
        <f t="shared" si="69"/>
        <v>13.425402058894646</v>
      </c>
      <c r="P24" s="4">
        <f t="shared" si="69"/>
        <v>7.8758280720250662</v>
      </c>
      <c r="Q24" s="4">
        <f t="shared" si="69"/>
        <v>8.2804503426381348</v>
      </c>
      <c r="R24" s="4">
        <f t="shared" si="69"/>
        <v>14.942094395540396</v>
      </c>
      <c r="S24" s="4">
        <f t="shared" si="69"/>
        <v>16.728440762684965</v>
      </c>
      <c r="T24" s="4">
        <f t="shared" si="69"/>
        <v>17.613636230919237</v>
      </c>
    </row>
    <row r="25" spans="1:20" x14ac:dyDescent="0.25">
      <c r="A25" s="70" t="s">
        <v>40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25">
      <c r="A26" s="16" t="s">
        <v>41</v>
      </c>
      <c r="C26" s="4">
        <f t="shared" ref="C26:T26" si="70">+C15*C$76/C$71</f>
        <v>2.5921812202544459</v>
      </c>
      <c r="D26" s="4">
        <f t="shared" si="70"/>
        <v>0.87910361406940329</v>
      </c>
      <c r="E26" s="4">
        <f t="shared" si="70"/>
        <v>2.070510603449907</v>
      </c>
      <c r="F26" s="4">
        <f t="shared" si="70"/>
        <v>0.76040733866702337</v>
      </c>
      <c r="G26" s="4">
        <f t="shared" si="70"/>
        <v>1.4740249945743489</v>
      </c>
      <c r="H26" s="4">
        <f t="shared" si="70"/>
        <v>0.64337654847710213</v>
      </c>
      <c r="I26" s="4">
        <f t="shared" si="70"/>
        <v>1.91010649749821</v>
      </c>
      <c r="J26" s="4">
        <f t="shared" si="70"/>
        <v>0.7675490601180196</v>
      </c>
      <c r="K26" s="4">
        <f t="shared" si="70"/>
        <v>0.18228896896319258</v>
      </c>
      <c r="L26" s="4">
        <f t="shared" si="70"/>
        <v>1.5039387539646569</v>
      </c>
      <c r="M26" s="4">
        <f t="shared" si="70"/>
        <v>0.68766385371325101</v>
      </c>
      <c r="N26" s="4">
        <f t="shared" si="70"/>
        <v>1.0630425084710606</v>
      </c>
      <c r="O26" s="4">
        <f t="shared" si="70"/>
        <v>0.60669570892347846</v>
      </c>
      <c r="P26" s="4">
        <f t="shared" si="70"/>
        <v>2.7840834028446531</v>
      </c>
      <c r="Q26" s="4">
        <f t="shared" si="70"/>
        <v>2.4598205197176375</v>
      </c>
      <c r="R26" s="4">
        <f t="shared" si="70"/>
        <v>1.8742489110313509</v>
      </c>
      <c r="S26" s="4">
        <f t="shared" si="70"/>
        <v>0.73877212092910249</v>
      </c>
      <c r="T26" s="4">
        <f t="shared" si="70"/>
        <v>0.17610469686712302</v>
      </c>
    </row>
    <row r="27" spans="1:20" x14ac:dyDescent="0.25">
      <c r="A27" s="16" t="s">
        <v>42</v>
      </c>
      <c r="B27" s="2" t="s">
        <v>31</v>
      </c>
      <c r="C27" s="4">
        <f t="shared" ref="C27:T27" si="71">+C16*C$76/C$71</f>
        <v>1.9830324005239186</v>
      </c>
      <c r="D27" s="4">
        <f t="shared" si="71"/>
        <v>2.5434540726046984</v>
      </c>
      <c r="E27" s="4">
        <f t="shared" si="71"/>
        <v>2.1536933900141007</v>
      </c>
      <c r="F27" s="4">
        <f t="shared" si="71"/>
        <v>2.5822847507307753</v>
      </c>
      <c r="G27" s="4">
        <f t="shared" si="71"/>
        <v>2.3488295946385938</v>
      </c>
      <c r="H27" s="4">
        <f t="shared" si="71"/>
        <v>2.6205705767122551</v>
      </c>
      <c r="I27" s="4">
        <f t="shared" si="71"/>
        <v>2.4878647031330741</v>
      </c>
      <c r="J27" s="4">
        <f t="shared" si="71"/>
        <v>2.8616445874728678</v>
      </c>
      <c r="K27" s="4">
        <f t="shared" si="71"/>
        <v>3.0531084404255457</v>
      </c>
      <c r="L27" s="4">
        <f t="shared" si="71"/>
        <v>2.6207397142560458</v>
      </c>
      <c r="M27" s="4">
        <f t="shared" si="71"/>
        <v>2.8877784886961639</v>
      </c>
      <c r="N27" s="4">
        <f t="shared" si="71"/>
        <v>2.7649759182794664</v>
      </c>
      <c r="O27" s="4">
        <f t="shared" si="71"/>
        <v>2.9142666658368452</v>
      </c>
      <c r="P27" s="4">
        <f t="shared" si="71"/>
        <v>2.0648170020184025</v>
      </c>
      <c r="Q27" s="4">
        <f t="shared" si="71"/>
        <v>2.1708973958660973</v>
      </c>
      <c r="R27" s="4">
        <f t="shared" si="71"/>
        <v>2.3624631596576258</v>
      </c>
      <c r="S27" s="4">
        <f t="shared" si="71"/>
        <v>2.7339266584626425</v>
      </c>
      <c r="T27" s="4">
        <f t="shared" si="71"/>
        <v>2.9179994742415083</v>
      </c>
    </row>
    <row r="28" spans="1:20" x14ac:dyDescent="0.25">
      <c r="A28" s="16" t="s">
        <v>43</v>
      </c>
      <c r="C28" s="4">
        <f t="shared" ref="C28:T28" si="72">+C17*C$76/C$71</f>
        <v>4.5752136207783645</v>
      </c>
      <c r="D28" s="4">
        <f t="shared" si="72"/>
        <v>3.4225576866741014</v>
      </c>
      <c r="E28" s="4">
        <f t="shared" si="72"/>
        <v>4.2242039934640072</v>
      </c>
      <c r="F28" s="4">
        <f t="shared" si="72"/>
        <v>3.342692089397798</v>
      </c>
      <c r="G28" s="4">
        <f t="shared" si="72"/>
        <v>3.8228545892129424</v>
      </c>
      <c r="H28" s="4">
        <f t="shared" si="72"/>
        <v>3.263947125189357</v>
      </c>
      <c r="I28" s="4">
        <f t="shared" si="72"/>
        <v>4.3979712006312841</v>
      </c>
      <c r="J28" s="4">
        <f t="shared" si="72"/>
        <v>3.6291936475908879</v>
      </c>
      <c r="K28" s="4">
        <f t="shared" si="72"/>
        <v>3.2353974093887383</v>
      </c>
      <c r="L28" s="4">
        <f t="shared" si="72"/>
        <v>4.1246784682207025</v>
      </c>
      <c r="M28" s="4">
        <f t="shared" si="72"/>
        <v>3.5754423424094148</v>
      </c>
      <c r="N28" s="4">
        <f t="shared" si="72"/>
        <v>3.8280184267505275</v>
      </c>
      <c r="O28" s="4">
        <f t="shared" si="72"/>
        <v>3.5209623747603231</v>
      </c>
      <c r="P28" s="4">
        <f t="shared" si="72"/>
        <v>4.8489004048630546</v>
      </c>
      <c r="Q28" s="4">
        <f t="shared" si="72"/>
        <v>4.6307179155837348</v>
      </c>
      <c r="R28" s="4">
        <f t="shared" si="72"/>
        <v>4.2367120706889771</v>
      </c>
      <c r="S28" s="4">
        <f t="shared" si="72"/>
        <v>3.4726987793917456</v>
      </c>
      <c r="T28" s="4">
        <f t="shared" si="72"/>
        <v>3.0941041711086315</v>
      </c>
    </row>
    <row r="29" spans="1:20" x14ac:dyDescent="0.25">
      <c r="A29" s="2" t="s">
        <v>33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25">
      <c r="A30" s="16" t="s">
        <v>44</v>
      </c>
      <c r="C30" s="4">
        <f t="shared" ref="C30:T30" si="73">+C19*C$76/C$71</f>
        <v>2.72535961791439</v>
      </c>
      <c r="D30" s="4">
        <f t="shared" si="73"/>
        <v>1.0781149941964532</v>
      </c>
      <c r="E30" s="4">
        <f t="shared" si="73"/>
        <v>2.2237366232640965</v>
      </c>
      <c r="F30" s="4">
        <f t="shared" si="73"/>
        <v>0.96398017578193129</v>
      </c>
      <c r="G30" s="4">
        <f t="shared" si="73"/>
        <v>1.6501737509237702</v>
      </c>
      <c r="H30" s="4">
        <f t="shared" si="73"/>
        <v>0.85144683855670211</v>
      </c>
      <c r="I30" s="4">
        <f t="shared" si="73"/>
        <v>2.0926604763702419</v>
      </c>
      <c r="J30" s="4">
        <f t="shared" si="73"/>
        <v>0.99401112784203238</v>
      </c>
      <c r="K30" s="4">
        <f t="shared" si="73"/>
        <v>0.43124238044220142</v>
      </c>
      <c r="L30" s="4">
        <f t="shared" si="73"/>
        <v>1.7021016193472636</v>
      </c>
      <c r="M30" s="4">
        <f t="shared" si="73"/>
        <v>0.91719588240904792</v>
      </c>
      <c r="N30" s="4">
        <f t="shared" si="73"/>
        <v>1.2781488647349888</v>
      </c>
      <c r="O30" s="4">
        <f t="shared" si="73"/>
        <v>0.83933931554026042</v>
      </c>
      <c r="P30" s="4">
        <f t="shared" si="73"/>
        <v>2.9217744714639373</v>
      </c>
      <c r="Q30" s="4">
        <f t="shared" si="73"/>
        <v>2.6099728992679383</v>
      </c>
      <c r="R30" s="4">
        <f t="shared" si="73"/>
        <v>2.0469046058481037</v>
      </c>
      <c r="S30" s="4">
        <f t="shared" si="73"/>
        <v>0.95506379776133188</v>
      </c>
      <c r="T30" s="4">
        <f t="shared" si="73"/>
        <v>0.414019489038286</v>
      </c>
    </row>
    <row r="31" spans="1:20" x14ac:dyDescent="0.25">
      <c r="A31" s="16" t="s">
        <v>45</v>
      </c>
      <c r="C31" s="4">
        <f t="shared" ref="C31:T31" si="74">+C20*C$76/C$71</f>
        <v>8.5710532571165371E-2</v>
      </c>
      <c r="D31" s="4">
        <f t="shared" si="74"/>
        <v>0.1099330515606564</v>
      </c>
      <c r="E31" s="4">
        <f t="shared" si="74"/>
        <v>9.3086833782613509E-2</v>
      </c>
      <c r="F31" s="4">
        <f t="shared" si="74"/>
        <v>0.1116113892930133</v>
      </c>
      <c r="G31" s="4">
        <f t="shared" si="74"/>
        <v>0.10152100158434103</v>
      </c>
      <c r="H31" s="4">
        <f t="shared" si="74"/>
        <v>0.1132661774517608</v>
      </c>
      <c r="I31" s="4">
        <f t="shared" si="74"/>
        <v>0.10753037046404428</v>
      </c>
      <c r="J31" s="4">
        <f t="shared" si="74"/>
        <v>0.1236858669363602</v>
      </c>
      <c r="K31" s="4">
        <f t="shared" si="74"/>
        <v>0.13196130852791743</v>
      </c>
      <c r="L31" s="4">
        <f t="shared" si="74"/>
        <v>0.1132734879066743</v>
      </c>
      <c r="M31" s="4">
        <f t="shared" si="74"/>
        <v>0.12481542517828255</v>
      </c>
      <c r="N31" s="4">
        <f t="shared" si="74"/>
        <v>0.11950765829119474</v>
      </c>
      <c r="O31" s="4">
        <f t="shared" si="74"/>
        <v>0.12596029591714053</v>
      </c>
      <c r="P31" s="4">
        <f t="shared" si="74"/>
        <v>8.9245422746616204E-2</v>
      </c>
      <c r="Q31" s="4">
        <f t="shared" si="74"/>
        <v>9.3830424509392621E-2</v>
      </c>
      <c r="R31" s="4">
        <f t="shared" si="74"/>
        <v>0.10211027088640391</v>
      </c>
      <c r="S31" s="4">
        <f t="shared" si="74"/>
        <v>0.11816564865275547</v>
      </c>
      <c r="T31" s="4">
        <f t="shared" si="74"/>
        <v>0.12612163518535691</v>
      </c>
    </row>
    <row r="32" spans="1:20" x14ac:dyDescent="0.25">
      <c r="A32" s="16" t="s">
        <v>46</v>
      </c>
      <c r="C32" s="4">
        <f t="shared" ref="C32:T32" si="75">+C21*C$76/C$71</f>
        <v>2.8110701504855551</v>
      </c>
      <c r="D32" s="4">
        <f t="shared" si="75"/>
        <v>1.1880480457571096</v>
      </c>
      <c r="E32" s="4">
        <f t="shared" si="75"/>
        <v>2.3168234570467101</v>
      </c>
      <c r="F32" s="4">
        <f t="shared" si="75"/>
        <v>1.0755915650749446</v>
      </c>
      <c r="G32" s="4">
        <f t="shared" si="75"/>
        <v>1.7516947525081115</v>
      </c>
      <c r="H32" s="4">
        <f t="shared" si="75"/>
        <v>0.96471301600846293</v>
      </c>
      <c r="I32" s="4">
        <f t="shared" si="75"/>
        <v>2.2001908468342863</v>
      </c>
      <c r="J32" s="4">
        <f t="shared" si="75"/>
        <v>1.1176969947783926</v>
      </c>
      <c r="K32" s="4">
        <f t="shared" si="75"/>
        <v>0.56320368897011885</v>
      </c>
      <c r="L32" s="4">
        <f t="shared" si="75"/>
        <v>1.8153751072539379</v>
      </c>
      <c r="M32" s="4">
        <f t="shared" si="75"/>
        <v>1.0420113075873305</v>
      </c>
      <c r="N32" s="4">
        <f t="shared" si="75"/>
        <v>1.3976565230261837</v>
      </c>
      <c r="O32" s="4">
        <f t="shared" si="75"/>
        <v>0.96529961145740095</v>
      </c>
      <c r="P32" s="4">
        <f t="shared" si="75"/>
        <v>3.0110198942105537</v>
      </c>
      <c r="Q32" s="4">
        <f t="shared" si="75"/>
        <v>2.7038033237773309</v>
      </c>
      <c r="R32" s="4">
        <f t="shared" si="75"/>
        <v>2.1490148767345074</v>
      </c>
      <c r="S32" s="4">
        <f t="shared" si="75"/>
        <v>1.0732294464140872</v>
      </c>
      <c r="T32" s="4">
        <f t="shared" si="75"/>
        <v>0.54014112422364302</v>
      </c>
    </row>
    <row r="33" spans="1:20" x14ac:dyDescent="0.25">
      <c r="A33" s="68" t="s">
        <v>47</v>
      </c>
      <c r="B33" s="69" t="s">
        <v>48</v>
      </c>
      <c r="C33" s="4">
        <f t="shared" ref="C33:T33" si="76">+C22*C$76/C$71</f>
        <v>40.411099557278071</v>
      </c>
      <c r="D33" s="4">
        <f t="shared" si="76"/>
        <v>51.831616931845012</v>
      </c>
      <c r="E33" s="4">
        <f t="shared" si="76"/>
        <v>43.88890366930832</v>
      </c>
      <c r="F33" s="4">
        <f t="shared" si="76"/>
        <v>52.622925434527545</v>
      </c>
      <c r="G33" s="4">
        <f t="shared" si="76"/>
        <v>47.86547439514537</v>
      </c>
      <c r="H33" s="4">
        <f t="shared" si="76"/>
        <v>53.403130702460352</v>
      </c>
      <c r="I33" s="4">
        <f t="shared" si="76"/>
        <v>50.698792504240807</v>
      </c>
      <c r="J33" s="4">
        <f t="shared" si="76"/>
        <v>58.315842086775405</v>
      </c>
      <c r="K33" s="4">
        <f t="shared" si="76"/>
        <v>62.217576027807581</v>
      </c>
      <c r="L33" s="4">
        <f t="shared" si="76"/>
        <v>53.406577461131157</v>
      </c>
      <c r="M33" s="4">
        <f t="shared" si="76"/>
        <v>58.848410129473862</v>
      </c>
      <c r="N33" s="4">
        <f t="shared" si="76"/>
        <v>56.345885764421809</v>
      </c>
      <c r="O33" s="4">
        <f t="shared" si="76"/>
        <v>59.388197761405678</v>
      </c>
      <c r="P33" s="4">
        <f t="shared" si="76"/>
        <v>42.077741853376054</v>
      </c>
      <c r="Q33" s="4">
        <f t="shared" si="76"/>
        <v>44.239494407556158</v>
      </c>
      <c r="R33" s="4">
        <f t="shared" si="76"/>
        <v>48.143305132131395</v>
      </c>
      <c r="S33" s="4">
        <f t="shared" si="76"/>
        <v>55.71315039947973</v>
      </c>
      <c r="T33" s="4">
        <f t="shared" si="76"/>
        <v>59.46426655989292</v>
      </c>
    </row>
    <row r="34" spans="1:20" x14ac:dyDescent="0.25">
      <c r="A34" s="68" t="s">
        <v>49</v>
      </c>
      <c r="B34" s="69" t="s">
        <v>48</v>
      </c>
      <c r="C34" s="4">
        <f t="shared" ref="C34:T34" si="77">+C23*C$76/C$71</f>
        <v>9.7065440581604037</v>
      </c>
      <c r="D34" s="4">
        <f t="shared" si="77"/>
        <v>12.449695228944512</v>
      </c>
      <c r="E34" s="4">
        <f t="shared" si="77"/>
        <v>10.541895216849511</v>
      </c>
      <c r="F34" s="4">
        <f t="shared" si="77"/>
        <v>12.639763574746343</v>
      </c>
      <c r="G34" s="4">
        <f t="shared" si="77"/>
        <v>11.497047622341942</v>
      </c>
      <c r="H34" s="4">
        <f t="shared" si="77"/>
        <v>12.827164979077464</v>
      </c>
      <c r="I34" s="4">
        <f t="shared" si="77"/>
        <v>12.177596465556119</v>
      </c>
      <c r="J34" s="4">
        <f t="shared" si="77"/>
        <v>14.007173690033015</v>
      </c>
      <c r="K34" s="4">
        <f t="shared" si="77"/>
        <v>14.944350673999242</v>
      </c>
      <c r="L34" s="4">
        <f t="shared" si="77"/>
        <v>12.827992873276399</v>
      </c>
      <c r="M34" s="4">
        <f t="shared" si="77"/>
        <v>14.135093871048975</v>
      </c>
      <c r="N34" s="4">
        <f t="shared" si="77"/>
        <v>13.534000031185297</v>
      </c>
      <c r="O34" s="4">
        <f t="shared" si="77"/>
        <v>14.264748161300837</v>
      </c>
      <c r="P34" s="4">
        <f t="shared" si="77"/>
        <v>10.106863204471662</v>
      </c>
      <c r="Q34" s="4">
        <f t="shared" si="77"/>
        <v>10.626105359222951</v>
      </c>
      <c r="R34" s="4">
        <f t="shared" si="77"/>
        <v>11.563781176212302</v>
      </c>
      <c r="S34" s="4">
        <f t="shared" si="77"/>
        <v>13.382020160203034</v>
      </c>
      <c r="T34" s="4">
        <f t="shared" si="77"/>
        <v>14.283019506353481</v>
      </c>
    </row>
    <row r="35" spans="1:20" x14ac:dyDescent="0.25">
      <c r="A35" s="2" t="s">
        <v>50</v>
      </c>
      <c r="B35" t="s">
        <v>51</v>
      </c>
      <c r="C35" s="1">
        <v>19.2</v>
      </c>
      <c r="D35" s="1">
        <v>19.2</v>
      </c>
      <c r="E35" s="1">
        <v>78.599999999999994</v>
      </c>
      <c r="F35" s="1">
        <v>78.599999999999994</v>
      </c>
      <c r="G35" s="1">
        <v>78.599999999999994</v>
      </c>
      <c r="H35" s="1">
        <v>78.599999999999994</v>
      </c>
      <c r="I35" s="1">
        <v>49.2</v>
      </c>
      <c r="J35" s="1">
        <v>49.2</v>
      </c>
      <c r="K35" s="1">
        <v>49.2</v>
      </c>
      <c r="L35" s="1">
        <f>17.6+20.7</f>
        <v>38.299999999999997</v>
      </c>
      <c r="M35" s="1">
        <f t="shared" ref="M35" si="78">17.6+20.7</f>
        <v>38.299999999999997</v>
      </c>
      <c r="N35" s="1">
        <v>10.6</v>
      </c>
      <c r="O35" s="1">
        <v>10.6</v>
      </c>
      <c r="P35" s="1">
        <v>16.8</v>
      </c>
      <c r="Q35" s="1">
        <v>83.3</v>
      </c>
      <c r="R35" s="1">
        <f>57.9+31.8</f>
        <v>89.7</v>
      </c>
      <c r="S35" s="1">
        <f t="shared" ref="S35:T35" si="79">57.9+31.8</f>
        <v>89.7</v>
      </c>
      <c r="T35" s="1">
        <f t="shared" si="79"/>
        <v>89.7</v>
      </c>
    </row>
    <row r="36" spans="1:2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" t="s">
        <v>52</v>
      </c>
      <c r="B37" s="2" t="s">
        <v>53</v>
      </c>
      <c r="C37" s="3">
        <v>18.600000000000001</v>
      </c>
      <c r="D37" s="3">
        <v>18.600000000000001</v>
      </c>
      <c r="E37" s="3">
        <v>18.600000000000001</v>
      </c>
      <c r="F37" s="3">
        <v>18.600000000000001</v>
      </c>
      <c r="G37" s="3">
        <v>18.600000000000001</v>
      </c>
      <c r="H37" s="3">
        <v>18.600000000000001</v>
      </c>
      <c r="I37" s="3">
        <v>18.600000000000001</v>
      </c>
      <c r="J37" s="3">
        <v>18.600000000000001</v>
      </c>
      <c r="K37" s="3">
        <v>18.600000000000001</v>
      </c>
      <c r="L37" s="3">
        <v>18.600000000000001</v>
      </c>
      <c r="M37" s="3">
        <v>18.600000000000001</v>
      </c>
      <c r="N37" s="3">
        <v>18.600000000000001</v>
      </c>
      <c r="O37" s="3">
        <v>18.600000000000001</v>
      </c>
      <c r="P37" s="3">
        <v>18.600000000000001</v>
      </c>
      <c r="Q37" s="3">
        <v>18.600000000000001</v>
      </c>
      <c r="R37" s="3">
        <v>18.600000000000001</v>
      </c>
      <c r="S37" s="3">
        <v>18.600000000000001</v>
      </c>
      <c r="T37" s="3">
        <v>18.600000000000001</v>
      </c>
    </row>
    <row r="38" spans="1:20" x14ac:dyDescent="0.25">
      <c r="A38" s="2" t="s">
        <v>54</v>
      </c>
      <c r="C38" s="4">
        <f>+C37+273.15</f>
        <v>291.75</v>
      </c>
      <c r="D38" s="4">
        <f t="shared" ref="D38:T38" si="80">+D37+273.15</f>
        <v>291.75</v>
      </c>
      <c r="E38" s="4">
        <f t="shared" si="80"/>
        <v>291.75</v>
      </c>
      <c r="F38" s="4">
        <f t="shared" si="80"/>
        <v>291.75</v>
      </c>
      <c r="G38" s="4">
        <f t="shared" si="80"/>
        <v>291.75</v>
      </c>
      <c r="H38" s="4">
        <f t="shared" si="80"/>
        <v>291.75</v>
      </c>
      <c r="I38" s="4">
        <f t="shared" si="80"/>
        <v>291.75</v>
      </c>
      <c r="J38" s="4">
        <f t="shared" si="80"/>
        <v>291.75</v>
      </c>
      <c r="K38" s="4">
        <f t="shared" si="80"/>
        <v>291.75</v>
      </c>
      <c r="L38" s="4">
        <f t="shared" si="80"/>
        <v>291.75</v>
      </c>
      <c r="M38" s="4">
        <f t="shared" si="80"/>
        <v>291.75</v>
      </c>
      <c r="N38" s="4">
        <f t="shared" si="80"/>
        <v>291.75</v>
      </c>
      <c r="O38" s="4">
        <f t="shared" si="80"/>
        <v>291.75</v>
      </c>
      <c r="P38" s="4">
        <f t="shared" si="80"/>
        <v>291.75</v>
      </c>
      <c r="Q38" s="4">
        <f t="shared" si="80"/>
        <v>291.75</v>
      </c>
      <c r="R38" s="4">
        <f t="shared" si="80"/>
        <v>291.75</v>
      </c>
      <c r="S38" s="4">
        <f t="shared" si="80"/>
        <v>291.75</v>
      </c>
      <c r="T38" s="4">
        <f t="shared" si="80"/>
        <v>291.75</v>
      </c>
    </row>
    <row r="39" spans="1:20" x14ac:dyDescent="0.25">
      <c r="A39" s="2" t="s">
        <v>55</v>
      </c>
      <c r="B39" s="2" t="s">
        <v>56</v>
      </c>
      <c r="C39" s="3">
        <v>31.3</v>
      </c>
      <c r="D39" s="3">
        <v>31.3</v>
      </c>
      <c r="E39" s="3">
        <v>31.3</v>
      </c>
      <c r="F39" s="3">
        <v>31.3</v>
      </c>
      <c r="G39" s="3">
        <v>31.3</v>
      </c>
      <c r="H39" s="3">
        <v>31.3</v>
      </c>
      <c r="I39" s="3">
        <v>31.3</v>
      </c>
      <c r="J39" s="3">
        <v>31.3</v>
      </c>
      <c r="K39" s="3">
        <v>31.3</v>
      </c>
      <c r="L39" s="3">
        <v>31.3</v>
      </c>
      <c r="M39" s="3">
        <v>31.3</v>
      </c>
      <c r="N39" s="3">
        <v>31.3</v>
      </c>
      <c r="O39" s="3">
        <v>31.3</v>
      </c>
      <c r="P39" s="3">
        <v>31.3</v>
      </c>
      <c r="Q39" s="3">
        <v>31.3</v>
      </c>
      <c r="R39" s="3">
        <v>31.3</v>
      </c>
      <c r="S39" s="3">
        <v>31.3</v>
      </c>
      <c r="T39" s="3">
        <v>31.3</v>
      </c>
    </row>
    <row r="40" spans="1:20" x14ac:dyDescent="0.25">
      <c r="A40" s="2" t="s">
        <v>57</v>
      </c>
      <c r="B40" s="2" t="s">
        <v>58</v>
      </c>
      <c r="C40" s="4">
        <f t="shared" ref="C40:T40" si="81">+Ln_A</f>
        <v>30.3</v>
      </c>
      <c r="D40" s="4">
        <f t="shared" si="81"/>
        <v>30.3</v>
      </c>
      <c r="E40" s="4">
        <f t="shared" si="81"/>
        <v>30.3</v>
      </c>
      <c r="F40" s="4">
        <f t="shared" si="81"/>
        <v>30.3</v>
      </c>
      <c r="G40" s="4">
        <f t="shared" si="81"/>
        <v>30.3</v>
      </c>
      <c r="H40" s="4">
        <f t="shared" si="81"/>
        <v>30.3</v>
      </c>
      <c r="I40" s="4">
        <f t="shared" si="81"/>
        <v>30.3</v>
      </c>
      <c r="J40" s="4">
        <f t="shared" si="81"/>
        <v>30.3</v>
      </c>
      <c r="K40" s="4">
        <f t="shared" si="81"/>
        <v>30.3</v>
      </c>
      <c r="L40" s="4">
        <f t="shared" si="81"/>
        <v>30.3</v>
      </c>
      <c r="M40" s="4">
        <f t="shared" si="81"/>
        <v>30.3</v>
      </c>
      <c r="N40" s="4">
        <f t="shared" si="81"/>
        <v>30.3</v>
      </c>
      <c r="O40" s="4">
        <f t="shared" si="81"/>
        <v>30.3</v>
      </c>
      <c r="P40" s="4">
        <f t="shared" si="81"/>
        <v>30.3</v>
      </c>
      <c r="Q40" s="4">
        <f t="shared" si="81"/>
        <v>30.3</v>
      </c>
      <c r="R40" s="4">
        <f t="shared" si="81"/>
        <v>30.3</v>
      </c>
      <c r="S40" s="4">
        <f t="shared" si="81"/>
        <v>30.3</v>
      </c>
      <c r="T40" s="4">
        <f t="shared" si="81"/>
        <v>30.3</v>
      </c>
    </row>
    <row r="41" spans="1:20" x14ac:dyDescent="0.25">
      <c r="A41" s="2" t="s">
        <v>59</v>
      </c>
      <c r="B41" s="2" t="s">
        <v>60</v>
      </c>
      <c r="C41" s="3">
        <v>27.9</v>
      </c>
      <c r="D41" s="3">
        <v>27.9</v>
      </c>
      <c r="E41" s="3">
        <v>27.9</v>
      </c>
      <c r="F41" s="3">
        <v>27.9</v>
      </c>
      <c r="G41" s="3">
        <v>27.9</v>
      </c>
      <c r="H41" s="3">
        <v>27.9</v>
      </c>
      <c r="I41" s="3">
        <v>27.9</v>
      </c>
      <c r="J41" s="3">
        <v>27.9</v>
      </c>
      <c r="K41" s="3">
        <v>27.9</v>
      </c>
      <c r="L41" s="3">
        <v>27.9</v>
      </c>
      <c r="M41" s="3">
        <v>27.9</v>
      </c>
      <c r="N41" s="3">
        <v>27.9</v>
      </c>
      <c r="O41" s="3">
        <v>27.9</v>
      </c>
      <c r="P41" s="3">
        <v>27.9</v>
      </c>
      <c r="Q41" s="3">
        <v>27.9</v>
      </c>
      <c r="R41" s="3">
        <v>27.9</v>
      </c>
      <c r="S41" s="3">
        <v>27.9</v>
      </c>
      <c r="T41" s="3">
        <v>27.9</v>
      </c>
    </row>
    <row r="42" spans="1:20" x14ac:dyDescent="0.25">
      <c r="A42" s="2" t="s">
        <v>61</v>
      </c>
      <c r="B42" s="2" t="s">
        <v>62</v>
      </c>
      <c r="C42" s="10">
        <v>81000</v>
      </c>
      <c r="D42" s="10">
        <v>81000</v>
      </c>
      <c r="E42" s="10">
        <v>81000</v>
      </c>
      <c r="F42" s="10">
        <v>81000</v>
      </c>
      <c r="G42" s="10">
        <v>81000</v>
      </c>
      <c r="H42" s="10">
        <v>81000</v>
      </c>
      <c r="I42" s="10">
        <v>81000</v>
      </c>
      <c r="J42" s="10">
        <v>81000</v>
      </c>
      <c r="K42" s="10">
        <v>81000</v>
      </c>
      <c r="L42" s="10">
        <v>81000</v>
      </c>
      <c r="M42" s="10">
        <v>81000</v>
      </c>
      <c r="N42" s="10">
        <v>81000</v>
      </c>
      <c r="O42" s="10">
        <v>81000</v>
      </c>
      <c r="P42" s="10">
        <v>81000</v>
      </c>
      <c r="Q42" s="10">
        <v>81000</v>
      </c>
      <c r="R42" s="10">
        <v>81000</v>
      </c>
      <c r="S42" s="10">
        <v>81000</v>
      </c>
      <c r="T42" s="10">
        <v>81000</v>
      </c>
    </row>
    <row r="43" spans="1:20" x14ac:dyDescent="0.25">
      <c r="A43" s="2" t="s">
        <v>63</v>
      </c>
      <c r="B43" s="2" t="s">
        <v>64</v>
      </c>
      <c r="C43" s="3">
        <v>8.31</v>
      </c>
      <c r="D43" s="3">
        <v>8.31</v>
      </c>
      <c r="E43" s="3">
        <v>8.31</v>
      </c>
      <c r="F43" s="3">
        <v>8.31</v>
      </c>
      <c r="G43" s="3">
        <v>8.31</v>
      </c>
      <c r="H43" s="3">
        <v>8.31</v>
      </c>
      <c r="I43" s="3">
        <v>8.31</v>
      </c>
      <c r="J43" s="3">
        <v>8.31</v>
      </c>
      <c r="K43" s="3">
        <v>8.31</v>
      </c>
      <c r="L43" s="3">
        <v>8.31</v>
      </c>
      <c r="M43" s="3">
        <v>8.31</v>
      </c>
      <c r="N43" s="3">
        <v>8.31</v>
      </c>
      <c r="O43" s="3">
        <v>8.31</v>
      </c>
      <c r="P43" s="3">
        <v>8.31</v>
      </c>
      <c r="Q43" s="3">
        <v>8.31</v>
      </c>
      <c r="R43" s="3">
        <v>8.31</v>
      </c>
      <c r="S43" s="3">
        <v>8.31</v>
      </c>
      <c r="T43" s="3">
        <v>8.31</v>
      </c>
    </row>
    <row r="44" spans="1:20" x14ac:dyDescent="0.25">
      <c r="A44" s="2" t="s">
        <v>65</v>
      </c>
      <c r="B44" s="2" t="s">
        <v>66</v>
      </c>
      <c r="C44" s="3">
        <v>4</v>
      </c>
      <c r="D44" s="3">
        <v>4</v>
      </c>
      <c r="E44" s="3">
        <v>4</v>
      </c>
      <c r="F44" s="3">
        <v>4</v>
      </c>
      <c r="G44" s="3">
        <v>4</v>
      </c>
      <c r="H44" s="3">
        <v>4</v>
      </c>
      <c r="I44" s="3">
        <v>4</v>
      </c>
      <c r="J44" s="3">
        <v>4</v>
      </c>
      <c r="K44" s="3">
        <v>4</v>
      </c>
      <c r="L44" s="3">
        <v>4</v>
      </c>
      <c r="M44" s="3">
        <v>4</v>
      </c>
      <c r="N44" s="3">
        <v>4</v>
      </c>
      <c r="O44" s="3">
        <v>4</v>
      </c>
      <c r="P44" s="3">
        <v>4</v>
      </c>
      <c r="Q44" s="3">
        <v>4</v>
      </c>
      <c r="R44" s="3">
        <v>4</v>
      </c>
      <c r="S44" s="3">
        <v>4</v>
      </c>
      <c r="T44" s="3">
        <v>4</v>
      </c>
    </row>
    <row r="45" spans="1:20" x14ac:dyDescent="0.25">
      <c r="A45" s="2" t="s">
        <v>67</v>
      </c>
      <c r="B45" s="2" t="s">
        <v>68</v>
      </c>
      <c r="C45" s="3">
        <v>0.45</v>
      </c>
      <c r="D45" s="3">
        <v>0.45</v>
      </c>
      <c r="E45" s="3">
        <v>0.45</v>
      </c>
      <c r="F45" s="3">
        <v>0.45</v>
      </c>
      <c r="G45" s="3">
        <v>0.45</v>
      </c>
      <c r="H45" s="3">
        <v>0.45</v>
      </c>
      <c r="I45" s="3">
        <v>0.45</v>
      </c>
      <c r="J45" s="3">
        <v>0.45</v>
      </c>
      <c r="K45" s="3">
        <v>0.45</v>
      </c>
      <c r="L45" s="3">
        <v>0.45</v>
      </c>
      <c r="M45" s="3">
        <v>0.45</v>
      </c>
      <c r="N45" s="3">
        <v>0.45</v>
      </c>
      <c r="O45" s="3">
        <v>0.45</v>
      </c>
      <c r="P45" s="3">
        <v>0.45</v>
      </c>
      <c r="Q45" s="3">
        <v>0.45</v>
      </c>
      <c r="R45" s="3">
        <v>0.45</v>
      </c>
      <c r="S45" s="3">
        <v>0.45</v>
      </c>
      <c r="T45" s="3">
        <v>0.45</v>
      </c>
    </row>
    <row r="46" spans="1:20" x14ac:dyDescent="0.25">
      <c r="A46" s="2" t="s">
        <v>69</v>
      </c>
      <c r="C46" s="3">
        <v>10</v>
      </c>
      <c r="D46" s="3">
        <v>10</v>
      </c>
      <c r="E46" s="3">
        <v>10</v>
      </c>
      <c r="F46" s="3">
        <v>10</v>
      </c>
      <c r="G46" s="3">
        <v>10</v>
      </c>
      <c r="H46" s="3">
        <v>10</v>
      </c>
      <c r="I46" s="3">
        <v>10</v>
      </c>
      <c r="J46" s="3">
        <v>10</v>
      </c>
      <c r="K46" s="3">
        <v>10</v>
      </c>
      <c r="L46" s="3">
        <v>10</v>
      </c>
      <c r="M46" s="3">
        <v>10</v>
      </c>
      <c r="N46" s="3">
        <v>10</v>
      </c>
      <c r="O46" s="3">
        <v>10</v>
      </c>
      <c r="P46" s="3">
        <v>10</v>
      </c>
      <c r="Q46" s="3">
        <v>10</v>
      </c>
      <c r="R46" s="3">
        <v>10</v>
      </c>
      <c r="S46" s="3">
        <v>10</v>
      </c>
      <c r="T46" s="3">
        <v>10</v>
      </c>
    </row>
    <row r="47" spans="1:20" x14ac:dyDescent="0.25">
      <c r="A47" s="2" t="s">
        <v>70</v>
      </c>
      <c r="B47" s="2" t="s">
        <v>71</v>
      </c>
      <c r="C47" s="4">
        <f>+C44/C45*12/16</f>
        <v>6.666666666666667</v>
      </c>
      <c r="D47" s="4">
        <f t="shared" ref="D47:E47" si="82">+D44/D45*12/16</f>
        <v>6.666666666666667</v>
      </c>
      <c r="E47" s="4">
        <f t="shared" si="82"/>
        <v>6.666666666666667</v>
      </c>
      <c r="F47" s="4">
        <f t="shared" ref="F47:G47" si="83">+F44/F45*12/16</f>
        <v>6.666666666666667</v>
      </c>
      <c r="G47" s="4">
        <f t="shared" si="83"/>
        <v>6.666666666666667</v>
      </c>
      <c r="H47" s="4">
        <f t="shared" ref="H47:K47" si="84">+H44/H45*12/16</f>
        <v>6.666666666666667</v>
      </c>
      <c r="I47" s="4">
        <f t="shared" si="84"/>
        <v>6.666666666666667</v>
      </c>
      <c r="J47" s="4">
        <f t="shared" si="84"/>
        <v>6.666666666666667</v>
      </c>
      <c r="K47" s="4">
        <f t="shared" si="84"/>
        <v>6.666666666666667</v>
      </c>
      <c r="L47" s="4">
        <f t="shared" ref="L47" si="85">+L44/L45*12/16</f>
        <v>6.666666666666667</v>
      </c>
      <c r="M47" s="4">
        <f>+M44/M45*12/16</f>
        <v>6.666666666666667</v>
      </c>
      <c r="N47" s="4">
        <f t="shared" ref="N47:O47" si="86">+N44/N45*12/16</f>
        <v>6.666666666666667</v>
      </c>
      <c r="O47" s="4">
        <f t="shared" si="86"/>
        <v>6.666666666666667</v>
      </c>
      <c r="P47" s="4">
        <f t="shared" ref="P47:Q47" si="87">+P44/P45*12/16</f>
        <v>6.666666666666667</v>
      </c>
      <c r="Q47" s="4">
        <f t="shared" si="87"/>
        <v>6.666666666666667</v>
      </c>
      <c r="R47" s="4">
        <f t="shared" ref="R47:S47" si="88">+R44/R45*12/16</f>
        <v>6.666666666666667</v>
      </c>
      <c r="S47" s="4">
        <f t="shared" si="88"/>
        <v>6.666666666666667</v>
      </c>
      <c r="T47" s="4">
        <f t="shared" ref="T47" si="89">+T44/T45*12/16</f>
        <v>6.666666666666667</v>
      </c>
    </row>
    <row r="48" spans="1:20" x14ac:dyDescent="0.25">
      <c r="A48" s="2" t="s">
        <v>72</v>
      </c>
      <c r="C48" s="4">
        <f>+C46/16*12/C45</f>
        <v>16.666666666666668</v>
      </c>
      <c r="D48" s="4">
        <f t="shared" ref="D48:E48" si="90">+D46/16*12/D45</f>
        <v>16.666666666666668</v>
      </c>
      <c r="E48" s="4">
        <f t="shared" si="90"/>
        <v>16.666666666666668</v>
      </c>
      <c r="F48" s="4">
        <f t="shared" ref="F48:I48" si="91">+F46/16*12/F45</f>
        <v>16.666666666666668</v>
      </c>
      <c r="G48" s="4">
        <f t="shared" si="91"/>
        <v>16.666666666666668</v>
      </c>
      <c r="H48" s="4">
        <f t="shared" si="91"/>
        <v>16.666666666666668</v>
      </c>
      <c r="I48" s="4">
        <f t="shared" si="91"/>
        <v>16.666666666666668</v>
      </c>
      <c r="J48" s="4">
        <f t="shared" ref="J48:L48" si="92">+J46/16*12/J45</f>
        <v>16.666666666666668</v>
      </c>
      <c r="K48" s="4">
        <f t="shared" ref="K48" si="93">+K46/16*12/K45</f>
        <v>16.666666666666668</v>
      </c>
      <c r="L48" s="4">
        <f t="shared" si="92"/>
        <v>16.666666666666668</v>
      </c>
      <c r="M48" s="4">
        <f>+M46/16*12/M45</f>
        <v>16.666666666666668</v>
      </c>
      <c r="N48" s="4">
        <f t="shared" ref="N48:O48" si="94">+N46/16*12/N45</f>
        <v>16.666666666666668</v>
      </c>
      <c r="O48" s="4">
        <f t="shared" si="94"/>
        <v>16.666666666666668</v>
      </c>
      <c r="P48" s="4">
        <f t="shared" ref="P48:Q48" si="95">+P46/16*12/P45</f>
        <v>16.666666666666668</v>
      </c>
      <c r="Q48" s="4">
        <f t="shared" si="95"/>
        <v>16.666666666666668</v>
      </c>
      <c r="R48" s="4">
        <f t="shared" ref="R48" si="96">+R46/16*12/R45</f>
        <v>16.666666666666668</v>
      </c>
      <c r="S48" s="4">
        <f t="shared" ref="S48" si="97">+S46/16*12/S45</f>
        <v>16.666666666666668</v>
      </c>
      <c r="T48" s="4">
        <f t="shared" ref="T48" si="98">+T46/16*12/T45</f>
        <v>16.666666666666668</v>
      </c>
    </row>
    <row r="50" spans="1:20" x14ac:dyDescent="0.25">
      <c r="A50" s="2" t="s">
        <v>73</v>
      </c>
    </row>
    <row r="51" spans="1:20" x14ac:dyDescent="0.25">
      <c r="A51" s="2" t="s">
        <v>74</v>
      </c>
      <c r="B51" s="2" t="s">
        <v>75</v>
      </c>
      <c r="C51" s="4">
        <f t="shared" ref="C51:T51" si="99">+C9</f>
        <v>3</v>
      </c>
      <c r="D51" s="4">
        <f t="shared" si="99"/>
        <v>3</v>
      </c>
      <c r="E51" s="4">
        <f t="shared" si="99"/>
        <v>3</v>
      </c>
      <c r="F51" s="4">
        <f t="shared" si="99"/>
        <v>3</v>
      </c>
      <c r="G51" s="4">
        <f t="shared" si="99"/>
        <v>3</v>
      </c>
      <c r="H51" s="4">
        <f t="shared" si="99"/>
        <v>3</v>
      </c>
      <c r="I51" s="4">
        <f t="shared" si="99"/>
        <v>3</v>
      </c>
      <c r="J51" s="4">
        <f t="shared" si="99"/>
        <v>3</v>
      </c>
      <c r="K51" s="4">
        <f t="shared" si="99"/>
        <v>1</v>
      </c>
      <c r="L51" s="4">
        <f t="shared" si="99"/>
        <v>3</v>
      </c>
      <c r="M51" s="4">
        <f t="shared" si="99"/>
        <v>3</v>
      </c>
      <c r="N51" s="4">
        <f t="shared" si="99"/>
        <v>3</v>
      </c>
      <c r="O51" s="4">
        <f t="shared" si="99"/>
        <v>3</v>
      </c>
      <c r="P51" s="4">
        <f t="shared" si="99"/>
        <v>3</v>
      </c>
      <c r="Q51" s="4">
        <f t="shared" si="99"/>
        <v>3</v>
      </c>
      <c r="R51" s="4">
        <f t="shared" si="99"/>
        <v>3</v>
      </c>
      <c r="S51" s="4">
        <f t="shared" si="99"/>
        <v>3</v>
      </c>
      <c r="T51" s="4">
        <f t="shared" si="99"/>
        <v>1</v>
      </c>
    </row>
    <row r="52" spans="1:20" x14ac:dyDescent="0.25">
      <c r="A52" s="2" t="s">
        <v>76</v>
      </c>
      <c r="C52" s="4">
        <f t="shared" ref="C52:T52" si="100">+C8</f>
        <v>35</v>
      </c>
      <c r="D52" s="4">
        <f t="shared" si="100"/>
        <v>35</v>
      </c>
      <c r="E52" s="4">
        <f t="shared" si="100"/>
        <v>35</v>
      </c>
      <c r="F52" s="4">
        <f t="shared" si="100"/>
        <v>35</v>
      </c>
      <c r="G52" s="4">
        <f t="shared" si="100"/>
        <v>35</v>
      </c>
      <c r="H52" s="4">
        <f t="shared" si="100"/>
        <v>35</v>
      </c>
      <c r="I52" s="4">
        <f t="shared" si="100"/>
        <v>35</v>
      </c>
      <c r="J52" s="4">
        <f t="shared" si="100"/>
        <v>35</v>
      </c>
      <c r="K52" s="4">
        <f t="shared" si="100"/>
        <v>35</v>
      </c>
      <c r="L52" s="4">
        <f t="shared" si="100"/>
        <v>35</v>
      </c>
      <c r="M52" s="4">
        <f t="shared" si="100"/>
        <v>35</v>
      </c>
      <c r="N52" s="4">
        <f t="shared" si="100"/>
        <v>35</v>
      </c>
      <c r="O52" s="4">
        <f t="shared" si="100"/>
        <v>35</v>
      </c>
      <c r="P52" s="4">
        <f t="shared" si="100"/>
        <v>35</v>
      </c>
      <c r="Q52" s="4">
        <f t="shared" si="100"/>
        <v>35</v>
      </c>
      <c r="R52" s="4">
        <f t="shared" si="100"/>
        <v>35</v>
      </c>
      <c r="S52" s="4">
        <f t="shared" si="100"/>
        <v>35</v>
      </c>
      <c r="T52" s="4">
        <f t="shared" si="100"/>
        <v>35</v>
      </c>
    </row>
    <row r="53" spans="1:20" x14ac:dyDescent="0.25">
      <c r="A53" s="2" t="s">
        <v>77</v>
      </c>
      <c r="C53" s="5">
        <v>1</v>
      </c>
      <c r="D53" s="5">
        <v>1</v>
      </c>
      <c r="E53" s="5">
        <v>0.75</v>
      </c>
      <c r="F53" s="5">
        <v>0.75</v>
      </c>
      <c r="G53" s="5">
        <v>0.5</v>
      </c>
      <c r="H53" s="5">
        <v>0.5</v>
      </c>
      <c r="I53" s="5">
        <v>1</v>
      </c>
      <c r="J53" s="5">
        <v>1</v>
      </c>
      <c r="K53" s="5">
        <v>1</v>
      </c>
      <c r="L53" s="5">
        <v>0.75</v>
      </c>
      <c r="M53" s="5">
        <v>0.75</v>
      </c>
      <c r="N53" s="5">
        <v>0.5</v>
      </c>
      <c r="O53" s="5">
        <v>0.5</v>
      </c>
      <c r="P53" s="5">
        <v>1</v>
      </c>
      <c r="Q53" s="5">
        <v>0.5</v>
      </c>
      <c r="R53" s="5">
        <v>0.39</v>
      </c>
      <c r="S53" s="5">
        <v>0.39</v>
      </c>
      <c r="T53" s="5">
        <v>0.39</v>
      </c>
    </row>
    <row r="54" spans="1:20" x14ac:dyDescent="0.25">
      <c r="A54" s="2" t="s">
        <v>78</v>
      </c>
      <c r="C54" s="3">
        <v>0.3</v>
      </c>
      <c r="D54" s="3">
        <v>0.3</v>
      </c>
      <c r="E54" s="3">
        <v>0.3</v>
      </c>
      <c r="F54" s="3">
        <v>0.3</v>
      </c>
      <c r="G54" s="3">
        <v>0.3</v>
      </c>
      <c r="H54" s="3">
        <v>0.3</v>
      </c>
      <c r="I54" s="3">
        <v>0.65</v>
      </c>
      <c r="J54" s="3">
        <v>0.65</v>
      </c>
      <c r="K54" s="3">
        <v>0.65</v>
      </c>
      <c r="L54" s="3">
        <v>0.65</v>
      </c>
      <c r="M54" s="3">
        <v>0.65</v>
      </c>
      <c r="N54" s="3">
        <v>0.65</v>
      </c>
      <c r="O54" s="3">
        <v>0.65</v>
      </c>
      <c r="P54" s="3">
        <v>4.9000000000000004</v>
      </c>
      <c r="Q54" s="3">
        <v>4.9000000000000004</v>
      </c>
      <c r="R54" s="3">
        <v>2.5</v>
      </c>
      <c r="S54" s="3">
        <v>2.5</v>
      </c>
      <c r="T54" s="3">
        <v>2.5</v>
      </c>
    </row>
    <row r="55" spans="1:20" x14ac:dyDescent="0.25">
      <c r="A55" s="2" t="s">
        <v>79</v>
      </c>
      <c r="C55" s="4">
        <f>+C53*C54</f>
        <v>0.3</v>
      </c>
      <c r="D55" s="4">
        <f t="shared" ref="D55:E55" si="101">+D53*D54</f>
        <v>0.3</v>
      </c>
      <c r="E55" s="4">
        <f t="shared" si="101"/>
        <v>0.22499999999999998</v>
      </c>
      <c r="F55" s="4">
        <f t="shared" ref="F55:G55" si="102">+F53*F54</f>
        <v>0.22499999999999998</v>
      </c>
      <c r="G55" s="4">
        <f t="shared" si="102"/>
        <v>0.15</v>
      </c>
      <c r="H55" s="4">
        <f t="shared" ref="H55:K55" si="103">+H53*H54</f>
        <v>0.15</v>
      </c>
      <c r="I55" s="4">
        <f t="shared" si="103"/>
        <v>0.65</v>
      </c>
      <c r="J55" s="4">
        <f t="shared" si="103"/>
        <v>0.65</v>
      </c>
      <c r="K55" s="4">
        <f t="shared" si="103"/>
        <v>0.65</v>
      </c>
      <c r="L55" s="4">
        <f t="shared" ref="L55" si="104">+L53*L54</f>
        <v>0.48750000000000004</v>
      </c>
      <c r="M55" s="4">
        <f>+M53*M54</f>
        <v>0.48750000000000004</v>
      </c>
      <c r="N55" s="4">
        <f t="shared" ref="N55:O55" si="105">+N53*N54</f>
        <v>0.32500000000000001</v>
      </c>
      <c r="O55" s="4">
        <f t="shared" si="105"/>
        <v>0.32500000000000001</v>
      </c>
      <c r="P55" s="4">
        <f t="shared" ref="P55:Q55" si="106">+P53*P54</f>
        <v>4.9000000000000004</v>
      </c>
      <c r="Q55" s="4">
        <f t="shared" si="106"/>
        <v>2.4500000000000002</v>
      </c>
      <c r="R55" s="4">
        <f t="shared" ref="R55:S55" si="107">+R53*R54</f>
        <v>0.97500000000000009</v>
      </c>
      <c r="S55" s="4">
        <f t="shared" si="107"/>
        <v>0.97500000000000009</v>
      </c>
      <c r="T55" s="4">
        <f t="shared" ref="T55" si="108">+T53*T54</f>
        <v>0.97500000000000009</v>
      </c>
    </row>
    <row r="56" spans="1:20" x14ac:dyDescent="0.25">
      <c r="A56" s="2" t="s">
        <v>80</v>
      </c>
      <c r="C56" s="3">
        <v>54</v>
      </c>
      <c r="D56" s="3">
        <v>54</v>
      </c>
      <c r="E56" s="3">
        <v>54</v>
      </c>
      <c r="F56" s="3">
        <v>54</v>
      </c>
      <c r="G56" s="3">
        <v>54</v>
      </c>
      <c r="H56" s="3">
        <v>54</v>
      </c>
      <c r="I56" s="3">
        <v>84</v>
      </c>
      <c r="J56" s="3">
        <v>84</v>
      </c>
      <c r="K56" s="3">
        <v>84</v>
      </c>
      <c r="L56" s="3">
        <v>84</v>
      </c>
      <c r="M56" s="3">
        <v>84</v>
      </c>
      <c r="N56" s="3">
        <v>84</v>
      </c>
      <c r="O56" s="3">
        <v>84</v>
      </c>
      <c r="P56" s="3">
        <f>+(7+31+3)*2.26</f>
        <v>92.66</v>
      </c>
      <c r="Q56" s="3">
        <f t="shared" ref="Q56" si="109">+(7+31+3)*2.26</f>
        <v>92.66</v>
      </c>
      <c r="R56" s="3">
        <f>365-(7+31+3)*2.26</f>
        <v>272.34000000000003</v>
      </c>
      <c r="S56" s="3">
        <f t="shared" ref="S56:T56" si="110">365-(7+31+3)*2.26</f>
        <v>272.34000000000003</v>
      </c>
      <c r="T56" s="3">
        <f t="shared" si="110"/>
        <v>272.34000000000003</v>
      </c>
    </row>
    <row r="57" spans="1:20" x14ac:dyDescent="0.25">
      <c r="A57" s="2" t="s">
        <v>81</v>
      </c>
      <c r="B57" s="2" t="s">
        <v>82</v>
      </c>
      <c r="C57" s="3">
        <v>24.3</v>
      </c>
      <c r="D57" s="3">
        <v>24.3</v>
      </c>
      <c r="E57" s="3">
        <v>24.3</v>
      </c>
      <c r="F57" s="3">
        <v>24.3</v>
      </c>
      <c r="G57" s="3">
        <v>24.3</v>
      </c>
      <c r="H57" s="3">
        <v>24.3</v>
      </c>
      <c r="I57" s="3">
        <v>84</v>
      </c>
      <c r="J57" s="3">
        <v>84</v>
      </c>
      <c r="K57" s="3">
        <v>84</v>
      </c>
      <c r="L57" s="3">
        <v>84</v>
      </c>
      <c r="M57" s="3">
        <v>84</v>
      </c>
      <c r="N57" s="3">
        <v>84</v>
      </c>
      <c r="O57" s="3">
        <v>84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</row>
    <row r="58" spans="1:20" x14ac:dyDescent="0.25">
      <c r="A58" s="2" t="s">
        <v>83</v>
      </c>
      <c r="B58" s="2" t="s">
        <v>84</v>
      </c>
      <c r="C58" s="3">
        <v>1.86</v>
      </c>
      <c r="D58" s="3">
        <v>1.86</v>
      </c>
      <c r="E58" s="3">
        <v>1.86</v>
      </c>
      <c r="F58" s="3">
        <v>1.86</v>
      </c>
      <c r="G58" s="3">
        <v>1.86</v>
      </c>
      <c r="H58" s="3">
        <v>1.86</v>
      </c>
      <c r="I58" s="3">
        <v>2.75</v>
      </c>
      <c r="J58" s="3">
        <v>2.75</v>
      </c>
      <c r="K58" s="3">
        <v>2.75</v>
      </c>
      <c r="L58" s="3">
        <v>2.75</v>
      </c>
      <c r="M58" s="3">
        <v>2.75</v>
      </c>
      <c r="N58" s="3">
        <v>2.75</v>
      </c>
      <c r="O58" s="3">
        <v>2.75</v>
      </c>
      <c r="P58" s="3">
        <f>1497*0.3</f>
        <v>449.09999999999997</v>
      </c>
      <c r="Q58" s="3">
        <f t="shared" ref="Q58" si="111">1497*0.3</f>
        <v>449.09999999999997</v>
      </c>
      <c r="R58" s="3">
        <f>1497*(1-0.3)</f>
        <v>1047.8999999999999</v>
      </c>
      <c r="S58" s="3">
        <f t="shared" ref="S58:T58" si="112">1497*(1-0.3)</f>
        <v>1047.8999999999999</v>
      </c>
      <c r="T58" s="3">
        <f t="shared" si="112"/>
        <v>1047.8999999999999</v>
      </c>
    </row>
    <row r="59" spans="1:20" x14ac:dyDescent="0.25">
      <c r="A59" s="2" t="s">
        <v>85</v>
      </c>
      <c r="B59" s="2" t="s">
        <v>84</v>
      </c>
      <c r="C59" s="3">
        <v>1.1000000000000001</v>
      </c>
      <c r="D59" s="3">
        <v>1.1000000000000001</v>
      </c>
      <c r="E59" s="3">
        <v>1.1000000000000001</v>
      </c>
      <c r="F59" s="3">
        <v>1.1000000000000001</v>
      </c>
      <c r="G59" s="3">
        <v>1.1000000000000001</v>
      </c>
      <c r="H59" s="3">
        <v>1.1000000000000001</v>
      </c>
      <c r="I59" s="3">
        <v>1.04</v>
      </c>
      <c r="J59" s="3">
        <v>1.04</v>
      </c>
      <c r="K59" s="3">
        <v>1.04</v>
      </c>
      <c r="L59" s="3">
        <v>1.04</v>
      </c>
      <c r="M59" s="3">
        <v>1.04</v>
      </c>
      <c r="N59" s="3">
        <v>1.04</v>
      </c>
      <c r="O59" s="3">
        <v>1.04</v>
      </c>
      <c r="P59" s="3">
        <v>1.02</v>
      </c>
      <c r="Q59" s="3">
        <v>1.02</v>
      </c>
      <c r="R59" s="3">
        <v>1.02</v>
      </c>
      <c r="S59" s="3">
        <v>1.02</v>
      </c>
      <c r="T59" s="3">
        <v>1.02</v>
      </c>
    </row>
    <row r="60" spans="1:20" x14ac:dyDescent="0.25">
      <c r="A60" s="2" t="s">
        <v>86</v>
      </c>
      <c r="B60" s="2" t="s">
        <v>87</v>
      </c>
      <c r="C60" s="3">
        <v>0.87</v>
      </c>
      <c r="D60" s="3">
        <v>0.87</v>
      </c>
      <c r="E60" s="3">
        <v>0.87</v>
      </c>
      <c r="F60" s="3">
        <v>0.87</v>
      </c>
      <c r="G60" s="3">
        <v>0.87</v>
      </c>
      <c r="H60" s="3">
        <v>0.87</v>
      </c>
      <c r="I60" s="3">
        <v>0.87</v>
      </c>
      <c r="J60" s="3">
        <v>0.87</v>
      </c>
      <c r="K60" s="3">
        <v>0.87</v>
      </c>
      <c r="L60" s="3">
        <v>0.87</v>
      </c>
      <c r="M60" s="3">
        <v>0.87</v>
      </c>
      <c r="N60" s="3">
        <v>0.87</v>
      </c>
      <c r="O60" s="3">
        <v>0.87</v>
      </c>
      <c r="P60" s="3">
        <v>0.87</v>
      </c>
      <c r="Q60" s="3">
        <v>0.87</v>
      </c>
      <c r="R60" s="3">
        <v>0.87</v>
      </c>
      <c r="S60" s="3">
        <v>0.87</v>
      </c>
      <c r="T60" s="3">
        <v>0.87</v>
      </c>
    </row>
    <row r="61" spans="1:20" x14ac:dyDescent="0.25">
      <c r="A61" s="2" t="s">
        <v>88</v>
      </c>
      <c r="C61" s="19">
        <f t="shared" ref="C61:T61" si="113">+C57*C58/C59</f>
        <v>41.089090909090906</v>
      </c>
      <c r="D61" s="19">
        <f t="shared" si="113"/>
        <v>41.089090909090906</v>
      </c>
      <c r="E61" s="19">
        <f t="shared" si="113"/>
        <v>41.089090909090906</v>
      </c>
      <c r="F61" s="19">
        <f t="shared" si="113"/>
        <v>41.089090909090906</v>
      </c>
      <c r="G61" s="19">
        <f t="shared" si="113"/>
        <v>41.089090909090906</v>
      </c>
      <c r="H61" s="19">
        <f t="shared" si="113"/>
        <v>41.089090909090906</v>
      </c>
      <c r="I61" s="19">
        <f t="shared" si="113"/>
        <v>222.11538461538461</v>
      </c>
      <c r="J61" s="19">
        <f t="shared" si="113"/>
        <v>222.11538461538461</v>
      </c>
      <c r="K61" s="19">
        <f t="shared" si="113"/>
        <v>222.11538461538461</v>
      </c>
      <c r="L61" s="19">
        <f t="shared" si="113"/>
        <v>222.11538461538461</v>
      </c>
      <c r="M61" s="19">
        <f t="shared" si="113"/>
        <v>222.11538461538461</v>
      </c>
      <c r="N61" s="19">
        <f t="shared" si="113"/>
        <v>222.11538461538461</v>
      </c>
      <c r="O61" s="19">
        <f t="shared" si="113"/>
        <v>222.11538461538461</v>
      </c>
      <c r="P61" s="19">
        <f t="shared" si="113"/>
        <v>440.29411764705878</v>
      </c>
      <c r="Q61" s="19">
        <f t="shared" si="113"/>
        <v>440.29411764705878</v>
      </c>
      <c r="R61" s="19">
        <f t="shared" si="113"/>
        <v>1027.3529411764705</v>
      </c>
      <c r="S61" s="19">
        <f t="shared" si="113"/>
        <v>1027.3529411764705</v>
      </c>
      <c r="T61" s="19">
        <f t="shared" si="113"/>
        <v>1027.3529411764705</v>
      </c>
    </row>
    <row r="62" spans="1:20" x14ac:dyDescent="0.25">
      <c r="A62" s="2" t="s">
        <v>89</v>
      </c>
      <c r="B62" s="2" t="s">
        <v>90</v>
      </c>
      <c r="C62" s="19">
        <f t="shared" ref="C62:T62" si="114">+C60*C61</f>
        <v>35.747509090909091</v>
      </c>
      <c r="D62" s="19">
        <f t="shared" si="114"/>
        <v>35.747509090909091</v>
      </c>
      <c r="E62" s="19">
        <f t="shared" si="114"/>
        <v>35.747509090909091</v>
      </c>
      <c r="F62" s="19">
        <f t="shared" si="114"/>
        <v>35.747509090909091</v>
      </c>
      <c r="G62" s="19">
        <f t="shared" si="114"/>
        <v>35.747509090909091</v>
      </c>
      <c r="H62" s="19">
        <f t="shared" si="114"/>
        <v>35.747509090909091</v>
      </c>
      <c r="I62" s="19">
        <f t="shared" si="114"/>
        <v>193.24038461538461</v>
      </c>
      <c r="J62" s="19">
        <f t="shared" si="114"/>
        <v>193.24038461538461</v>
      </c>
      <c r="K62" s="19">
        <f t="shared" si="114"/>
        <v>193.24038461538461</v>
      </c>
      <c r="L62" s="19">
        <f t="shared" si="114"/>
        <v>193.24038461538461</v>
      </c>
      <c r="M62" s="19">
        <f t="shared" si="114"/>
        <v>193.24038461538461</v>
      </c>
      <c r="N62" s="19">
        <f t="shared" si="114"/>
        <v>193.24038461538461</v>
      </c>
      <c r="O62" s="19">
        <f t="shared" si="114"/>
        <v>193.24038461538461</v>
      </c>
      <c r="P62" s="19">
        <f t="shared" si="114"/>
        <v>383.05588235294113</v>
      </c>
      <c r="Q62" s="19">
        <f t="shared" si="114"/>
        <v>383.05588235294113</v>
      </c>
      <c r="R62" s="19">
        <f t="shared" si="114"/>
        <v>893.79705882352937</v>
      </c>
      <c r="S62" s="19">
        <f t="shared" si="114"/>
        <v>893.79705882352937</v>
      </c>
      <c r="T62" s="19">
        <f t="shared" si="114"/>
        <v>893.79705882352937</v>
      </c>
    </row>
    <row r="63" spans="1:20" x14ac:dyDescent="0.25">
      <c r="A63" s="2" t="s">
        <v>91</v>
      </c>
      <c r="B63" s="2" t="s">
        <v>92</v>
      </c>
      <c r="C63" s="3">
        <v>0.85</v>
      </c>
      <c r="D63" s="3">
        <v>0.85</v>
      </c>
      <c r="E63" s="3">
        <v>0.85</v>
      </c>
      <c r="F63" s="3">
        <v>0.85</v>
      </c>
      <c r="G63" s="3">
        <v>0.85</v>
      </c>
      <c r="H63" s="3">
        <v>0.85</v>
      </c>
      <c r="I63" s="3">
        <v>0.83</v>
      </c>
      <c r="J63" s="3">
        <v>0.83</v>
      </c>
      <c r="K63" s="3">
        <v>0.83</v>
      </c>
      <c r="L63" s="3">
        <v>0.83</v>
      </c>
      <c r="M63" s="3">
        <v>0.83</v>
      </c>
      <c r="N63" s="3">
        <v>0.83</v>
      </c>
      <c r="O63" s="3">
        <v>0.83</v>
      </c>
      <c r="P63" s="3">
        <v>0.81</v>
      </c>
      <c r="Q63" s="3">
        <v>0.81</v>
      </c>
      <c r="R63" s="3">
        <v>0.81</v>
      </c>
      <c r="S63" s="3">
        <v>0.81</v>
      </c>
      <c r="T63" s="3">
        <v>0.81</v>
      </c>
    </row>
    <row r="64" spans="1:20" x14ac:dyDescent="0.25">
      <c r="A64" s="2" t="s">
        <v>93</v>
      </c>
      <c r="B64" s="2" t="s">
        <v>94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</row>
    <row r="65" spans="1:20" x14ac:dyDescent="0.25">
      <c r="A65" s="2" t="s">
        <v>95</v>
      </c>
      <c r="C65" s="4">
        <f t="shared" ref="C65:T65" si="115">+C62*C64*(1-C63)</f>
        <v>5.3621263636363645</v>
      </c>
      <c r="D65" s="4">
        <f t="shared" si="115"/>
        <v>5.3621263636363645</v>
      </c>
      <c r="E65" s="4">
        <f t="shared" si="115"/>
        <v>5.3621263636363645</v>
      </c>
      <c r="F65" s="4">
        <f t="shared" si="115"/>
        <v>5.3621263636363645</v>
      </c>
      <c r="G65" s="4">
        <f t="shared" si="115"/>
        <v>5.3621263636363645</v>
      </c>
      <c r="H65" s="4">
        <f t="shared" si="115"/>
        <v>5.3621263636363645</v>
      </c>
      <c r="I65" s="4">
        <f t="shared" si="115"/>
        <v>32.850865384615389</v>
      </c>
      <c r="J65" s="4">
        <f t="shared" si="115"/>
        <v>32.850865384615389</v>
      </c>
      <c r="K65" s="4">
        <f t="shared" si="115"/>
        <v>32.850865384615389</v>
      </c>
      <c r="L65" s="4">
        <f t="shared" si="115"/>
        <v>32.850865384615389</v>
      </c>
      <c r="M65" s="4">
        <f t="shared" si="115"/>
        <v>32.850865384615389</v>
      </c>
      <c r="N65" s="4">
        <f t="shared" si="115"/>
        <v>32.850865384615389</v>
      </c>
      <c r="O65" s="4">
        <f t="shared" si="115"/>
        <v>32.850865384615389</v>
      </c>
      <c r="P65" s="4">
        <f t="shared" si="115"/>
        <v>72.78061764705879</v>
      </c>
      <c r="Q65" s="4">
        <f t="shared" si="115"/>
        <v>72.78061764705879</v>
      </c>
      <c r="R65" s="4">
        <f t="shared" si="115"/>
        <v>169.82144117647053</v>
      </c>
      <c r="S65" s="4">
        <f t="shared" si="115"/>
        <v>169.82144117647053</v>
      </c>
      <c r="T65" s="4">
        <f t="shared" si="115"/>
        <v>169.82144117647053</v>
      </c>
    </row>
    <row r="66" spans="1:20" x14ac:dyDescent="0.25">
      <c r="A66" s="2" t="s">
        <v>96</v>
      </c>
      <c r="B66" s="2" t="s">
        <v>97</v>
      </c>
      <c r="C66" s="3">
        <v>0.25</v>
      </c>
      <c r="D66" s="3">
        <v>0.25</v>
      </c>
      <c r="E66" s="3">
        <v>0.25</v>
      </c>
      <c r="F66" s="3">
        <v>0.25</v>
      </c>
      <c r="G66" s="3">
        <v>0.25</v>
      </c>
      <c r="H66" s="3">
        <v>0.25</v>
      </c>
      <c r="I66" s="3">
        <v>0.25</v>
      </c>
      <c r="J66" s="3">
        <v>0.25</v>
      </c>
      <c r="K66" s="3">
        <v>0.25</v>
      </c>
      <c r="L66" s="3">
        <v>0.25</v>
      </c>
      <c r="M66" s="3">
        <v>0.25</v>
      </c>
      <c r="N66" s="3">
        <v>0.25</v>
      </c>
      <c r="O66" s="3">
        <v>0.25</v>
      </c>
      <c r="P66" s="3">
        <v>0.3</v>
      </c>
      <c r="Q66" s="3">
        <v>0.3</v>
      </c>
      <c r="R66" s="3">
        <v>0.3</v>
      </c>
      <c r="S66" s="3">
        <v>0.3</v>
      </c>
      <c r="T66" s="3">
        <v>0.3</v>
      </c>
    </row>
    <row r="67" spans="1:20" x14ac:dyDescent="0.25">
      <c r="A67" s="2" t="s">
        <v>98</v>
      </c>
      <c r="C67" s="19">
        <f t="shared" ref="C67:T67" si="116">+C62*(1-C63)/C66</f>
        <v>21.448505454545458</v>
      </c>
      <c r="D67" s="19">
        <f t="shared" si="116"/>
        <v>21.448505454545458</v>
      </c>
      <c r="E67" s="19">
        <f t="shared" si="116"/>
        <v>21.448505454545458</v>
      </c>
      <c r="F67" s="19">
        <f t="shared" si="116"/>
        <v>21.448505454545458</v>
      </c>
      <c r="G67" s="19">
        <f t="shared" si="116"/>
        <v>21.448505454545458</v>
      </c>
      <c r="H67" s="19">
        <f t="shared" si="116"/>
        <v>21.448505454545458</v>
      </c>
      <c r="I67" s="19">
        <f>+I62*(1-I63)/I66</f>
        <v>131.40346153846156</v>
      </c>
      <c r="J67" s="19">
        <f t="shared" si="116"/>
        <v>131.40346153846156</v>
      </c>
      <c r="K67" s="19">
        <f t="shared" si="116"/>
        <v>131.40346153846156</v>
      </c>
      <c r="L67" s="19">
        <f t="shared" si="116"/>
        <v>131.40346153846156</v>
      </c>
      <c r="M67" s="19">
        <f t="shared" si="116"/>
        <v>131.40346153846156</v>
      </c>
      <c r="N67" s="19">
        <f t="shared" si="116"/>
        <v>131.40346153846156</v>
      </c>
      <c r="O67" s="19">
        <f t="shared" si="116"/>
        <v>131.40346153846156</v>
      </c>
      <c r="P67" s="19">
        <f t="shared" si="116"/>
        <v>242.60205882352932</v>
      </c>
      <c r="Q67" s="19">
        <f t="shared" si="116"/>
        <v>242.60205882352932</v>
      </c>
      <c r="R67" s="19">
        <f t="shared" si="116"/>
        <v>566.07147058823512</v>
      </c>
      <c r="S67" s="19">
        <f t="shared" si="116"/>
        <v>566.07147058823512</v>
      </c>
      <c r="T67" s="19">
        <f t="shared" si="116"/>
        <v>566.07147058823512</v>
      </c>
    </row>
    <row r="68" spans="1:20" x14ac:dyDescent="0.25">
      <c r="A68" s="2" t="s">
        <v>99</v>
      </c>
      <c r="B68" s="2" t="s">
        <v>100</v>
      </c>
      <c r="C68" s="3">
        <v>2</v>
      </c>
      <c r="D68" s="3">
        <v>2</v>
      </c>
      <c r="E68" s="3">
        <v>2</v>
      </c>
      <c r="F68" s="3">
        <v>2</v>
      </c>
      <c r="G68" s="3">
        <v>2</v>
      </c>
      <c r="H68" s="3">
        <v>2</v>
      </c>
      <c r="I68" s="3">
        <v>2</v>
      </c>
      <c r="J68" s="3">
        <v>2</v>
      </c>
      <c r="K68" s="3">
        <v>2</v>
      </c>
      <c r="L68" s="3">
        <v>2</v>
      </c>
      <c r="M68" s="3">
        <v>2</v>
      </c>
      <c r="N68" s="3">
        <v>2</v>
      </c>
      <c r="O68" s="3">
        <v>2</v>
      </c>
      <c r="P68" s="3">
        <v>2.5</v>
      </c>
      <c r="Q68" s="3">
        <v>2.5</v>
      </c>
      <c r="R68" s="3">
        <v>2.5</v>
      </c>
      <c r="S68" s="3">
        <v>2.5</v>
      </c>
      <c r="T68" s="3">
        <v>2.5</v>
      </c>
    </row>
    <row r="69" spans="1:20" x14ac:dyDescent="0.25">
      <c r="A69" s="2" t="s">
        <v>101</v>
      </c>
      <c r="B69" s="2" t="s">
        <v>102</v>
      </c>
      <c r="C69" s="3">
        <v>0.02</v>
      </c>
      <c r="D69" s="3">
        <v>0.02</v>
      </c>
      <c r="E69" s="3">
        <v>0.02</v>
      </c>
      <c r="F69" s="3">
        <v>0.02</v>
      </c>
      <c r="G69" s="3">
        <v>0.02</v>
      </c>
      <c r="H69" s="3">
        <v>0.02</v>
      </c>
      <c r="I69" s="3">
        <v>0.02</v>
      </c>
      <c r="J69" s="3">
        <v>0.02</v>
      </c>
      <c r="K69" s="3">
        <v>0.02</v>
      </c>
      <c r="L69" s="3">
        <v>0.02</v>
      </c>
      <c r="M69" s="3">
        <v>0.02</v>
      </c>
      <c r="N69" s="3">
        <v>0.02</v>
      </c>
      <c r="O69" s="3">
        <v>0.02</v>
      </c>
      <c r="P69" s="3">
        <v>0.02</v>
      </c>
      <c r="Q69" s="3">
        <v>0.02</v>
      </c>
      <c r="R69" s="3">
        <v>0.02</v>
      </c>
      <c r="S69" s="3">
        <v>0.02</v>
      </c>
      <c r="T69" s="3">
        <v>0.02</v>
      </c>
    </row>
    <row r="70" spans="1:20" x14ac:dyDescent="0.25">
      <c r="A70" s="2" t="s">
        <v>103</v>
      </c>
      <c r="B70" s="2" t="s">
        <v>104</v>
      </c>
      <c r="C70" s="19">
        <f t="shared" ref="C70:T70" si="117">+C62*C68</f>
        <v>71.495018181818182</v>
      </c>
      <c r="D70" s="19">
        <f t="shared" si="117"/>
        <v>71.495018181818182</v>
      </c>
      <c r="E70" s="19">
        <f t="shared" si="117"/>
        <v>71.495018181818182</v>
      </c>
      <c r="F70" s="19">
        <f t="shared" si="117"/>
        <v>71.495018181818182</v>
      </c>
      <c r="G70" s="19">
        <f t="shared" si="117"/>
        <v>71.495018181818182</v>
      </c>
      <c r="H70" s="19">
        <f t="shared" si="117"/>
        <v>71.495018181818182</v>
      </c>
      <c r="I70" s="19">
        <f t="shared" si="117"/>
        <v>386.48076923076923</v>
      </c>
      <c r="J70" s="19">
        <f t="shared" si="117"/>
        <v>386.48076923076923</v>
      </c>
      <c r="K70" s="19">
        <f t="shared" si="117"/>
        <v>386.48076923076923</v>
      </c>
      <c r="L70" s="19">
        <f t="shared" si="117"/>
        <v>386.48076923076923</v>
      </c>
      <c r="M70" s="19">
        <f t="shared" si="117"/>
        <v>386.48076923076923</v>
      </c>
      <c r="N70" s="19">
        <f t="shared" si="117"/>
        <v>386.48076923076923</v>
      </c>
      <c r="O70" s="19">
        <f t="shared" si="117"/>
        <v>386.48076923076923</v>
      </c>
      <c r="P70" s="19">
        <f t="shared" si="117"/>
        <v>957.63970588235281</v>
      </c>
      <c r="Q70" s="19">
        <f t="shared" si="117"/>
        <v>957.63970588235281</v>
      </c>
      <c r="R70" s="19">
        <f t="shared" si="117"/>
        <v>2234.4926470588234</v>
      </c>
      <c r="S70" s="19">
        <f t="shared" si="117"/>
        <v>2234.4926470588234</v>
      </c>
      <c r="T70" s="19">
        <f t="shared" si="117"/>
        <v>2234.4926470588234</v>
      </c>
    </row>
    <row r="71" spans="1:20" x14ac:dyDescent="0.25">
      <c r="A71" s="2" t="s">
        <v>105</v>
      </c>
      <c r="B71" s="2" t="s">
        <v>106</v>
      </c>
      <c r="C71" s="19">
        <f t="shared" ref="C71:T71" si="118">+C70+C67</f>
        <v>92.943523636363636</v>
      </c>
      <c r="D71" s="19">
        <f t="shared" si="118"/>
        <v>92.943523636363636</v>
      </c>
      <c r="E71" s="19">
        <f t="shared" si="118"/>
        <v>92.943523636363636</v>
      </c>
      <c r="F71" s="19">
        <f t="shared" si="118"/>
        <v>92.943523636363636</v>
      </c>
      <c r="G71" s="19">
        <f t="shared" si="118"/>
        <v>92.943523636363636</v>
      </c>
      <c r="H71" s="19">
        <f t="shared" si="118"/>
        <v>92.943523636363636</v>
      </c>
      <c r="I71" s="19">
        <f t="shared" si="118"/>
        <v>517.88423076923073</v>
      </c>
      <c r="J71" s="19">
        <f>+J70+J67</f>
        <v>517.88423076923073</v>
      </c>
      <c r="K71" s="19">
        <f t="shared" si="118"/>
        <v>517.88423076923073</v>
      </c>
      <c r="L71" s="19">
        <f t="shared" si="118"/>
        <v>517.88423076923073</v>
      </c>
      <c r="M71" s="19">
        <f t="shared" si="118"/>
        <v>517.88423076923073</v>
      </c>
      <c r="N71" s="19">
        <f t="shared" si="118"/>
        <v>517.88423076923073</v>
      </c>
      <c r="O71" s="19">
        <f t="shared" si="118"/>
        <v>517.88423076923073</v>
      </c>
      <c r="P71" s="19">
        <f t="shared" si="118"/>
        <v>1200.2417647058821</v>
      </c>
      <c r="Q71" s="19">
        <f t="shared" si="118"/>
        <v>1200.2417647058821</v>
      </c>
      <c r="R71" s="19">
        <f t="shared" si="118"/>
        <v>2800.5641176470585</v>
      </c>
      <c r="S71" s="19">
        <f t="shared" si="118"/>
        <v>2800.5641176470585</v>
      </c>
      <c r="T71" s="19">
        <f t="shared" si="118"/>
        <v>2800.5641176470585</v>
      </c>
    </row>
    <row r="72" spans="1:20" x14ac:dyDescent="0.25">
      <c r="A72" s="2" t="s">
        <v>107</v>
      </c>
      <c r="B72" s="2" t="s">
        <v>108</v>
      </c>
      <c r="C72" s="3">
        <v>15</v>
      </c>
      <c r="D72" s="3">
        <v>15</v>
      </c>
      <c r="E72" s="3">
        <v>15</v>
      </c>
      <c r="F72" s="3">
        <v>15</v>
      </c>
      <c r="G72" s="3">
        <v>15</v>
      </c>
      <c r="H72" s="3">
        <v>15</v>
      </c>
      <c r="I72" s="3">
        <v>75</v>
      </c>
      <c r="J72" s="3">
        <v>75</v>
      </c>
      <c r="K72" s="3">
        <v>75</v>
      </c>
      <c r="L72" s="3">
        <v>75</v>
      </c>
      <c r="M72" s="3">
        <v>75</v>
      </c>
      <c r="N72" s="3">
        <v>75</v>
      </c>
      <c r="O72" s="3">
        <v>75</v>
      </c>
      <c r="P72" s="3">
        <v>340</v>
      </c>
      <c r="Q72" s="3">
        <v>340</v>
      </c>
      <c r="R72" s="3">
        <v>0</v>
      </c>
      <c r="S72" s="3">
        <v>0</v>
      </c>
      <c r="T72" s="3">
        <v>0</v>
      </c>
    </row>
    <row r="73" spans="1:20" x14ac:dyDescent="0.25">
      <c r="A73" s="2" t="s">
        <v>109</v>
      </c>
      <c r="B73" s="2" t="s">
        <v>110</v>
      </c>
      <c r="C73" s="3">
        <v>0</v>
      </c>
      <c r="D73" s="3">
        <v>0</v>
      </c>
      <c r="E73" s="3">
        <v>1</v>
      </c>
      <c r="F73" s="3">
        <v>1</v>
      </c>
      <c r="G73" s="3">
        <v>1</v>
      </c>
      <c r="H73" s="3">
        <v>1</v>
      </c>
      <c r="I73" s="3">
        <v>3</v>
      </c>
      <c r="J73" s="3">
        <v>3</v>
      </c>
      <c r="K73" s="3">
        <v>3</v>
      </c>
      <c r="L73" s="3">
        <v>3</v>
      </c>
      <c r="M73" s="3">
        <v>3</v>
      </c>
      <c r="N73" s="3">
        <v>3</v>
      </c>
      <c r="O73" s="3">
        <v>3</v>
      </c>
      <c r="P73" s="3">
        <v>0</v>
      </c>
      <c r="Q73" s="3">
        <v>0</v>
      </c>
      <c r="R73" s="3">
        <v>50</v>
      </c>
      <c r="S73" s="3">
        <v>50</v>
      </c>
      <c r="T73" s="3">
        <v>50</v>
      </c>
    </row>
    <row r="74" spans="1:20" x14ac:dyDescent="0.25">
      <c r="A74" s="2" t="s">
        <v>111</v>
      </c>
      <c r="C74" s="3">
        <v>0.85</v>
      </c>
      <c r="D74" s="3">
        <f t="shared" ref="D74:T74" si="119">$C$74</f>
        <v>0.85</v>
      </c>
      <c r="E74" s="3">
        <f t="shared" si="119"/>
        <v>0.85</v>
      </c>
      <c r="F74" s="3">
        <f t="shared" si="119"/>
        <v>0.85</v>
      </c>
      <c r="G74" s="3">
        <f t="shared" si="119"/>
        <v>0.85</v>
      </c>
      <c r="H74" s="3">
        <f t="shared" si="119"/>
        <v>0.85</v>
      </c>
      <c r="I74" s="3">
        <f t="shared" si="119"/>
        <v>0.85</v>
      </c>
      <c r="J74" s="3">
        <f t="shared" si="119"/>
        <v>0.85</v>
      </c>
      <c r="K74" s="3">
        <f t="shared" si="119"/>
        <v>0.85</v>
      </c>
      <c r="L74" s="3">
        <f t="shared" si="119"/>
        <v>0.85</v>
      </c>
      <c r="M74" s="3">
        <f t="shared" si="119"/>
        <v>0.85</v>
      </c>
      <c r="N74" s="3">
        <f t="shared" si="119"/>
        <v>0.85</v>
      </c>
      <c r="O74" s="3">
        <f t="shared" si="119"/>
        <v>0.85</v>
      </c>
      <c r="P74" s="3">
        <f t="shared" si="119"/>
        <v>0.85</v>
      </c>
      <c r="Q74" s="3">
        <f t="shared" si="119"/>
        <v>0.85</v>
      </c>
      <c r="R74" s="3">
        <f t="shared" si="119"/>
        <v>0.85</v>
      </c>
      <c r="S74" s="3">
        <f t="shared" si="119"/>
        <v>0.85</v>
      </c>
      <c r="T74" s="3">
        <f t="shared" si="119"/>
        <v>0.85</v>
      </c>
    </row>
    <row r="75" spans="1:20" x14ac:dyDescent="0.25">
      <c r="A75" s="2" t="s">
        <v>112</v>
      </c>
      <c r="C75" s="3">
        <f>C73*C74</f>
        <v>0</v>
      </c>
      <c r="D75" s="3">
        <f t="shared" ref="D75:T75" si="120">D73*D74</f>
        <v>0</v>
      </c>
      <c r="E75" s="3">
        <f t="shared" si="120"/>
        <v>0.85</v>
      </c>
      <c r="F75" s="3">
        <f t="shared" si="120"/>
        <v>0.85</v>
      </c>
      <c r="G75" s="3">
        <f t="shared" si="120"/>
        <v>0.85</v>
      </c>
      <c r="H75" s="3">
        <f t="shared" si="120"/>
        <v>0.85</v>
      </c>
      <c r="I75" s="3">
        <f t="shared" si="120"/>
        <v>2.5499999999999998</v>
      </c>
      <c r="J75" s="3">
        <f t="shared" si="120"/>
        <v>2.5499999999999998</v>
      </c>
      <c r="K75" s="3">
        <f t="shared" si="120"/>
        <v>2.5499999999999998</v>
      </c>
      <c r="L75" s="3">
        <f t="shared" si="120"/>
        <v>2.5499999999999998</v>
      </c>
      <c r="M75" s="3">
        <f t="shared" si="120"/>
        <v>2.5499999999999998</v>
      </c>
      <c r="N75" s="3">
        <f t="shared" si="120"/>
        <v>2.5499999999999998</v>
      </c>
      <c r="O75" s="3">
        <f t="shared" si="120"/>
        <v>2.5499999999999998</v>
      </c>
      <c r="P75" s="3">
        <f t="shared" si="120"/>
        <v>0</v>
      </c>
      <c r="Q75" s="3">
        <f t="shared" si="120"/>
        <v>0</v>
      </c>
      <c r="R75" s="3">
        <f t="shared" si="120"/>
        <v>42.5</v>
      </c>
      <c r="S75" s="3">
        <f t="shared" si="120"/>
        <v>42.5</v>
      </c>
      <c r="T75" s="3">
        <f t="shared" si="120"/>
        <v>42.5</v>
      </c>
    </row>
    <row r="76" spans="1:20" x14ac:dyDescent="0.25">
      <c r="A76" s="2" t="s">
        <v>113</v>
      </c>
      <c r="B76" s="2" t="s">
        <v>114</v>
      </c>
      <c r="C76" s="19">
        <f>+C71+C72+C73</f>
        <v>107.94352363636364</v>
      </c>
      <c r="D76" s="19">
        <f t="shared" ref="D76:T76" si="121">+D71+D72+D73</f>
        <v>107.94352363636364</v>
      </c>
      <c r="E76" s="19">
        <f t="shared" si="121"/>
        <v>108.94352363636364</v>
      </c>
      <c r="F76" s="19">
        <f t="shared" si="121"/>
        <v>108.94352363636364</v>
      </c>
      <c r="G76" s="19">
        <f t="shared" si="121"/>
        <v>108.94352363636364</v>
      </c>
      <c r="H76" s="19">
        <f t="shared" si="121"/>
        <v>108.94352363636364</v>
      </c>
      <c r="I76" s="19">
        <f>+I71+I72+I73</f>
        <v>595.88423076923073</v>
      </c>
      <c r="J76" s="19">
        <f>+J71+J72+J73</f>
        <v>595.88423076923073</v>
      </c>
      <c r="K76" s="19">
        <f t="shared" si="121"/>
        <v>595.88423076923073</v>
      </c>
      <c r="L76" s="19">
        <f t="shared" si="121"/>
        <v>595.88423076923073</v>
      </c>
      <c r="M76" s="19">
        <f t="shared" si="121"/>
        <v>595.88423076923073</v>
      </c>
      <c r="N76" s="19">
        <f t="shared" si="121"/>
        <v>595.88423076923073</v>
      </c>
      <c r="O76" s="19">
        <f t="shared" si="121"/>
        <v>595.88423076923073</v>
      </c>
      <c r="P76" s="19">
        <f t="shared" si="121"/>
        <v>1540.2417647058821</v>
      </c>
      <c r="Q76" s="19">
        <f t="shared" si="121"/>
        <v>1540.2417647058821</v>
      </c>
      <c r="R76" s="19">
        <f t="shared" si="121"/>
        <v>2850.5641176470585</v>
      </c>
      <c r="S76" s="19">
        <f t="shared" si="121"/>
        <v>2850.5641176470585</v>
      </c>
      <c r="T76" s="19">
        <f t="shared" si="121"/>
        <v>2850.5641176470585</v>
      </c>
    </row>
    <row r="77" spans="1:20" x14ac:dyDescent="0.25">
      <c r="A77" s="2" t="s">
        <v>115</v>
      </c>
      <c r="C77" s="4">
        <f>C76/C71</f>
        <v>1.1613883293115361</v>
      </c>
      <c r="D77" s="4">
        <f t="shared" ref="D77:T77" si="122">D76/D71</f>
        <v>1.1613883293115361</v>
      </c>
      <c r="E77" s="4">
        <f t="shared" si="122"/>
        <v>1.1721475512656385</v>
      </c>
      <c r="F77" s="4">
        <f t="shared" si="122"/>
        <v>1.1721475512656385</v>
      </c>
      <c r="G77" s="4">
        <f t="shared" si="122"/>
        <v>1.1721475512656385</v>
      </c>
      <c r="H77" s="4">
        <f t="shared" si="122"/>
        <v>1.1721475512656385</v>
      </c>
      <c r="I77" s="4">
        <f t="shared" si="122"/>
        <v>1.1506128114465737</v>
      </c>
      <c r="J77" s="4">
        <f t="shared" si="122"/>
        <v>1.1506128114465737</v>
      </c>
      <c r="K77" s="4">
        <f t="shared" si="122"/>
        <v>1.1506128114465737</v>
      </c>
      <c r="L77" s="4">
        <f t="shared" si="122"/>
        <v>1.1506128114465737</v>
      </c>
      <c r="M77" s="4">
        <f t="shared" si="122"/>
        <v>1.1506128114465737</v>
      </c>
      <c r="N77" s="4">
        <f t="shared" si="122"/>
        <v>1.1506128114465737</v>
      </c>
      <c r="O77" s="4">
        <f t="shared" si="122"/>
        <v>1.1506128114465737</v>
      </c>
      <c r="P77" s="4">
        <f t="shared" si="122"/>
        <v>1.2832762614982962</v>
      </c>
      <c r="Q77" s="4">
        <f t="shared" si="122"/>
        <v>1.2832762614982962</v>
      </c>
      <c r="R77" s="4">
        <f t="shared" si="122"/>
        <v>1.0178535458927498</v>
      </c>
      <c r="S77" s="4">
        <f t="shared" si="122"/>
        <v>1.0178535458927498</v>
      </c>
      <c r="T77" s="4">
        <f t="shared" si="122"/>
        <v>1.0178535458927498</v>
      </c>
    </row>
    <row r="78" spans="1:20" x14ac:dyDescent="0.25">
      <c r="A78" s="2" t="s">
        <v>116</v>
      </c>
      <c r="C78" s="4">
        <f>+C75/C76*1000</f>
        <v>0</v>
      </c>
      <c r="D78" s="4">
        <f t="shared" ref="D78:T78" si="123">+D75/D76*1000</f>
        <v>0</v>
      </c>
      <c r="E78" s="4">
        <f t="shared" si="123"/>
        <v>7.8022077093555966</v>
      </c>
      <c r="F78" s="4">
        <f t="shared" si="123"/>
        <v>7.8022077093555966</v>
      </c>
      <c r="G78" s="4">
        <f t="shared" si="123"/>
        <v>7.8022077093555966</v>
      </c>
      <c r="H78" s="4">
        <f t="shared" si="123"/>
        <v>7.8022077093555966</v>
      </c>
      <c r="I78" s="4">
        <f t="shared" si="123"/>
        <v>4.279354727525158</v>
      </c>
      <c r="J78" s="4">
        <f t="shared" si="123"/>
        <v>4.279354727525158</v>
      </c>
      <c r="K78" s="4">
        <f t="shared" si="123"/>
        <v>4.279354727525158</v>
      </c>
      <c r="L78" s="4">
        <f t="shared" si="123"/>
        <v>4.279354727525158</v>
      </c>
      <c r="M78" s="4">
        <f t="shared" si="123"/>
        <v>4.279354727525158</v>
      </c>
      <c r="N78" s="4">
        <f t="shared" si="123"/>
        <v>4.279354727525158</v>
      </c>
      <c r="O78" s="4">
        <f t="shared" si="123"/>
        <v>4.279354727525158</v>
      </c>
      <c r="P78" s="4">
        <f t="shared" si="123"/>
        <v>0</v>
      </c>
      <c r="Q78" s="4">
        <f t="shared" si="123"/>
        <v>0</v>
      </c>
      <c r="R78" s="4">
        <f t="shared" si="123"/>
        <v>14.90932960844283</v>
      </c>
      <c r="S78" s="4">
        <f t="shared" si="123"/>
        <v>14.90932960844283</v>
      </c>
      <c r="T78" s="4">
        <f t="shared" si="123"/>
        <v>14.90932960844283</v>
      </c>
    </row>
    <row r="79" spans="1:20" x14ac:dyDescent="0.25">
      <c r="A79" s="2" t="s">
        <v>117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</row>
    <row r="80" spans="1:20" x14ac:dyDescent="0.25">
      <c r="A80" s="2" t="s">
        <v>118</v>
      </c>
      <c r="C80" s="4">
        <f t="shared" ref="C80:T80" si="124">+C76/C79/C55/C56/10</f>
        <v>0.66631804713804721</v>
      </c>
      <c r="D80" s="4">
        <f t="shared" si="124"/>
        <v>0.66631804713804721</v>
      </c>
      <c r="E80" s="4">
        <f t="shared" si="124"/>
        <v>0.89665451552562681</v>
      </c>
      <c r="F80" s="4">
        <f t="shared" si="124"/>
        <v>0.89665451552562681</v>
      </c>
      <c r="G80" s="4">
        <f t="shared" si="124"/>
        <v>1.3449817732884399</v>
      </c>
      <c r="H80" s="4">
        <f t="shared" si="124"/>
        <v>1.3449817732884399</v>
      </c>
      <c r="I80" s="4">
        <f t="shared" si="124"/>
        <v>1.091363060016906</v>
      </c>
      <c r="J80" s="4">
        <f t="shared" si="124"/>
        <v>1.091363060016906</v>
      </c>
      <c r="K80" s="4">
        <f t="shared" si="124"/>
        <v>1.091363060016906</v>
      </c>
      <c r="L80" s="4">
        <f t="shared" si="124"/>
        <v>1.455150746689208</v>
      </c>
      <c r="M80" s="4">
        <f t="shared" si="124"/>
        <v>1.455150746689208</v>
      </c>
      <c r="N80" s="4">
        <f t="shared" si="124"/>
        <v>2.1827261200338119</v>
      </c>
      <c r="O80" s="4">
        <f t="shared" si="124"/>
        <v>2.1827261200338119</v>
      </c>
      <c r="P80" s="4">
        <f t="shared" si="124"/>
        <v>0.33923489533953011</v>
      </c>
      <c r="Q80" s="4">
        <f t="shared" si="124"/>
        <v>0.67846979067906021</v>
      </c>
      <c r="R80" s="4">
        <f t="shared" si="124"/>
        <v>1.0735314332375097</v>
      </c>
      <c r="S80" s="4">
        <f t="shared" si="124"/>
        <v>1.0735314332375097</v>
      </c>
      <c r="T80" s="4">
        <f t="shared" si="124"/>
        <v>1.0735314332375097</v>
      </c>
    </row>
    <row r="83" spans="1:20" x14ac:dyDescent="0.25">
      <c r="A83" s="2" t="s">
        <v>119</v>
      </c>
      <c r="C83" s="3">
        <v>0.7</v>
      </c>
      <c r="D83" s="3">
        <v>0.7</v>
      </c>
      <c r="E83" s="3">
        <v>0.7</v>
      </c>
      <c r="F83" s="3">
        <v>0.7</v>
      </c>
      <c r="G83" s="3">
        <v>0.7</v>
      </c>
      <c r="H83" s="3">
        <v>0.7</v>
      </c>
      <c r="I83" s="3">
        <v>0.7</v>
      </c>
      <c r="J83" s="3">
        <v>0.7</v>
      </c>
      <c r="K83" s="3">
        <v>0.7</v>
      </c>
      <c r="L83" s="3">
        <v>0.7</v>
      </c>
      <c r="M83" s="3">
        <v>0.7</v>
      </c>
      <c r="N83" s="3">
        <v>0.7</v>
      </c>
      <c r="O83" s="3">
        <v>0.7</v>
      </c>
      <c r="P83" s="3">
        <v>0.7</v>
      </c>
      <c r="Q83" s="3">
        <v>0.7</v>
      </c>
      <c r="R83" s="3">
        <v>0.7</v>
      </c>
      <c r="S83" s="3">
        <v>0.7</v>
      </c>
      <c r="T83" s="3">
        <v>0.7</v>
      </c>
    </row>
    <row r="84" spans="1:20" x14ac:dyDescent="0.25">
      <c r="A84" s="2" t="s">
        <v>120</v>
      </c>
      <c r="C84" s="9">
        <f t="shared" ref="C84:T84" si="125">+EXP(C39-C42/(C43*C38))*24/1000</f>
        <v>2.9104600986036597E-3</v>
      </c>
      <c r="D84" s="9">
        <f t="shared" si="125"/>
        <v>2.9104600986036597E-3</v>
      </c>
      <c r="E84" s="9">
        <f t="shared" si="125"/>
        <v>2.9104600986036597E-3</v>
      </c>
      <c r="F84" s="9">
        <f t="shared" si="125"/>
        <v>2.9104600986036597E-3</v>
      </c>
      <c r="G84" s="9">
        <f t="shared" si="125"/>
        <v>2.9104600986036597E-3</v>
      </c>
      <c r="H84" s="9">
        <f t="shared" si="125"/>
        <v>2.9104600986036597E-3</v>
      </c>
      <c r="I84" s="9">
        <f t="shared" si="125"/>
        <v>2.9104600986036597E-3</v>
      </c>
      <c r="J84" s="9">
        <f t="shared" si="125"/>
        <v>2.9104600986036597E-3</v>
      </c>
      <c r="K84" s="9">
        <f t="shared" si="125"/>
        <v>2.9104600986036597E-3</v>
      </c>
      <c r="L84" s="9">
        <f t="shared" si="125"/>
        <v>2.9104600986036597E-3</v>
      </c>
      <c r="M84" s="9">
        <f t="shared" si="125"/>
        <v>2.9104600986036597E-3</v>
      </c>
      <c r="N84" s="9">
        <f t="shared" si="125"/>
        <v>2.9104600986036597E-3</v>
      </c>
      <c r="O84" s="9">
        <f t="shared" si="125"/>
        <v>2.9104600986036597E-3</v>
      </c>
      <c r="P84" s="9">
        <f t="shared" si="125"/>
        <v>2.9104600986036597E-3</v>
      </c>
      <c r="Q84" s="9">
        <f t="shared" si="125"/>
        <v>2.9104600986036597E-3</v>
      </c>
      <c r="R84" s="9">
        <f t="shared" si="125"/>
        <v>2.9104600986036597E-3</v>
      </c>
      <c r="S84" s="9">
        <f t="shared" si="125"/>
        <v>2.9104600986036597E-3</v>
      </c>
      <c r="T84" s="9">
        <f t="shared" si="125"/>
        <v>2.9104600986036597E-3</v>
      </c>
    </row>
    <row r="85" spans="1:20" x14ac:dyDescent="0.25">
      <c r="A85" s="2" t="s">
        <v>121</v>
      </c>
      <c r="C85" s="9">
        <f t="shared" ref="C85:T85" si="126">+C84*C47</f>
        <v>1.9403067324024397E-2</v>
      </c>
      <c r="D85" s="9">
        <f t="shared" si="126"/>
        <v>1.9403067324024397E-2</v>
      </c>
      <c r="E85" s="9">
        <f t="shared" si="126"/>
        <v>1.9403067324024397E-2</v>
      </c>
      <c r="F85" s="9">
        <f t="shared" si="126"/>
        <v>1.9403067324024397E-2</v>
      </c>
      <c r="G85" s="9">
        <f t="shared" si="126"/>
        <v>1.9403067324024397E-2</v>
      </c>
      <c r="H85" s="9">
        <f t="shared" si="126"/>
        <v>1.9403067324024397E-2</v>
      </c>
      <c r="I85" s="9">
        <f t="shared" si="126"/>
        <v>1.9403067324024397E-2</v>
      </c>
      <c r="J85" s="9">
        <f t="shared" si="126"/>
        <v>1.9403067324024397E-2</v>
      </c>
      <c r="K85" s="9">
        <f t="shared" si="126"/>
        <v>1.9403067324024397E-2</v>
      </c>
      <c r="L85" s="9">
        <f t="shared" si="126"/>
        <v>1.9403067324024397E-2</v>
      </c>
      <c r="M85" s="9">
        <f t="shared" si="126"/>
        <v>1.9403067324024397E-2</v>
      </c>
      <c r="N85" s="9">
        <f t="shared" si="126"/>
        <v>1.9403067324024397E-2</v>
      </c>
      <c r="O85" s="9">
        <f t="shared" si="126"/>
        <v>1.9403067324024397E-2</v>
      </c>
      <c r="P85" s="9">
        <f t="shared" si="126"/>
        <v>1.9403067324024397E-2</v>
      </c>
      <c r="Q85" s="9">
        <f t="shared" si="126"/>
        <v>1.9403067324024397E-2</v>
      </c>
      <c r="R85" s="9">
        <f t="shared" si="126"/>
        <v>1.9403067324024397E-2</v>
      </c>
      <c r="S85" s="9">
        <f t="shared" si="126"/>
        <v>1.9403067324024397E-2</v>
      </c>
      <c r="T85" s="9">
        <f t="shared" si="126"/>
        <v>1.9403067324024397E-2</v>
      </c>
    </row>
    <row r="87" spans="1:20" x14ac:dyDescent="0.25">
      <c r="A87" s="2" t="s">
        <v>122</v>
      </c>
      <c r="C87" s="4">
        <f t="shared" ref="C87:T87" si="127">+C83*C65</f>
        <v>3.753488454545455</v>
      </c>
      <c r="D87" s="4">
        <f t="shared" si="127"/>
        <v>3.753488454545455</v>
      </c>
      <c r="E87" s="4">
        <f t="shared" si="127"/>
        <v>3.753488454545455</v>
      </c>
      <c r="F87" s="4">
        <f t="shared" si="127"/>
        <v>3.753488454545455</v>
      </c>
      <c r="G87" s="4">
        <f t="shared" si="127"/>
        <v>3.753488454545455</v>
      </c>
      <c r="H87" s="4">
        <f t="shared" si="127"/>
        <v>3.753488454545455</v>
      </c>
      <c r="I87" s="4">
        <f>+I83*I65</f>
        <v>22.995605769230771</v>
      </c>
      <c r="J87" s="4">
        <f t="shared" si="127"/>
        <v>22.995605769230771</v>
      </c>
      <c r="K87" s="4">
        <f t="shared" si="127"/>
        <v>22.995605769230771</v>
      </c>
      <c r="L87" s="4">
        <f t="shared" si="127"/>
        <v>22.995605769230771</v>
      </c>
      <c r="M87" s="4">
        <f t="shared" si="127"/>
        <v>22.995605769230771</v>
      </c>
      <c r="N87" s="4">
        <f t="shared" si="127"/>
        <v>22.995605769230771</v>
      </c>
      <c r="O87" s="4">
        <f t="shared" si="127"/>
        <v>22.995605769230771</v>
      </c>
      <c r="P87" s="4">
        <f t="shared" si="127"/>
        <v>50.946432352941152</v>
      </c>
      <c r="Q87" s="4">
        <f t="shared" si="127"/>
        <v>50.946432352941152</v>
      </c>
      <c r="R87" s="4">
        <f t="shared" si="127"/>
        <v>118.87500882352936</v>
      </c>
      <c r="S87" s="4">
        <f t="shared" si="127"/>
        <v>118.87500882352936</v>
      </c>
      <c r="T87" s="4">
        <f t="shared" si="127"/>
        <v>118.87500882352936</v>
      </c>
    </row>
    <row r="88" spans="1:20" x14ac:dyDescent="0.25">
      <c r="A88" s="2" t="s">
        <v>123</v>
      </c>
      <c r="C88" s="4">
        <f t="shared" ref="C88:T88" si="128">+C65*(1-C83)</f>
        <v>1.6086379090909095</v>
      </c>
      <c r="D88" s="4">
        <f t="shared" si="128"/>
        <v>1.6086379090909095</v>
      </c>
      <c r="E88" s="4">
        <f t="shared" si="128"/>
        <v>1.6086379090909095</v>
      </c>
      <c r="F88" s="4">
        <f t="shared" si="128"/>
        <v>1.6086379090909095</v>
      </c>
      <c r="G88" s="4">
        <f t="shared" si="128"/>
        <v>1.6086379090909095</v>
      </c>
      <c r="H88" s="4">
        <f t="shared" si="128"/>
        <v>1.6086379090909095</v>
      </c>
      <c r="I88" s="4">
        <f t="shared" si="128"/>
        <v>9.8552596153846181</v>
      </c>
      <c r="J88" s="4">
        <f t="shared" si="128"/>
        <v>9.8552596153846181</v>
      </c>
      <c r="K88" s="4">
        <f t="shared" si="128"/>
        <v>9.8552596153846181</v>
      </c>
      <c r="L88" s="4">
        <f t="shared" si="128"/>
        <v>9.8552596153846181</v>
      </c>
      <c r="M88" s="4">
        <f t="shared" si="128"/>
        <v>9.8552596153846181</v>
      </c>
      <c r="N88" s="4">
        <f t="shared" si="128"/>
        <v>9.8552596153846181</v>
      </c>
      <c r="O88" s="4">
        <f t="shared" si="128"/>
        <v>9.8552596153846181</v>
      </c>
      <c r="P88" s="4">
        <f t="shared" si="128"/>
        <v>21.834185294117642</v>
      </c>
      <c r="Q88" s="4">
        <f t="shared" si="128"/>
        <v>21.834185294117642</v>
      </c>
      <c r="R88" s="4">
        <f t="shared" si="128"/>
        <v>50.946432352941166</v>
      </c>
      <c r="S88" s="4">
        <f t="shared" si="128"/>
        <v>50.946432352941166</v>
      </c>
      <c r="T88" s="4">
        <f t="shared" si="128"/>
        <v>50.946432352941166</v>
      </c>
    </row>
    <row r="90" spans="1:20" x14ac:dyDescent="0.25">
      <c r="A90" s="2" t="s">
        <v>124</v>
      </c>
      <c r="C90" s="4">
        <f>+(1-C85)^C13</f>
        <v>0.57208436998974233</v>
      </c>
      <c r="D90" s="4">
        <f t="shared" ref="D90:T90" si="129">+(1-D85)^D13</f>
        <v>0.85487813355044773</v>
      </c>
      <c r="E90" s="4">
        <f t="shared" si="129"/>
        <v>0.65820142419239636</v>
      </c>
      <c r="F90" s="4">
        <f t="shared" si="129"/>
        <v>0.87447243933115804</v>
      </c>
      <c r="G90" s="4">
        <f t="shared" si="129"/>
        <v>0.75666888978455193</v>
      </c>
      <c r="H90" s="4">
        <f t="shared" si="129"/>
        <v>0.89379180787044665</v>
      </c>
      <c r="I90" s="4">
        <f t="shared" si="129"/>
        <v>0.71321650345685139</v>
      </c>
      <c r="J90" s="4">
        <f t="shared" si="129"/>
        <v>0.8847601411139332</v>
      </c>
      <c r="K90" s="4">
        <f t="shared" si="129"/>
        <v>0.9726311239875991</v>
      </c>
      <c r="L90" s="4">
        <f t="shared" si="129"/>
        <v>0.77419855122547443</v>
      </c>
      <c r="M90" s="4">
        <f t="shared" si="129"/>
        <v>0.89675411047890685</v>
      </c>
      <c r="N90" s="4">
        <f t="shared" si="129"/>
        <v>0.84039473822395283</v>
      </c>
      <c r="O90" s="4">
        <f t="shared" si="129"/>
        <v>0.90891067227367384</v>
      </c>
      <c r="P90" s="4">
        <f t="shared" si="129"/>
        <v>0.56273376797427321</v>
      </c>
      <c r="Q90" s="4">
        <f t="shared" si="129"/>
        <v>0.61366227426322806</v>
      </c>
      <c r="R90" s="4">
        <f t="shared" si="129"/>
        <v>0.7056317499800383</v>
      </c>
      <c r="S90" s="4">
        <f t="shared" si="129"/>
        <v>0.8839689567797232</v>
      </c>
      <c r="T90" s="4">
        <f t="shared" si="129"/>
        <v>0.9723411169498587</v>
      </c>
    </row>
    <row r="91" spans="1:20" x14ac:dyDescent="0.25">
      <c r="A91" s="2" t="s">
        <v>125</v>
      </c>
      <c r="C91" s="4">
        <f>1-C90</f>
        <v>0.42791563001025767</v>
      </c>
      <c r="D91" s="4">
        <f t="shared" ref="D91:E91" si="130">1-D90</f>
        <v>0.14512186644955227</v>
      </c>
      <c r="E91" s="4">
        <f t="shared" si="130"/>
        <v>0.34179857580760364</v>
      </c>
      <c r="F91" s="4">
        <f t="shared" ref="F91:G91" si="131">1-F90</f>
        <v>0.12552756066884196</v>
      </c>
      <c r="G91" s="4">
        <f t="shared" si="131"/>
        <v>0.24333111021544807</v>
      </c>
      <c r="H91" s="4">
        <f t="shared" ref="H91:K91" si="132">1-H90</f>
        <v>0.10620819212955335</v>
      </c>
      <c r="I91" s="4">
        <f t="shared" si="132"/>
        <v>0.28678349654314861</v>
      </c>
      <c r="J91" s="4">
        <f t="shared" si="132"/>
        <v>0.1152398588860668</v>
      </c>
      <c r="K91" s="4">
        <f t="shared" si="132"/>
        <v>2.73688760124009E-2</v>
      </c>
      <c r="L91" s="4">
        <f t="shared" ref="L91" si="133">1-L90</f>
        <v>0.22580144877452557</v>
      </c>
      <c r="M91" s="4">
        <f>1-M90</f>
        <v>0.10324588952109315</v>
      </c>
      <c r="N91" s="4">
        <f t="shared" ref="N91:O91" si="134">1-N90</f>
        <v>0.15960526177604717</v>
      </c>
      <c r="O91" s="4">
        <f t="shared" si="134"/>
        <v>9.1089327726326164E-2</v>
      </c>
      <c r="P91" s="4">
        <f t="shared" ref="P91:Q91" si="135">1-P90</f>
        <v>0.43726623202572679</v>
      </c>
      <c r="Q91" s="4">
        <f t="shared" si="135"/>
        <v>0.38633772573677194</v>
      </c>
      <c r="R91" s="4">
        <f t="shared" ref="R91:S91" si="136">1-R90</f>
        <v>0.2943682500199617</v>
      </c>
      <c r="S91" s="4">
        <f t="shared" si="136"/>
        <v>0.1160310432202768</v>
      </c>
      <c r="T91" s="4">
        <f t="shared" ref="T91" si="137">1-T90</f>
        <v>2.7658883050141303E-2</v>
      </c>
    </row>
    <row r="92" spans="1:20" x14ac:dyDescent="0.25">
      <c r="A92" s="2" t="s">
        <v>126</v>
      </c>
      <c r="C92" s="4">
        <f>+C91/C47</f>
        <v>6.4187344501538651E-2</v>
      </c>
      <c r="D92" s="4">
        <f t="shared" ref="D92:T92" si="138">+D91/D47</f>
        <v>2.176827996743284E-2</v>
      </c>
      <c r="E92" s="4">
        <f t="shared" si="138"/>
        <v>5.1269786371140547E-2</v>
      </c>
      <c r="F92" s="4">
        <f t="shared" si="138"/>
        <v>1.8829134100326293E-2</v>
      </c>
      <c r="G92" s="4">
        <f t="shared" si="138"/>
        <v>3.6499666532317211E-2</v>
      </c>
      <c r="H92" s="4">
        <f t="shared" si="138"/>
        <v>1.5931228819433003E-2</v>
      </c>
      <c r="I92" s="4">
        <f t="shared" si="138"/>
        <v>4.3017524481472287E-2</v>
      </c>
      <c r="J92" s="4">
        <f t="shared" si="138"/>
        <v>1.7285978832910019E-2</v>
      </c>
      <c r="K92" s="4">
        <f t="shared" si="138"/>
        <v>4.1053314018601348E-3</v>
      </c>
      <c r="L92" s="4">
        <f t="shared" si="138"/>
        <v>3.3870217316178834E-2</v>
      </c>
      <c r="M92" s="4">
        <f t="shared" si="138"/>
        <v>1.5486883428163971E-2</v>
      </c>
      <c r="N92" s="4">
        <f t="shared" si="138"/>
        <v>2.3940789266407074E-2</v>
      </c>
      <c r="O92" s="4">
        <f t="shared" si="138"/>
        <v>1.3663399158948923E-2</v>
      </c>
      <c r="P92" s="4">
        <f t="shared" si="138"/>
        <v>6.558993480385901E-2</v>
      </c>
      <c r="Q92" s="4">
        <f t="shared" si="138"/>
        <v>5.7950658860515786E-2</v>
      </c>
      <c r="R92" s="4">
        <f t="shared" si="138"/>
        <v>4.415523750299425E-2</v>
      </c>
      <c r="S92" s="4">
        <f t="shared" si="138"/>
        <v>1.7404656483041517E-2</v>
      </c>
      <c r="T92" s="4">
        <f t="shared" si="138"/>
        <v>4.1488324575211953E-3</v>
      </c>
    </row>
    <row r="93" spans="1:20" x14ac:dyDescent="0.25">
      <c r="A93" s="2" t="s">
        <v>127</v>
      </c>
      <c r="C93" s="4">
        <f t="shared" ref="C93:T93" si="139">+C92*C65*C83</f>
        <v>0.24092645651445704</v>
      </c>
      <c r="D93" s="4">
        <f t="shared" si="139"/>
        <v>8.1706987533072276E-2</v>
      </c>
      <c r="E93" s="4">
        <f t="shared" si="139"/>
        <v>0.19244055121108797</v>
      </c>
      <c r="F93" s="4">
        <f t="shared" si="139"/>
        <v>7.0674937454662856E-2</v>
      </c>
      <c r="G93" s="4">
        <f t="shared" si="139"/>
        <v>0.13700107692381178</v>
      </c>
      <c r="H93" s="4">
        <f t="shared" si="139"/>
        <v>5.9797683440463593E-2</v>
      </c>
      <c r="I93" s="4">
        <f>+I92*I65*I83</f>
        <v>0.98921403414417008</v>
      </c>
      <c r="J93" s="4">
        <f t="shared" si="139"/>
        <v>0.39750155457686664</v>
      </c>
      <c r="K93" s="4">
        <f t="shared" si="139"/>
        <v>9.4404582469219164E-2</v>
      </c>
      <c r="L93" s="4">
        <f t="shared" si="139"/>
        <v>0.77886616472102188</v>
      </c>
      <c r="M93" s="4">
        <f t="shared" si="139"/>
        <v>0.35613026590809183</v>
      </c>
      <c r="N93" s="4">
        <f t="shared" si="139"/>
        <v>0.55053295177452866</v>
      </c>
      <c r="O93" s="4">
        <f t="shared" si="139"/>
        <v>0.31419814052682871</v>
      </c>
      <c r="P93" s="4">
        <f t="shared" si="139"/>
        <v>3.3415731765186232</v>
      </c>
      <c r="Q93" s="4">
        <f t="shared" si="139"/>
        <v>2.9523793214456373</v>
      </c>
      <c r="R93" s="4">
        <f t="shared" si="139"/>
        <v>5.2489542477734759</v>
      </c>
      <c r="S93" s="4">
        <f t="shared" si="139"/>
        <v>2.0689786929920579</v>
      </c>
      <c r="T93" s="4">
        <f t="shared" si="139"/>
        <v>0.49319249499517709</v>
      </c>
    </row>
    <row r="94" spans="1:20" x14ac:dyDescent="0.25">
      <c r="A94" s="2" t="s">
        <v>128</v>
      </c>
      <c r="C94" s="4">
        <f>+C93*1000/C76</f>
        <v>2.2319676845651402</v>
      </c>
      <c r="D94" s="4">
        <f t="shared" ref="D94:E94" si="140">+D93*1000/D76</f>
        <v>0.7569420080108179</v>
      </c>
      <c r="E94" s="4">
        <f t="shared" si="140"/>
        <v>1.7664248850021071</v>
      </c>
      <c r="F94" s="4">
        <f t="shared" ref="F94:G94" si="141">+F93*1000/F76</f>
        <v>0.64873004925528832</v>
      </c>
      <c r="G94" s="4">
        <f t="shared" si="141"/>
        <v>1.2575421865470393</v>
      </c>
      <c r="H94" s="4">
        <f t="shared" ref="H94:K94" si="142">+H93*1000/H76</f>
        <v>0.54888699616563597</v>
      </c>
      <c r="I94" s="4">
        <f>+I93*1000/I76</f>
        <v>1.6600775504114069</v>
      </c>
      <c r="J94" s="4">
        <f t="shared" si="142"/>
        <v>0.66707849285377019</v>
      </c>
      <c r="K94" s="4">
        <f t="shared" si="142"/>
        <v>0.15842772403517322</v>
      </c>
      <c r="L94" s="4">
        <f t="shared" ref="L94" si="143">+L93*1000/L76</f>
        <v>1.3070763153365856</v>
      </c>
      <c r="M94" s="4">
        <f>+M93*1000/M76</f>
        <v>0.59765009295238603</v>
      </c>
      <c r="N94" s="4">
        <f t="shared" ref="N94:O94" si="144">+N93*1000/N76</f>
        <v>0.92389246660184676</v>
      </c>
      <c r="O94" s="4">
        <f t="shared" si="144"/>
        <v>0.52728050903650925</v>
      </c>
      <c r="P94" s="4">
        <f t="shared" ref="P94:Q94" si="145">+P93*1000/P76</f>
        <v>2.1695121201681711</v>
      </c>
      <c r="Q94" s="4">
        <f t="shared" si="145"/>
        <v>1.9168285064711323</v>
      </c>
      <c r="R94" s="4">
        <f t="shared" ref="R94:S94" si="146">+R93*1000/R76</f>
        <v>1.8413738583456669</v>
      </c>
      <c r="S94" s="4">
        <f t="shared" si="146"/>
        <v>0.72581377145091375</v>
      </c>
      <c r="T94" s="4">
        <f t="shared" ref="T94" si="147">+T93*1000/T76</f>
        <v>0.17301575219513848</v>
      </c>
    </row>
    <row r="95" spans="1:2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x14ac:dyDescent="0.25">
      <c r="A96" s="2" t="s">
        <v>129</v>
      </c>
    </row>
    <row r="97" spans="1:20" x14ac:dyDescent="0.25">
      <c r="A97" s="2" t="s">
        <v>130</v>
      </c>
      <c r="C97" s="4">
        <f t="shared" ref="C97:T97" si="148">+(1-C85)^(C7+C13)</f>
        <v>0.55009936466175158</v>
      </c>
      <c r="D97" s="4">
        <f t="shared" si="148"/>
        <v>0.82202546127550613</v>
      </c>
      <c r="E97" s="4">
        <f t="shared" si="148"/>
        <v>0.6329069701278317</v>
      </c>
      <c r="F97" s="4">
        <f t="shared" si="148"/>
        <v>0.84086676463282406</v>
      </c>
      <c r="G97" s="4">
        <f t="shared" si="148"/>
        <v>0.72759036492686968</v>
      </c>
      <c r="H97" s="4">
        <f t="shared" si="148"/>
        <v>0.85944369649222696</v>
      </c>
      <c r="I97" s="4">
        <f t="shared" si="148"/>
        <v>0.68580783884189089</v>
      </c>
      <c r="J97" s="4">
        <f t="shared" si="148"/>
        <v>0.85075911357889933</v>
      </c>
      <c r="K97" s="4">
        <f t="shared" si="148"/>
        <v>0.93525324484117089</v>
      </c>
      <c r="L97" s="4">
        <f t="shared" si="148"/>
        <v>0.74444636751536886</v>
      </c>
      <c r="M97" s="4">
        <f t="shared" si="148"/>
        <v>0.86229215883158272</v>
      </c>
      <c r="N97" s="4">
        <f t="shared" si="148"/>
        <v>0.80809865784371038</v>
      </c>
      <c r="O97" s="4">
        <f t="shared" si="148"/>
        <v>0.87398154814297491</v>
      </c>
      <c r="P97" s="4">
        <f t="shared" si="148"/>
        <v>0.54110810306163704</v>
      </c>
      <c r="Q97" s="4">
        <f t="shared" si="148"/>
        <v>0.59007944439233695</v>
      </c>
      <c r="R97" s="4">
        <f t="shared" si="148"/>
        <v>0.67851456482920336</v>
      </c>
      <c r="S97" s="4">
        <f t="shared" si="148"/>
        <v>0.84999833418619009</v>
      </c>
      <c r="T97" s="4">
        <f t="shared" si="148"/>
        <v>0.93497438267402022</v>
      </c>
    </row>
    <row r="98" spans="1:20" x14ac:dyDescent="0.25">
      <c r="A98" s="2" t="s">
        <v>131</v>
      </c>
      <c r="C98" s="4">
        <f>1-C97</f>
        <v>0.44990063533824842</v>
      </c>
      <c r="D98" s="4">
        <f t="shared" ref="D98:E98" si="149">1-D97</f>
        <v>0.17797453872449387</v>
      </c>
      <c r="E98" s="4">
        <f t="shared" si="149"/>
        <v>0.3670930298721683</v>
      </c>
      <c r="F98" s="4">
        <f t="shared" ref="F98:I98" si="150">1-F97</f>
        <v>0.15913323536717594</v>
      </c>
      <c r="G98" s="4">
        <f t="shared" si="150"/>
        <v>0.27240963507313032</v>
      </c>
      <c r="H98" s="4">
        <f t="shared" si="150"/>
        <v>0.14055630350777304</v>
      </c>
      <c r="I98" s="4">
        <f t="shared" si="150"/>
        <v>0.31419216115810911</v>
      </c>
      <c r="J98" s="4">
        <f t="shared" ref="J98:L98" si="151">1-J97</f>
        <v>0.14924088642110067</v>
      </c>
      <c r="K98" s="4">
        <f t="shared" ref="K98" si="152">1-K97</f>
        <v>6.4746755158829106E-2</v>
      </c>
      <c r="L98" s="4">
        <f t="shared" si="151"/>
        <v>0.25555363248463114</v>
      </c>
      <c r="M98" s="4">
        <f>1-M97</f>
        <v>0.13770784116841728</v>
      </c>
      <c r="N98" s="4">
        <f t="shared" ref="N98:O98" si="153">1-N97</f>
        <v>0.19190134215628962</v>
      </c>
      <c r="O98" s="4">
        <f t="shared" si="153"/>
        <v>0.12601845185702509</v>
      </c>
      <c r="P98" s="4">
        <f t="shared" ref="P98:Q98" si="154">1-P97</f>
        <v>0.45889189693836296</v>
      </c>
      <c r="Q98" s="4">
        <f t="shared" si="154"/>
        <v>0.40992055560766305</v>
      </c>
      <c r="R98" s="4">
        <f t="shared" ref="R98:S98" si="155">1-R97</f>
        <v>0.32148543517079664</v>
      </c>
      <c r="S98" s="4">
        <f t="shared" si="155"/>
        <v>0.15000166581380991</v>
      </c>
      <c r="T98" s="4">
        <f t="shared" ref="T98" si="156">1-T97</f>
        <v>6.5025617325979779E-2</v>
      </c>
    </row>
    <row r="99" spans="1:20" x14ac:dyDescent="0.25">
      <c r="A99" s="2" t="s">
        <v>126</v>
      </c>
      <c r="C99" s="4">
        <f t="shared" ref="C99:T99" si="157">+C98/C47</f>
        <v>6.7485095300737263E-2</v>
      </c>
      <c r="D99" s="4">
        <f t="shared" si="157"/>
        <v>2.6696180808674079E-2</v>
      </c>
      <c r="E99" s="4">
        <f t="shared" si="157"/>
        <v>5.5063954480825239E-2</v>
      </c>
      <c r="F99" s="4">
        <f t="shared" si="157"/>
        <v>2.3869985305076391E-2</v>
      </c>
      <c r="G99" s="4">
        <f t="shared" si="157"/>
        <v>4.0861445260969548E-2</v>
      </c>
      <c r="H99" s="4">
        <f t="shared" si="157"/>
        <v>2.1083445526165954E-2</v>
      </c>
      <c r="I99" s="4">
        <f t="shared" si="157"/>
        <v>4.712882417371636E-2</v>
      </c>
      <c r="J99" s="4">
        <f t="shared" si="157"/>
        <v>2.2386132963165099E-2</v>
      </c>
      <c r="K99" s="4">
        <f t="shared" si="157"/>
        <v>9.7120132738243662E-3</v>
      </c>
      <c r="L99" s="4">
        <f t="shared" si="157"/>
        <v>3.833304487269467E-2</v>
      </c>
      <c r="M99" s="4">
        <f t="shared" si="157"/>
        <v>2.0656176175262591E-2</v>
      </c>
      <c r="N99" s="4">
        <f t="shared" si="157"/>
        <v>2.8785201323443442E-2</v>
      </c>
      <c r="O99" s="4">
        <f t="shared" si="157"/>
        <v>1.8902767778553764E-2</v>
      </c>
      <c r="P99" s="4">
        <f t="shared" si="157"/>
        <v>6.8833784540754436E-2</v>
      </c>
      <c r="Q99" s="4">
        <f t="shared" si="157"/>
        <v>6.1488083341149455E-2</v>
      </c>
      <c r="R99" s="4">
        <f t="shared" si="157"/>
        <v>4.8222815275619495E-2</v>
      </c>
      <c r="S99" s="4">
        <f t="shared" si="157"/>
        <v>2.2500249872071488E-2</v>
      </c>
      <c r="T99" s="4">
        <f t="shared" si="157"/>
        <v>9.7538425988969672E-3</v>
      </c>
    </row>
    <row r="100" spans="1:20" x14ac:dyDescent="0.25">
      <c r="A100" s="2" t="s">
        <v>127</v>
      </c>
      <c r="C100" s="4">
        <f t="shared" ref="C100:T100" si="158">+C65*C83*C99</f>
        <v>0.25330452606521708</v>
      </c>
      <c r="D100" s="4">
        <f t="shared" si="158"/>
        <v>0.1002038064458161</v>
      </c>
      <c r="E100" s="4">
        <f t="shared" si="158"/>
        <v>0.20668191740539402</v>
      </c>
      <c r="F100" s="4">
        <f t="shared" si="158"/>
        <v>8.9595714252773906E-2</v>
      </c>
      <c r="G100" s="4">
        <f t="shared" si="158"/>
        <v>0.15337296302309028</v>
      </c>
      <c r="H100" s="4">
        <f t="shared" si="158"/>
        <v>7.913646936450193E-2</v>
      </c>
      <c r="I100" s="4">
        <f t="shared" si="158"/>
        <v>1.0837558610661746</v>
      </c>
      <c r="J100" s="4">
        <f t="shared" si="158"/>
        <v>0.51478268831852647</v>
      </c>
      <c r="K100" s="4">
        <f t="shared" si="158"/>
        <v>0.22333362847040142</v>
      </c>
      <c r="L100" s="4">
        <f t="shared" si="158"/>
        <v>0.88149158782671955</v>
      </c>
      <c r="M100" s="4">
        <f t="shared" si="158"/>
        <v>0.47500128402611563</v>
      </c>
      <c r="N100" s="4">
        <f t="shared" si="158"/>
        <v>0.66193314162184524</v>
      </c>
      <c r="O100" s="4">
        <f t="shared" si="158"/>
        <v>0.43468059578294044</v>
      </c>
      <c r="P100" s="4">
        <f t="shared" si="158"/>
        <v>3.5068357477024721</v>
      </c>
      <c r="Q100" s="4">
        <f t="shared" si="158"/>
        <v>3.1325984784518783</v>
      </c>
      <c r="R100" s="4">
        <f t="shared" si="158"/>
        <v>5.732487591384694</v>
      </c>
      <c r="S100" s="4">
        <f t="shared" si="158"/>
        <v>2.6747174020741133</v>
      </c>
      <c r="T100" s="4">
        <f t="shared" si="158"/>
        <v>1.1594881250071936</v>
      </c>
    </row>
    <row r="101" spans="1:20" x14ac:dyDescent="0.25">
      <c r="A101" s="2" t="s">
        <v>128</v>
      </c>
      <c r="C101" s="4">
        <f>+C100*1000/C76</f>
        <v>2.3466394048663863</v>
      </c>
      <c r="D101" s="4">
        <f t="shared" ref="D101:E101" si="159">+D100*1000/D76</f>
        <v>0.92829845710224523</v>
      </c>
      <c r="E101" s="4">
        <f t="shared" si="159"/>
        <v>1.8971473521938373</v>
      </c>
      <c r="F101" s="4">
        <f t="shared" ref="F101:I101" si="160">+F100*1000/F76</f>
        <v>0.82240514408025134</v>
      </c>
      <c r="G101" s="4">
        <f t="shared" si="160"/>
        <v>1.4078208405946657</v>
      </c>
      <c r="H101" s="4">
        <f t="shared" si="160"/>
        <v>0.72639902513752941</v>
      </c>
      <c r="I101" s="4">
        <f t="shared" si="160"/>
        <v>1.8187355951124053</v>
      </c>
      <c r="J101" s="4">
        <f t="shared" ref="J101:L101" si="161">+J100*1000/J76</f>
        <v>0.86389714937411621</v>
      </c>
      <c r="K101" s="4">
        <f t="shared" ref="K101" si="162">+K100*1000/K76</f>
        <v>0.37479365443535673</v>
      </c>
      <c r="L101" s="4">
        <f t="shared" si="161"/>
        <v>1.4793000759372277</v>
      </c>
      <c r="M101" s="4">
        <f>+M100*1000/M76</f>
        <v>0.79713685897163855</v>
      </c>
      <c r="N101" s="4">
        <f t="shared" ref="N101:O101" si="163">+N100*1000/N76</f>
        <v>1.1108418505509896</v>
      </c>
      <c r="O101" s="4">
        <f t="shared" si="163"/>
        <v>0.72947155393222685</v>
      </c>
      <c r="P101" s="4">
        <f t="shared" ref="P101:Q101" si="164">+P100*1000/P76</f>
        <v>2.2768086335927413</v>
      </c>
      <c r="Q101" s="4">
        <f t="shared" si="164"/>
        <v>2.0338355641525312</v>
      </c>
      <c r="R101" s="4">
        <f t="shared" ref="R101:S101" si="165">+R100*1000/R76</f>
        <v>2.0110011053238339</v>
      </c>
      <c r="S101" s="4">
        <f t="shared" si="165"/>
        <v>0.93831160839907901</v>
      </c>
      <c r="T101" s="4">
        <f t="shared" ref="T101" si="166">+T100*1000/T76</f>
        <v>0.40675742665429676</v>
      </c>
    </row>
    <row r="103" spans="1:20" x14ac:dyDescent="0.25">
      <c r="A103" s="2" t="s">
        <v>132</v>
      </c>
    </row>
    <row r="104" spans="1:20" x14ac:dyDescent="0.25">
      <c r="A104" s="2" t="s">
        <v>133</v>
      </c>
      <c r="C104" s="4">
        <f>C90*C87</f>
        <v>2.1473120777824084</v>
      </c>
      <c r="D104" s="4">
        <f t="shared" ref="D104:E104" si="167">D90*D87</f>
        <v>3.2087752043249731</v>
      </c>
      <c r="E104" s="4">
        <f t="shared" si="167"/>
        <v>2.4705514464715352</v>
      </c>
      <c r="F104" s="4">
        <f t="shared" ref="F104:G104" si="168">F90*F87</f>
        <v>3.2823222048477025</v>
      </c>
      <c r="G104" s="4">
        <f t="shared" si="168"/>
        <v>2.8401479417200433</v>
      </c>
      <c r="H104" s="4">
        <f t="shared" ref="H104:K104" si="169">H90*H87</f>
        <v>3.3548372316090309</v>
      </c>
      <c r="I104" s="4">
        <f t="shared" si="169"/>
        <v>16.400845541602969</v>
      </c>
      <c r="J104" s="4">
        <f t="shared" si="169"/>
        <v>20.345595405384994</v>
      </c>
      <c r="K104" s="4">
        <f t="shared" si="169"/>
        <v>22.366241886102642</v>
      </c>
      <c r="L104" s="4">
        <f t="shared" ref="L104" si="170">L90*L87</f>
        <v>17.803164671090624</v>
      </c>
      <c r="M104" s="4">
        <f>M90*M87</f>
        <v>20.621403996510157</v>
      </c>
      <c r="N104" s="4">
        <f t="shared" ref="N104:O104" si="171">N90*N87</f>
        <v>19.325386090733915</v>
      </c>
      <c r="O104" s="4">
        <f t="shared" si="171"/>
        <v>20.900951499051914</v>
      </c>
      <c r="P104" s="4">
        <f t="shared" ref="P104:Q104" si="172">P90*P87</f>
        <v>28.669277842816992</v>
      </c>
      <c r="Q104" s="4">
        <f t="shared" si="172"/>
        <v>31.263903543303567</v>
      </c>
      <c r="R104" s="4">
        <f t="shared" ref="R104" si="173">R90*R87</f>
        <v>83.881980505039508</v>
      </c>
      <c r="S104" s="4">
        <f t="shared" ref="S104" si="174">S90*S87</f>
        <v>105.08181753691564</v>
      </c>
      <c r="T104" s="4">
        <f t="shared" ref="T104" si="175">T90*T87</f>
        <v>115.58705885689484</v>
      </c>
    </row>
    <row r="105" spans="1:20" x14ac:dyDescent="0.25">
      <c r="A105" s="2" t="s">
        <v>134</v>
      </c>
      <c r="C105" s="4">
        <f>+C88</f>
        <v>1.6086379090909095</v>
      </c>
      <c r="D105" s="4">
        <f t="shared" ref="D105:E105" si="176">+D88</f>
        <v>1.6086379090909095</v>
      </c>
      <c r="E105" s="4">
        <f t="shared" si="176"/>
        <v>1.6086379090909095</v>
      </c>
      <c r="F105" s="4">
        <f t="shared" ref="F105:G105" si="177">+F88</f>
        <v>1.6086379090909095</v>
      </c>
      <c r="G105" s="4">
        <f t="shared" si="177"/>
        <v>1.6086379090909095</v>
      </c>
      <c r="H105" s="4">
        <f t="shared" ref="H105:K105" si="178">+H88</f>
        <v>1.6086379090909095</v>
      </c>
      <c r="I105" s="4">
        <f t="shared" si="178"/>
        <v>9.8552596153846181</v>
      </c>
      <c r="J105" s="4">
        <f t="shared" si="178"/>
        <v>9.8552596153846181</v>
      </c>
      <c r="K105" s="4">
        <f t="shared" si="178"/>
        <v>9.8552596153846181</v>
      </c>
      <c r="L105" s="4">
        <f t="shared" ref="L105" si="179">+L88</f>
        <v>9.8552596153846181</v>
      </c>
      <c r="M105" s="4">
        <f>+M88</f>
        <v>9.8552596153846181</v>
      </c>
      <c r="N105" s="4">
        <f t="shared" ref="N105:O105" si="180">+N88</f>
        <v>9.8552596153846181</v>
      </c>
      <c r="O105" s="4">
        <f t="shared" si="180"/>
        <v>9.8552596153846181</v>
      </c>
      <c r="P105" s="4">
        <f t="shared" ref="P105:Q105" si="181">+P88</f>
        <v>21.834185294117642</v>
      </c>
      <c r="Q105" s="4">
        <f t="shared" si="181"/>
        <v>21.834185294117642</v>
      </c>
      <c r="R105" s="4">
        <f t="shared" ref="R105" si="182">+R88</f>
        <v>50.946432352941166</v>
      </c>
      <c r="S105" s="4">
        <f t="shared" ref="S105" si="183">+S88</f>
        <v>50.946432352941166</v>
      </c>
      <c r="T105" s="4">
        <f t="shared" ref="T105" si="184">+T88</f>
        <v>50.946432352941166</v>
      </c>
    </row>
    <row r="106" spans="1:20" x14ac:dyDescent="0.25">
      <c r="A106" s="2" t="s">
        <v>135</v>
      </c>
      <c r="C106" s="4">
        <f>+C104*1000/C76</f>
        <v>19.892921830273007</v>
      </c>
      <c r="D106" s="4">
        <f t="shared" ref="D106:E106" si="185">+D104*1000/D76</f>
        <v>29.72642634063515</v>
      </c>
      <c r="E106" s="4">
        <f t="shared" si="185"/>
        <v>22.677359461199803</v>
      </c>
      <c r="F106" s="4">
        <f t="shared" ref="F106:G106" si="186">+F104*1000/F76</f>
        <v>30.128658366178591</v>
      </c>
      <c r="G106" s="4">
        <f t="shared" si="186"/>
        <v>26.069910784233588</v>
      </c>
      <c r="H106" s="4">
        <f t="shared" ref="H106:K106" si="187">+H104*1000/H76</f>
        <v>30.79427872010961</v>
      </c>
      <c r="I106" s="4">
        <f t="shared" si="187"/>
        <v>27.52354349171317</v>
      </c>
      <c r="J106" s="4">
        <f t="shared" si="187"/>
        <v>34.14353720876408</v>
      </c>
      <c r="K106" s="4">
        <f t="shared" si="187"/>
        <v>37.534542334221392</v>
      </c>
      <c r="L106" s="4">
        <f t="shared" ref="L106" si="188">+L104*1000/L76</f>
        <v>29.876885058878646</v>
      </c>
      <c r="M106" s="4">
        <f>+M104*1000/M76</f>
        <v>34.606393208106645</v>
      </c>
      <c r="N106" s="4">
        <f t="shared" ref="N106:O106" si="189">+N104*1000/N76</f>
        <v>32.431444050443574</v>
      </c>
      <c r="O106" s="4">
        <f t="shared" si="189"/>
        <v>35.075523767545825</v>
      </c>
      <c r="P106" s="4">
        <f t="shared" ref="P106:Q106" si="190">+P104*1000/P76</f>
        <v>18.613492050250663</v>
      </c>
      <c r="Q106" s="4">
        <f t="shared" si="190"/>
        <v>20.298049474897589</v>
      </c>
      <c r="R106" s="4">
        <f t="shared" ref="R106" si="191">+R104*1000/R76</f>
        <v>29.426449307261407</v>
      </c>
      <c r="S106" s="4">
        <f t="shared" ref="S106" si="192">+S104*1000/S76</f>
        <v>36.863516553226432</v>
      </c>
      <c r="T106" s="4">
        <f t="shared" ref="T106" si="193">+T104*1000/T76</f>
        <v>40.548836681598267</v>
      </c>
    </row>
    <row r="107" spans="1:20" x14ac:dyDescent="0.25">
      <c r="A107" s="2" t="s">
        <v>136</v>
      </c>
      <c r="C107" s="4">
        <f>+C105*1000/C76</f>
        <v>14.902588454588832</v>
      </c>
      <c r="D107" s="4">
        <f t="shared" ref="D107:E107" si="194">+D105*1000/D76</f>
        <v>14.902588454588832</v>
      </c>
      <c r="E107" s="4">
        <f t="shared" si="194"/>
        <v>14.765796583377366</v>
      </c>
      <c r="F107" s="4">
        <f t="shared" ref="F107:G107" si="195">+F105*1000/F76</f>
        <v>14.765796583377366</v>
      </c>
      <c r="G107" s="4">
        <f t="shared" si="195"/>
        <v>14.765796583377366</v>
      </c>
      <c r="H107" s="4">
        <f t="shared" ref="H107:K107" si="196">+H105*1000/H76</f>
        <v>14.765796583377366</v>
      </c>
      <c r="I107" s="4">
        <f t="shared" si="196"/>
        <v>16.538883069052527</v>
      </c>
      <c r="J107" s="4">
        <f t="shared" si="196"/>
        <v>16.538883069052527</v>
      </c>
      <c r="K107" s="4">
        <f t="shared" si="196"/>
        <v>16.538883069052527</v>
      </c>
      <c r="L107" s="4">
        <f t="shared" ref="L107" si="197">+L105*1000/L76</f>
        <v>16.538883069052527</v>
      </c>
      <c r="M107" s="4">
        <f>+M105*1000/M76</f>
        <v>16.538883069052527</v>
      </c>
      <c r="N107" s="4">
        <f t="shared" ref="N107:O107" si="198">+N105*1000/N76</f>
        <v>16.538883069052527</v>
      </c>
      <c r="O107" s="4">
        <f t="shared" si="198"/>
        <v>16.538883069052527</v>
      </c>
      <c r="P107" s="4">
        <f t="shared" ref="P107:Q107" si="199">+P105*1000/P76</f>
        <v>14.175816936302205</v>
      </c>
      <c r="Q107" s="4">
        <f t="shared" si="199"/>
        <v>14.175816936302205</v>
      </c>
      <c r="R107" s="4">
        <f t="shared" ref="R107" si="200">+R105*1000/R76</f>
        <v>17.872403584099658</v>
      </c>
      <c r="S107" s="4">
        <f t="shared" ref="S107" si="201">+S105*1000/S76</f>
        <v>17.872403584099658</v>
      </c>
      <c r="T107" s="4">
        <f t="shared" ref="T107" si="202">+T105*1000/T76</f>
        <v>17.872403584099658</v>
      </c>
    </row>
    <row r="108" spans="1:20" x14ac:dyDescent="0.25">
      <c r="A108" s="2" t="s">
        <v>137</v>
      </c>
      <c r="C108" s="4">
        <f>+C106+C107</f>
        <v>34.795510284861841</v>
      </c>
      <c r="D108" s="4">
        <f t="shared" ref="D108:E108" si="203">+D106+D107</f>
        <v>44.629014795223981</v>
      </c>
      <c r="E108" s="4">
        <f t="shared" si="203"/>
        <v>37.443156044577165</v>
      </c>
      <c r="F108" s="4">
        <f t="shared" ref="F108:G108" si="204">+F106+F107</f>
        <v>44.894454949555957</v>
      </c>
      <c r="G108" s="4">
        <f t="shared" si="204"/>
        <v>40.835707367610951</v>
      </c>
      <c r="H108" s="4">
        <f t="shared" ref="H108:K108" si="205">+H106+H107</f>
        <v>45.560075303486975</v>
      </c>
      <c r="I108" s="4">
        <f t="shared" si="205"/>
        <v>44.062426560765701</v>
      </c>
      <c r="J108" s="4">
        <f t="shared" si="205"/>
        <v>50.682420277816604</v>
      </c>
      <c r="K108" s="4">
        <f t="shared" si="205"/>
        <v>54.073425403273916</v>
      </c>
      <c r="L108" s="4">
        <f t="shared" ref="L108" si="206">+L106+L107</f>
        <v>46.415768127931173</v>
      </c>
      <c r="M108" s="4">
        <f>+M106+M107</f>
        <v>51.145276277159169</v>
      </c>
      <c r="N108" s="4">
        <f t="shared" ref="N108:O108" si="207">+N106+N107</f>
        <v>48.970327119496105</v>
      </c>
      <c r="O108" s="4">
        <f t="shared" si="207"/>
        <v>51.614406836598349</v>
      </c>
      <c r="P108" s="4">
        <f t="shared" ref="P108:Q108" si="208">+P106+P107</f>
        <v>32.789308986552868</v>
      </c>
      <c r="Q108" s="4">
        <f t="shared" si="208"/>
        <v>34.473866411199793</v>
      </c>
      <c r="R108" s="4">
        <f t="shared" ref="R108:S108" si="209">+R106+R107</f>
        <v>47.298852891361065</v>
      </c>
      <c r="S108" s="4">
        <f t="shared" si="209"/>
        <v>54.73592013732609</v>
      </c>
      <c r="T108" s="4">
        <f t="shared" ref="T108" si="210">+T106+T107</f>
        <v>58.421240265697925</v>
      </c>
    </row>
    <row r="109" spans="1:20" x14ac:dyDescent="0.25">
      <c r="A109" s="2" t="s">
        <v>138</v>
      </c>
      <c r="B109" s="2" t="s">
        <v>139</v>
      </c>
      <c r="C109" s="3">
        <f t="shared" ref="C109:T109" si="211">VS_svin_tot_omsat_lager</f>
        <v>0.32714318957727601</v>
      </c>
      <c r="D109" s="3">
        <f t="shared" si="211"/>
        <v>0.32714318957727601</v>
      </c>
      <c r="E109" s="3">
        <f t="shared" si="211"/>
        <v>0.32714318957727601</v>
      </c>
      <c r="F109" s="3">
        <f t="shared" si="211"/>
        <v>0.32714318957727601</v>
      </c>
      <c r="G109" s="3">
        <f t="shared" si="211"/>
        <v>0.32714318957727601</v>
      </c>
      <c r="H109" s="3">
        <f t="shared" si="211"/>
        <v>0.32714318957727601</v>
      </c>
      <c r="I109" s="3">
        <f t="shared" si="211"/>
        <v>0.32714318957727601</v>
      </c>
      <c r="J109" s="3">
        <f t="shared" si="211"/>
        <v>0.32714318957727601</v>
      </c>
      <c r="K109" s="3">
        <f t="shared" si="211"/>
        <v>0.32714318957727601</v>
      </c>
      <c r="L109" s="3">
        <f t="shared" si="211"/>
        <v>0.32714318957727601</v>
      </c>
      <c r="M109" s="3">
        <f t="shared" si="211"/>
        <v>0.32714318957727601</v>
      </c>
      <c r="N109" s="3">
        <f t="shared" si="211"/>
        <v>0.32714318957727601</v>
      </c>
      <c r="O109" s="3">
        <f t="shared" si="211"/>
        <v>0.32714318957727601</v>
      </c>
      <c r="P109" s="3">
        <f t="shared" si="211"/>
        <v>0.32714318957727601</v>
      </c>
      <c r="Q109" s="3">
        <f t="shared" si="211"/>
        <v>0.32714318957727601</v>
      </c>
      <c r="R109" s="3">
        <f t="shared" si="211"/>
        <v>0.32714318957727601</v>
      </c>
      <c r="S109" s="3">
        <f t="shared" si="211"/>
        <v>0.32714318957727601</v>
      </c>
      <c r="T109" s="3">
        <f t="shared" si="211"/>
        <v>0.32714318957727601</v>
      </c>
    </row>
    <row r="110" spans="1:20" x14ac:dyDescent="0.25">
      <c r="A110" s="2" t="s">
        <v>140</v>
      </c>
      <c r="C110" s="4">
        <f>+C109*C106</f>
        <v>6.5078338975669343</v>
      </c>
      <c r="D110" s="4">
        <f t="shared" ref="D110:E110" si="212">+D109*D106</f>
        <v>9.7247979278093357</v>
      </c>
      <c r="E110" s="4">
        <f t="shared" si="212"/>
        <v>7.4187437053273211</v>
      </c>
      <c r="F110" s="4">
        <f t="shared" ref="F110:G110" si="213">+F109*F106</f>
        <v>9.8563853955957459</v>
      </c>
      <c r="G110" s="4">
        <f t="shared" si="213"/>
        <v>8.5285937659492017</v>
      </c>
      <c r="H110" s="4">
        <f t="shared" ref="H110:K110" si="214">+H109*H106</f>
        <v>10.074138561228294</v>
      </c>
      <c r="I110" s="4">
        <f t="shared" si="214"/>
        <v>9.0041398063479221</v>
      </c>
      <c r="J110" s="4">
        <f t="shared" si="214"/>
        <v>11.169825665925485</v>
      </c>
      <c r="K110" s="4">
        <f t="shared" si="214"/>
        <v>12.279169898540481</v>
      </c>
      <c r="L110" s="4">
        <f t="shared" ref="L110" si="215">+L109*L106</f>
        <v>9.7740194727952225</v>
      </c>
      <c r="M110" s="4">
        <f>+M109*M106</f>
        <v>11.321245853865388</v>
      </c>
      <c r="N110" s="4">
        <f t="shared" ref="N110:O110" si="216">+N109*N106</f>
        <v>10.609726049259082</v>
      </c>
      <c r="O110" s="4">
        <f t="shared" si="216"/>
        <v>11.474718721408495</v>
      </c>
      <c r="P110" s="4">
        <f t="shared" ref="P110:Q110" si="217">+P109*P106</f>
        <v>6.0892771584902725</v>
      </c>
      <c r="Q110" s="4">
        <f t="shared" si="217"/>
        <v>6.6403686474153494</v>
      </c>
      <c r="R110" s="4">
        <f t="shared" ref="R110:S110" si="218">+R109*R106</f>
        <v>9.6266624843115203</v>
      </c>
      <c r="S110" s="4">
        <f t="shared" si="218"/>
        <v>12.059648384257207</v>
      </c>
      <c r="T110" s="4">
        <f t="shared" ref="T110" si="219">+T109*T106</f>
        <v>13.265275765666106</v>
      </c>
    </row>
    <row r="111" spans="1:20" x14ac:dyDescent="0.25">
      <c r="A111" s="2" t="s">
        <v>141</v>
      </c>
      <c r="C111" s="4">
        <f>+C107*C109</f>
        <v>4.8752803199916785</v>
      </c>
      <c r="D111" s="4">
        <f t="shared" ref="D111:E111" si="220">+D107*D109</f>
        <v>4.8752803199916785</v>
      </c>
      <c r="E111" s="4">
        <f t="shared" si="220"/>
        <v>4.8305297909353158</v>
      </c>
      <c r="F111" s="4">
        <f t="shared" ref="F111:I111" si="221">+F107*F109</f>
        <v>4.8305297909353158</v>
      </c>
      <c r="G111" s="4">
        <f t="shared" si="221"/>
        <v>4.8305297909353158</v>
      </c>
      <c r="H111" s="4">
        <f t="shared" si="221"/>
        <v>4.8305297909353158</v>
      </c>
      <c r="I111" s="4">
        <f t="shared" si="221"/>
        <v>5.4105829592554517</v>
      </c>
      <c r="J111" s="4">
        <f t="shared" ref="J111" si="222">+J107*J109</f>
        <v>5.4105829592554517</v>
      </c>
      <c r="K111" s="4">
        <f t="shared" ref="K111" si="223">+K107*K109</f>
        <v>5.4105829592554517</v>
      </c>
      <c r="L111" s="4">
        <f t="shared" ref="L111" si="224">+L107*L109</f>
        <v>5.4105829592554517</v>
      </c>
      <c r="M111" s="4">
        <f>+M107*M109</f>
        <v>5.4105829592554517</v>
      </c>
      <c r="N111" s="4">
        <f t="shared" ref="N111:O111" si="225">+N107*N109</f>
        <v>5.4105829592554517</v>
      </c>
      <c r="O111" s="4">
        <f t="shared" si="225"/>
        <v>5.4105829592554517</v>
      </c>
      <c r="P111" s="4">
        <f t="shared" ref="P111:Q111" si="226">+P107*P109</f>
        <v>4.6375219674054717</v>
      </c>
      <c r="Q111" s="4">
        <f t="shared" si="226"/>
        <v>4.6375219674054717</v>
      </c>
      <c r="R111" s="4">
        <f t="shared" ref="R111" si="227">+R107*R109</f>
        <v>5.8468351139147012</v>
      </c>
      <c r="S111" s="4">
        <f t="shared" ref="S111" si="228">+S107*S109</f>
        <v>5.8468351139147012</v>
      </c>
      <c r="T111" s="4">
        <f t="shared" ref="T111" si="229">+T107*T109</f>
        <v>5.8468351139147012</v>
      </c>
    </row>
    <row r="112" spans="1:20" x14ac:dyDescent="0.25">
      <c r="A112" s="2" t="s">
        <v>142</v>
      </c>
      <c r="C112" s="4">
        <f t="shared" ref="C112:T112" si="230">+C110/C47</f>
        <v>0.9761750846350401</v>
      </c>
      <c r="D112" s="4">
        <f t="shared" si="230"/>
        <v>1.4587196891714003</v>
      </c>
      <c r="E112" s="4">
        <f t="shared" si="230"/>
        <v>1.1128115557990981</v>
      </c>
      <c r="F112" s="4">
        <f t="shared" si="230"/>
        <v>1.4784578093393619</v>
      </c>
      <c r="G112" s="4">
        <f t="shared" si="230"/>
        <v>1.2792890648923803</v>
      </c>
      <c r="H112" s="4">
        <f t="shared" si="230"/>
        <v>1.511120784184244</v>
      </c>
      <c r="I112" s="4">
        <f t="shared" si="230"/>
        <v>1.3506209709521884</v>
      </c>
      <c r="J112" s="4">
        <f t="shared" si="230"/>
        <v>1.6754738498888226</v>
      </c>
      <c r="K112" s="4">
        <f t="shared" si="230"/>
        <v>1.8418754847810721</v>
      </c>
      <c r="L112" s="4">
        <f t="shared" si="230"/>
        <v>1.4661029209192833</v>
      </c>
      <c r="M112" s="4">
        <f t="shared" si="230"/>
        <v>1.6981868780798082</v>
      </c>
      <c r="N112" s="4">
        <f t="shared" si="230"/>
        <v>1.5914589073888623</v>
      </c>
      <c r="O112" s="4">
        <f t="shared" si="230"/>
        <v>1.7212078082112741</v>
      </c>
      <c r="P112" s="4">
        <f t="shared" si="230"/>
        <v>0.91339157377354085</v>
      </c>
      <c r="Q112" s="4">
        <f t="shared" si="230"/>
        <v>0.99605529711230234</v>
      </c>
      <c r="R112" s="4">
        <f t="shared" si="230"/>
        <v>1.443999372646728</v>
      </c>
      <c r="S112" s="4">
        <f t="shared" si="230"/>
        <v>1.808947257638581</v>
      </c>
      <c r="T112" s="4">
        <f t="shared" si="230"/>
        <v>1.9897913648499157</v>
      </c>
    </row>
    <row r="113" spans="1:20" x14ac:dyDescent="0.25">
      <c r="A113" s="2" t="s">
        <v>143</v>
      </c>
      <c r="C113" s="4">
        <f t="shared" ref="C113:T113" si="231">+C111/C47</f>
        <v>0.7312920479987518</v>
      </c>
      <c r="D113" s="4">
        <f t="shared" si="231"/>
        <v>0.7312920479987518</v>
      </c>
      <c r="E113" s="4">
        <f t="shared" si="231"/>
        <v>0.72457946864029732</v>
      </c>
      <c r="F113" s="4">
        <f t="shared" si="231"/>
        <v>0.72457946864029732</v>
      </c>
      <c r="G113" s="4">
        <f t="shared" si="231"/>
        <v>0.72457946864029732</v>
      </c>
      <c r="H113" s="4">
        <f t="shared" si="231"/>
        <v>0.72457946864029732</v>
      </c>
      <c r="I113" s="4">
        <f t="shared" si="231"/>
        <v>0.81158744388831772</v>
      </c>
      <c r="J113" s="4">
        <f t="shared" si="231"/>
        <v>0.81158744388831772</v>
      </c>
      <c r="K113" s="4">
        <f t="shared" si="231"/>
        <v>0.81158744388831772</v>
      </c>
      <c r="L113" s="4">
        <f t="shared" si="231"/>
        <v>0.81158744388831772</v>
      </c>
      <c r="M113" s="4">
        <f t="shared" si="231"/>
        <v>0.81158744388831772</v>
      </c>
      <c r="N113" s="4">
        <f t="shared" si="231"/>
        <v>0.81158744388831772</v>
      </c>
      <c r="O113" s="4">
        <f t="shared" si="231"/>
        <v>0.81158744388831772</v>
      </c>
      <c r="P113" s="4">
        <f t="shared" si="231"/>
        <v>0.69562829511082069</v>
      </c>
      <c r="Q113" s="4">
        <f t="shared" si="231"/>
        <v>0.69562829511082069</v>
      </c>
      <c r="R113" s="4">
        <f t="shared" si="231"/>
        <v>0.87702526708720518</v>
      </c>
      <c r="S113" s="4">
        <f t="shared" si="231"/>
        <v>0.87702526708720518</v>
      </c>
      <c r="T113" s="4">
        <f t="shared" si="231"/>
        <v>0.87702526708720518</v>
      </c>
    </row>
    <row r="114" spans="1:20" x14ac:dyDescent="0.25">
      <c r="A114" s="2" t="s">
        <v>128</v>
      </c>
      <c r="C114" s="4">
        <f>+SUM(C112:C113)</f>
        <v>1.7074671326337918</v>
      </c>
      <c r="D114" s="4">
        <f t="shared" ref="D114:E114" si="232">+SUM(D112:D113)</f>
        <v>2.1900117371701522</v>
      </c>
      <c r="E114" s="4">
        <f t="shared" si="232"/>
        <v>1.8373910244393954</v>
      </c>
      <c r="F114" s="4">
        <f t="shared" ref="F114:I114" si="233">+SUM(F112:F113)</f>
        <v>2.203037277979659</v>
      </c>
      <c r="G114" s="4">
        <f t="shared" si="233"/>
        <v>2.0038685335326774</v>
      </c>
      <c r="H114" s="4">
        <f t="shared" si="233"/>
        <v>2.2357002528245413</v>
      </c>
      <c r="I114" s="4">
        <f t="shared" si="233"/>
        <v>2.1622084148405061</v>
      </c>
      <c r="J114" s="4">
        <f t="shared" ref="J114" si="234">+SUM(J112:J113)</f>
        <v>2.4870612937771401</v>
      </c>
      <c r="K114" s="4">
        <f t="shared" ref="K114" si="235">+SUM(K112:K113)</f>
        <v>2.6534629286693896</v>
      </c>
      <c r="L114" s="4">
        <f t="shared" ref="L114" si="236">+SUM(L112:L113)</f>
        <v>2.2776903648076008</v>
      </c>
      <c r="M114" s="4">
        <f t="shared" ref="M114:O114" si="237">+SUM(M112:M113)</f>
        <v>2.5097743219681261</v>
      </c>
      <c r="N114" s="4">
        <f t="shared" si="237"/>
        <v>2.40304635127718</v>
      </c>
      <c r="O114" s="4">
        <f t="shared" si="237"/>
        <v>2.532795252099592</v>
      </c>
      <c r="P114" s="4">
        <f t="shared" ref="P114:Q114" si="238">+SUM(P112:P113)</f>
        <v>1.6090198688843615</v>
      </c>
      <c r="Q114" s="4">
        <f t="shared" si="238"/>
        <v>1.691683592223123</v>
      </c>
      <c r="R114" s="4">
        <f t="shared" ref="R114:S114" si="239">+SUM(R112:R113)</f>
        <v>2.3210246397339329</v>
      </c>
      <c r="S114" s="4">
        <f t="shared" si="239"/>
        <v>2.685972524725786</v>
      </c>
      <c r="T114" s="4">
        <f t="shared" ref="T114" si="240">+SUM(T112:T113)</f>
        <v>2.8668166319371209</v>
      </c>
    </row>
    <row r="116" spans="1:20" x14ac:dyDescent="0.25">
      <c r="A116" s="2" t="s">
        <v>144</v>
      </c>
    </row>
    <row r="117" spans="1:20" x14ac:dyDescent="0.25">
      <c r="A117" s="2" t="s">
        <v>133</v>
      </c>
      <c r="C117" s="4">
        <f>+C87*C90</f>
        <v>2.1473120777824084</v>
      </c>
      <c r="D117" s="4">
        <f t="shared" ref="D117:E117" si="241">+D87*D90</f>
        <v>3.2087752043249731</v>
      </c>
      <c r="E117" s="4">
        <f t="shared" si="241"/>
        <v>2.4705514464715352</v>
      </c>
      <c r="F117" s="4">
        <f t="shared" ref="F117:G117" si="242">+F87*F90</f>
        <v>3.2823222048477025</v>
      </c>
      <c r="G117" s="4">
        <f t="shared" si="242"/>
        <v>2.8401479417200433</v>
      </c>
      <c r="H117" s="4">
        <f t="shared" ref="H117:K117" si="243">+H87*H90</f>
        <v>3.3548372316090309</v>
      </c>
      <c r="I117" s="4">
        <f>+I87*I90</f>
        <v>16.400845541602969</v>
      </c>
      <c r="J117" s="4">
        <f t="shared" si="243"/>
        <v>20.345595405384994</v>
      </c>
      <c r="K117" s="4">
        <f t="shared" si="243"/>
        <v>22.366241886102642</v>
      </c>
      <c r="L117" s="4">
        <f t="shared" ref="L117" si="244">+L87*L90</f>
        <v>17.803164671090624</v>
      </c>
      <c r="M117" s="4">
        <f>+M87*M90</f>
        <v>20.621403996510157</v>
      </c>
      <c r="N117" s="4">
        <f t="shared" ref="N117:O117" si="245">+N87*N90</f>
        <v>19.325386090733915</v>
      </c>
      <c r="O117" s="4">
        <f t="shared" si="245"/>
        <v>20.900951499051914</v>
      </c>
      <c r="P117" s="4">
        <f t="shared" ref="P117:Q117" si="246">+P87*P90</f>
        <v>28.669277842816992</v>
      </c>
      <c r="Q117" s="4">
        <f t="shared" si="246"/>
        <v>31.263903543303567</v>
      </c>
      <c r="R117" s="4">
        <f t="shared" ref="R117" si="247">+R87*R90</f>
        <v>83.881980505039508</v>
      </c>
      <c r="S117" s="4">
        <f t="shared" ref="S117" si="248">+S87*S90</f>
        <v>105.08181753691564</v>
      </c>
      <c r="T117" s="4">
        <f t="shared" ref="T117" si="249">+T87*T90</f>
        <v>115.58705885689484</v>
      </c>
    </row>
    <row r="118" spans="1:20" x14ac:dyDescent="0.25">
      <c r="A118" s="2" t="s">
        <v>134</v>
      </c>
      <c r="C118" s="4">
        <f>+C88</f>
        <v>1.6086379090909095</v>
      </c>
      <c r="D118" s="4">
        <f t="shared" ref="D118:E118" si="250">+D88</f>
        <v>1.6086379090909095</v>
      </c>
      <c r="E118" s="4">
        <f t="shared" si="250"/>
        <v>1.6086379090909095</v>
      </c>
      <c r="F118" s="4">
        <f t="shared" ref="F118:G118" si="251">+F88</f>
        <v>1.6086379090909095</v>
      </c>
      <c r="G118" s="4">
        <f t="shared" si="251"/>
        <v>1.6086379090909095</v>
      </c>
      <c r="H118" s="4">
        <f t="shared" ref="H118:K118" si="252">+H88</f>
        <v>1.6086379090909095</v>
      </c>
      <c r="I118" s="4">
        <f t="shared" si="252"/>
        <v>9.8552596153846181</v>
      </c>
      <c r="J118" s="4">
        <f t="shared" si="252"/>
        <v>9.8552596153846181</v>
      </c>
      <c r="K118" s="4">
        <f t="shared" si="252"/>
        <v>9.8552596153846181</v>
      </c>
      <c r="L118" s="4">
        <f t="shared" ref="L118" si="253">+L88</f>
        <v>9.8552596153846181</v>
      </c>
      <c r="M118" s="4">
        <f>+M88</f>
        <v>9.8552596153846181</v>
      </c>
      <c r="N118" s="4">
        <f t="shared" ref="N118:O118" si="254">+N88</f>
        <v>9.8552596153846181</v>
      </c>
      <c r="O118" s="4">
        <f t="shared" si="254"/>
        <v>9.8552596153846181</v>
      </c>
      <c r="P118" s="4">
        <f t="shared" ref="P118:Q118" si="255">+P88</f>
        <v>21.834185294117642</v>
      </c>
      <c r="Q118" s="4">
        <f t="shared" si="255"/>
        <v>21.834185294117642</v>
      </c>
      <c r="R118" s="4">
        <f t="shared" ref="R118" si="256">+R88</f>
        <v>50.946432352941166</v>
      </c>
      <c r="S118" s="4">
        <f t="shared" ref="S118" si="257">+S88</f>
        <v>50.946432352941166</v>
      </c>
      <c r="T118" s="4">
        <f t="shared" ref="T118" si="258">+T88</f>
        <v>50.946432352941166</v>
      </c>
    </row>
    <row r="119" spans="1:20" x14ac:dyDescent="0.25">
      <c r="A119" s="2" t="s">
        <v>135</v>
      </c>
      <c r="C119" s="4">
        <f>+C117*1000/C76</f>
        <v>19.892921830273007</v>
      </c>
      <c r="D119" s="4">
        <f t="shared" ref="D119:E119" si="259">+D117*1000/D76</f>
        <v>29.72642634063515</v>
      </c>
      <c r="E119" s="4">
        <f t="shared" si="259"/>
        <v>22.677359461199803</v>
      </c>
      <c r="F119" s="4">
        <f t="shared" ref="F119:G119" si="260">+F117*1000/F76</f>
        <v>30.128658366178591</v>
      </c>
      <c r="G119" s="4">
        <f t="shared" si="260"/>
        <v>26.069910784233588</v>
      </c>
      <c r="H119" s="4">
        <f t="shared" ref="H119:K119" si="261">+H117*1000/H76</f>
        <v>30.79427872010961</v>
      </c>
      <c r="I119" s="4">
        <f>+I117*1000/I76</f>
        <v>27.52354349171317</v>
      </c>
      <c r="J119" s="4">
        <f t="shared" si="261"/>
        <v>34.14353720876408</v>
      </c>
      <c r="K119" s="4">
        <f t="shared" si="261"/>
        <v>37.534542334221392</v>
      </c>
      <c r="L119" s="4">
        <f t="shared" ref="L119" si="262">+L117*1000/L76</f>
        <v>29.876885058878646</v>
      </c>
      <c r="M119" s="4">
        <f>+M117*1000/M76</f>
        <v>34.606393208106645</v>
      </c>
      <c r="N119" s="4">
        <f t="shared" ref="N119:O119" si="263">+N117*1000/N76</f>
        <v>32.431444050443574</v>
      </c>
      <c r="O119" s="4">
        <f t="shared" si="263"/>
        <v>35.075523767545825</v>
      </c>
      <c r="P119" s="4">
        <f t="shared" ref="P119:Q119" si="264">+P117*1000/P76</f>
        <v>18.613492050250663</v>
      </c>
      <c r="Q119" s="4">
        <f t="shared" si="264"/>
        <v>20.298049474897589</v>
      </c>
      <c r="R119" s="4">
        <f t="shared" ref="R119" si="265">+R117*1000/R76</f>
        <v>29.426449307261407</v>
      </c>
      <c r="S119" s="4">
        <f t="shared" ref="S119" si="266">+S117*1000/S76</f>
        <v>36.863516553226432</v>
      </c>
      <c r="T119" s="4">
        <f t="shared" ref="T119" si="267">+T117*1000/T76</f>
        <v>40.548836681598267</v>
      </c>
    </row>
    <row r="120" spans="1:20" x14ac:dyDescent="0.25">
      <c r="A120" s="2" t="s">
        <v>136</v>
      </c>
      <c r="C120" s="4">
        <f>+C118*1000/C76</f>
        <v>14.902588454588832</v>
      </c>
      <c r="D120" s="4">
        <f t="shared" ref="D120:E120" si="268">+D118*1000/D76</f>
        <v>14.902588454588832</v>
      </c>
      <c r="E120" s="4">
        <f t="shared" si="268"/>
        <v>14.765796583377366</v>
      </c>
      <c r="F120" s="4">
        <f t="shared" ref="F120:G120" si="269">+F118*1000/F76</f>
        <v>14.765796583377366</v>
      </c>
      <c r="G120" s="4">
        <f t="shared" si="269"/>
        <v>14.765796583377366</v>
      </c>
      <c r="H120" s="4">
        <f t="shared" ref="H120:K120" si="270">+H118*1000/H76</f>
        <v>14.765796583377366</v>
      </c>
      <c r="I120" s="4">
        <f t="shared" si="270"/>
        <v>16.538883069052527</v>
      </c>
      <c r="J120" s="4">
        <f t="shared" si="270"/>
        <v>16.538883069052527</v>
      </c>
      <c r="K120" s="4">
        <f t="shared" si="270"/>
        <v>16.538883069052527</v>
      </c>
      <c r="L120" s="4">
        <f t="shared" ref="L120" si="271">+L118*1000/L76</f>
        <v>16.538883069052527</v>
      </c>
      <c r="M120" s="4">
        <f>+M118*1000/M76</f>
        <v>16.538883069052527</v>
      </c>
      <c r="N120" s="4">
        <f>+N118*1000/N76</f>
        <v>16.538883069052527</v>
      </c>
      <c r="O120" s="4">
        <f>+O118*1000/O76</f>
        <v>16.538883069052527</v>
      </c>
      <c r="P120" s="4">
        <f t="shared" ref="P120:Q120" si="272">+P118*1000/P76</f>
        <v>14.175816936302205</v>
      </c>
      <c r="Q120" s="4">
        <f t="shared" si="272"/>
        <v>14.175816936302205</v>
      </c>
      <c r="R120" s="4">
        <f t="shared" ref="R120" si="273">+R118*1000/R76</f>
        <v>17.872403584099658</v>
      </c>
      <c r="S120" s="4">
        <f t="shared" ref="S120" si="274">+S118*1000/S76</f>
        <v>17.872403584099658</v>
      </c>
      <c r="T120" s="4">
        <f t="shared" ref="T120" si="275">+T118*1000/T76</f>
        <v>17.872403584099658</v>
      </c>
    </row>
    <row r="121" spans="1:20" x14ac:dyDescent="0.25">
      <c r="A121" s="2" t="s">
        <v>145</v>
      </c>
      <c r="C121" s="4">
        <f>+C78</f>
        <v>0</v>
      </c>
      <c r="D121" s="4">
        <f t="shared" ref="D121:T121" si="276">+D78</f>
        <v>0</v>
      </c>
      <c r="E121" s="4">
        <f t="shared" si="276"/>
        <v>7.8022077093555966</v>
      </c>
      <c r="F121" s="4">
        <f t="shared" si="276"/>
        <v>7.8022077093555966</v>
      </c>
      <c r="G121" s="4">
        <f t="shared" si="276"/>
        <v>7.8022077093555966</v>
      </c>
      <c r="H121" s="4">
        <f t="shared" si="276"/>
        <v>7.8022077093555966</v>
      </c>
      <c r="I121" s="4">
        <f t="shared" si="276"/>
        <v>4.279354727525158</v>
      </c>
      <c r="J121" s="4">
        <f t="shared" si="276"/>
        <v>4.279354727525158</v>
      </c>
      <c r="K121" s="4">
        <f t="shared" si="276"/>
        <v>4.279354727525158</v>
      </c>
      <c r="L121" s="4">
        <f t="shared" si="276"/>
        <v>4.279354727525158</v>
      </c>
      <c r="M121" s="4">
        <f t="shared" si="276"/>
        <v>4.279354727525158</v>
      </c>
      <c r="N121" s="4">
        <f t="shared" si="276"/>
        <v>4.279354727525158</v>
      </c>
      <c r="O121" s="4">
        <f t="shared" si="276"/>
        <v>4.279354727525158</v>
      </c>
      <c r="P121" s="4">
        <f t="shared" si="276"/>
        <v>0</v>
      </c>
      <c r="Q121" s="4">
        <f t="shared" si="276"/>
        <v>0</v>
      </c>
      <c r="R121" s="4">
        <f t="shared" si="276"/>
        <v>14.90932960844283</v>
      </c>
      <c r="S121" s="4">
        <f t="shared" si="276"/>
        <v>14.90932960844283</v>
      </c>
      <c r="T121" s="4">
        <f t="shared" si="276"/>
        <v>14.90932960844283</v>
      </c>
    </row>
    <row r="122" spans="1:20" x14ac:dyDescent="0.25">
      <c r="A122" s="2" t="s">
        <v>146</v>
      </c>
      <c r="C122" s="4">
        <f>+C119+C120+C121</f>
        <v>34.795510284861841</v>
      </c>
      <c r="D122" s="4">
        <f t="shared" ref="D122:E122" si="277">+D119+D120</f>
        <v>44.629014795223981</v>
      </c>
      <c r="E122" s="4">
        <f t="shared" si="277"/>
        <v>37.443156044577165</v>
      </c>
      <c r="F122" s="4">
        <f t="shared" ref="F122:G122" si="278">+F119+F120</f>
        <v>44.894454949555957</v>
      </c>
      <c r="G122" s="4">
        <f t="shared" si="278"/>
        <v>40.835707367610951</v>
      </c>
      <c r="H122" s="4">
        <f t="shared" ref="H122:K122" si="279">+H119+H120</f>
        <v>45.560075303486975</v>
      </c>
      <c r="I122" s="4">
        <f>+I119+I120</f>
        <v>44.062426560765701</v>
      </c>
      <c r="J122" s="4">
        <f t="shared" si="279"/>
        <v>50.682420277816604</v>
      </c>
      <c r="K122" s="4">
        <f t="shared" si="279"/>
        <v>54.073425403273916</v>
      </c>
      <c r="L122" s="4">
        <f t="shared" ref="L122" si="280">+L119+L120</f>
        <v>46.415768127931173</v>
      </c>
      <c r="M122" s="4">
        <f>+M119+M120</f>
        <v>51.145276277159169</v>
      </c>
      <c r="N122" s="4">
        <f>+N119+N120</f>
        <v>48.970327119496105</v>
      </c>
      <c r="O122" s="4">
        <f>+O119+O120</f>
        <v>51.614406836598349</v>
      </c>
      <c r="P122" s="4">
        <f t="shared" ref="P122:Q122" si="281">+P119+P120</f>
        <v>32.789308986552868</v>
      </c>
      <c r="Q122" s="4">
        <f t="shared" si="281"/>
        <v>34.473866411199793</v>
      </c>
      <c r="R122" s="4">
        <f t="shared" ref="R122:S122" si="282">+R119+R120</f>
        <v>47.298852891361065</v>
      </c>
      <c r="S122" s="4">
        <f t="shared" si="282"/>
        <v>54.73592013732609</v>
      </c>
      <c r="T122" s="4">
        <f t="shared" ref="T122" si="283">+T119+T120</f>
        <v>58.421240265697925</v>
      </c>
    </row>
    <row r="123" spans="1:20" x14ac:dyDescent="0.25">
      <c r="A123" s="2" t="s">
        <v>147</v>
      </c>
      <c r="C123" s="4">
        <f>+C122+C121</f>
        <v>34.795510284861841</v>
      </c>
      <c r="D123" s="4">
        <f t="shared" ref="D123:T123" si="284">+D122+D121</f>
        <v>44.629014795223981</v>
      </c>
      <c r="E123" s="4">
        <f t="shared" si="284"/>
        <v>45.245363753932764</v>
      </c>
      <c r="F123" s="4">
        <f t="shared" si="284"/>
        <v>52.696662658911556</v>
      </c>
      <c r="G123" s="4">
        <f t="shared" si="284"/>
        <v>48.63791507696655</v>
      </c>
      <c r="H123" s="4">
        <f t="shared" si="284"/>
        <v>53.362283012842575</v>
      </c>
      <c r="I123" s="4">
        <f t="shared" si="284"/>
        <v>48.341781288290861</v>
      </c>
      <c r="J123" s="4">
        <f t="shared" si="284"/>
        <v>54.961775005341764</v>
      </c>
      <c r="K123" s="4">
        <f t="shared" si="284"/>
        <v>58.352780130799076</v>
      </c>
      <c r="L123" s="4">
        <f t="shared" si="284"/>
        <v>50.695122855456333</v>
      </c>
      <c r="M123" s="4">
        <f t="shared" si="284"/>
        <v>55.424631004684329</v>
      </c>
      <c r="N123" s="4">
        <f t="shared" si="284"/>
        <v>53.249681847021265</v>
      </c>
      <c r="O123" s="4">
        <f t="shared" si="284"/>
        <v>55.893761564123508</v>
      </c>
      <c r="P123" s="4">
        <f t="shared" si="284"/>
        <v>32.789308986552868</v>
      </c>
      <c r="Q123" s="4">
        <f t="shared" si="284"/>
        <v>34.473866411199793</v>
      </c>
      <c r="R123" s="4">
        <f t="shared" si="284"/>
        <v>62.208182499803897</v>
      </c>
      <c r="S123" s="4">
        <f t="shared" si="284"/>
        <v>69.645249745768922</v>
      </c>
      <c r="T123" s="4">
        <f t="shared" si="284"/>
        <v>73.33056987414075</v>
      </c>
    </row>
    <row r="124" spans="1:20" x14ac:dyDescent="0.25">
      <c r="A124" s="2" t="s">
        <v>148</v>
      </c>
      <c r="B124" s="2" t="s">
        <v>149</v>
      </c>
      <c r="C124" s="3">
        <v>0.73</v>
      </c>
      <c r="D124" s="3">
        <v>0.73</v>
      </c>
      <c r="E124" s="3">
        <v>0.73</v>
      </c>
      <c r="F124" s="3">
        <v>0.73</v>
      </c>
      <c r="G124" s="3">
        <v>0.73</v>
      </c>
      <c r="H124" s="3">
        <v>0.73</v>
      </c>
      <c r="I124" s="3">
        <v>0.73</v>
      </c>
      <c r="J124" s="3">
        <v>0.73</v>
      </c>
      <c r="K124" s="3">
        <v>0.73</v>
      </c>
      <c r="L124" s="3">
        <v>0.73</v>
      </c>
      <c r="M124" s="3">
        <v>0.73</v>
      </c>
      <c r="N124" s="3">
        <v>0.73</v>
      </c>
      <c r="O124" s="3">
        <v>0.73</v>
      </c>
      <c r="P124" s="3">
        <v>0.73</v>
      </c>
      <c r="Q124" s="3">
        <v>0.73</v>
      </c>
      <c r="R124" s="3">
        <v>0.73</v>
      </c>
      <c r="S124" s="3">
        <v>0.73</v>
      </c>
      <c r="T124" s="3">
        <v>0.73</v>
      </c>
    </row>
    <row r="125" spans="1:20" x14ac:dyDescent="0.25">
      <c r="A125" s="2" t="s">
        <v>150</v>
      </c>
      <c r="C125" s="3">
        <v>335</v>
      </c>
      <c r="D125" s="3">
        <v>335</v>
      </c>
      <c r="E125" s="3">
        <v>335</v>
      </c>
      <c r="F125" s="3">
        <v>335</v>
      </c>
      <c r="G125" s="3">
        <v>335</v>
      </c>
      <c r="H125" s="3">
        <v>335</v>
      </c>
      <c r="I125" s="3">
        <v>335</v>
      </c>
      <c r="J125" s="3">
        <v>335</v>
      </c>
      <c r="K125" s="3">
        <v>335</v>
      </c>
      <c r="L125" s="3">
        <v>335</v>
      </c>
      <c r="M125" s="3">
        <v>335</v>
      </c>
      <c r="N125" s="3">
        <v>335</v>
      </c>
      <c r="O125" s="3">
        <v>335</v>
      </c>
      <c r="P125" s="3">
        <v>335</v>
      </c>
      <c r="Q125" s="3">
        <v>335</v>
      </c>
      <c r="R125" s="3">
        <v>335</v>
      </c>
      <c r="S125" s="3">
        <v>335</v>
      </c>
      <c r="T125" s="3">
        <v>335</v>
      </c>
    </row>
    <row r="126" spans="1:20" x14ac:dyDescent="0.25">
      <c r="A126" s="2" t="s">
        <v>151</v>
      </c>
      <c r="C126" s="3">
        <v>0.55000000000000004</v>
      </c>
      <c r="D126" s="3">
        <v>0.55000000000000004</v>
      </c>
      <c r="E126" s="3">
        <v>0.55000000000000004</v>
      </c>
      <c r="F126" s="3">
        <v>0.55000000000000004</v>
      </c>
      <c r="G126" s="3">
        <v>0.55000000000000004</v>
      </c>
      <c r="H126" s="3">
        <v>0.55000000000000004</v>
      </c>
      <c r="I126" s="3">
        <v>0.55000000000000004</v>
      </c>
      <c r="J126" s="3">
        <v>0.55000000000000004</v>
      </c>
      <c r="K126" s="3">
        <v>0.55000000000000004</v>
      </c>
      <c r="L126" s="3">
        <v>0.55000000000000004</v>
      </c>
      <c r="M126" s="3">
        <v>0.55000000000000004</v>
      </c>
      <c r="N126" s="3">
        <v>0.55000000000000004</v>
      </c>
      <c r="O126" s="3">
        <v>0.55000000000000004</v>
      </c>
      <c r="P126" s="3">
        <v>0.55000000000000004</v>
      </c>
      <c r="Q126" s="3">
        <v>0.55000000000000004</v>
      </c>
      <c r="R126" s="3">
        <v>0.55000000000000004</v>
      </c>
      <c r="S126" s="3">
        <v>0.55000000000000004</v>
      </c>
      <c r="T126" s="3">
        <v>0.55000000000000004</v>
      </c>
    </row>
    <row r="127" spans="1:20" x14ac:dyDescent="0.25">
      <c r="A127" s="2" t="s">
        <v>152</v>
      </c>
      <c r="C127" s="3">
        <v>0.71699999999999997</v>
      </c>
      <c r="D127" s="3">
        <v>0.71699999999999997</v>
      </c>
      <c r="E127" s="3">
        <v>0.71699999999999997</v>
      </c>
      <c r="F127" s="3">
        <v>0.71699999999999997</v>
      </c>
      <c r="G127" s="3">
        <v>0.71699999999999997</v>
      </c>
      <c r="H127" s="3">
        <v>0.71699999999999997</v>
      </c>
      <c r="I127" s="3">
        <v>0.71699999999999997</v>
      </c>
      <c r="J127" s="3">
        <v>0.71699999999999997</v>
      </c>
      <c r="K127" s="3">
        <v>0.71699999999999997</v>
      </c>
      <c r="L127" s="3">
        <v>0.71699999999999997</v>
      </c>
      <c r="M127" s="3">
        <v>0.71699999999999997</v>
      </c>
      <c r="N127" s="3">
        <v>0.71699999999999997</v>
      </c>
      <c r="O127" s="3">
        <v>0.71699999999999997</v>
      </c>
      <c r="P127" s="3">
        <v>0.71699999999999997</v>
      </c>
      <c r="Q127" s="3">
        <v>0.71699999999999997</v>
      </c>
      <c r="R127" s="3">
        <v>0.71699999999999997</v>
      </c>
      <c r="S127" s="3">
        <v>0.71699999999999997</v>
      </c>
      <c r="T127" s="3">
        <v>0.71699999999999997</v>
      </c>
    </row>
    <row r="128" spans="1:20" x14ac:dyDescent="0.25">
      <c r="A128" s="2" t="s">
        <v>153</v>
      </c>
      <c r="C128" s="4">
        <f>+C125*C127/1000</f>
        <v>0.24019499999999999</v>
      </c>
      <c r="D128" s="4">
        <f t="shared" ref="D128:T128" si="285">+D125*D127/1000</f>
        <v>0.24019499999999999</v>
      </c>
      <c r="E128" s="4">
        <f t="shared" si="285"/>
        <v>0.24019499999999999</v>
      </c>
      <c r="F128" s="4">
        <f t="shared" si="285"/>
        <v>0.24019499999999999</v>
      </c>
      <c r="G128" s="4">
        <f t="shared" si="285"/>
        <v>0.24019499999999999</v>
      </c>
      <c r="H128" s="4">
        <f t="shared" si="285"/>
        <v>0.24019499999999999</v>
      </c>
      <c r="I128" s="4">
        <f t="shared" si="285"/>
        <v>0.24019499999999999</v>
      </c>
      <c r="J128" s="4">
        <f t="shared" si="285"/>
        <v>0.24019499999999999</v>
      </c>
      <c r="K128" s="4">
        <f t="shared" si="285"/>
        <v>0.24019499999999999</v>
      </c>
      <c r="L128" s="4">
        <f t="shared" si="285"/>
        <v>0.24019499999999999</v>
      </c>
      <c r="M128" s="4">
        <f t="shared" si="285"/>
        <v>0.24019499999999999</v>
      </c>
      <c r="N128" s="4">
        <f t="shared" si="285"/>
        <v>0.24019499999999999</v>
      </c>
      <c r="O128" s="4">
        <f t="shared" si="285"/>
        <v>0.24019499999999999</v>
      </c>
      <c r="P128" s="4">
        <f t="shared" si="285"/>
        <v>0.24019499999999999</v>
      </c>
      <c r="Q128" s="4">
        <f t="shared" si="285"/>
        <v>0.24019499999999999</v>
      </c>
      <c r="R128" s="4">
        <f t="shared" si="285"/>
        <v>0.24019499999999999</v>
      </c>
      <c r="S128" s="4">
        <f t="shared" si="285"/>
        <v>0.24019499999999999</v>
      </c>
      <c r="T128" s="4">
        <f t="shared" si="285"/>
        <v>0.24019499999999999</v>
      </c>
    </row>
    <row r="129" spans="1:20" x14ac:dyDescent="0.25">
      <c r="A129" s="2" t="s">
        <v>154</v>
      </c>
      <c r="C129" s="72">
        <f>+C128*C122</f>
        <v>8.357707592872389</v>
      </c>
      <c r="D129" s="4">
        <f t="shared" ref="D129:T129" si="286">+D128*D122</f>
        <v>10.719666208738824</v>
      </c>
      <c r="E129" s="4">
        <f t="shared" si="286"/>
        <v>8.9936588661272125</v>
      </c>
      <c r="F129" s="4">
        <f t="shared" si="286"/>
        <v>10.783423606608594</v>
      </c>
      <c r="G129" s="4">
        <f t="shared" si="286"/>
        <v>9.8085327311633126</v>
      </c>
      <c r="H129" s="4">
        <f t="shared" si="286"/>
        <v>10.943302287521053</v>
      </c>
      <c r="I129" s="4">
        <f t="shared" si="286"/>
        <v>10.583574547763117</v>
      </c>
      <c r="J129" s="4">
        <f t="shared" si="286"/>
        <v>12.173663938630158</v>
      </c>
      <c r="K129" s="4">
        <f t="shared" si="286"/>
        <v>12.988166414739378</v>
      </c>
      <c r="L129" s="4">
        <f t="shared" si="286"/>
        <v>11.148835425488429</v>
      </c>
      <c r="M129" s="4">
        <f t="shared" si="286"/>
        <v>12.284839635392247</v>
      </c>
      <c r="N129" s="4">
        <f t="shared" si="286"/>
        <v>11.762427722467367</v>
      </c>
      <c r="O129" s="4">
        <f t="shared" si="286"/>
        <v>12.397522450116741</v>
      </c>
      <c r="P129" s="4">
        <f t="shared" si="286"/>
        <v>7.8758280720250662</v>
      </c>
      <c r="Q129" s="4">
        <f t="shared" si="286"/>
        <v>8.2804503426381348</v>
      </c>
      <c r="R129" s="4">
        <f t="shared" si="286"/>
        <v>11.360947970240471</v>
      </c>
      <c r="S129" s="4">
        <f t="shared" si="286"/>
        <v>13.147294337385039</v>
      </c>
      <c r="T129" s="4">
        <f t="shared" si="286"/>
        <v>14.032489805619313</v>
      </c>
    </row>
    <row r="130" spans="1:20" x14ac:dyDescent="0.25">
      <c r="A130" s="2" t="s">
        <v>155</v>
      </c>
      <c r="B130" s="2" t="s">
        <v>156</v>
      </c>
      <c r="C130" s="72">
        <f>+C123*C128</f>
        <v>8.357707592872389</v>
      </c>
      <c r="D130" s="72">
        <f t="shared" ref="D130:T130" si="287">+D123*D128</f>
        <v>10.719666208738824</v>
      </c>
      <c r="E130" s="72">
        <f t="shared" si="287"/>
        <v>10.867710146875879</v>
      </c>
      <c r="F130" s="72">
        <f t="shared" si="287"/>
        <v>12.65747488735726</v>
      </c>
      <c r="G130" s="72">
        <f t="shared" si="287"/>
        <v>11.682584011911979</v>
      </c>
      <c r="H130" s="72">
        <f t="shared" si="287"/>
        <v>12.817353568269722</v>
      </c>
      <c r="I130" s="72">
        <f t="shared" si="287"/>
        <v>11.611454156541022</v>
      </c>
      <c r="J130" s="72">
        <f t="shared" si="287"/>
        <v>13.201543547408065</v>
      </c>
      <c r="K130" s="72">
        <f t="shared" si="287"/>
        <v>14.016046023517283</v>
      </c>
      <c r="L130" s="72">
        <f t="shared" si="287"/>
        <v>12.176715034266334</v>
      </c>
      <c r="M130" s="72">
        <f t="shared" si="287"/>
        <v>13.312719244170152</v>
      </c>
      <c r="N130" s="72">
        <f t="shared" si="287"/>
        <v>12.790307331245272</v>
      </c>
      <c r="O130" s="72">
        <f t="shared" si="287"/>
        <v>13.425402058894646</v>
      </c>
      <c r="P130" s="72">
        <f t="shared" si="287"/>
        <v>7.8758280720250662</v>
      </c>
      <c r="Q130" s="72">
        <f t="shared" si="287"/>
        <v>8.2804503426381348</v>
      </c>
      <c r="R130" s="72">
        <f t="shared" si="287"/>
        <v>14.942094395540396</v>
      </c>
      <c r="S130" s="72">
        <f t="shared" si="287"/>
        <v>16.728440762684965</v>
      </c>
      <c r="T130" s="72">
        <f t="shared" si="287"/>
        <v>17.613636230919237</v>
      </c>
    </row>
    <row r="131" spans="1:20" x14ac:dyDescent="0.25">
      <c r="A131" s="2" t="s">
        <v>157</v>
      </c>
      <c r="C131" s="4">
        <f>+C122*(1-C124)</f>
        <v>9.3947877769126968</v>
      </c>
      <c r="D131" s="4">
        <f t="shared" ref="D131:T131" si="288">+D122*(1-D124)</f>
        <v>12.049833994710475</v>
      </c>
      <c r="E131" s="4">
        <f t="shared" si="288"/>
        <v>10.109652132035835</v>
      </c>
      <c r="F131" s="4">
        <f t="shared" si="288"/>
        <v>12.12150283638011</v>
      </c>
      <c r="G131" s="4">
        <f t="shared" si="288"/>
        <v>11.025640989254958</v>
      </c>
      <c r="H131" s="4">
        <f t="shared" si="288"/>
        <v>12.301220331941485</v>
      </c>
      <c r="I131" s="4">
        <f t="shared" si="288"/>
        <v>11.89685517140674</v>
      </c>
      <c r="J131" s="4">
        <f t="shared" si="288"/>
        <v>13.684253475010484</v>
      </c>
      <c r="K131" s="4">
        <f t="shared" si="288"/>
        <v>14.599824858883958</v>
      </c>
      <c r="L131" s="4">
        <f t="shared" si="288"/>
        <v>12.532257394541418</v>
      </c>
      <c r="M131" s="4">
        <f t="shared" si="288"/>
        <v>13.809224594832976</v>
      </c>
      <c r="N131" s="4">
        <f t="shared" si="288"/>
        <v>13.221988322263948</v>
      </c>
      <c r="O131" s="4">
        <f t="shared" si="288"/>
        <v>13.935889845881555</v>
      </c>
      <c r="P131" s="4">
        <f t="shared" si="288"/>
        <v>8.8531134263692746</v>
      </c>
      <c r="Q131" s="4">
        <f t="shared" si="288"/>
        <v>9.307943931023944</v>
      </c>
      <c r="R131" s="4">
        <f t="shared" si="288"/>
        <v>12.770690280667488</v>
      </c>
      <c r="S131" s="4">
        <f t="shared" si="288"/>
        <v>14.778698437078045</v>
      </c>
      <c r="T131" s="4">
        <f t="shared" si="288"/>
        <v>15.773734871738441</v>
      </c>
    </row>
    <row r="132" spans="1:20" x14ac:dyDescent="0.25">
      <c r="A132" s="2" t="s">
        <v>158</v>
      </c>
      <c r="B132" s="2" t="s">
        <v>159</v>
      </c>
      <c r="C132" s="3">
        <f t="shared" ref="C132:H132" si="289">+VS_tot_omsat_lager_afg</f>
        <v>0.13092377276210895</v>
      </c>
      <c r="D132" s="3">
        <f t="shared" si="289"/>
        <v>0.13092377276210895</v>
      </c>
      <c r="E132" s="3">
        <f>+VS_tot_omsat_lager_afg</f>
        <v>0.13092377276210895</v>
      </c>
      <c r="F132" s="3">
        <f t="shared" si="289"/>
        <v>0.13092377276210895</v>
      </c>
      <c r="G132" s="3">
        <f t="shared" si="289"/>
        <v>0.13092377276210895</v>
      </c>
      <c r="H132" s="3">
        <f t="shared" si="289"/>
        <v>0.13092377276210895</v>
      </c>
      <c r="I132" s="3">
        <f t="shared" ref="I132:T132" si="290">+VS_tot_omsat_lager_afg</f>
        <v>0.13092377276210895</v>
      </c>
      <c r="J132" s="3">
        <f t="shared" si="290"/>
        <v>0.13092377276210895</v>
      </c>
      <c r="K132" s="3">
        <f t="shared" si="290"/>
        <v>0.13092377276210895</v>
      </c>
      <c r="L132" s="3">
        <f t="shared" si="290"/>
        <v>0.13092377276210895</v>
      </c>
      <c r="M132" s="3">
        <f t="shared" si="290"/>
        <v>0.13092377276210895</v>
      </c>
      <c r="N132" s="3">
        <f t="shared" si="290"/>
        <v>0.13092377276210895</v>
      </c>
      <c r="O132" s="3">
        <f t="shared" si="290"/>
        <v>0.13092377276210895</v>
      </c>
      <c r="P132" s="3">
        <f t="shared" si="290"/>
        <v>0.13092377276210895</v>
      </c>
      <c r="Q132" s="3">
        <f t="shared" si="290"/>
        <v>0.13092377276210895</v>
      </c>
      <c r="R132" s="3">
        <f t="shared" si="290"/>
        <v>0.13092377276210895</v>
      </c>
      <c r="S132" s="3">
        <f t="shared" si="290"/>
        <v>0.13092377276210895</v>
      </c>
      <c r="T132" s="3">
        <f t="shared" si="290"/>
        <v>0.13092377276210895</v>
      </c>
    </row>
    <row r="133" spans="1:20" x14ac:dyDescent="0.25">
      <c r="A133" s="2" t="s">
        <v>160</v>
      </c>
      <c r="C133" s="4">
        <f>+C131*C132</f>
        <v>1.2300010600527567</v>
      </c>
      <c r="D133" s="4">
        <f t="shared" ref="D133:E133" si="291">+D131*D132</f>
        <v>1.5776097277446099</v>
      </c>
      <c r="E133" s="4">
        <f t="shared" si="291"/>
        <v>1.3235937984386299</v>
      </c>
      <c r="F133" s="4">
        <f t="shared" ref="F133:G133" si="292">+F131*F132</f>
        <v>1.5869928828854887</v>
      </c>
      <c r="G133" s="4">
        <f t="shared" si="292"/>
        <v>1.4435185154338104</v>
      </c>
      <c r="H133" s="4">
        <f t="shared" ref="H133:K133" si="293">+H131*H132</f>
        <v>1.6105221754357415</v>
      </c>
      <c r="I133" s="4">
        <f t="shared" si="293"/>
        <v>1.5575811630449767</v>
      </c>
      <c r="J133" s="4">
        <f t="shared" si="293"/>
        <v>1.7915940923813725</v>
      </c>
      <c r="K133" s="4">
        <f t="shared" si="293"/>
        <v>1.9114641521911127</v>
      </c>
      <c r="L133" s="4">
        <f t="shared" ref="L133" si="294">+L131*L132</f>
        <v>1.6407704193192001</v>
      </c>
      <c r="M133" s="4">
        <f>+M131*M132</f>
        <v>1.8079557828748387</v>
      </c>
      <c r="N133" s="4">
        <f t="shared" ref="N133:O133" si="295">+N131*N132</f>
        <v>1.7310725945673433</v>
      </c>
      <c r="O133" s="4">
        <f t="shared" si="295"/>
        <v>1.8245392754199783</v>
      </c>
      <c r="P133" s="4">
        <f t="shared" ref="P133:Q133" si="296">+P131*P132</f>
        <v>1.1590830104711467</v>
      </c>
      <c r="Q133" s="4">
        <f t="shared" si="296"/>
        <v>1.2186311361078299</v>
      </c>
      <c r="R133" s="4">
        <f t="shared" ref="R133:S133" si="297">+R131*R132</f>
        <v>1.6719869523213835</v>
      </c>
      <c r="S133" s="4">
        <f t="shared" si="297"/>
        <v>1.9348829558957408</v>
      </c>
      <c r="T133" s="4">
        <f t="shared" ref="T133" si="298">+T131*T132</f>
        <v>2.0651568799572373</v>
      </c>
    </row>
    <row r="134" spans="1:20" x14ac:dyDescent="0.25">
      <c r="A134" s="2" t="s">
        <v>128</v>
      </c>
      <c r="C134" s="4">
        <f t="shared" ref="C134:T134" si="299">+C133/C48</f>
        <v>7.3800063603165392E-2</v>
      </c>
      <c r="D134" s="4">
        <f t="shared" si="299"/>
        <v>9.4656583664676594E-2</v>
      </c>
      <c r="E134" s="4">
        <f t="shared" si="299"/>
        <v>7.9415627906317787E-2</v>
      </c>
      <c r="F134" s="4">
        <f t="shared" si="299"/>
        <v>9.5219572973129316E-2</v>
      </c>
      <c r="G134" s="4">
        <f t="shared" si="299"/>
        <v>8.661111092602862E-2</v>
      </c>
      <c r="H134" s="4">
        <f t="shared" si="299"/>
        <v>9.6631330526144477E-2</v>
      </c>
      <c r="I134" s="4">
        <f t="shared" si="299"/>
        <v>9.3454869782698596E-2</v>
      </c>
      <c r="J134" s="4">
        <f t="shared" si="299"/>
        <v>0.10749564554288234</v>
      </c>
      <c r="K134" s="4">
        <f t="shared" si="299"/>
        <v>0.11468784913146675</v>
      </c>
      <c r="L134" s="4">
        <f t="shared" si="299"/>
        <v>9.8446225159151995E-2</v>
      </c>
      <c r="M134" s="4">
        <f t="shared" si="299"/>
        <v>0.10847734697249031</v>
      </c>
      <c r="N134" s="4">
        <f t="shared" si="299"/>
        <v>0.10386435567404059</v>
      </c>
      <c r="O134" s="4">
        <f t="shared" si="299"/>
        <v>0.10947235652519868</v>
      </c>
      <c r="P134" s="4">
        <f t="shared" si="299"/>
        <v>6.954498062826879E-2</v>
      </c>
      <c r="Q134" s="4">
        <f t="shared" si="299"/>
        <v>7.3117868166469785E-2</v>
      </c>
      <c r="R134" s="4">
        <f t="shared" si="299"/>
        <v>0.100319217139283</v>
      </c>
      <c r="S134" s="4">
        <f t="shared" si="299"/>
        <v>0.11609297735374444</v>
      </c>
      <c r="T134" s="4">
        <f t="shared" si="299"/>
        <v>0.12390941279743423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4"/>
  <sheetViews>
    <sheetView workbookViewId="0">
      <pane xSplit="1" ySplit="6" topLeftCell="C7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5" x14ac:dyDescent="0.25"/>
  <cols>
    <col min="1" max="1" width="50.7109375" customWidth="1"/>
    <col min="2" max="2" width="50.7109375" hidden="1" customWidth="1"/>
    <col min="3" max="3" width="12.140625" bestFit="1" customWidth="1"/>
    <col min="4" max="4" width="11.28515625" bestFit="1" customWidth="1"/>
  </cols>
  <sheetData>
    <row r="1" spans="1:4" x14ac:dyDescent="0.25">
      <c r="A1" t="s">
        <v>0</v>
      </c>
      <c r="B1" t="s">
        <v>1</v>
      </c>
      <c r="C1" s="6" t="s">
        <v>161</v>
      </c>
      <c r="D1" s="6" t="s">
        <v>161</v>
      </c>
    </row>
    <row r="2" spans="1:4" ht="75" x14ac:dyDescent="0.25">
      <c r="A2" s="2" t="s">
        <v>5</v>
      </c>
      <c r="B2" s="2" t="s">
        <v>6</v>
      </c>
      <c r="C2" s="6" t="s">
        <v>162</v>
      </c>
      <c r="D2" s="6" t="s">
        <v>163</v>
      </c>
    </row>
    <row r="3" spans="1:4" x14ac:dyDescent="0.25">
      <c r="A3" s="2" t="s">
        <v>253</v>
      </c>
      <c r="B3" s="2"/>
      <c r="C3" s="6" t="s">
        <v>251</v>
      </c>
      <c r="D3" s="6" t="s">
        <v>251</v>
      </c>
    </row>
    <row r="4" spans="1:4" x14ac:dyDescent="0.25">
      <c r="A4" s="2" t="s">
        <v>248</v>
      </c>
      <c r="B4" s="2"/>
      <c r="C4" s="6" t="s">
        <v>254</v>
      </c>
      <c r="D4" s="6" t="s">
        <v>255</v>
      </c>
    </row>
    <row r="5" spans="1:4" x14ac:dyDescent="0.25">
      <c r="A5" s="2" t="s">
        <v>256</v>
      </c>
      <c r="B5" s="2"/>
      <c r="C5" s="74">
        <v>1</v>
      </c>
      <c r="D5" s="74">
        <v>1</v>
      </c>
    </row>
    <row r="6" spans="1:4" x14ac:dyDescent="0.25">
      <c r="A6" s="2" t="s">
        <v>16</v>
      </c>
      <c r="B6" s="2" t="s">
        <v>17</v>
      </c>
      <c r="C6" s="10">
        <v>28</v>
      </c>
      <c r="D6" s="22">
        <v>1</v>
      </c>
    </row>
    <row r="7" spans="1:4" x14ac:dyDescent="0.25">
      <c r="A7" s="2" t="s">
        <v>18</v>
      </c>
      <c r="B7" s="2" t="s">
        <v>19</v>
      </c>
      <c r="C7" s="3">
        <v>2</v>
      </c>
      <c r="D7" s="3">
        <v>2</v>
      </c>
    </row>
    <row r="8" spans="1:4" x14ac:dyDescent="0.25">
      <c r="A8" s="2" t="s">
        <v>20</v>
      </c>
      <c r="B8" s="2" t="s">
        <v>21</v>
      </c>
      <c r="C8" s="3">
        <v>80</v>
      </c>
      <c r="D8" s="3">
        <v>80</v>
      </c>
    </row>
    <row r="9" spans="1:4" x14ac:dyDescent="0.25">
      <c r="A9" s="2" t="s">
        <v>22</v>
      </c>
      <c r="B9" s="2" t="s">
        <v>23</v>
      </c>
      <c r="C9" s="3">
        <v>40</v>
      </c>
      <c r="D9" s="3">
        <v>40</v>
      </c>
    </row>
    <row r="10" spans="1:4" x14ac:dyDescent="0.25">
      <c r="A10" s="17" t="s">
        <v>24</v>
      </c>
      <c r="B10" s="17"/>
      <c r="C10" s="20">
        <f t="shared" ref="C10:D10" si="0">+C6*C12+C9</f>
        <v>79.909154178703432</v>
      </c>
      <c r="D10" s="20">
        <f t="shared" si="0"/>
        <v>55.678596284490638</v>
      </c>
    </row>
    <row r="11" spans="1:4" x14ac:dyDescent="0.25">
      <c r="A11" s="17" t="s">
        <v>25</v>
      </c>
      <c r="B11" s="17"/>
      <c r="C11" s="20">
        <f t="shared" ref="C11:D11" si="1">0.5*(C10-C9)+C9</f>
        <v>59.954577089351716</v>
      </c>
      <c r="D11" s="20">
        <f t="shared" si="1"/>
        <v>47.839298142245319</v>
      </c>
    </row>
    <row r="12" spans="1:4" x14ac:dyDescent="0.25">
      <c r="A12" s="2" t="s">
        <v>26</v>
      </c>
      <c r="B12" s="2"/>
      <c r="C12" s="4">
        <f t="shared" ref="C12:D12" si="2">+C80</f>
        <v>1.4253269349536941</v>
      </c>
      <c r="D12" s="4">
        <f t="shared" si="2"/>
        <v>15.678596284490638</v>
      </c>
    </row>
    <row r="13" spans="1:4" x14ac:dyDescent="0.25">
      <c r="A13" s="2" t="s">
        <v>27</v>
      </c>
      <c r="B13" s="2"/>
      <c r="C13" s="4">
        <f>+C11/C12</f>
        <v>42.063736830525492</v>
      </c>
      <c r="D13" s="4">
        <f>+D11/D12</f>
        <v>3.0512488027750444</v>
      </c>
    </row>
    <row r="14" spans="1:4" x14ac:dyDescent="0.25">
      <c r="A14" s="70" t="s">
        <v>28</v>
      </c>
      <c r="B14" s="71"/>
      <c r="C14" s="71"/>
      <c r="D14" s="71"/>
    </row>
    <row r="15" spans="1:4" x14ac:dyDescent="0.25">
      <c r="A15" s="16" t="s">
        <v>29</v>
      </c>
      <c r="B15" s="2"/>
      <c r="C15" s="4">
        <f>+C94</f>
        <v>1.7236100128765239</v>
      </c>
      <c r="D15" s="4">
        <f>+D94</f>
        <v>0.14802057656060824</v>
      </c>
    </row>
    <row r="16" spans="1:4" x14ac:dyDescent="0.25">
      <c r="A16" s="16" t="s">
        <v>30</v>
      </c>
      <c r="B16" s="2" t="s">
        <v>31</v>
      </c>
      <c r="C16" s="4">
        <f>+C114</f>
        <v>0.79102589795600786</v>
      </c>
      <c r="D16" s="4">
        <f>+D114</f>
        <v>0.90082353416184335</v>
      </c>
    </row>
    <row r="17" spans="1:4" x14ac:dyDescent="0.25">
      <c r="A17" s="16" t="s">
        <v>32</v>
      </c>
      <c r="B17" s="2"/>
      <c r="C17" s="4">
        <f>+C15+C16</f>
        <v>2.5146359108325318</v>
      </c>
      <c r="D17" s="4">
        <f>+D15+D16</f>
        <v>1.0488441107224515</v>
      </c>
    </row>
    <row r="18" spans="1:4" x14ac:dyDescent="0.25">
      <c r="A18" s="2" t="s">
        <v>33</v>
      </c>
    </row>
    <row r="19" spans="1:4" x14ac:dyDescent="0.25">
      <c r="A19" s="16" t="s">
        <v>34</v>
      </c>
      <c r="B19" s="2"/>
      <c r="C19" s="4">
        <f>+C101</f>
        <v>1.7904928951445895</v>
      </c>
      <c r="D19" s="4">
        <f>+D101</f>
        <v>0.24287203087591244</v>
      </c>
    </row>
    <row r="20" spans="1:4" x14ac:dyDescent="0.25">
      <c r="A20" s="16" t="s">
        <v>35</v>
      </c>
      <c r="B20" s="2"/>
      <c r="C20" s="4">
        <f>+C134</f>
        <v>0.30239488663000169</v>
      </c>
      <c r="D20" s="4">
        <f>+D134</f>
        <v>0.3420010523887097</v>
      </c>
    </row>
    <row r="21" spans="1:4" x14ac:dyDescent="0.25">
      <c r="A21" s="16" t="s">
        <v>36</v>
      </c>
      <c r="B21" s="2"/>
      <c r="C21" s="4">
        <f>+C19+C20</f>
        <v>2.092887781774591</v>
      </c>
      <c r="D21" s="4">
        <f>+D19+D20</f>
        <v>0.58487308326462217</v>
      </c>
    </row>
    <row r="22" spans="1:4" x14ac:dyDescent="0.25">
      <c r="A22" s="68" t="s">
        <v>37</v>
      </c>
      <c r="B22" s="2"/>
      <c r="C22" s="4">
        <f>+C108</f>
        <v>75.674491834251754</v>
      </c>
      <c r="D22" s="4">
        <f t="shared" ref="D22" si="3">+D108</f>
        <v>86.178421409691197</v>
      </c>
    </row>
    <row r="23" spans="1:4" x14ac:dyDescent="0.25">
      <c r="A23" s="68" t="s">
        <v>38</v>
      </c>
      <c r="B23" s="2"/>
      <c r="C23" s="4">
        <f>+C129</f>
        <v>12.479480448386457</v>
      </c>
      <c r="D23" s="4">
        <f t="shared" ref="D23:D24" si="4">+D129</f>
        <v>14.211683474672176</v>
      </c>
    </row>
    <row r="24" spans="1:4" x14ac:dyDescent="0.25">
      <c r="A24" s="68" t="s">
        <v>39</v>
      </c>
      <c r="B24" s="2"/>
      <c r="C24" s="4">
        <f>+C130</f>
        <v>13.225449313751053</v>
      </c>
      <c r="D24" s="4">
        <f t="shared" si="4"/>
        <v>14.957652340036772</v>
      </c>
    </row>
    <row r="25" spans="1:4" x14ac:dyDescent="0.25">
      <c r="A25" s="70" t="s">
        <v>40</v>
      </c>
    </row>
    <row r="26" spans="1:4" x14ac:dyDescent="0.25">
      <c r="A26" s="16" t="s">
        <v>41</v>
      </c>
      <c r="B26" s="2"/>
      <c r="C26" s="4">
        <f>+C15*C$76/C$71</f>
        <v>1.7328317167622147</v>
      </c>
      <c r="D26" s="4">
        <f>+D15*D$76/D$71</f>
        <v>0.14881252016492341</v>
      </c>
    </row>
    <row r="27" spans="1:4" x14ac:dyDescent="0.25">
      <c r="A27" s="16" t="s">
        <v>42</v>
      </c>
      <c r="B27" s="2" t="s">
        <v>31</v>
      </c>
      <c r="C27" s="4">
        <f t="shared" ref="C27:D34" si="5">+C16*C$76/C$71</f>
        <v>0.79525806564032586</v>
      </c>
      <c r="D27" s="4">
        <f t="shared" si="5"/>
        <v>0.90564314406387592</v>
      </c>
    </row>
    <row r="28" spans="1:4" x14ac:dyDescent="0.25">
      <c r="A28" s="16" t="s">
        <v>43</v>
      </c>
      <c r="B28" s="2"/>
      <c r="C28" s="4">
        <f t="shared" si="5"/>
        <v>2.528089782402541</v>
      </c>
      <c r="D28" s="4">
        <f t="shared" si="5"/>
        <v>1.0544556642287992</v>
      </c>
    </row>
    <row r="29" spans="1:4" x14ac:dyDescent="0.25">
      <c r="A29" s="2" t="s">
        <v>33</v>
      </c>
      <c r="C29" s="4">
        <f t="shared" si="5"/>
        <v>0</v>
      </c>
      <c r="D29" s="4">
        <f t="shared" si="5"/>
        <v>0</v>
      </c>
    </row>
    <row r="30" spans="1:4" x14ac:dyDescent="0.25">
      <c r="A30" s="16" t="s">
        <v>44</v>
      </c>
      <c r="B30" s="2"/>
      <c r="C30" s="4">
        <f t="shared" si="5"/>
        <v>1.8000724375962496</v>
      </c>
      <c r="D30" s="4">
        <f t="shared" si="5"/>
        <v>0.24417145124021877</v>
      </c>
    </row>
    <row r="31" spans="1:4" x14ac:dyDescent="0.25">
      <c r="A31" s="16" t="s">
        <v>45</v>
      </c>
      <c r="B31" s="2"/>
      <c r="C31" s="4">
        <f t="shared" si="5"/>
        <v>0.30401276775172659</v>
      </c>
      <c r="D31" s="4">
        <f t="shared" si="5"/>
        <v>0.34383083546618204</v>
      </c>
    </row>
    <row r="32" spans="1:4" x14ac:dyDescent="0.25">
      <c r="A32" s="16" t="s">
        <v>46</v>
      </c>
      <c r="B32" s="2"/>
      <c r="C32" s="4">
        <f t="shared" si="5"/>
        <v>2.1040852053479759</v>
      </c>
      <c r="D32" s="4">
        <f t="shared" si="5"/>
        <v>0.58800228670640087</v>
      </c>
    </row>
    <row r="33" spans="1:4" x14ac:dyDescent="0.25">
      <c r="A33" s="68" t="s">
        <v>47</v>
      </c>
      <c r="B33" s="69" t="s">
        <v>48</v>
      </c>
      <c r="C33" s="4">
        <f t="shared" si="5"/>
        <v>76.079367502286985</v>
      </c>
      <c r="D33" s="4">
        <f t="shared" si="5"/>
        <v>86.63949547960226</v>
      </c>
    </row>
    <row r="34" spans="1:4" x14ac:dyDescent="0.25">
      <c r="A34" s="68" t="s">
        <v>49</v>
      </c>
      <c r="B34" s="69" t="s">
        <v>48</v>
      </c>
      <c r="C34" s="4">
        <f t="shared" si="5"/>
        <v>12.546248494802148</v>
      </c>
      <c r="D34" s="4">
        <f t="shared" si="5"/>
        <v>14.287719199541211</v>
      </c>
    </row>
    <row r="35" spans="1:4" x14ac:dyDescent="0.25">
      <c r="A35" s="2" t="s">
        <v>50</v>
      </c>
      <c r="B35" t="s">
        <v>51</v>
      </c>
      <c r="C35" s="1" t="s">
        <v>164</v>
      </c>
      <c r="D35" s="1" t="s">
        <v>164</v>
      </c>
    </row>
    <row r="37" spans="1:4" x14ac:dyDescent="0.25">
      <c r="A37" s="2" t="s">
        <v>52</v>
      </c>
      <c r="B37" s="2" t="s">
        <v>165</v>
      </c>
      <c r="C37" s="3">
        <v>12.8</v>
      </c>
      <c r="D37" s="3">
        <v>12.8</v>
      </c>
    </row>
    <row r="38" spans="1:4" x14ac:dyDescent="0.25">
      <c r="A38" s="2" t="s">
        <v>54</v>
      </c>
      <c r="B38" s="2"/>
      <c r="C38" s="4">
        <f>+C37+273.15</f>
        <v>285.95</v>
      </c>
      <c r="D38" s="4">
        <f t="shared" ref="D38" si="6">+D37+273.15</f>
        <v>285.95</v>
      </c>
    </row>
    <row r="39" spans="1:4" x14ac:dyDescent="0.25">
      <c r="A39" s="2" t="s">
        <v>55</v>
      </c>
      <c r="B39" s="2" t="s">
        <v>56</v>
      </c>
      <c r="C39" s="3">
        <v>31.2</v>
      </c>
      <c r="D39" s="3">
        <v>31.2</v>
      </c>
    </row>
    <row r="40" spans="1:4" x14ac:dyDescent="0.25">
      <c r="A40" s="2" t="s">
        <v>166</v>
      </c>
      <c r="B40" s="2" t="s">
        <v>167</v>
      </c>
      <c r="C40" s="3">
        <f>Ln_A_kvaeg</f>
        <v>29.2</v>
      </c>
      <c r="D40" s="3">
        <f>Ln_A_kvaeg</f>
        <v>29.2</v>
      </c>
    </row>
    <row r="41" spans="1:4" x14ac:dyDescent="0.25">
      <c r="A41" s="2" t="s">
        <v>59</v>
      </c>
      <c r="B41" s="2" t="s">
        <v>60</v>
      </c>
      <c r="C41" s="3">
        <v>27.9</v>
      </c>
      <c r="D41" s="3">
        <v>27.9</v>
      </c>
    </row>
    <row r="42" spans="1:4" x14ac:dyDescent="0.25">
      <c r="A42" s="2" t="s">
        <v>61</v>
      </c>
      <c r="B42" s="2" t="s">
        <v>62</v>
      </c>
      <c r="C42" s="10">
        <v>81000</v>
      </c>
      <c r="D42" s="10">
        <v>81000</v>
      </c>
    </row>
    <row r="43" spans="1:4" x14ac:dyDescent="0.25">
      <c r="A43" s="2" t="s">
        <v>63</v>
      </c>
      <c r="B43" s="2" t="s">
        <v>64</v>
      </c>
      <c r="C43" s="3">
        <v>8.31</v>
      </c>
      <c r="D43" s="3">
        <v>8.31</v>
      </c>
    </row>
    <row r="44" spans="1:4" x14ac:dyDescent="0.25">
      <c r="A44" s="2" t="s">
        <v>65</v>
      </c>
      <c r="B44" s="2" t="s">
        <v>66</v>
      </c>
      <c r="C44" s="3">
        <v>4</v>
      </c>
      <c r="D44" s="3">
        <v>4</v>
      </c>
    </row>
    <row r="45" spans="1:4" x14ac:dyDescent="0.25">
      <c r="A45" s="2" t="s">
        <v>67</v>
      </c>
      <c r="B45" s="2" t="s">
        <v>68</v>
      </c>
      <c r="C45" s="3">
        <v>0.45</v>
      </c>
      <c r="D45" s="3">
        <v>0.45</v>
      </c>
    </row>
    <row r="46" spans="1:4" x14ac:dyDescent="0.25">
      <c r="A46" s="2" t="s">
        <v>69</v>
      </c>
      <c r="B46" s="2"/>
      <c r="C46" s="3">
        <v>10</v>
      </c>
      <c r="D46" s="3">
        <v>10</v>
      </c>
    </row>
    <row r="47" spans="1:4" x14ac:dyDescent="0.25">
      <c r="A47" s="2" t="s">
        <v>70</v>
      </c>
      <c r="B47" s="2" t="s">
        <v>71</v>
      </c>
      <c r="C47" s="4">
        <f>+C44/C45*12/16</f>
        <v>6.666666666666667</v>
      </c>
      <c r="D47" s="4">
        <f t="shared" ref="D47" si="7">+D44/D45*12/16</f>
        <v>6.666666666666667</v>
      </c>
    </row>
    <row r="48" spans="1:4" x14ac:dyDescent="0.25">
      <c r="A48" s="2" t="s">
        <v>72</v>
      </c>
      <c r="B48" s="2"/>
      <c r="C48" s="4">
        <f>+C46/16*12/C45</f>
        <v>16.666666666666668</v>
      </c>
      <c r="D48" s="4">
        <f t="shared" ref="D48" si="8">+D46/16*12/D45</f>
        <v>16.666666666666668</v>
      </c>
    </row>
    <row r="49" spans="1:4" x14ac:dyDescent="0.25">
      <c r="A49" s="2"/>
      <c r="B49" s="2"/>
      <c r="C49" s="2"/>
      <c r="D49" s="2"/>
    </row>
    <row r="50" spans="1:4" x14ac:dyDescent="0.25">
      <c r="A50" s="2" t="s">
        <v>73</v>
      </c>
      <c r="B50" s="2"/>
      <c r="C50" s="2"/>
      <c r="D50" s="2"/>
    </row>
    <row r="51" spans="1:4" x14ac:dyDescent="0.25">
      <c r="A51" s="2" t="s">
        <v>74</v>
      </c>
      <c r="B51" s="2" t="s">
        <v>75</v>
      </c>
      <c r="C51" s="4">
        <f t="shared" ref="C51:D51" si="9">+C9</f>
        <v>40</v>
      </c>
      <c r="D51" s="4">
        <f t="shared" si="9"/>
        <v>40</v>
      </c>
    </row>
    <row r="52" spans="1:4" x14ac:dyDescent="0.25">
      <c r="A52" s="2" t="s">
        <v>76</v>
      </c>
      <c r="B52" s="2"/>
      <c r="C52" s="4">
        <f t="shared" ref="C52:D52" si="10">+C8</f>
        <v>80</v>
      </c>
      <c r="D52" s="4">
        <f t="shared" si="10"/>
        <v>80</v>
      </c>
    </row>
    <row r="53" spans="1:4" x14ac:dyDescent="0.25">
      <c r="A53" s="2" t="s">
        <v>77</v>
      </c>
      <c r="B53" s="2"/>
      <c r="C53" s="5">
        <v>0.66</v>
      </c>
      <c r="D53" s="5">
        <v>0.06</v>
      </c>
    </row>
    <row r="54" spans="1:4" x14ac:dyDescent="0.25">
      <c r="A54" s="2" t="s">
        <v>78</v>
      </c>
      <c r="B54" s="2"/>
      <c r="C54" s="3">
        <v>7.99</v>
      </c>
      <c r="D54" s="3">
        <v>7.99</v>
      </c>
    </row>
    <row r="55" spans="1:4" x14ac:dyDescent="0.25">
      <c r="A55" s="2" t="s">
        <v>79</v>
      </c>
      <c r="B55" s="2"/>
      <c r="C55" s="4">
        <f>+C53*C54</f>
        <v>5.2734000000000005</v>
      </c>
      <c r="D55" s="4">
        <f t="shared" ref="D55" si="11">+D53*D54</f>
        <v>0.47939999999999999</v>
      </c>
    </row>
    <row r="56" spans="1:4" x14ac:dyDescent="0.25">
      <c r="A56" s="2" t="s">
        <v>80</v>
      </c>
      <c r="B56" s="2"/>
      <c r="C56" s="3">
        <v>365</v>
      </c>
      <c r="D56" s="3">
        <v>365</v>
      </c>
    </row>
    <row r="57" spans="1:4" x14ac:dyDescent="0.25">
      <c r="A57" s="2" t="s">
        <v>81</v>
      </c>
      <c r="B57" s="2" t="s">
        <v>168</v>
      </c>
      <c r="C57" s="3">
        <v>40</v>
      </c>
      <c r="D57" s="3">
        <v>40</v>
      </c>
    </row>
    <row r="58" spans="1:4" x14ac:dyDescent="0.25">
      <c r="A58" s="2" t="s">
        <v>83</v>
      </c>
      <c r="B58" s="2" t="s">
        <v>84</v>
      </c>
      <c r="C58" s="3"/>
      <c r="D58" s="3"/>
    </row>
    <row r="59" spans="1:4" x14ac:dyDescent="0.25">
      <c r="A59" s="2" t="s">
        <v>85</v>
      </c>
      <c r="B59" s="2" t="s">
        <v>84</v>
      </c>
      <c r="C59" s="3"/>
      <c r="D59" s="3"/>
    </row>
    <row r="60" spans="1:4" x14ac:dyDescent="0.25">
      <c r="A60" s="2" t="s">
        <v>86</v>
      </c>
      <c r="B60" s="2"/>
      <c r="C60" s="3"/>
      <c r="D60" s="3"/>
    </row>
    <row r="61" spans="1:4" x14ac:dyDescent="0.25">
      <c r="A61" s="2" t="s">
        <v>88</v>
      </c>
      <c r="B61" s="2"/>
      <c r="C61" s="3"/>
      <c r="D61" s="3"/>
    </row>
    <row r="62" spans="1:4" x14ac:dyDescent="0.25">
      <c r="A62" s="2" t="s">
        <v>89</v>
      </c>
      <c r="B62" s="2" t="s">
        <v>90</v>
      </c>
      <c r="C62" s="10">
        <v>8246</v>
      </c>
      <c r="D62" s="10">
        <v>8246</v>
      </c>
    </row>
    <row r="63" spans="1:4" x14ac:dyDescent="0.25">
      <c r="A63" s="2" t="s">
        <v>91</v>
      </c>
      <c r="B63" s="2" t="s">
        <v>169</v>
      </c>
      <c r="C63" s="3">
        <v>0.71</v>
      </c>
      <c r="D63" s="3">
        <v>0.71</v>
      </c>
    </row>
    <row r="64" spans="1:4" x14ac:dyDescent="0.25">
      <c r="A64" s="2" t="s">
        <v>93</v>
      </c>
      <c r="B64" s="2" t="s">
        <v>94</v>
      </c>
      <c r="C64" s="3">
        <v>1</v>
      </c>
      <c r="D64" s="3">
        <v>1</v>
      </c>
    </row>
    <row r="65" spans="1:4" x14ac:dyDescent="0.25">
      <c r="A65" s="2" t="s">
        <v>95</v>
      </c>
      <c r="B65" s="2"/>
      <c r="C65" s="19">
        <f>+C62*C64*(1-C63)</f>
        <v>2391.34</v>
      </c>
      <c r="D65" s="19">
        <f>+D62*D64*(1-D63)</f>
        <v>2391.34</v>
      </c>
    </row>
    <row r="66" spans="1:4" x14ac:dyDescent="0.25">
      <c r="A66" s="2" t="s">
        <v>96</v>
      </c>
      <c r="B66" s="2" t="s">
        <v>84</v>
      </c>
      <c r="C66" s="23">
        <v>0.13500000000000001</v>
      </c>
      <c r="D66" s="23">
        <v>0.13500000000000001</v>
      </c>
    </row>
    <row r="67" spans="1:4" x14ac:dyDescent="0.25">
      <c r="A67" s="2" t="s">
        <v>98</v>
      </c>
      <c r="B67" s="2"/>
      <c r="C67" s="19">
        <f>+C62*(1-C63)/C66</f>
        <v>17713.629629629628</v>
      </c>
      <c r="D67" s="19">
        <f>+D62*(1-D63)/D66</f>
        <v>17713.629629629628</v>
      </c>
    </row>
    <row r="68" spans="1:4" x14ac:dyDescent="0.25">
      <c r="A68" s="2" t="s">
        <v>99</v>
      </c>
      <c r="B68" s="2" t="s">
        <v>84</v>
      </c>
      <c r="C68" s="3">
        <v>1.85</v>
      </c>
      <c r="D68" s="3">
        <v>1.85</v>
      </c>
    </row>
    <row r="69" spans="1:4" x14ac:dyDescent="0.25">
      <c r="A69" s="2" t="s">
        <v>101</v>
      </c>
      <c r="B69" s="2" t="s">
        <v>84</v>
      </c>
      <c r="C69" s="3">
        <v>0.05</v>
      </c>
      <c r="D69" s="3">
        <v>0.05</v>
      </c>
    </row>
    <row r="70" spans="1:4" x14ac:dyDescent="0.25">
      <c r="A70" s="2" t="s">
        <v>103</v>
      </c>
      <c r="B70" s="2" t="s">
        <v>104</v>
      </c>
      <c r="C70" s="19">
        <f>C67/C68</f>
        <v>9574.9349349349341</v>
      </c>
      <c r="D70" s="19">
        <f>D67/D68</f>
        <v>9574.9349349349341</v>
      </c>
    </row>
    <row r="71" spans="1:4" x14ac:dyDescent="0.25">
      <c r="A71" s="2" t="s">
        <v>105</v>
      </c>
      <c r="B71" s="2" t="s">
        <v>106</v>
      </c>
      <c r="C71" s="19">
        <f>+C70+C67</f>
        <v>27288.564564564564</v>
      </c>
      <c r="D71" s="19">
        <f>+D70+D67</f>
        <v>27288.564564564564</v>
      </c>
    </row>
    <row r="72" spans="1:4" x14ac:dyDescent="0.25">
      <c r="A72" s="2" t="s">
        <v>107</v>
      </c>
      <c r="B72" s="2" t="s">
        <v>108</v>
      </c>
      <c r="C72" s="3">
        <v>0</v>
      </c>
      <c r="D72" s="3">
        <v>0</v>
      </c>
    </row>
    <row r="73" spans="1:4" x14ac:dyDescent="0.25">
      <c r="A73" s="2" t="s">
        <v>109</v>
      </c>
      <c r="B73" s="2" t="s">
        <v>110</v>
      </c>
      <c r="C73" s="10">
        <f>0.4*365</f>
        <v>146</v>
      </c>
      <c r="D73" s="10">
        <f>0.4*365</f>
        <v>146</v>
      </c>
    </row>
    <row r="74" spans="1:4" x14ac:dyDescent="0.25">
      <c r="A74" s="2" t="s">
        <v>111</v>
      </c>
      <c r="B74" s="2"/>
      <c r="C74" s="3">
        <v>0.85</v>
      </c>
      <c r="D74" s="3">
        <v>0.85</v>
      </c>
    </row>
    <row r="75" spans="1:4" x14ac:dyDescent="0.25">
      <c r="A75" s="2" t="s">
        <v>112</v>
      </c>
      <c r="B75" s="2"/>
      <c r="C75" s="22">
        <f>C73*C74</f>
        <v>124.1</v>
      </c>
      <c r="D75" s="22">
        <f>D73*D74</f>
        <v>124.1</v>
      </c>
    </row>
    <row r="76" spans="1:4" x14ac:dyDescent="0.25">
      <c r="A76" s="2" t="s">
        <v>113</v>
      </c>
      <c r="B76" s="2" t="s">
        <v>114</v>
      </c>
      <c r="C76" s="19">
        <f>+C71+C72+C73</f>
        <v>27434.564564564564</v>
      </c>
      <c r="D76" s="19">
        <f>+D71+D72+D73</f>
        <v>27434.564564564564</v>
      </c>
    </row>
    <row r="77" spans="1:4" x14ac:dyDescent="0.25">
      <c r="A77" s="2" t="s">
        <v>170</v>
      </c>
      <c r="B77" s="2"/>
      <c r="C77" s="4">
        <f>C76/C71</f>
        <v>1.0053502264530831</v>
      </c>
      <c r="D77" s="4">
        <f>D76/D71</f>
        <v>1.0053502264530831</v>
      </c>
    </row>
    <row r="78" spans="1:4" x14ac:dyDescent="0.25">
      <c r="A78" s="2" t="s">
        <v>171</v>
      </c>
      <c r="B78" s="2"/>
      <c r="C78" s="4">
        <f>+C75/C76*1000</f>
        <v>4.5234907850621351</v>
      </c>
      <c r="D78" s="4">
        <f>+D75/D76*1000</f>
        <v>4.5234907850621351</v>
      </c>
    </row>
    <row r="79" spans="1:4" x14ac:dyDescent="0.25">
      <c r="A79" s="2" t="s">
        <v>117</v>
      </c>
      <c r="B79" s="2"/>
      <c r="C79" s="3">
        <v>1</v>
      </c>
      <c r="D79" s="3">
        <v>1</v>
      </c>
    </row>
    <row r="80" spans="1:4" x14ac:dyDescent="0.25">
      <c r="A80" s="2" t="s">
        <v>118</v>
      </c>
      <c r="B80" s="2"/>
      <c r="C80" s="4">
        <f>+C76/C79/C55/C56/10</f>
        <v>1.4253269349536941</v>
      </c>
      <c r="D80" s="4">
        <f>+D76/D79/D55/D56/10</f>
        <v>15.678596284490638</v>
      </c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 t="s">
        <v>119</v>
      </c>
      <c r="B83" s="2" t="s">
        <v>172</v>
      </c>
      <c r="C83" s="3">
        <v>0.42</v>
      </c>
      <c r="D83" s="3">
        <v>0.42</v>
      </c>
    </row>
    <row r="84" spans="1:4" x14ac:dyDescent="0.25">
      <c r="A84" s="2" t="s">
        <v>120</v>
      </c>
      <c r="B84" s="2"/>
      <c r="C84" s="9">
        <f t="shared" ref="C84:D84" si="12">+EXP(C39-C42/(C43*C38))*24/1000</f>
        <v>1.3372997524243571E-3</v>
      </c>
      <c r="D84" s="9">
        <f t="shared" si="12"/>
        <v>1.3372997524243571E-3</v>
      </c>
    </row>
    <row r="85" spans="1:4" x14ac:dyDescent="0.25">
      <c r="A85" s="2" t="s">
        <v>121</v>
      </c>
      <c r="B85" s="2"/>
      <c r="C85" s="9">
        <f t="shared" ref="C85:D85" si="13">+C84*C47</f>
        <v>8.9153316828290471E-3</v>
      </c>
      <c r="D85" s="9">
        <f t="shared" si="13"/>
        <v>8.9153316828290471E-3</v>
      </c>
    </row>
    <row r="86" spans="1:4" x14ac:dyDescent="0.25">
      <c r="A86" s="2"/>
      <c r="B86" s="2"/>
      <c r="C86" s="2"/>
      <c r="D86" s="2"/>
    </row>
    <row r="87" spans="1:4" x14ac:dyDescent="0.25">
      <c r="A87" s="2" t="s">
        <v>122</v>
      </c>
      <c r="B87" s="2"/>
      <c r="C87" s="4">
        <f t="shared" ref="C87:D87" si="14">+C83*C65</f>
        <v>1004.3628</v>
      </c>
      <c r="D87" s="4">
        <f t="shared" si="14"/>
        <v>1004.3628</v>
      </c>
    </row>
    <row r="88" spans="1:4" x14ac:dyDescent="0.25">
      <c r="A88" s="2" t="s">
        <v>123</v>
      </c>
      <c r="B88" s="2"/>
      <c r="C88" s="4">
        <f t="shared" ref="C88:D88" si="15">+C65*(1-C83)</f>
        <v>1386.9772000000003</v>
      </c>
      <c r="D88" s="4">
        <f t="shared" si="15"/>
        <v>1386.9772000000003</v>
      </c>
    </row>
    <row r="89" spans="1:4" x14ac:dyDescent="0.25">
      <c r="A89" s="2"/>
      <c r="B89" s="2"/>
      <c r="C89" s="2"/>
      <c r="D89" s="2"/>
    </row>
    <row r="90" spans="1:4" x14ac:dyDescent="0.25">
      <c r="A90" s="2" t="s">
        <v>124</v>
      </c>
      <c r="B90" s="2"/>
      <c r="C90" s="4">
        <f t="shared" ref="C90:D90" si="16">+(1-C85)^C13</f>
        <v>0.68612610116323858</v>
      </c>
      <c r="D90" s="4">
        <f t="shared" si="16"/>
        <v>0.97304506522585876</v>
      </c>
    </row>
    <row r="91" spans="1:4" x14ac:dyDescent="0.25">
      <c r="A91" s="2" t="s">
        <v>125</v>
      </c>
      <c r="B91" s="2"/>
      <c r="C91" s="4">
        <f>1-C90</f>
        <v>0.31387389883676142</v>
      </c>
      <c r="D91" s="4">
        <f t="shared" ref="D91" si="17">1-D90</f>
        <v>2.6954934774141237E-2</v>
      </c>
    </row>
    <row r="92" spans="1:4" x14ac:dyDescent="0.25">
      <c r="A92" s="2" t="s">
        <v>126</v>
      </c>
      <c r="B92" s="2"/>
      <c r="C92" s="4">
        <f t="shared" ref="C92:D92" si="18">+C91/C47</f>
        <v>4.7081084825514208E-2</v>
      </c>
      <c r="D92" s="4">
        <f t="shared" si="18"/>
        <v>4.0432402161211852E-3</v>
      </c>
    </row>
    <row r="93" spans="1:4" x14ac:dyDescent="0.25">
      <c r="A93" s="2" t="s">
        <v>127</v>
      </c>
      <c r="B93" s="2"/>
      <c r="C93" s="4">
        <f t="shared" ref="C93:D93" si="19">+C92*C65*C83</f>
        <v>47.286490182390956</v>
      </c>
      <c r="D93" s="4">
        <f t="shared" si="19"/>
        <v>4.0608800645360787</v>
      </c>
    </row>
    <row r="94" spans="1:4" x14ac:dyDescent="0.25">
      <c r="A94" s="2" t="s">
        <v>128</v>
      </c>
      <c r="B94" s="2"/>
      <c r="C94" s="4">
        <f>+C93*1000/C76</f>
        <v>1.7236100128765239</v>
      </c>
      <c r="D94" s="4">
        <f t="shared" ref="D94" si="20">+D93*1000/D76</f>
        <v>0.14802057656060824</v>
      </c>
    </row>
    <row r="96" spans="1:4" x14ac:dyDescent="0.25">
      <c r="A96" s="2" t="s">
        <v>129</v>
      </c>
      <c r="B96" s="2"/>
      <c r="C96" s="2"/>
      <c r="D96" s="2"/>
    </row>
    <row r="97" spans="1:4" x14ac:dyDescent="0.25">
      <c r="A97" s="2" t="s">
        <v>130</v>
      </c>
      <c r="B97" s="2"/>
      <c r="C97" s="4">
        <f t="shared" ref="C97:D97" si="21">+(1-C85)^(C7+C13)</f>
        <v>0.67394655308328577</v>
      </c>
      <c r="D97" s="4">
        <f t="shared" si="21"/>
        <v>0.9557723669043886</v>
      </c>
    </row>
    <row r="98" spans="1:4" x14ac:dyDescent="0.25">
      <c r="A98" s="2" t="s">
        <v>131</v>
      </c>
      <c r="B98" s="2"/>
      <c r="C98" s="4">
        <f>1-C97</f>
        <v>0.32605344691671423</v>
      </c>
      <c r="D98" s="4">
        <f t="shared" ref="D98" si="22">1-D97</f>
        <v>4.4227633095611396E-2</v>
      </c>
    </row>
    <row r="99" spans="1:4" x14ac:dyDescent="0.25">
      <c r="A99" s="2" t="s">
        <v>126</v>
      </c>
      <c r="B99" s="2"/>
      <c r="C99" s="4">
        <f t="shared" ref="C99:D99" si="23">+C98/C47</f>
        <v>4.8908017037507134E-2</v>
      </c>
      <c r="D99" s="4">
        <f t="shared" si="23"/>
        <v>6.6341449643417087E-3</v>
      </c>
    </row>
    <row r="100" spans="1:4" x14ac:dyDescent="0.25">
      <c r="A100" s="2" t="s">
        <v>127</v>
      </c>
      <c r="B100" s="2"/>
      <c r="C100" s="4">
        <f t="shared" ref="C100:D100" si="24">+C65*C83*C99</f>
        <v>49.121392934238372</v>
      </c>
      <c r="D100" s="4">
        <f t="shared" si="24"/>
        <v>6.6630884119921383</v>
      </c>
    </row>
    <row r="101" spans="1:4" x14ac:dyDescent="0.25">
      <c r="A101" s="2" t="s">
        <v>128</v>
      </c>
      <c r="B101" s="2"/>
      <c r="C101" s="4">
        <f>+C100*1000/C76</f>
        <v>1.7904928951445895</v>
      </c>
      <c r="D101" s="4">
        <f t="shared" ref="D101" si="25">+D100*1000/D76</f>
        <v>0.24287203087591244</v>
      </c>
    </row>
    <row r="102" spans="1:4" x14ac:dyDescent="0.25">
      <c r="A102" s="2"/>
      <c r="B102" s="2"/>
      <c r="C102" s="2"/>
      <c r="D102" s="2"/>
    </row>
    <row r="103" spans="1:4" x14ac:dyDescent="0.25">
      <c r="A103" s="2" t="s">
        <v>132</v>
      </c>
      <c r="B103" s="2"/>
      <c r="C103" s="2"/>
      <c r="D103" s="2"/>
    </row>
    <row r="104" spans="1:4" x14ac:dyDescent="0.25">
      <c r="A104" s="2" t="s">
        <v>133</v>
      </c>
      <c r="B104" s="2"/>
      <c r="C104" s="4">
        <f>C90*C87</f>
        <v>689.11953211739353</v>
      </c>
      <c r="D104" s="4">
        <f t="shared" ref="D104" si="26">D90*D87</f>
        <v>977.29026623642608</v>
      </c>
    </row>
    <row r="105" spans="1:4" x14ac:dyDescent="0.25">
      <c r="A105" s="2" t="s">
        <v>134</v>
      </c>
      <c r="B105" s="2"/>
      <c r="C105" s="4">
        <f>+C88</f>
        <v>1386.9772000000003</v>
      </c>
      <c r="D105" s="4">
        <f t="shared" ref="D105" si="27">+D88</f>
        <v>1386.9772000000003</v>
      </c>
    </row>
    <row r="106" spans="1:4" x14ac:dyDescent="0.25">
      <c r="A106" s="2" t="s">
        <v>135</v>
      </c>
      <c r="B106" s="2"/>
      <c r="C106" s="4">
        <f>+C104*1000/C76</f>
        <v>25.118661187263175</v>
      </c>
      <c r="D106" s="4">
        <f t="shared" ref="D106" si="28">+D104*1000/D76</f>
        <v>35.622590762702615</v>
      </c>
    </row>
    <row r="107" spans="1:4" x14ac:dyDescent="0.25">
      <c r="A107" s="2" t="s">
        <v>136</v>
      </c>
      <c r="B107" s="2"/>
      <c r="C107" s="4">
        <f>+C105*1000/C76</f>
        <v>50.555830646988582</v>
      </c>
      <c r="D107" s="4">
        <f t="shared" ref="D107" si="29">+D105*1000/D76</f>
        <v>50.555830646988582</v>
      </c>
    </row>
    <row r="108" spans="1:4" x14ac:dyDescent="0.25">
      <c r="A108" s="2" t="s">
        <v>137</v>
      </c>
      <c r="B108" s="2"/>
      <c r="C108" s="4">
        <f>+C106+C107</f>
        <v>75.674491834251754</v>
      </c>
      <c r="D108" s="4">
        <f t="shared" ref="D108" si="30">+D106+D107</f>
        <v>86.178421409691197</v>
      </c>
    </row>
    <row r="109" spans="1:4" x14ac:dyDescent="0.25">
      <c r="A109" s="2" t="s">
        <v>138</v>
      </c>
      <c r="B109" s="2" t="s">
        <v>139</v>
      </c>
      <c r="C109" s="3">
        <f>VS_kvæg_tot_omsat_lager</f>
        <v>6.9686704972183156E-2</v>
      </c>
      <c r="D109" s="3">
        <f>VS_kvæg_tot_omsat_lager</f>
        <v>6.9686704972183156E-2</v>
      </c>
    </row>
    <row r="110" spans="1:4" x14ac:dyDescent="0.25">
      <c r="A110" s="2" t="s">
        <v>140</v>
      </c>
      <c r="B110" s="2"/>
      <c r="C110" s="4">
        <f>+C109*C106</f>
        <v>1.7504367314530367</v>
      </c>
      <c r="D110" s="4">
        <f t="shared" ref="D110" si="31">+D109*D106</f>
        <v>2.482420972825274</v>
      </c>
    </row>
    <row r="111" spans="1:4" x14ac:dyDescent="0.25">
      <c r="A111" s="2" t="s">
        <v>141</v>
      </c>
      <c r="B111" s="2"/>
      <c r="C111" s="4">
        <f>+C107*C109</f>
        <v>3.5230692549203488</v>
      </c>
      <c r="D111" s="4">
        <f t="shared" ref="D111" si="32">+D107*D109</f>
        <v>3.5230692549203488</v>
      </c>
    </row>
    <row r="112" spans="1:4" x14ac:dyDescent="0.25">
      <c r="A112" s="2" t="s">
        <v>142</v>
      </c>
      <c r="B112" s="2"/>
      <c r="C112" s="4">
        <f t="shared" ref="C112:D112" si="33">+C110/C47</f>
        <v>0.2625655097179555</v>
      </c>
      <c r="D112" s="4">
        <f t="shared" si="33"/>
        <v>0.37236314592379111</v>
      </c>
    </row>
    <row r="113" spans="1:4" x14ac:dyDescent="0.25">
      <c r="A113" s="2" t="s">
        <v>143</v>
      </c>
      <c r="B113" s="2"/>
      <c r="C113" s="4">
        <f t="shared" ref="C113:D113" si="34">+C111/C47</f>
        <v>0.5284603882380523</v>
      </c>
      <c r="D113" s="4">
        <f t="shared" si="34"/>
        <v>0.5284603882380523</v>
      </c>
    </row>
    <row r="114" spans="1:4" x14ac:dyDescent="0.25">
      <c r="A114" s="2" t="s">
        <v>128</v>
      </c>
      <c r="B114" s="2"/>
      <c r="C114" s="4">
        <f>+SUM(C112:C113)</f>
        <v>0.79102589795600786</v>
      </c>
      <c r="D114" s="4">
        <f t="shared" ref="D114" si="35">+SUM(D112:D113)</f>
        <v>0.90082353416184335</v>
      </c>
    </row>
    <row r="115" spans="1:4" x14ac:dyDescent="0.25">
      <c r="A115" s="2"/>
      <c r="B115" s="2"/>
      <c r="C115" s="2"/>
      <c r="D115" s="2"/>
    </row>
    <row r="116" spans="1:4" x14ac:dyDescent="0.25">
      <c r="A116" s="2" t="s">
        <v>144</v>
      </c>
      <c r="B116" s="2"/>
      <c r="C116" s="2"/>
      <c r="D116" s="2"/>
    </row>
    <row r="117" spans="1:4" x14ac:dyDescent="0.25">
      <c r="A117" s="2" t="s">
        <v>133</v>
      </c>
      <c r="B117" s="2"/>
      <c r="C117" s="4">
        <f>+C87*C90</f>
        <v>689.11953211739353</v>
      </c>
      <c r="D117" s="4">
        <f t="shared" ref="D117" si="36">+D87*D90</f>
        <v>977.29026623642608</v>
      </c>
    </row>
    <row r="118" spans="1:4" x14ac:dyDescent="0.25">
      <c r="A118" s="2" t="s">
        <v>134</v>
      </c>
      <c r="B118" s="2"/>
      <c r="C118" s="4">
        <f>+C88</f>
        <v>1386.9772000000003</v>
      </c>
      <c r="D118" s="4">
        <f t="shared" ref="D118" si="37">+D88</f>
        <v>1386.9772000000003</v>
      </c>
    </row>
    <row r="119" spans="1:4" x14ac:dyDescent="0.25">
      <c r="A119" s="2" t="s">
        <v>135</v>
      </c>
      <c r="B119" s="2"/>
      <c r="C119" s="4">
        <f>+C117*1000/C76</f>
        <v>25.118661187263175</v>
      </c>
      <c r="D119" s="4">
        <f t="shared" ref="D119" si="38">+D117*1000/D76</f>
        <v>35.622590762702615</v>
      </c>
    </row>
    <row r="120" spans="1:4" x14ac:dyDescent="0.25">
      <c r="A120" s="2" t="s">
        <v>136</v>
      </c>
      <c r="B120" s="2"/>
      <c r="C120" s="4">
        <f>+C118*1000/C76</f>
        <v>50.555830646988582</v>
      </c>
      <c r="D120" s="4">
        <f t="shared" ref="D120" si="39">+D118*1000/D76</f>
        <v>50.555830646988582</v>
      </c>
    </row>
    <row r="121" spans="1:4" x14ac:dyDescent="0.25">
      <c r="A121" s="2" t="s">
        <v>145</v>
      </c>
      <c r="B121" s="2"/>
      <c r="C121" s="4">
        <f>+C78</f>
        <v>4.5234907850621351</v>
      </c>
      <c r="D121" s="4">
        <f>+D78</f>
        <v>4.5234907850621351</v>
      </c>
    </row>
    <row r="122" spans="1:4" x14ac:dyDescent="0.25">
      <c r="A122" s="2" t="s">
        <v>173</v>
      </c>
      <c r="B122" s="2"/>
      <c r="C122" s="4">
        <f>+C119+C120</f>
        <v>75.674491834251754</v>
      </c>
      <c r="D122" s="4">
        <f>+D119+D120</f>
        <v>86.178421409691197</v>
      </c>
    </row>
    <row r="123" spans="1:4" x14ac:dyDescent="0.25">
      <c r="A123" s="2" t="s">
        <v>174</v>
      </c>
      <c r="B123" s="2"/>
      <c r="C123" s="4">
        <f>+C119+C120+C121</f>
        <v>80.19798261931389</v>
      </c>
      <c r="D123" s="4">
        <f>+D119+D120+D121</f>
        <v>90.701912194753334</v>
      </c>
    </row>
    <row r="124" spans="1:4" x14ac:dyDescent="0.25">
      <c r="A124" s="2" t="s">
        <v>148</v>
      </c>
      <c r="B124" s="2" t="s">
        <v>149</v>
      </c>
      <c r="C124" s="3">
        <v>0.52</v>
      </c>
      <c r="D124" s="3">
        <v>0.52</v>
      </c>
    </row>
    <row r="125" spans="1:4" x14ac:dyDescent="0.25">
      <c r="A125" s="2" t="s">
        <v>150</v>
      </c>
      <c r="B125" s="2"/>
      <c r="C125" s="3">
        <v>230</v>
      </c>
      <c r="D125" s="3">
        <v>230</v>
      </c>
    </row>
    <row r="126" spans="1:4" x14ac:dyDescent="0.25">
      <c r="A126" s="2" t="s">
        <v>151</v>
      </c>
      <c r="B126" s="2"/>
      <c r="C126" s="3">
        <v>0.55000000000000004</v>
      </c>
      <c r="D126" s="3">
        <v>0.55000000000000004</v>
      </c>
    </row>
    <row r="127" spans="1:4" x14ac:dyDescent="0.25">
      <c r="A127" s="2" t="s">
        <v>152</v>
      </c>
      <c r="B127" s="2"/>
      <c r="C127" s="3">
        <v>0.71699999999999997</v>
      </c>
      <c r="D127" s="3">
        <v>0.71699999999999997</v>
      </c>
    </row>
    <row r="128" spans="1:4" x14ac:dyDescent="0.25">
      <c r="A128" s="2" t="s">
        <v>153</v>
      </c>
      <c r="B128" s="2"/>
      <c r="C128" s="4">
        <f>+C125*C127/1000</f>
        <v>0.16491</v>
      </c>
      <c r="D128" s="4">
        <f t="shared" ref="D128" si="40">+D125*D127/1000</f>
        <v>0.16491</v>
      </c>
    </row>
    <row r="129" spans="1:4" x14ac:dyDescent="0.25">
      <c r="A129" s="2" t="s">
        <v>154</v>
      </c>
      <c r="B129" s="2"/>
      <c r="C129" s="72">
        <f>+C128*C122</f>
        <v>12.479480448386457</v>
      </c>
      <c r="D129" s="72">
        <f>+D128*D122</f>
        <v>14.211683474672176</v>
      </c>
    </row>
    <row r="130" spans="1:4" x14ac:dyDescent="0.25">
      <c r="A130" s="2" t="s">
        <v>155</v>
      </c>
      <c r="B130" s="2"/>
      <c r="C130" s="72">
        <f>+C128*C123</f>
        <v>13.225449313751053</v>
      </c>
      <c r="D130" s="72">
        <f>+D128*D123</f>
        <v>14.957652340036772</v>
      </c>
    </row>
    <row r="131" spans="1:4" x14ac:dyDescent="0.25">
      <c r="A131" s="2" t="s">
        <v>157</v>
      </c>
      <c r="B131" s="2"/>
      <c r="C131" s="4">
        <f>+C123*(1-C124)</f>
        <v>38.495031657270665</v>
      </c>
      <c r="D131" s="4">
        <f t="shared" ref="D131" si="41">+D123*(1-D124)</f>
        <v>43.536917853481597</v>
      </c>
    </row>
    <row r="132" spans="1:4" x14ac:dyDescent="0.25">
      <c r="A132" s="2" t="s">
        <v>158</v>
      </c>
      <c r="B132" s="2" t="s">
        <v>159</v>
      </c>
      <c r="C132" s="3">
        <f t="shared" ref="C132:D132" si="42">+VS_tot_omsat_lager_afg</f>
        <v>0.13092377276210895</v>
      </c>
      <c r="D132" s="3">
        <f t="shared" si="42"/>
        <v>0.13092377276210895</v>
      </c>
    </row>
    <row r="133" spans="1:4" x14ac:dyDescent="0.25">
      <c r="A133" s="2" t="s">
        <v>160</v>
      </c>
      <c r="B133" s="2"/>
      <c r="C133" s="4">
        <f>+C131*C132</f>
        <v>5.039914777166695</v>
      </c>
      <c r="D133" s="4">
        <f t="shared" ref="D133" si="43">+D131*D132</f>
        <v>5.7000175398118289</v>
      </c>
    </row>
    <row r="134" spans="1:4" x14ac:dyDescent="0.25">
      <c r="A134" s="2" t="s">
        <v>128</v>
      </c>
      <c r="B134" s="2"/>
      <c r="C134" s="4">
        <f>+C133/C48</f>
        <v>0.30239488663000169</v>
      </c>
      <c r="D134" s="4">
        <f t="shared" ref="D134" si="44">+D133/D48</f>
        <v>0.3420010523887097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workbookViewId="0">
      <selection activeCell="I6" sqref="I6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7" max="7" width="16.28515625" bestFit="1" customWidth="1"/>
    <col min="8" max="19" width="8.5703125" customWidth="1"/>
  </cols>
  <sheetData>
    <row r="1" spans="1:20" x14ac:dyDescent="0.25">
      <c r="A1" t="s">
        <v>175</v>
      </c>
      <c r="B1" s="1">
        <v>30.3</v>
      </c>
      <c r="C1" t="s">
        <v>61</v>
      </c>
      <c r="D1" s="1">
        <v>81000</v>
      </c>
      <c r="E1" t="s">
        <v>63</v>
      </c>
      <c r="F1" s="1">
        <v>8.31</v>
      </c>
    </row>
    <row r="2" spans="1:20" x14ac:dyDescent="0.25">
      <c r="A2" t="s">
        <v>176</v>
      </c>
      <c r="B2" s="1">
        <v>0.45</v>
      </c>
      <c r="C2" t="s">
        <v>177</v>
      </c>
      <c r="D2" s="1">
        <v>4</v>
      </c>
      <c r="E2" t="s">
        <v>178</v>
      </c>
      <c r="F2" s="1">
        <v>6.67</v>
      </c>
    </row>
    <row r="4" spans="1:20" x14ac:dyDescent="0.25">
      <c r="A4" t="s">
        <v>179</v>
      </c>
    </row>
    <row r="5" spans="1:20" x14ac:dyDescent="0.25">
      <c r="A5" t="s">
        <v>180</v>
      </c>
      <c r="B5" t="s">
        <v>181</v>
      </c>
      <c r="C5" t="s">
        <v>182</v>
      </c>
      <c r="D5" t="s">
        <v>183</v>
      </c>
      <c r="E5" t="s">
        <v>184</v>
      </c>
      <c r="G5" t="s">
        <v>180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f>+ROUND(B6*0.5011+5.1886,1)</f>
        <v>5.9</v>
      </c>
      <c r="D6" s="7">
        <v>1</v>
      </c>
      <c r="E6" s="11">
        <f>+(1-EXP(Ln_A-E_a/(R_*(C6+273.15)))*VS_tot_CH4*24/1000)^30</f>
        <v>0.95421133570596794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f t="shared" ref="C7:C17" si="0">+ROUND(B7*0.5011+5.1886,1)</f>
        <v>5.8</v>
      </c>
      <c r="D7" s="7">
        <v>1</v>
      </c>
      <c r="E7" s="11">
        <f t="shared" ref="E7:E17" si="1">+(1-EXP(Ln_A-E_a/(R_*(C7+273.15)))*VS_tot_CH4*24/1000)^30</f>
        <v>0.9547684722560178</v>
      </c>
      <c r="G7">
        <v>5</v>
      </c>
      <c r="H7" s="8">
        <f>+LOOKUP($G7,Måned_VS_tot_t30)*H6</f>
        <v>0.91691621783512656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f t="shared" si="0"/>
        <v>6.7</v>
      </c>
      <c r="D8" s="7">
        <v>1</v>
      </c>
      <c r="E8" s="11">
        <f t="shared" si="1"/>
        <v>0.94952237753394886</v>
      </c>
      <c r="G8">
        <v>6</v>
      </c>
      <c r="H8" s="8">
        <f t="shared" ref="H8:H18" si="2">+LOOKUP($G8,Måned_VS_tot_t30)*H7</f>
        <v>0.82539538337257434</v>
      </c>
      <c r="I8" s="8">
        <f t="shared" ref="I8:I18" si="3">+LOOKUP($G8,Måned_VS_tot_t30)*I7</f>
        <v>0.90018626273332114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f t="shared" si="0"/>
        <v>8.9</v>
      </c>
      <c r="D9" s="7">
        <v>1</v>
      </c>
      <c r="E9" s="11">
        <f t="shared" si="1"/>
        <v>0.93427591504525531</v>
      </c>
      <c r="G9">
        <v>7</v>
      </c>
      <c r="H9" s="8">
        <f t="shared" si="2"/>
        <v>0.72896718031039665</v>
      </c>
      <c r="I9" s="8">
        <f t="shared" si="3"/>
        <v>0.79502048947450776</v>
      </c>
      <c r="J9" s="8">
        <f t="shared" ref="J9:J18" si="4">+LOOKUP($G9,Måned_VS_tot_t30)*J8</f>
        <v>0.88317331910899355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f t="shared" si="0"/>
        <v>10.9</v>
      </c>
      <c r="D10" s="7">
        <v>1</v>
      </c>
      <c r="E10" s="11">
        <f t="shared" si="1"/>
        <v>0.91691621783512656</v>
      </c>
      <c r="G10">
        <v>8</v>
      </c>
      <c r="H10" s="8">
        <f t="shared" si="2"/>
        <v>0.64474789003732791</v>
      </c>
      <c r="I10" s="8">
        <f t="shared" si="3"/>
        <v>0.7031699052718271</v>
      </c>
      <c r="J10" s="8">
        <f t="shared" si="4"/>
        <v>0.7811382314774783</v>
      </c>
      <c r="K10" s="8">
        <f t="shared" ref="K10:K18" si="5">+LOOKUP($G10,Måned_VS_tot_t30)*K9</f>
        <v>0.88446765156531748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f t="shared" si="0"/>
        <v>12.5</v>
      </c>
      <c r="D11" s="7">
        <v>1</v>
      </c>
      <c r="E11" s="11">
        <f t="shared" si="1"/>
        <v>0.90018626273332114</v>
      </c>
      <c r="G11">
        <v>9</v>
      </c>
      <c r="H11" s="8">
        <f t="shared" si="2"/>
        <v>0.58325655503509277</v>
      </c>
      <c r="I11" s="8">
        <f t="shared" si="3"/>
        <v>0.63610670603273134</v>
      </c>
      <c r="J11" s="8">
        <f t="shared" si="4"/>
        <v>0.70663898391568447</v>
      </c>
      <c r="K11" s="8">
        <f t="shared" si="5"/>
        <v>0.8001136001578838</v>
      </c>
      <c r="L11" s="8">
        <f t="shared" ref="L11:L18" si="6">+LOOKUP($G11,Måned_VS_tot_t30)*L10</f>
        <v>0.90462731875140356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f t="shared" si="0"/>
        <v>13.9</v>
      </c>
      <c r="D12" s="7">
        <v>1</v>
      </c>
      <c r="E12" s="11">
        <f t="shared" si="1"/>
        <v>0.88317331910899355</v>
      </c>
      <c r="G12">
        <v>10</v>
      </c>
      <c r="H12" s="8">
        <f t="shared" si="2"/>
        <v>0.54012684036036918</v>
      </c>
      <c r="I12" s="8">
        <f t="shared" si="3"/>
        <v>0.58906891366326664</v>
      </c>
      <c r="J12" s="8">
        <f t="shared" si="4"/>
        <v>0.65438558446184325</v>
      </c>
      <c r="K12" s="8">
        <f t="shared" si="5"/>
        <v>0.74094809059906008</v>
      </c>
      <c r="L12" s="8">
        <f t="shared" si="6"/>
        <v>0.83773339735799424</v>
      </c>
      <c r="M12" s="8">
        <f t="shared" ref="M12:M18" si="7">+LOOKUP($G12,Måned_VS_tot_t30)*M11</f>
        <v>0.92605361345295367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f t="shared" si="0"/>
        <v>13.8</v>
      </c>
      <c r="D13" s="7">
        <v>1</v>
      </c>
      <c r="E13" s="11">
        <f t="shared" si="1"/>
        <v>0.88446765156531748</v>
      </c>
      <c r="G13">
        <v>11</v>
      </c>
      <c r="H13" s="8">
        <f t="shared" si="2"/>
        <v>0.50823681230250339</v>
      </c>
      <c r="I13" s="8">
        <f t="shared" si="3"/>
        <v>0.55428926047624016</v>
      </c>
      <c r="J13" s="8">
        <f t="shared" si="4"/>
        <v>0.61574952143037487</v>
      </c>
      <c r="K13" s="8">
        <f t="shared" si="5"/>
        <v>0.69720122665343376</v>
      </c>
      <c r="L13" s="8">
        <f t="shared" si="6"/>
        <v>0.78827216056973659</v>
      </c>
      <c r="M13" s="8">
        <f t="shared" si="7"/>
        <v>0.87137779749757704</v>
      </c>
      <c r="N13" s="8">
        <f t="shared" ref="N13:N18" si="8">+LOOKUP($G13,Måned_VS_tot_t30)*N12</f>
        <v>0.94095826077336031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f t="shared" si="0"/>
        <v>12.1</v>
      </c>
      <c r="D14" s="7">
        <v>1</v>
      </c>
      <c r="E14" s="11">
        <f t="shared" si="1"/>
        <v>0.90462731875140356</v>
      </c>
      <c r="G14">
        <v>12</v>
      </c>
      <c r="H14" s="8">
        <f t="shared" si="2"/>
        <v>0.48380039346048498</v>
      </c>
      <c r="I14" s="8">
        <f t="shared" si="3"/>
        <v>0.52763860432391063</v>
      </c>
      <c r="J14" s="8">
        <f t="shared" si="4"/>
        <v>0.58614380841781721</v>
      </c>
      <c r="K14" s="8">
        <f t="shared" si="5"/>
        <v>0.66367925268525962</v>
      </c>
      <c r="L14" s="8">
        <f t="shared" si="6"/>
        <v>0.7503714256939642</v>
      </c>
      <c r="M14" s="8">
        <f t="shared" si="7"/>
        <v>0.82948127935120464</v>
      </c>
      <c r="N14" s="8">
        <f t="shared" si="8"/>
        <v>0.89571626016158801</v>
      </c>
      <c r="O14" s="8">
        <f>+LOOKUP($G14,Måned_VS_tot_t30)*O13</f>
        <v>0.95191922692236264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f t="shared" si="0"/>
        <v>9.9</v>
      </c>
      <c r="D15" s="7">
        <v>1</v>
      </c>
      <c r="E15" s="11">
        <f t="shared" si="1"/>
        <v>0.92605361345295367</v>
      </c>
      <c r="G15">
        <v>1</v>
      </c>
      <c r="H15" s="8">
        <f t="shared" si="2"/>
        <v>0.4616478196590022</v>
      </c>
      <c r="I15" s="8">
        <f t="shared" si="3"/>
        <v>0.50347873740195148</v>
      </c>
      <c r="J15" s="8">
        <f t="shared" si="4"/>
        <v>0.55930506634614829</v>
      </c>
      <c r="K15" s="8">
        <f t="shared" si="5"/>
        <v>0.63329026618514017</v>
      </c>
      <c r="L15" s="8">
        <f t="shared" si="6"/>
        <v>0.71601292038702902</v>
      </c>
      <c r="M15" s="8">
        <f t="shared" si="7"/>
        <v>0.79150043951280813</v>
      </c>
      <c r="N15" s="8">
        <f t="shared" si="8"/>
        <v>0.85470260902234318</v>
      </c>
      <c r="O15" s="8">
        <f>+LOOKUP($G15,Måned_VS_tot_t30)*O14</f>
        <v>0.90833211700578009</v>
      </c>
      <c r="P15" s="8">
        <f>+LOOKUP($G15,Måned_VS_tot_t30)*P14</f>
        <v>0.95421133570596794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f t="shared" si="0"/>
        <v>8</v>
      </c>
      <c r="D16" s="7">
        <v>1</v>
      </c>
      <c r="E16" s="11">
        <f t="shared" si="1"/>
        <v>0.94095826077336031</v>
      </c>
      <c r="G16">
        <v>2</v>
      </c>
      <c r="H16" s="8">
        <f t="shared" si="2"/>
        <v>0.44076678349614717</v>
      </c>
      <c r="I16" s="8">
        <f t="shared" si="3"/>
        <v>0.48070562492265001</v>
      </c>
      <c r="J16" s="8">
        <f t="shared" si="4"/>
        <v>0.53400684372036267</v>
      </c>
      <c r="K16" s="8">
        <f t="shared" si="5"/>
        <v>0.60464557994019308</v>
      </c>
      <c r="L16" s="8">
        <f t="shared" si="6"/>
        <v>0.68362656211349337</v>
      </c>
      <c r="M16" s="8">
        <f t="shared" si="7"/>
        <v>0.75569966542361044</v>
      </c>
      <c r="N16" s="8">
        <f t="shared" si="8"/>
        <v>0.81604310424949511</v>
      </c>
      <c r="O16" s="8">
        <f>+LOOKUP($G16,Måned_VS_tot_t30)*O15</f>
        <v>0.86724686765468306</v>
      </c>
      <c r="P16" s="8">
        <f>+LOOKUP($G16,Måned_VS_tot_t30)*P15</f>
        <v>0.91105089920136118</v>
      </c>
      <c r="Q16" s="8">
        <f>+LOOKUP($G16,Måned_VS_tot_t30)*Q15</f>
        <v>0.9547684722560178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f t="shared" si="0"/>
        <v>6.3</v>
      </c>
      <c r="D17" s="7">
        <v>1</v>
      </c>
      <c r="E17" s="11">
        <f t="shared" si="1"/>
        <v>0.95191922692236264</v>
      </c>
      <c r="G17">
        <v>3</v>
      </c>
      <c r="H17" s="8">
        <f t="shared" si="2"/>
        <v>0.41851792420325296</v>
      </c>
      <c r="I17" s="8">
        <f t="shared" si="3"/>
        <v>0.45644074787049732</v>
      </c>
      <c r="J17" s="8">
        <f t="shared" si="4"/>
        <v>0.50705144786875866</v>
      </c>
      <c r="K17" s="8">
        <f t="shared" si="5"/>
        <v>0.57412450863020548</v>
      </c>
      <c r="L17" s="8">
        <f t="shared" si="6"/>
        <v>0.64911871860336401</v>
      </c>
      <c r="M17" s="8">
        <f t="shared" si="7"/>
        <v>0.71755374301463626</v>
      </c>
      <c r="N17" s="8">
        <f t="shared" si="8"/>
        <v>0.77485118851716472</v>
      </c>
      <c r="O17" s="8">
        <f>+LOOKUP($G17,Måned_VS_tot_t30)*O16</f>
        <v>0.82347030768434459</v>
      </c>
      <c r="P17" s="8">
        <f>+LOOKUP($G17,Måned_VS_tot_t30)*P16</f>
        <v>0.8650632158641185</v>
      </c>
      <c r="Q17" s="8">
        <f>+LOOKUP($G17,Måned_VS_tot_t30)*Q16</f>
        <v>0.90657402977099011</v>
      </c>
      <c r="R17" s="8">
        <f>+LOOKUP($G17,Måned_VS_tot_t30)*R16</f>
        <v>0.94952237753394886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2"/>
        <v>0.39101121659783494</v>
      </c>
      <c r="I18" s="8">
        <f t="shared" si="3"/>
        <v>0.42644159738064957</v>
      </c>
      <c r="J18" s="8">
        <f t="shared" si="4"/>
        <v>0.47372595543260609</v>
      </c>
      <c r="K18" s="8">
        <f t="shared" si="5"/>
        <v>0.53639070065039285</v>
      </c>
      <c r="L18" s="8">
        <f t="shared" si="6"/>
        <v>0.60645598479616147</v>
      </c>
      <c r="M18" s="8">
        <f t="shared" si="7"/>
        <v>0.67039317984914726</v>
      </c>
      <c r="N18" s="8">
        <f t="shared" si="8"/>
        <v>0.72392480317577768</v>
      </c>
      <c r="O18" s="8">
        <f>+LOOKUP($G18,Måned_VS_tot_t30)*O17</f>
        <v>0.76934847522438898</v>
      </c>
      <c r="P18" s="8">
        <f>+LOOKUP($G18,Måned_VS_tot_t30)*P17</f>
        <v>0.8082077275734405</v>
      </c>
      <c r="Q18" s="8">
        <f>+LOOKUP($G18,Måned_VS_tot_t30)*Q17</f>
        <v>0.84699028122055631</v>
      </c>
      <c r="R18" s="8">
        <f>+LOOKUP($G18,Måned_VS_tot_t30)*R17</f>
        <v>0.88711588812647646</v>
      </c>
      <c r="S18" s="8">
        <f>+LOOKUP($G18,Måned_VS_tot_t30)*S17</f>
        <v>0.93427591504525531</v>
      </c>
      <c r="T18" s="8"/>
    </row>
    <row r="19" spans="1:20" x14ac:dyDescent="0.25">
      <c r="G19" s="12" t="s">
        <v>185</v>
      </c>
      <c r="H19" s="13">
        <f>1-MIN((H6:H18))</f>
        <v>0.608988783402165</v>
      </c>
      <c r="I19" s="13">
        <f t="shared" ref="I19:S19" si="9">1-MIN((I6:I18))</f>
        <v>0.57355840261935043</v>
      </c>
      <c r="J19" s="13">
        <f t="shared" si="9"/>
        <v>0.52627404456739391</v>
      </c>
      <c r="K19" s="13">
        <f t="shared" si="9"/>
        <v>0.46360929934960715</v>
      </c>
      <c r="L19" s="13">
        <f t="shared" si="9"/>
        <v>0.39354401520383853</v>
      </c>
      <c r="M19" s="13">
        <f t="shared" si="9"/>
        <v>0.32960682015085274</v>
      </c>
      <c r="N19" s="13">
        <f t="shared" si="9"/>
        <v>0.27607519682422232</v>
      </c>
      <c r="O19" s="13">
        <f t="shared" si="9"/>
        <v>0.23065152477561102</v>
      </c>
      <c r="P19" s="13">
        <f t="shared" si="9"/>
        <v>0.1917922724265595</v>
      </c>
      <c r="Q19" s="13">
        <f t="shared" si="9"/>
        <v>0.15300971877944369</v>
      </c>
      <c r="R19" s="13">
        <f t="shared" si="9"/>
        <v>0.11288411187352354</v>
      </c>
      <c r="S19" s="13">
        <f t="shared" si="9"/>
        <v>6.5724084954744688E-2</v>
      </c>
      <c r="T19" s="8">
        <f>+AVERAGE((H19:S19))</f>
        <v>0.32714318957727601</v>
      </c>
    </row>
    <row r="20" spans="1:20" x14ac:dyDescent="0.25">
      <c r="G20" s="14" t="s">
        <v>186</v>
      </c>
      <c r="H20" s="15">
        <f t="shared" ref="H20:S20" si="10">+H19/VS_tot_CH4</f>
        <v>9.1302666177236133E-2</v>
      </c>
      <c r="I20" s="15">
        <f t="shared" si="10"/>
        <v>8.599076501039736E-2</v>
      </c>
      <c r="J20" s="15">
        <f t="shared" si="10"/>
        <v>7.8901655857180494E-2</v>
      </c>
      <c r="K20" s="15">
        <f t="shared" si="10"/>
        <v>6.950664158165025E-2</v>
      </c>
      <c r="L20" s="15">
        <f t="shared" si="10"/>
        <v>5.9002101229960802E-2</v>
      </c>
      <c r="M20" s="15">
        <f t="shared" si="10"/>
        <v>4.9416314865195314E-2</v>
      </c>
      <c r="N20" s="15">
        <f t="shared" si="10"/>
        <v>4.1390584231517591E-2</v>
      </c>
      <c r="O20" s="15">
        <f t="shared" si="10"/>
        <v>3.4580438497093108E-2</v>
      </c>
      <c r="P20" s="15">
        <f t="shared" si="10"/>
        <v>2.875446363216784E-2</v>
      </c>
      <c r="Q20" s="15">
        <f t="shared" si="10"/>
        <v>2.2939987823005051E-2</v>
      </c>
      <c r="R20" s="15">
        <f t="shared" si="10"/>
        <v>1.6924154703676694E-2</v>
      </c>
      <c r="S20" s="15">
        <f t="shared" si="10"/>
        <v>9.8536859002615728E-3</v>
      </c>
      <c r="T20" s="15">
        <f>+AVERAGE((H20:S20))</f>
        <v>4.9046954959111856E-2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187</v>
      </c>
      <c r="B22" s="1">
        <v>29.2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188</v>
      </c>
    </row>
    <row r="25" spans="1:20" x14ac:dyDescent="0.25">
      <c r="A25" t="s">
        <v>180</v>
      </c>
      <c r="B25" t="s">
        <v>181</v>
      </c>
      <c r="C25" t="s">
        <v>182</v>
      </c>
      <c r="D25" t="s">
        <v>183</v>
      </c>
      <c r="E25" t="s">
        <v>184</v>
      </c>
      <c r="G25" t="s">
        <v>180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f>+ROUND(B26*0.5011+5.1886,1)</f>
        <v>5.9</v>
      </c>
      <c r="D26" s="7">
        <v>1</v>
      </c>
      <c r="E26" s="11">
        <f t="shared" ref="E26:E37" si="11">+(1-EXP(Ln_A_kvaeg-E_a/(R_*(C26+273.15)))*VS_tot_CH4*24/1000)^30</f>
        <v>0.98452737649578181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f t="shared" ref="C27:C37" si="12">+ROUND(B27*0.5011+5.1886,1)</f>
        <v>5.8</v>
      </c>
      <c r="D27" s="7">
        <v>1</v>
      </c>
      <c r="E27" s="11">
        <f t="shared" si="11"/>
        <v>0.9847184878036912</v>
      </c>
      <c r="G27">
        <v>5</v>
      </c>
      <c r="H27" s="8">
        <f>+LOOKUP($G27,Måned_VS_tot_kvaeg_t30)*H26</f>
        <v>0.97156692281056223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f t="shared" si="12"/>
        <v>6.7</v>
      </c>
      <c r="D28" s="7">
        <v>1</v>
      </c>
      <c r="E28" s="11">
        <f t="shared" si="11"/>
        <v>0.98291609026151394</v>
      </c>
      <c r="G28">
        <v>6</v>
      </c>
      <c r="H28" s="8">
        <f>+LOOKUP($G28,Måned_VS_tot_kvaeg_t30)*H27</f>
        <v>0.93818623617247521</v>
      </c>
      <c r="I28" s="8">
        <f>+LOOKUP($G28,Måned_VS_tot_kvaeg_t30)*I27</f>
        <v>0.96564242168565917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f t="shared" si="12"/>
        <v>8.9</v>
      </c>
      <c r="D29" s="7">
        <v>1</v>
      </c>
      <c r="E29" s="11">
        <f t="shared" si="11"/>
        <v>0.97764111864253</v>
      </c>
      <c r="G29">
        <v>7</v>
      </c>
      <c r="H29" s="8"/>
      <c r="I29" s="8">
        <f>+LOOKUP($G29,Måned_VS_tot_kvaeg_t30)*I28</f>
        <v>0.92657672577092898</v>
      </c>
      <c r="J29" s="8">
        <f>+LOOKUP($G29,Måned_VS_tot_kvaeg_t30)*J28</f>
        <v>0.95954434577704684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f t="shared" si="12"/>
        <v>10.9</v>
      </c>
      <c r="D30" s="7">
        <v>1</v>
      </c>
      <c r="E30" s="11">
        <f t="shared" si="11"/>
        <v>0.97156692281056223</v>
      </c>
      <c r="G30">
        <v>8</v>
      </c>
      <c r="H30" s="8"/>
      <c r="I30" s="8"/>
      <c r="J30" s="8">
        <f>+LOOKUP($G30,Måned_VS_tot_kvaeg_t30)*J29</f>
        <v>0.92117306485841499</v>
      </c>
      <c r="K30" s="8">
        <f>+LOOKUP($G30,Måned_VS_tot_kvaeg_t30)*K29</f>
        <v>0.96001093530746773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f t="shared" si="12"/>
        <v>12.5</v>
      </c>
      <c r="D31" s="7">
        <v>1</v>
      </c>
      <c r="E31" s="11">
        <f t="shared" si="11"/>
        <v>0.96564242168565917</v>
      </c>
      <c r="G31">
        <v>9</v>
      </c>
      <c r="H31" s="8"/>
      <c r="I31" s="8"/>
      <c r="J31" s="8"/>
      <c r="K31" s="8">
        <f>+LOOKUP($G31,Måned_VS_tot_kvaeg_t30)*K30</f>
        <v>0.92854369211726595</v>
      </c>
      <c r="L31" s="8">
        <f>+LOOKUP($G31,Måned_VS_tot_kvaeg_t30)*L30</f>
        <v>0.96722199504933393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f t="shared" si="12"/>
        <v>13.9</v>
      </c>
      <c r="D32" s="7">
        <v>1</v>
      </c>
      <c r="E32" s="11">
        <f t="shared" si="11"/>
        <v>0.95954434577704684</v>
      </c>
      <c r="G32">
        <v>10</v>
      </c>
      <c r="H32" s="8"/>
      <c r="I32" s="8"/>
      <c r="J32" s="8"/>
      <c r="K32" s="8"/>
      <c r="L32" s="8">
        <f>+LOOKUP($G32,Måned_VS_tot_kvaeg_t30)*L31</f>
        <v>0.94282215743420417</v>
      </c>
      <c r="M32" s="8">
        <f t="shared" ref="M32:M38" si="13">+LOOKUP($G32,Måned_VS_tot_kvaeg_t30)*M31</f>
        <v>0.97477328086001058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f t="shared" si="12"/>
        <v>13.8</v>
      </c>
      <c r="D33" s="7">
        <v>1</v>
      </c>
      <c r="E33" s="11">
        <f t="shared" si="11"/>
        <v>0.96001093530746773</v>
      </c>
      <c r="G33">
        <v>11</v>
      </c>
      <c r="H33" s="8"/>
      <c r="I33" s="8"/>
      <c r="J33" s="8"/>
      <c r="K33" s="8"/>
      <c r="L33" s="8"/>
      <c r="M33" s="8">
        <f t="shared" si="13"/>
        <v>0.95523869113891624</v>
      </c>
      <c r="N33" s="8">
        <f t="shared" ref="N33:N38" si="14">+LOOKUP($G33,Måned_VS_tot_kvaeg_t30)*N32</f>
        <v>0.97995986338088836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f t="shared" si="12"/>
        <v>12.1</v>
      </c>
      <c r="D34" s="7">
        <v>1</v>
      </c>
      <c r="E34" s="11">
        <f t="shared" si="11"/>
        <v>0.96722199504933393</v>
      </c>
      <c r="G34">
        <v>12</v>
      </c>
      <c r="H34" s="8"/>
      <c r="I34" s="8"/>
      <c r="J34" s="8"/>
      <c r="K34" s="8"/>
      <c r="L34" s="8"/>
      <c r="M34" s="8">
        <f t="shared" si="13"/>
        <v>0.93970686293668959</v>
      </c>
      <c r="N34" s="8">
        <f t="shared" si="14"/>
        <v>0.96402607805131568</v>
      </c>
      <c r="O34" s="8">
        <f>+LOOKUP($G34,Måned_VS_tot_kvaeg_t30)*O33</f>
        <v>0.9837403694528869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f t="shared" si="12"/>
        <v>9.9</v>
      </c>
      <c r="D35" s="7">
        <v>1</v>
      </c>
      <c r="E35" s="11">
        <f t="shared" si="11"/>
        <v>0.97477328086001058</v>
      </c>
      <c r="G35">
        <v>1</v>
      </c>
      <c r="H35" s="8"/>
      <c r="I35" s="8"/>
      <c r="J35" s="8"/>
      <c r="K35" s="8"/>
      <c r="L35" s="8"/>
      <c r="M35" s="8">
        <f t="shared" si="13"/>
        <v>0.92516713244214022</v>
      </c>
      <c r="N35" s="8">
        <f t="shared" si="14"/>
        <v>0.94911006549737964</v>
      </c>
      <c r="O35" s="8">
        <f>+LOOKUP($G35,Måned_VS_tot_kvaeg_t30)*O34</f>
        <v>0.96851932509044192</v>
      </c>
      <c r="P35" s="8">
        <f>+LOOKUP($G35,Måned_VS_tot_kvaeg_t30)*P34</f>
        <v>0.98452737649578181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f t="shared" si="12"/>
        <v>8</v>
      </c>
      <c r="D36" s="7">
        <v>1</v>
      </c>
      <c r="E36" s="11">
        <f t="shared" si="11"/>
        <v>0.97995986338088836</v>
      </c>
      <c r="G36">
        <v>2</v>
      </c>
      <c r="H36" s="8"/>
      <c r="I36" s="8"/>
      <c r="J36" s="8"/>
      <c r="K36" s="8"/>
      <c r="L36" s="8"/>
      <c r="M36" s="8">
        <f t="shared" si="13"/>
        <v>0.91102917962410157</v>
      </c>
      <c r="N36" s="8">
        <f t="shared" si="14"/>
        <v>0.93460622845584196</v>
      </c>
      <c r="O36" s="8">
        <f>+LOOKUP($G36,Måned_VS_tot_kvaeg_t30)*O35</f>
        <v>0.95371888521171155</v>
      </c>
      <c r="P36" s="8">
        <f>+LOOKUP($G36,Måned_VS_tot_kvaeg_t30)*P35</f>
        <v>0.96948230938426161</v>
      </c>
      <c r="Q36" s="8">
        <f>+LOOKUP($G36,Måned_VS_tot_kvaeg_t30)*Q35</f>
        <v>0.9847184878036912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f t="shared" si="12"/>
        <v>6.3</v>
      </c>
      <c r="D37" s="7">
        <v>1</v>
      </c>
      <c r="E37" s="11">
        <f t="shared" si="11"/>
        <v>0.9837403694528869</v>
      </c>
      <c r="G37">
        <v>3</v>
      </c>
      <c r="H37" s="8"/>
      <c r="I37" s="8"/>
      <c r="J37" s="8"/>
      <c r="K37" s="8"/>
      <c r="L37" s="8"/>
      <c r="M37" s="8">
        <f t="shared" si="13"/>
        <v>0.89546523935027644</v>
      </c>
      <c r="N37" s="8">
        <f t="shared" si="14"/>
        <v>0.91863950000787542</v>
      </c>
      <c r="O37" s="8">
        <f>+LOOKUP($G37,Måned_VS_tot_kvaeg_t30)*O36</f>
        <v>0.93742563786086508</v>
      </c>
      <c r="P37" s="8">
        <f>+LOOKUP($G37,Måned_VS_tot_kvaeg_t30)*P36</f>
        <v>0.95291976111768184</v>
      </c>
      <c r="Q37" s="8">
        <f>+LOOKUP($G37,Måned_VS_tot_kvaeg_t30)*Q36</f>
        <v>0.96789564604023448</v>
      </c>
      <c r="R37" s="8">
        <f>+LOOKUP($G37,Måned_VS_tot_kvaeg_t30)*R36</f>
        <v>0.98291609026151394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3"/>
        <v>0.87544363830390515</v>
      </c>
      <c r="N38" s="8">
        <f t="shared" si="14"/>
        <v>0.89809974841691376</v>
      </c>
      <c r="O38" s="8">
        <f>+LOOKUP($G38,Måned_VS_tot_kvaeg_t30)*O37</f>
        <v>0.91646584924248331</v>
      </c>
      <c r="P38" s="8">
        <f>+LOOKUP($G38,Måned_VS_tot_kvaeg_t30)*P37</f>
        <v>0.93161354123566298</v>
      </c>
      <c r="Q38" s="8">
        <f>+LOOKUP($G38,Måned_VS_tot_kvaeg_t30)*Q37</f>
        <v>0.94625458212400915</v>
      </c>
      <c r="R38" s="8">
        <f>+LOOKUP($G38,Måned_VS_tot_kvaeg_t30)*R37</f>
        <v>0.9609391860150085</v>
      </c>
      <c r="S38" s="8">
        <f>+LOOKUP($G38,Måned_VS_tot_kvaeg_t30)*S37</f>
        <v>0.97764111864253</v>
      </c>
      <c r="T38" s="8"/>
    </row>
    <row r="39" spans="1:20" x14ac:dyDescent="0.25">
      <c r="G39" s="12" t="s">
        <v>185</v>
      </c>
      <c r="H39" s="13">
        <f>1-MIN((H26:H38))</f>
        <v>6.1813763827524792E-2</v>
      </c>
      <c r="I39" s="13">
        <f>1-MIN((I26:I38))</f>
        <v>7.3423274229071023E-2</v>
      </c>
      <c r="J39" s="13">
        <f t="shared" ref="J39:S39" si="15">1-MIN((J26:J38))</f>
        <v>7.8826935141585008E-2</v>
      </c>
      <c r="K39" s="13">
        <f t="shared" si="15"/>
        <v>7.1456307882734049E-2</v>
      </c>
      <c r="L39" s="13">
        <f t="shared" si="15"/>
        <v>5.7177842565795833E-2</v>
      </c>
      <c r="M39" s="13">
        <f t="shared" si="15"/>
        <v>0.12455636169609485</v>
      </c>
      <c r="N39" s="13">
        <f t="shared" si="15"/>
        <v>0.10190025158308624</v>
      </c>
      <c r="O39" s="13">
        <f t="shared" si="15"/>
        <v>8.353415075751669E-2</v>
      </c>
      <c r="P39" s="13">
        <f t="shared" si="15"/>
        <v>6.8386458764337021E-2</v>
      </c>
      <c r="Q39" s="13">
        <f t="shared" si="15"/>
        <v>5.3745417875990853E-2</v>
      </c>
      <c r="R39" s="13">
        <f t="shared" si="15"/>
        <v>3.9060813984991505E-2</v>
      </c>
      <c r="S39" s="13">
        <f t="shared" si="15"/>
        <v>2.2358881357469995E-2</v>
      </c>
      <c r="T39" s="8">
        <f>+AVERAGE((H39:S39))</f>
        <v>6.9686704972183156E-2</v>
      </c>
    </row>
    <row r="40" spans="1:20" x14ac:dyDescent="0.25">
      <c r="G40" s="14" t="s">
        <v>186</v>
      </c>
      <c r="H40" s="15">
        <f t="shared" ref="H40:S40" si="16">+H39/VS_tot_CH4</f>
        <v>9.2674308586993687E-3</v>
      </c>
      <c r="I40" s="15">
        <f t="shared" si="16"/>
        <v>1.1007987140790258E-2</v>
      </c>
      <c r="J40" s="15">
        <f t="shared" si="16"/>
        <v>1.1818131205634934E-2</v>
      </c>
      <c r="K40" s="15">
        <f t="shared" si="16"/>
        <v>1.0713089637591312E-2</v>
      </c>
      <c r="L40" s="15">
        <f t="shared" si="16"/>
        <v>8.5723901897744887E-3</v>
      </c>
      <c r="M40" s="15">
        <f t="shared" si="16"/>
        <v>1.8674117195816319E-2</v>
      </c>
      <c r="N40" s="15">
        <f t="shared" si="16"/>
        <v>1.5277399037943964E-2</v>
      </c>
      <c r="O40" s="15">
        <f t="shared" si="16"/>
        <v>1.2523860683285861E-2</v>
      </c>
      <c r="P40" s="15">
        <f t="shared" si="16"/>
        <v>1.0252842393453827E-2</v>
      </c>
      <c r="Q40" s="15">
        <f t="shared" si="16"/>
        <v>8.0577837895038761E-3</v>
      </c>
      <c r="R40" s="15">
        <f t="shared" si="16"/>
        <v>5.8561940007483514E-3</v>
      </c>
      <c r="S40" s="15">
        <f t="shared" si="16"/>
        <v>3.3521561255577203E-3</v>
      </c>
      <c r="T40" s="15">
        <f>+AVERAGE((H40:S40))</f>
        <v>1.0447781854900024E-2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189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190</v>
      </c>
      <c r="B43" s="1">
        <v>10</v>
      </c>
      <c r="C43" t="s">
        <v>191</v>
      </c>
      <c r="D43" s="1">
        <v>27.9</v>
      </c>
      <c r="E43" t="s">
        <v>192</v>
      </c>
      <c r="F43" s="1">
        <f>+CH4_CH4_CO2__afg/16*12/CH4_VS</f>
        <v>16.666666666666668</v>
      </c>
    </row>
    <row r="45" spans="1:20" x14ac:dyDescent="0.25">
      <c r="A45" t="s">
        <v>180</v>
      </c>
      <c r="B45" t="s">
        <v>181</v>
      </c>
      <c r="C45" t="s">
        <v>182</v>
      </c>
      <c r="D45" t="s">
        <v>183</v>
      </c>
      <c r="E45" t="s">
        <v>184</v>
      </c>
      <c r="G45" t="s">
        <v>180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7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8">+ROUND(B47*0.75+6.3,1)</f>
        <v>7.2</v>
      </c>
      <c r="D47" s="7">
        <v>1</v>
      </c>
      <c r="E47" s="11">
        <f t="shared" si="17"/>
        <v>0.98759207389846904</v>
      </c>
      <c r="G47">
        <v>5</v>
      </c>
      <c r="H47" s="8">
        <f t="shared" ref="H47:H58" si="19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8"/>
        <v>8.6</v>
      </c>
      <c r="D48" s="7">
        <v>1</v>
      </c>
      <c r="E48" s="11">
        <f t="shared" si="17"/>
        <v>0.9852688903511686</v>
      </c>
      <c r="G48">
        <v>6</v>
      </c>
      <c r="H48" s="8">
        <f t="shared" si="19"/>
        <v>0.92914949164158722</v>
      </c>
      <c r="I48" s="8">
        <f t="shared" ref="I48:I58" si="20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8"/>
        <v>11.9</v>
      </c>
      <c r="D49" s="7">
        <v>1</v>
      </c>
      <c r="E49" s="11">
        <f t="shared" si="17"/>
        <v>0.97808989746070729</v>
      </c>
      <c r="G49">
        <v>7</v>
      </c>
      <c r="H49" s="8">
        <f t="shared" si="19"/>
        <v>0.8809585406773901</v>
      </c>
      <c r="I49" s="8">
        <f t="shared" si="20"/>
        <v>0.90927416217785617</v>
      </c>
      <c r="J49" s="8">
        <f t="shared" ref="J49:J58" si="21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8"/>
        <v>14.9</v>
      </c>
      <c r="D50" s="7">
        <v>1</v>
      </c>
      <c r="E50" s="11">
        <f t="shared" si="17"/>
        <v>0.96885909368342138</v>
      </c>
      <c r="G50">
        <v>8</v>
      </c>
      <c r="H50" s="8">
        <f t="shared" si="19"/>
        <v>0.83627103050591678</v>
      </c>
      <c r="I50" s="8">
        <f t="shared" si="20"/>
        <v>0.86315031355753746</v>
      </c>
      <c r="J50" s="8">
        <f t="shared" si="21"/>
        <v>0.90003927035295883</v>
      </c>
      <c r="K50" s="8">
        <f t="shared" ref="K50:K58" si="22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8"/>
        <v>17.3</v>
      </c>
      <c r="D51" s="7">
        <v>1</v>
      </c>
      <c r="E51" s="11">
        <f t="shared" si="17"/>
        <v>0.95901405859662658</v>
      </c>
      <c r="G51">
        <v>9</v>
      </c>
      <c r="H51" s="8">
        <f t="shared" si="19"/>
        <v>0.80425276404547086</v>
      </c>
      <c r="I51" s="8">
        <f t="shared" si="20"/>
        <v>0.83010292135242492</v>
      </c>
      <c r="J51" s="8">
        <f t="shared" si="21"/>
        <v>0.86557951253306564</v>
      </c>
      <c r="K51" s="8">
        <f t="shared" si="22"/>
        <v>0.9129291866868805</v>
      </c>
      <c r="L51" s="8">
        <f t="shared" ref="L51:L58" si="23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8"/>
        <v>19.399999999999999</v>
      </c>
      <c r="D52" s="7">
        <v>1</v>
      </c>
      <c r="E52" s="11">
        <f t="shared" si="17"/>
        <v>0.94813434070866776</v>
      </c>
      <c r="G52">
        <v>10</v>
      </c>
      <c r="H52" s="8">
        <f t="shared" si="19"/>
        <v>0.78322138792951712</v>
      </c>
      <c r="I52" s="8">
        <f t="shared" si="20"/>
        <v>0.8083955582765453</v>
      </c>
      <c r="J52" s="8">
        <f t="shared" si="21"/>
        <v>0.84294442926051683</v>
      </c>
      <c r="K52" s="8">
        <f t="shared" si="22"/>
        <v>0.88905589964231402</v>
      </c>
      <c r="L52" s="8">
        <f t="shared" si="23"/>
        <v>0.93656405562164891</v>
      </c>
      <c r="M52" s="8">
        <f t="shared" ref="M52:M58" si="24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8"/>
        <v>19.2</v>
      </c>
      <c r="D53" s="7">
        <v>1</v>
      </c>
      <c r="E53" s="11">
        <f t="shared" si="17"/>
        <v>0.94927399178500271</v>
      </c>
      <c r="G53">
        <v>11</v>
      </c>
      <c r="H53" s="8">
        <f t="shared" si="19"/>
        <v>0.76852662437503461</v>
      </c>
      <c r="I53" s="8">
        <f t="shared" si="20"/>
        <v>0.79322847809916286</v>
      </c>
      <c r="J53" s="8">
        <f t="shared" si="21"/>
        <v>0.82712914475928934</v>
      </c>
      <c r="K53" s="8">
        <f t="shared" si="22"/>
        <v>0.87237547386066094</v>
      </c>
      <c r="L53" s="8">
        <f t="shared" si="23"/>
        <v>0.91899228400881106</v>
      </c>
      <c r="M53" s="8">
        <f t="shared" si="24"/>
        <v>0.95557846827814397</v>
      </c>
      <c r="N53" s="8">
        <f t="shared" ref="N53:N58" si="25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8"/>
        <v>16.7</v>
      </c>
      <c r="D54" s="7">
        <v>1</v>
      </c>
      <c r="E54" s="11">
        <f t="shared" si="17"/>
        <v>0.96171305080235059</v>
      </c>
      <c r="G54">
        <v>12</v>
      </c>
      <c r="H54" s="8">
        <f t="shared" si="19"/>
        <v>0.75800575556149696</v>
      </c>
      <c r="I54" s="8">
        <f t="shared" si="20"/>
        <v>0.78236944928668684</v>
      </c>
      <c r="J54" s="8">
        <f t="shared" si="21"/>
        <v>0.81580602731889795</v>
      </c>
      <c r="K54" s="8">
        <f t="shared" si="22"/>
        <v>0.86043294952183347</v>
      </c>
      <c r="L54" s="8">
        <f t="shared" si="23"/>
        <v>0.90641159135086635</v>
      </c>
      <c r="M54" s="8">
        <f t="shared" si="24"/>
        <v>0.9424969231671062</v>
      </c>
      <c r="N54" s="8">
        <f t="shared" si="25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8"/>
        <v>13.4</v>
      </c>
      <c r="D55" s="7">
        <v>1</v>
      </c>
      <c r="E55" s="11">
        <f t="shared" si="17"/>
        <v>0.97384979317924403</v>
      </c>
      <c r="G55">
        <v>1</v>
      </c>
      <c r="H55" s="8">
        <f t="shared" si="19"/>
        <v>0.74836590278694137</v>
      </c>
      <c r="I55" s="8">
        <f t="shared" si="20"/>
        <v>0.77241975398279417</v>
      </c>
      <c r="J55" s="8">
        <f t="shared" si="21"/>
        <v>0.80543110610194257</v>
      </c>
      <c r="K55" s="8">
        <f t="shared" si="22"/>
        <v>0.84949049045089542</v>
      </c>
      <c r="L55" s="8">
        <f t="shared" si="23"/>
        <v>0.89488440408392989</v>
      </c>
      <c r="M55" s="8">
        <f t="shared" si="24"/>
        <v>0.93051082475935409</v>
      </c>
      <c r="N55" s="8">
        <f t="shared" si="25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8"/>
        <v>10.6</v>
      </c>
      <c r="D56" s="7">
        <v>1</v>
      </c>
      <c r="E56" s="11">
        <f t="shared" si="17"/>
        <v>0.98123804612469934</v>
      </c>
      <c r="G56">
        <v>2</v>
      </c>
      <c r="H56" s="8">
        <f t="shared" si="19"/>
        <v>0.73908023396825551</v>
      </c>
      <c r="I56" s="8">
        <f t="shared" si="20"/>
        <v>0.76283562675601291</v>
      </c>
      <c r="J56" s="8">
        <f t="shared" si="21"/>
        <v>0.7954373764575553</v>
      </c>
      <c r="K56" s="8">
        <f t="shared" si="22"/>
        <v>0.83895007522142739</v>
      </c>
      <c r="L56" s="8">
        <f t="shared" si="23"/>
        <v>0.88378074452864386</v>
      </c>
      <c r="M56" s="8">
        <f t="shared" si="24"/>
        <v>0.91896511520906543</v>
      </c>
      <c r="N56" s="8">
        <f t="shared" si="25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8"/>
        <v>8</v>
      </c>
      <c r="D57" s="7">
        <v>1</v>
      </c>
      <c r="E57" s="11">
        <f t="shared" si="17"/>
        <v>0.98631033918689126</v>
      </c>
      <c r="G57">
        <v>3</v>
      </c>
      <c r="H57" s="8">
        <f t="shared" si="19"/>
        <v>0.72819276200238514</v>
      </c>
      <c r="I57" s="8">
        <f t="shared" si="20"/>
        <v>0.75159821149423511</v>
      </c>
      <c r="J57" s="8">
        <f t="shared" si="21"/>
        <v>0.78371970124618029</v>
      </c>
      <c r="K57" s="8">
        <f t="shared" si="22"/>
        <v>0.82659140967344524</v>
      </c>
      <c r="L57" s="8">
        <f t="shared" si="23"/>
        <v>0.87076167347546651</v>
      </c>
      <c r="M57" s="8">
        <f t="shared" si="24"/>
        <v>0.90542773933346976</v>
      </c>
      <c r="N57" s="8">
        <f t="shared" si="25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9"/>
        <v>0.71223798391854209</v>
      </c>
      <c r="I58" s="8">
        <f t="shared" si="20"/>
        <v>0.73513061761204745</v>
      </c>
      <c r="J58" s="8">
        <f t="shared" si="21"/>
        <v>0.76654832222981262</v>
      </c>
      <c r="K58" s="8">
        <f t="shared" si="22"/>
        <v>0.80848070712940157</v>
      </c>
      <c r="L58" s="8">
        <f t="shared" si="23"/>
        <v>0.85168319592233288</v>
      </c>
      <c r="M58" s="8">
        <f t="shared" si="24"/>
        <v>0.88558972472275344</v>
      </c>
      <c r="N58" s="8">
        <f t="shared" si="25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185</v>
      </c>
      <c r="H59" s="13">
        <f>1-MIN(H46:H58)</f>
        <v>0.28776201608145791</v>
      </c>
      <c r="I59" s="13">
        <f t="shared" ref="I59:S59" si="26">1-MIN(I46:I58)</f>
        <v>0.26486938238795255</v>
      </c>
      <c r="J59" s="13">
        <f t="shared" si="26"/>
        <v>0.23345167777018738</v>
      </c>
      <c r="K59" s="13">
        <f t="shared" si="26"/>
        <v>0.19151929287059843</v>
      </c>
      <c r="L59" s="13">
        <f t="shared" si="26"/>
        <v>0.14831680407766712</v>
      </c>
      <c r="M59" s="13">
        <f t="shared" si="26"/>
        <v>0.11441027527724656</v>
      </c>
      <c r="N59" s="13">
        <f t="shared" si="26"/>
        <v>9.0630063357466595E-2</v>
      </c>
      <c r="O59" s="13">
        <f t="shared" si="26"/>
        <v>7.3242277718441384E-2</v>
      </c>
      <c r="P59" s="13">
        <f t="shared" si="26"/>
        <v>6.0379187502411669E-2</v>
      </c>
      <c r="Q59" s="13">
        <f t="shared" si="26"/>
        <v>4.8275741497384672E-2</v>
      </c>
      <c r="R59" s="13">
        <f t="shared" si="26"/>
        <v>3.6318452065200679E-2</v>
      </c>
      <c r="S59" s="13">
        <f t="shared" si="26"/>
        <v>2.1910102539292708E-2</v>
      </c>
      <c r="T59" s="8">
        <f>+AVERAGE((H59:S59))</f>
        <v>0.13092377276210895</v>
      </c>
    </row>
    <row r="60" spans="1:20" x14ac:dyDescent="0.25">
      <c r="G60" s="14" t="s">
        <v>193</v>
      </c>
      <c r="H60" s="15">
        <f t="shared" ref="H60:S60" si="27">+H59/VS_tot_CH4_afg</f>
        <v>1.7265720964887474E-2</v>
      </c>
      <c r="I60" s="15">
        <f t="shared" si="27"/>
        <v>1.5892162943277152E-2</v>
      </c>
      <c r="J60" s="15">
        <f t="shared" si="27"/>
        <v>1.4007100666211242E-2</v>
      </c>
      <c r="K60" s="15">
        <f t="shared" si="27"/>
        <v>1.1491157572235905E-2</v>
      </c>
      <c r="L60" s="15">
        <f t="shared" si="27"/>
        <v>8.8990082446600265E-3</v>
      </c>
      <c r="M60" s="15">
        <f t="shared" si="27"/>
        <v>6.8646165166347936E-3</v>
      </c>
      <c r="N60" s="15">
        <f t="shared" si="27"/>
        <v>5.4378038014479954E-3</v>
      </c>
      <c r="O60" s="15">
        <f t="shared" si="27"/>
        <v>4.394536663106483E-3</v>
      </c>
      <c r="P60" s="15">
        <f t="shared" si="27"/>
        <v>3.6227512501446997E-3</v>
      </c>
      <c r="Q60" s="15">
        <f t="shared" si="27"/>
        <v>2.8965444898430802E-3</v>
      </c>
      <c r="R60" s="15">
        <f t="shared" si="27"/>
        <v>2.1791071239120408E-3</v>
      </c>
      <c r="S60" s="15">
        <f t="shared" si="27"/>
        <v>1.3146061523575624E-3</v>
      </c>
      <c r="T60" s="15">
        <f>+AVERAGE((H60:S60))</f>
        <v>7.8554263657265398E-3</v>
      </c>
    </row>
    <row r="62" spans="1:20" x14ac:dyDescent="0.25">
      <c r="B62" t="s">
        <v>194</v>
      </c>
      <c r="C62" t="s">
        <v>195</v>
      </c>
      <c r="D62" t="s">
        <v>196</v>
      </c>
      <c r="E62" t="s">
        <v>197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8">+B64+273.16</f>
        <v>292.16000000000003</v>
      </c>
      <c r="D64">
        <f t="shared" ref="D64:D73" si="29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8"/>
        <v>291.16000000000003</v>
      </c>
      <c r="D65">
        <f t="shared" si="29"/>
        <v>1.0006106220989261E-3</v>
      </c>
      <c r="E65" s="18">
        <f t="shared" ref="E65:E73" si="30">1-D65/D64</f>
        <v>0.10826474689105581</v>
      </c>
      <c r="F65" s="18">
        <f t="shared" ref="F65:F73" si="31">+D65/$D$63</f>
        <v>0.79581362997415384</v>
      </c>
    </row>
    <row r="66" spans="2:6" x14ac:dyDescent="0.25">
      <c r="B66">
        <v>17</v>
      </c>
      <c r="C66">
        <f t="shared" si="28"/>
        <v>290.16000000000003</v>
      </c>
      <c r="D66">
        <f t="shared" si="29"/>
        <v>8.915753109128053E-4</v>
      </c>
      <c r="E66" s="18">
        <f t="shared" si="30"/>
        <v>0.10896877244557268</v>
      </c>
      <c r="F66" s="18">
        <f t="shared" si="31"/>
        <v>0.70909479562041511</v>
      </c>
    </row>
    <row r="67" spans="2:6" x14ac:dyDescent="0.25">
      <c r="B67">
        <v>16</v>
      </c>
      <c r="C67">
        <f t="shared" si="28"/>
        <v>289.16000000000003</v>
      </c>
      <c r="D67">
        <f t="shared" si="29"/>
        <v>7.9378774301120227E-4</v>
      </c>
      <c r="E67" s="18">
        <f t="shared" si="30"/>
        <v>0.1096795376730284</v>
      </c>
      <c r="F67" s="18">
        <f t="shared" si="31"/>
        <v>0.63132160627041745</v>
      </c>
    </row>
    <row r="68" spans="2:6" x14ac:dyDescent="0.25">
      <c r="B68">
        <v>15</v>
      </c>
      <c r="C68">
        <f t="shared" si="28"/>
        <v>288.16000000000003</v>
      </c>
      <c r="D68">
        <f t="shared" si="29"/>
        <v>7.0615585693994823E-4</v>
      </c>
      <c r="E68" s="18">
        <f t="shared" si="30"/>
        <v>0.11039712674174829</v>
      </c>
      <c r="F68" s="18">
        <f t="shared" si="31"/>
        <v>0.56162551488817802</v>
      </c>
    </row>
    <row r="69" spans="2:6" x14ac:dyDescent="0.25">
      <c r="B69">
        <v>14</v>
      </c>
      <c r="C69">
        <f t="shared" si="28"/>
        <v>287.16000000000003</v>
      </c>
      <c r="D69">
        <f t="shared" si="29"/>
        <v>6.2768667054331751E-4</v>
      </c>
      <c r="E69" s="18">
        <f t="shared" si="30"/>
        <v>0.11112162509940604</v>
      </c>
      <c r="F69" s="18">
        <f t="shared" si="31"/>
        <v>0.49921677497651307</v>
      </c>
    </row>
    <row r="70" spans="2:6" x14ac:dyDescent="0.25">
      <c r="B70">
        <v>13</v>
      </c>
      <c r="C70">
        <f t="shared" si="28"/>
        <v>286.16000000000003</v>
      </c>
      <c r="D70">
        <f t="shared" si="29"/>
        <v>5.5747795837728358E-4</v>
      </c>
      <c r="E70" s="18">
        <f t="shared" si="30"/>
        <v>0.11185311949553134</v>
      </c>
      <c r="F70" s="18">
        <f t="shared" si="31"/>
        <v>0.44337782139089132</v>
      </c>
    </row>
    <row r="71" spans="2:6" x14ac:dyDescent="0.25">
      <c r="B71">
        <v>12</v>
      </c>
      <c r="C71">
        <f t="shared" si="28"/>
        <v>285.16000000000003</v>
      </c>
      <c r="D71">
        <f t="shared" si="29"/>
        <v>4.9471056844348346E-4</v>
      </c>
      <c r="E71" s="18">
        <f t="shared" si="30"/>
        <v>0.1125916980045355</v>
      </c>
      <c r="F71" s="18">
        <f t="shared" si="31"/>
        <v>0.3934571596229392</v>
      </c>
    </row>
    <row r="72" spans="2:6" x14ac:dyDescent="0.25">
      <c r="B72">
        <v>11</v>
      </c>
      <c r="C72">
        <f t="shared" si="28"/>
        <v>284.16000000000003</v>
      </c>
      <c r="D72">
        <f t="shared" si="29"/>
        <v>4.3864133410375289E-4</v>
      </c>
      <c r="E72" s="18">
        <f t="shared" si="30"/>
        <v>0.11333745004911089</v>
      </c>
      <c r="F72" s="18">
        <f t="shared" si="31"/>
        <v>0.3488637284477093</v>
      </c>
    </row>
    <row r="73" spans="2:6" x14ac:dyDescent="0.25">
      <c r="B73">
        <v>10</v>
      </c>
      <c r="C73">
        <f t="shared" si="28"/>
        <v>283.16000000000003</v>
      </c>
      <c r="D73">
        <f t="shared" si="29"/>
        <v>3.8859653970294949E-4</v>
      </c>
      <c r="E73" s="18">
        <f t="shared" si="30"/>
        <v>0.11409046642413823</v>
      </c>
      <c r="F73" s="18">
        <f t="shared" si="31"/>
        <v>0.30906170295064628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"/>
  <sheetViews>
    <sheetView workbookViewId="0">
      <pane xSplit="2" ySplit="3" topLeftCell="R55" activePane="bottomRight" state="frozen"/>
      <selection pane="topRight" activeCell="C1" sqref="C1"/>
      <selection pane="bottomLeft" activeCell="A4" sqref="A4"/>
      <selection pane="bottomRight" activeCell="A94" sqref="A94"/>
    </sheetView>
  </sheetViews>
  <sheetFormatPr defaultRowHeight="15" x14ac:dyDescent="0.25"/>
  <cols>
    <col min="1" max="1" width="45.5703125" customWidth="1"/>
    <col min="2" max="2" width="45.5703125" hidden="1" customWidth="1"/>
    <col min="3" max="11" width="12.5703125" bestFit="1" customWidth="1"/>
    <col min="12" max="24" width="13.7109375" bestFit="1" customWidth="1"/>
    <col min="25" max="28" width="14.85546875" bestFit="1" customWidth="1"/>
    <col min="29" max="30" width="16" bestFit="1" customWidth="1"/>
  </cols>
  <sheetData>
    <row r="1" spans="1:30" x14ac:dyDescent="0.25">
      <c r="A1" s="24" t="s">
        <v>0</v>
      </c>
      <c r="B1" s="24" t="s">
        <v>1</v>
      </c>
      <c r="C1" s="25" t="s">
        <v>2</v>
      </c>
      <c r="D1" s="26" t="s">
        <v>2</v>
      </c>
      <c r="E1" s="26" t="s">
        <v>2</v>
      </c>
      <c r="F1" s="26" t="s">
        <v>2</v>
      </c>
      <c r="G1" s="26" t="s">
        <v>2</v>
      </c>
      <c r="H1" s="26" t="s">
        <v>2</v>
      </c>
      <c r="I1" s="26" t="s">
        <v>2</v>
      </c>
      <c r="J1" s="26" t="s">
        <v>2</v>
      </c>
      <c r="K1" s="26" t="s">
        <v>2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4</v>
      </c>
      <c r="V1" s="26" t="s">
        <v>4</v>
      </c>
      <c r="W1" s="26" t="s">
        <v>4</v>
      </c>
      <c r="X1" s="26" t="s">
        <v>4</v>
      </c>
      <c r="Y1" s="26" t="s">
        <v>4</v>
      </c>
      <c r="Z1" s="26" t="s">
        <v>4</v>
      </c>
      <c r="AA1" s="26" t="s">
        <v>4</v>
      </c>
      <c r="AB1" s="26" t="s">
        <v>4</v>
      </c>
      <c r="AC1" s="26" t="s">
        <v>161</v>
      </c>
      <c r="AD1" s="26" t="s">
        <v>161</v>
      </c>
    </row>
    <row r="2" spans="1:30" ht="60" x14ac:dyDescent="0.25">
      <c r="A2" s="24" t="s">
        <v>5</v>
      </c>
      <c r="B2" s="24" t="s">
        <v>6</v>
      </c>
      <c r="C2" s="27" t="s">
        <v>7</v>
      </c>
      <c r="D2" s="28" t="s">
        <v>7</v>
      </c>
      <c r="E2" s="28" t="s">
        <v>7</v>
      </c>
      <c r="F2" s="28" t="s">
        <v>8</v>
      </c>
      <c r="G2" s="28" t="s">
        <v>8</v>
      </c>
      <c r="H2" s="28" t="s">
        <v>8</v>
      </c>
      <c r="I2" s="28" t="s">
        <v>9</v>
      </c>
      <c r="J2" s="28" t="s">
        <v>9</v>
      </c>
      <c r="K2" s="28" t="s">
        <v>9</v>
      </c>
      <c r="L2" s="28" t="s">
        <v>10</v>
      </c>
      <c r="M2" s="28" t="s">
        <v>10</v>
      </c>
      <c r="N2" s="28" t="s">
        <v>10</v>
      </c>
      <c r="O2" s="28" t="s">
        <v>10</v>
      </c>
      <c r="P2" s="28" t="s">
        <v>11</v>
      </c>
      <c r="Q2" s="28" t="s">
        <v>11</v>
      </c>
      <c r="R2" s="28" t="s">
        <v>11</v>
      </c>
      <c r="S2" s="28" t="s">
        <v>12</v>
      </c>
      <c r="T2" s="28" t="s">
        <v>12</v>
      </c>
      <c r="U2" s="28" t="s">
        <v>13</v>
      </c>
      <c r="V2" s="28" t="s">
        <v>13</v>
      </c>
      <c r="W2" s="28" t="s">
        <v>14</v>
      </c>
      <c r="X2" s="28" t="s">
        <v>14</v>
      </c>
      <c r="Y2" s="28" t="s">
        <v>15</v>
      </c>
      <c r="Z2" s="28" t="s">
        <v>15</v>
      </c>
      <c r="AA2" s="28" t="s">
        <v>15</v>
      </c>
      <c r="AB2" s="28" t="s">
        <v>15</v>
      </c>
      <c r="AC2" s="28" t="s">
        <v>198</v>
      </c>
      <c r="AD2" s="28" t="s">
        <v>199</v>
      </c>
    </row>
    <row r="3" spans="1:30" x14ac:dyDescent="0.25">
      <c r="A3" s="24" t="s">
        <v>16</v>
      </c>
      <c r="B3" s="24" t="s">
        <v>17</v>
      </c>
      <c r="C3" s="29">
        <v>48</v>
      </c>
      <c r="D3" s="30">
        <v>14</v>
      </c>
      <c r="E3" s="30">
        <v>7</v>
      </c>
      <c r="F3" s="30">
        <v>36</v>
      </c>
      <c r="G3" s="30">
        <v>14</v>
      </c>
      <c r="H3" s="30">
        <v>7</v>
      </c>
      <c r="I3" s="30">
        <v>24</v>
      </c>
      <c r="J3" s="30">
        <v>14</v>
      </c>
      <c r="K3" s="30">
        <v>7</v>
      </c>
      <c r="L3" s="30">
        <v>29</v>
      </c>
      <c r="M3" s="30">
        <v>14</v>
      </c>
      <c r="N3" s="30">
        <v>7</v>
      </c>
      <c r="O3" s="30">
        <v>1</v>
      </c>
      <c r="P3" s="30">
        <v>22</v>
      </c>
      <c r="Q3" s="30">
        <v>14</v>
      </c>
      <c r="R3" s="30">
        <v>7</v>
      </c>
      <c r="S3" s="30">
        <v>17</v>
      </c>
      <c r="T3" s="30">
        <v>7</v>
      </c>
      <c r="U3" s="30">
        <v>41</v>
      </c>
      <c r="V3" s="30">
        <v>14</v>
      </c>
      <c r="W3" s="30">
        <v>41</v>
      </c>
      <c r="X3" s="30">
        <v>14</v>
      </c>
      <c r="Y3" s="30">
        <v>30</v>
      </c>
      <c r="Z3" s="30">
        <v>14</v>
      </c>
      <c r="AA3" s="30">
        <v>7</v>
      </c>
      <c r="AB3" s="30">
        <v>1</v>
      </c>
      <c r="AC3" s="30">
        <v>28</v>
      </c>
      <c r="AD3" s="30">
        <v>1</v>
      </c>
    </row>
    <row r="4" spans="1:30" x14ac:dyDescent="0.25">
      <c r="A4" s="24" t="s">
        <v>18</v>
      </c>
      <c r="B4" s="24" t="s">
        <v>19</v>
      </c>
      <c r="C4" s="29">
        <v>2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2</v>
      </c>
      <c r="J4" s="30">
        <v>2</v>
      </c>
      <c r="K4" s="30">
        <v>2</v>
      </c>
      <c r="L4" s="30">
        <v>2</v>
      </c>
      <c r="M4" s="30">
        <v>2</v>
      </c>
      <c r="N4" s="30">
        <v>2</v>
      </c>
      <c r="O4" s="30">
        <v>2</v>
      </c>
      <c r="P4" s="30">
        <v>2</v>
      </c>
      <c r="Q4" s="30">
        <v>2</v>
      </c>
      <c r="R4" s="30">
        <v>2</v>
      </c>
      <c r="S4" s="30">
        <v>2</v>
      </c>
      <c r="T4" s="30">
        <v>2</v>
      </c>
      <c r="U4" s="30">
        <v>2</v>
      </c>
      <c r="V4" s="30">
        <v>2</v>
      </c>
      <c r="W4" s="30">
        <v>2</v>
      </c>
      <c r="X4" s="30">
        <v>2</v>
      </c>
      <c r="Y4" s="30">
        <v>2</v>
      </c>
      <c r="Z4" s="30">
        <v>2</v>
      </c>
      <c r="AA4" s="30">
        <v>2</v>
      </c>
      <c r="AB4" s="30">
        <v>2</v>
      </c>
      <c r="AC4" s="30">
        <v>1</v>
      </c>
      <c r="AD4" s="30">
        <v>1</v>
      </c>
    </row>
    <row r="5" spans="1:30" x14ac:dyDescent="0.25">
      <c r="A5" s="24" t="s">
        <v>20</v>
      </c>
      <c r="B5" s="24" t="s">
        <v>21</v>
      </c>
      <c r="C5" s="29">
        <v>35</v>
      </c>
      <c r="D5" s="30">
        <v>35</v>
      </c>
      <c r="E5" s="30">
        <v>35</v>
      </c>
      <c r="F5" s="30">
        <v>35</v>
      </c>
      <c r="G5" s="30">
        <v>35</v>
      </c>
      <c r="H5" s="30">
        <v>35</v>
      </c>
      <c r="I5" s="30">
        <v>35</v>
      </c>
      <c r="J5" s="30">
        <v>35</v>
      </c>
      <c r="K5" s="30">
        <v>35</v>
      </c>
      <c r="L5" s="30">
        <v>35</v>
      </c>
      <c r="M5" s="30">
        <v>35</v>
      </c>
      <c r="N5" s="30">
        <v>35</v>
      </c>
      <c r="O5" s="30">
        <v>35</v>
      </c>
      <c r="P5" s="30">
        <v>35</v>
      </c>
      <c r="Q5" s="30">
        <v>35</v>
      </c>
      <c r="R5" s="30">
        <v>35</v>
      </c>
      <c r="S5" s="30">
        <v>35</v>
      </c>
      <c r="T5" s="30">
        <v>35</v>
      </c>
      <c r="U5" s="30">
        <v>35</v>
      </c>
      <c r="V5" s="30">
        <v>35</v>
      </c>
      <c r="W5" s="30">
        <v>35</v>
      </c>
      <c r="X5" s="30">
        <v>35</v>
      </c>
      <c r="Y5" s="30">
        <v>35</v>
      </c>
      <c r="Z5" s="30">
        <v>35</v>
      </c>
      <c r="AA5" s="30">
        <v>35</v>
      </c>
      <c r="AB5" s="30">
        <v>35</v>
      </c>
      <c r="AC5" s="30">
        <v>80</v>
      </c>
      <c r="AD5" s="30">
        <v>1</v>
      </c>
    </row>
    <row r="6" spans="1:30" x14ac:dyDescent="0.25">
      <c r="A6" s="24" t="s">
        <v>22</v>
      </c>
      <c r="B6" s="24" t="s">
        <v>23</v>
      </c>
      <c r="C6" s="29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>
        <v>3</v>
      </c>
      <c r="L6" s="30">
        <v>3</v>
      </c>
      <c r="M6" s="30">
        <v>3</v>
      </c>
      <c r="N6" s="30">
        <v>3</v>
      </c>
      <c r="O6" s="30">
        <v>1</v>
      </c>
      <c r="P6" s="30">
        <v>3</v>
      </c>
      <c r="Q6" s="30">
        <v>3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3</v>
      </c>
      <c r="Z6" s="30">
        <v>3</v>
      </c>
      <c r="AA6" s="30">
        <v>3</v>
      </c>
      <c r="AB6" s="30">
        <v>1</v>
      </c>
      <c r="AC6" s="30">
        <v>40</v>
      </c>
      <c r="AD6" s="30">
        <v>1</v>
      </c>
    </row>
    <row r="7" spans="1:30" x14ac:dyDescent="0.25">
      <c r="A7" s="24" t="s">
        <v>24</v>
      </c>
      <c r="B7" s="24"/>
      <c r="C7" s="56">
        <f t="shared" ref="C7:AD7" si="0">+C3*C9+C6</f>
        <v>34.983266262626266</v>
      </c>
      <c r="D7" s="57">
        <f t="shared" si="0"/>
        <v>12.328452659932662</v>
      </c>
      <c r="E7" s="57">
        <f t="shared" si="0"/>
        <v>7.6642263299663309</v>
      </c>
      <c r="F7" s="57">
        <f t="shared" si="0"/>
        <v>35.279562558922564</v>
      </c>
      <c r="G7" s="57">
        <f t="shared" si="0"/>
        <v>15.553163217358776</v>
      </c>
      <c r="H7" s="57">
        <f t="shared" si="0"/>
        <v>9.276581608679388</v>
      </c>
      <c r="I7" s="57">
        <f t="shared" si="0"/>
        <v>35.279562558922557</v>
      </c>
      <c r="J7" s="57">
        <f t="shared" si="0"/>
        <v>21.829744826038159</v>
      </c>
      <c r="K7" s="57">
        <f t="shared" si="0"/>
        <v>12.414872413019079</v>
      </c>
      <c r="L7" s="57">
        <f t="shared" si="0"/>
        <v>34.649528740490268</v>
      </c>
      <c r="M7" s="57">
        <f t="shared" si="0"/>
        <v>18.279082840236683</v>
      </c>
      <c r="N7" s="57">
        <f t="shared" si="0"/>
        <v>10.639541420118341</v>
      </c>
      <c r="O7" s="57">
        <f t="shared" si="0"/>
        <v>2.091363060016906</v>
      </c>
      <c r="P7" s="57">
        <f t="shared" si="0"/>
        <v>35.013316427162579</v>
      </c>
      <c r="Q7" s="57">
        <f t="shared" si="0"/>
        <v>23.372110453648911</v>
      </c>
      <c r="R7" s="57">
        <f t="shared" si="0"/>
        <v>13.186055226824456</v>
      </c>
      <c r="S7" s="57">
        <f t="shared" si="0"/>
        <v>40.106344040574804</v>
      </c>
      <c r="T7" s="57">
        <f t="shared" si="0"/>
        <v>18.279082840236683</v>
      </c>
      <c r="U7" s="57">
        <f t="shared" si="0"/>
        <v>16.908630708920732</v>
      </c>
      <c r="V7" s="57">
        <f t="shared" si="0"/>
        <v>7.7492885347534219</v>
      </c>
      <c r="W7" s="57">
        <f t="shared" si="0"/>
        <v>30.817261417841468</v>
      </c>
      <c r="X7" s="57">
        <f t="shared" si="0"/>
        <v>12.498577069506844</v>
      </c>
      <c r="Y7" s="57">
        <f t="shared" si="0"/>
        <v>35.205942997125291</v>
      </c>
      <c r="Z7" s="57">
        <f t="shared" si="0"/>
        <v>18.029440065325133</v>
      </c>
      <c r="AA7" s="57">
        <f t="shared" si="0"/>
        <v>10.514720032662566</v>
      </c>
      <c r="AB7" s="57">
        <f t="shared" si="0"/>
        <v>2.0735314332375099</v>
      </c>
      <c r="AC7" s="57">
        <f t="shared" si="0"/>
        <v>79.909154178703432</v>
      </c>
      <c r="AD7" s="57">
        <f t="shared" si="0"/>
        <v>2.4253269349536941</v>
      </c>
    </row>
    <row r="8" spans="1:30" x14ac:dyDescent="0.25">
      <c r="A8" s="24" t="s">
        <v>25</v>
      </c>
      <c r="B8" s="24"/>
      <c r="C8" s="56">
        <f t="shared" ref="C8:AD8" si="1">0.5*(C7-C6)+C6</f>
        <v>18.991633131313133</v>
      </c>
      <c r="D8" s="57">
        <f t="shared" si="1"/>
        <v>7.6642263299663309</v>
      </c>
      <c r="E8" s="57">
        <f t="shared" si="1"/>
        <v>5.3321131649831655</v>
      </c>
      <c r="F8" s="57">
        <f t="shared" si="1"/>
        <v>19.139781279461282</v>
      </c>
      <c r="G8" s="57">
        <f t="shared" si="1"/>
        <v>9.276581608679388</v>
      </c>
      <c r="H8" s="57">
        <f t="shared" si="1"/>
        <v>6.138290804339694</v>
      </c>
      <c r="I8" s="57">
        <f t="shared" si="1"/>
        <v>19.139781279461278</v>
      </c>
      <c r="J8" s="57">
        <f t="shared" si="1"/>
        <v>12.414872413019079</v>
      </c>
      <c r="K8" s="57">
        <f t="shared" si="1"/>
        <v>7.7074362065095396</v>
      </c>
      <c r="L8" s="57">
        <f t="shared" si="1"/>
        <v>18.824764370245134</v>
      </c>
      <c r="M8" s="57">
        <f t="shared" si="1"/>
        <v>10.639541420118341</v>
      </c>
      <c r="N8" s="57">
        <f t="shared" si="1"/>
        <v>6.8197707100591707</v>
      </c>
      <c r="O8" s="57">
        <f t="shared" si="1"/>
        <v>1.545681530008453</v>
      </c>
      <c r="P8" s="57">
        <f t="shared" si="1"/>
        <v>19.006658213581289</v>
      </c>
      <c r="Q8" s="57">
        <f t="shared" si="1"/>
        <v>13.186055226824456</v>
      </c>
      <c r="R8" s="57">
        <f t="shared" si="1"/>
        <v>8.0930276134122288</v>
      </c>
      <c r="S8" s="57">
        <f t="shared" si="1"/>
        <v>21.553172020287402</v>
      </c>
      <c r="T8" s="57">
        <f t="shared" si="1"/>
        <v>10.639541420118341</v>
      </c>
      <c r="U8" s="57">
        <f t="shared" si="1"/>
        <v>9.9543153544603662</v>
      </c>
      <c r="V8" s="57">
        <f t="shared" si="1"/>
        <v>5.374644267376711</v>
      </c>
      <c r="W8" s="57">
        <f t="shared" si="1"/>
        <v>16.908630708920732</v>
      </c>
      <c r="X8" s="57">
        <f t="shared" si="1"/>
        <v>7.7492885347534219</v>
      </c>
      <c r="Y8" s="57">
        <f t="shared" si="1"/>
        <v>19.102971498562646</v>
      </c>
      <c r="Z8" s="57">
        <f t="shared" si="1"/>
        <v>10.514720032662566</v>
      </c>
      <c r="AA8" s="57">
        <f t="shared" si="1"/>
        <v>6.7573600163312832</v>
      </c>
      <c r="AB8" s="57">
        <f t="shared" si="1"/>
        <v>1.5367657166187549</v>
      </c>
      <c r="AC8" s="57">
        <f t="shared" si="1"/>
        <v>59.954577089351716</v>
      </c>
      <c r="AD8" s="57">
        <f t="shared" si="1"/>
        <v>1.7126634674768471</v>
      </c>
    </row>
    <row r="9" spans="1:30" x14ac:dyDescent="0.25">
      <c r="A9" s="24" t="s">
        <v>26</v>
      </c>
      <c r="B9" s="24"/>
      <c r="C9" s="56">
        <f t="shared" ref="C9:AD9" si="2">+C62</f>
        <v>0.66631804713804721</v>
      </c>
      <c r="D9" s="57">
        <f t="shared" si="2"/>
        <v>0.66631804713804721</v>
      </c>
      <c r="E9" s="57">
        <f t="shared" si="2"/>
        <v>0.66631804713804721</v>
      </c>
      <c r="F9" s="57">
        <f t="shared" si="2"/>
        <v>0.89665451552562681</v>
      </c>
      <c r="G9" s="57">
        <f t="shared" si="2"/>
        <v>0.89665451552562681</v>
      </c>
      <c r="H9" s="57">
        <f>+H62</f>
        <v>0.89665451552562681</v>
      </c>
      <c r="I9" s="57">
        <f t="shared" ref="I9:J9" si="3">+I62</f>
        <v>1.3449817732884399</v>
      </c>
      <c r="J9" s="57">
        <f t="shared" si="3"/>
        <v>1.3449817732884399</v>
      </c>
      <c r="K9" s="57">
        <f t="shared" si="2"/>
        <v>1.3449817732884399</v>
      </c>
      <c r="L9" s="57">
        <f t="shared" si="2"/>
        <v>1.091363060016906</v>
      </c>
      <c r="M9" s="57">
        <f t="shared" si="2"/>
        <v>1.091363060016906</v>
      </c>
      <c r="N9" s="57">
        <f t="shared" si="2"/>
        <v>1.091363060016906</v>
      </c>
      <c r="O9" s="57">
        <f t="shared" si="2"/>
        <v>1.091363060016906</v>
      </c>
      <c r="P9" s="57">
        <f t="shared" si="2"/>
        <v>1.455150746689208</v>
      </c>
      <c r="Q9" s="57">
        <f t="shared" si="2"/>
        <v>1.455150746689208</v>
      </c>
      <c r="R9" s="57">
        <f t="shared" si="2"/>
        <v>1.455150746689208</v>
      </c>
      <c r="S9" s="57">
        <f t="shared" si="2"/>
        <v>2.1827261200338119</v>
      </c>
      <c r="T9" s="57">
        <f t="shared" si="2"/>
        <v>2.1827261200338119</v>
      </c>
      <c r="U9" s="57">
        <f t="shared" si="2"/>
        <v>0.33923489533953011</v>
      </c>
      <c r="V9" s="57">
        <f t="shared" si="2"/>
        <v>0.33923489533953011</v>
      </c>
      <c r="W9" s="57">
        <f t="shared" si="2"/>
        <v>0.67846979067906021</v>
      </c>
      <c r="X9" s="57">
        <f t="shared" si="2"/>
        <v>0.67846979067906021</v>
      </c>
      <c r="Y9" s="57">
        <f t="shared" si="2"/>
        <v>1.0735314332375097</v>
      </c>
      <c r="Z9" s="57">
        <f t="shared" si="2"/>
        <v>1.0735314332375097</v>
      </c>
      <c r="AA9" s="57">
        <f t="shared" si="2"/>
        <v>1.0735314332375097</v>
      </c>
      <c r="AB9" s="57">
        <f t="shared" si="2"/>
        <v>1.0735314332375097</v>
      </c>
      <c r="AC9" s="57">
        <f t="shared" si="2"/>
        <v>1.4253269349536941</v>
      </c>
      <c r="AD9" s="57">
        <f t="shared" si="2"/>
        <v>1.4253269349536941</v>
      </c>
    </row>
    <row r="10" spans="1:30" x14ac:dyDescent="0.25">
      <c r="A10" s="24" t="s">
        <v>27</v>
      </c>
      <c r="B10" s="24"/>
      <c r="C10" s="56">
        <f>+C8/C9</f>
        <v>28.502354413009712</v>
      </c>
      <c r="D10" s="57">
        <f>+D8/D9</f>
        <v>11.502354413009712</v>
      </c>
      <c r="E10" s="57">
        <f t="shared" ref="E10:AD10" si="4">+E8/E9</f>
        <v>8.0023544130097122</v>
      </c>
      <c r="F10" s="57">
        <f t="shared" si="4"/>
        <v>21.345770247129547</v>
      </c>
      <c r="G10" s="57">
        <f t="shared" si="4"/>
        <v>10.345770247129547</v>
      </c>
      <c r="H10" s="57">
        <f t="shared" si="4"/>
        <v>6.8457702471295461</v>
      </c>
      <c r="I10" s="57">
        <f t="shared" si="4"/>
        <v>14.230513498086363</v>
      </c>
      <c r="J10" s="57">
        <f t="shared" si="4"/>
        <v>9.2305134980863652</v>
      </c>
      <c r="K10" s="57">
        <f t="shared" si="4"/>
        <v>5.7305134980863643</v>
      </c>
      <c r="L10" s="57">
        <f t="shared" si="4"/>
        <v>17.248856095563216</v>
      </c>
      <c r="M10" s="57">
        <f t="shared" si="4"/>
        <v>9.7488560955632195</v>
      </c>
      <c r="N10" s="57">
        <f t="shared" si="4"/>
        <v>6.2488560955632195</v>
      </c>
      <c r="O10" s="57">
        <f t="shared" si="4"/>
        <v>1.4162853651877398</v>
      </c>
      <c r="P10" s="57">
        <f t="shared" si="4"/>
        <v>13.061642071672416</v>
      </c>
      <c r="Q10" s="57">
        <f t="shared" si="4"/>
        <v>9.0616420716724146</v>
      </c>
      <c r="R10" s="57">
        <f t="shared" si="4"/>
        <v>5.5616420716724155</v>
      </c>
      <c r="S10" s="57">
        <f t="shared" si="4"/>
        <v>9.8744280477816098</v>
      </c>
      <c r="T10" s="57">
        <f t="shared" si="4"/>
        <v>4.8744280477816098</v>
      </c>
      <c r="U10" s="57">
        <f t="shared" si="4"/>
        <v>29.343429851157818</v>
      </c>
      <c r="V10" s="57">
        <f t="shared" si="4"/>
        <v>15.843429851157822</v>
      </c>
      <c r="W10" s="57">
        <f t="shared" si="4"/>
        <v>24.921714925578907</v>
      </c>
      <c r="X10" s="57">
        <f t="shared" si="4"/>
        <v>11.421714925578911</v>
      </c>
      <c r="Y10" s="57">
        <f t="shared" si="4"/>
        <v>17.794515285828876</v>
      </c>
      <c r="Z10" s="57">
        <f t="shared" si="4"/>
        <v>9.7945152858288722</v>
      </c>
      <c r="AA10" s="57">
        <f t="shared" si="4"/>
        <v>6.2945152858288731</v>
      </c>
      <c r="AB10" s="57">
        <f t="shared" si="4"/>
        <v>1.4315050952762913</v>
      </c>
      <c r="AC10" s="57">
        <f t="shared" si="4"/>
        <v>42.063736830525492</v>
      </c>
      <c r="AD10" s="57">
        <f t="shared" si="4"/>
        <v>1.2015934207631374</v>
      </c>
    </row>
    <row r="11" spans="1:30" x14ac:dyDescent="0.25">
      <c r="A11" s="24" t="s">
        <v>200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25">
      <c r="A12" s="24" t="s">
        <v>201</v>
      </c>
      <c r="B12" s="24"/>
      <c r="C12" s="58">
        <f>+C76</f>
        <v>1.9001437527302842</v>
      </c>
      <c r="D12" s="59">
        <f>+D76</f>
        <v>0.87149230446829373</v>
      </c>
      <c r="E12" s="59">
        <f t="shared" ref="E12:Q12" si="5">+E76</f>
        <v>0.62296344510646384</v>
      </c>
      <c r="F12" s="59">
        <f t="shared" si="5"/>
        <v>1.486916218503022</v>
      </c>
      <c r="G12" s="59">
        <f t="shared" si="5"/>
        <v>0.78363025606975023</v>
      </c>
      <c r="H12" s="59">
        <f t="shared" si="5"/>
        <v>0.53281399943019514</v>
      </c>
      <c r="I12" s="59">
        <f t="shared" si="5"/>
        <v>1.0461579970013142</v>
      </c>
      <c r="J12" s="59">
        <f t="shared" si="5"/>
        <v>0.70521844803503031</v>
      </c>
      <c r="K12" s="59">
        <f t="shared" si="5"/>
        <v>0.44991652341803429</v>
      </c>
      <c r="L12" s="59">
        <f t="shared" si="5"/>
        <v>1.3880422384007161</v>
      </c>
      <c r="M12" s="59">
        <f t="shared" si="5"/>
        <v>0.83091520047946188</v>
      </c>
      <c r="N12" s="59">
        <f t="shared" si="5"/>
        <v>0.54730270373258783</v>
      </c>
      <c r="O12" s="59">
        <f t="shared" si="5"/>
        <v>0.12885096521657133</v>
      </c>
      <c r="P12" s="59">
        <f t="shared" si="5"/>
        <v>1.0852063114701203</v>
      </c>
      <c r="Q12" s="59">
        <f t="shared" si="5"/>
        <v>0.77646651157746305</v>
      </c>
      <c r="R12" s="59">
        <f>+R76</f>
        <v>0.48973919390829568</v>
      </c>
      <c r="S12" s="59">
        <f t="shared" ref="S12:AD12" si="6">+S76</f>
        <v>0.840800292539017</v>
      </c>
      <c r="T12" s="59">
        <f t="shared" si="6"/>
        <v>0.43154348336359188</v>
      </c>
      <c r="U12" s="59">
        <f t="shared" si="6"/>
        <v>1.8493611413102959</v>
      </c>
      <c r="V12" s="59">
        <f t="shared" si="6"/>
        <v>1.1045155520794225</v>
      </c>
      <c r="W12" s="59">
        <f t="shared" si="6"/>
        <v>1.6227679163549384</v>
      </c>
      <c r="X12" s="59">
        <f t="shared" si="6"/>
        <v>0.82369113005396799</v>
      </c>
      <c r="Y12" s="59">
        <f t="shared" si="6"/>
        <v>1.5410237861356653</v>
      </c>
      <c r="Z12" s="59">
        <f t="shared" si="6"/>
        <v>0.90179800018912981</v>
      </c>
      <c r="AA12" s="59">
        <f t="shared" si="6"/>
        <v>0.59554033130864614</v>
      </c>
      <c r="AB12" s="59">
        <f t="shared" si="6"/>
        <v>0.14071949298246614</v>
      </c>
      <c r="AC12" s="59">
        <f t="shared" si="6"/>
        <v>1.9819497584288177</v>
      </c>
      <c r="AD12" s="59">
        <f t="shared" si="6"/>
        <v>6.7109209633111372E-2</v>
      </c>
    </row>
    <row r="13" spans="1:30" x14ac:dyDescent="0.25">
      <c r="A13" s="24" t="s">
        <v>202</v>
      </c>
      <c r="B13" s="24" t="s">
        <v>31</v>
      </c>
      <c r="C13" s="54">
        <f>+C96</f>
        <v>1.8160210720723193</v>
      </c>
      <c r="D13" s="55">
        <f>+D96</f>
        <v>2.1525373878200313</v>
      </c>
      <c r="E13" s="55">
        <f t="shared" ref="E13:Q13" si="7">+E96</f>
        <v>2.2338419115736623</v>
      </c>
      <c r="F13" s="55">
        <f t="shared" si="7"/>
        <v>1.9288303811123968</v>
      </c>
      <c r="G13" s="55">
        <f t="shared" si="7"/>
        <v>2.158905594047742</v>
      </c>
      <c r="H13" s="55">
        <f t="shared" si="7"/>
        <v>2.2409584242426384</v>
      </c>
      <c r="I13" s="55">
        <f t="shared" si="7"/>
        <v>2.0730214315268736</v>
      </c>
      <c r="J13" s="55">
        <f t="shared" si="7"/>
        <v>2.1845574830287413</v>
      </c>
      <c r="K13" s="55">
        <f t="shared" si="7"/>
        <v>2.2680777689531624</v>
      </c>
      <c r="L13" s="55">
        <f t="shared" si="7"/>
        <v>2.2512029144893329</v>
      </c>
      <c r="M13" s="55">
        <f t="shared" si="7"/>
        <v>2.433463230674632</v>
      </c>
      <c r="N13" s="55">
        <f t="shared" si="7"/>
        <v>2.5262451274643793</v>
      </c>
      <c r="O13" s="55">
        <f t="shared" si="7"/>
        <v>2.663138763886665</v>
      </c>
      <c r="P13" s="55">
        <f t="shared" si="7"/>
        <v>2.3502736255439993</v>
      </c>
      <c r="Q13" s="55">
        <f t="shared" si="7"/>
        <v>2.4512757484303327</v>
      </c>
      <c r="R13" s="55">
        <f>+R96</f>
        <v>2.5450766376715608</v>
      </c>
      <c r="S13" s="55">
        <f t="shared" ref="S13:AD13" si="8">+S96</f>
        <v>2.4302293901290044</v>
      </c>
      <c r="T13" s="55">
        <f t="shared" si="8"/>
        <v>2.5641149680388713</v>
      </c>
      <c r="U13" s="55">
        <f t="shared" si="8"/>
        <v>1.7137550812542139</v>
      </c>
      <c r="V13" s="55">
        <f t="shared" si="8"/>
        <v>1.9574262430577676</v>
      </c>
      <c r="W13" s="55">
        <f t="shared" si="8"/>
        <v>1.7878835116027108</v>
      </c>
      <c r="X13" s="55">
        <f t="shared" si="8"/>
        <v>2.0492960401903697</v>
      </c>
      <c r="Y13" s="55">
        <f t="shared" si="8"/>
        <v>2.4192821203464785</v>
      </c>
      <c r="Z13" s="55">
        <f t="shared" si="8"/>
        <v>2.6284004828210694</v>
      </c>
      <c r="AA13" s="55">
        <f t="shared" si="8"/>
        <v>2.7285905934511323</v>
      </c>
      <c r="AB13" s="55">
        <f t="shared" si="8"/>
        <v>2.8773821331873686</v>
      </c>
      <c r="AC13" s="55">
        <f t="shared" si="8"/>
        <v>3.628945105889938</v>
      </c>
      <c r="AD13" s="55">
        <f t="shared" si="8"/>
        <v>4.2553721505548667</v>
      </c>
    </row>
    <row r="14" spans="1:30" x14ac:dyDescent="0.25">
      <c r="A14" s="24" t="s">
        <v>203</v>
      </c>
      <c r="B14" s="24"/>
      <c r="C14" s="54">
        <f>+C12+C13</f>
        <v>3.7161648248026036</v>
      </c>
      <c r="D14" s="55">
        <f>+D12+D13</f>
        <v>3.024029692288325</v>
      </c>
      <c r="E14" s="55">
        <f t="shared" ref="E14:Q14" si="9">+E12+E13</f>
        <v>2.8568053566801259</v>
      </c>
      <c r="F14" s="55">
        <f t="shared" si="9"/>
        <v>3.415746599615419</v>
      </c>
      <c r="G14" s="55">
        <f t="shared" si="9"/>
        <v>2.9425358501174923</v>
      </c>
      <c r="H14" s="55">
        <f t="shared" si="9"/>
        <v>2.7737724236728334</v>
      </c>
      <c r="I14" s="55">
        <f t="shared" si="9"/>
        <v>3.119179428528188</v>
      </c>
      <c r="J14" s="55">
        <f t="shared" si="9"/>
        <v>2.8897759310637716</v>
      </c>
      <c r="K14" s="55">
        <f t="shared" si="9"/>
        <v>2.7179942923711966</v>
      </c>
      <c r="L14" s="55">
        <f t="shared" si="9"/>
        <v>3.6392451528900489</v>
      </c>
      <c r="M14" s="55">
        <f t="shared" si="9"/>
        <v>3.264378431154094</v>
      </c>
      <c r="N14" s="55">
        <f t="shared" si="9"/>
        <v>3.0735478311969673</v>
      </c>
      <c r="O14" s="55">
        <f t="shared" si="9"/>
        <v>2.7919897291032365</v>
      </c>
      <c r="P14" s="55">
        <f t="shared" si="9"/>
        <v>3.4354799370141196</v>
      </c>
      <c r="Q14" s="55">
        <f t="shared" si="9"/>
        <v>3.2277422600077958</v>
      </c>
      <c r="R14" s="55">
        <f>+R12+R13</f>
        <v>3.0348158315798566</v>
      </c>
      <c r="S14" s="55">
        <f t="shared" ref="S14:AD14" si="10">+S12+S13</f>
        <v>3.2710296826680212</v>
      </c>
      <c r="T14" s="55">
        <f t="shared" si="10"/>
        <v>2.9956584514024631</v>
      </c>
      <c r="U14" s="55">
        <f t="shared" si="10"/>
        <v>3.5631162225645099</v>
      </c>
      <c r="V14" s="55">
        <f t="shared" si="10"/>
        <v>3.0619417951371899</v>
      </c>
      <c r="W14" s="55">
        <f t="shared" si="10"/>
        <v>3.4106514279576494</v>
      </c>
      <c r="X14" s="55">
        <f t="shared" si="10"/>
        <v>2.8729871702443379</v>
      </c>
      <c r="Y14" s="55">
        <f t="shared" si="10"/>
        <v>3.9603059064821435</v>
      </c>
      <c r="Z14" s="55">
        <f t="shared" si="10"/>
        <v>3.5301984830101993</v>
      </c>
      <c r="AA14" s="55">
        <f t="shared" si="10"/>
        <v>3.3241309247597783</v>
      </c>
      <c r="AB14" s="55">
        <f t="shared" si="10"/>
        <v>3.0181016261698348</v>
      </c>
      <c r="AC14" s="55">
        <f t="shared" si="10"/>
        <v>5.6108948643187553</v>
      </c>
      <c r="AD14" s="55">
        <f t="shared" si="10"/>
        <v>4.3224813601879779</v>
      </c>
    </row>
    <row r="15" spans="1:30" x14ac:dyDescent="0.25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25">
      <c r="A16" s="24" t="s">
        <v>204</v>
      </c>
      <c r="B16" s="24"/>
      <c r="C16" s="58">
        <f>+C83</f>
        <v>2.0038895566521973</v>
      </c>
      <c r="D16" s="59">
        <f>+D83</f>
        <v>1.0074232485821581</v>
      </c>
      <c r="E16" s="59">
        <f t="shared" ref="E16:Q16" si="11">+E83</f>
        <v>0.7666705277693201</v>
      </c>
      <c r="F16" s="59">
        <f t="shared" si="11"/>
        <v>1.6020933514693123</v>
      </c>
      <c r="G16" s="59">
        <f t="shared" si="11"/>
        <v>0.92081227449475489</v>
      </c>
      <c r="H16" s="59">
        <f t="shared" si="11"/>
        <v>0.67784372603274068</v>
      </c>
      <c r="I16" s="59">
        <f t="shared" si="11"/>
        <v>1.1751258704305234</v>
      </c>
      <c r="J16" s="59">
        <f t="shared" si="11"/>
        <v>0.84485386798740958</v>
      </c>
      <c r="K16" s="59">
        <f t="shared" si="11"/>
        <v>0.59754000215257586</v>
      </c>
      <c r="L16" s="59">
        <f t="shared" si="11"/>
        <v>1.5257301411130866</v>
      </c>
      <c r="M16" s="59">
        <f t="shared" si="11"/>
        <v>0.98603486965706066</v>
      </c>
      <c r="N16" s="59">
        <f t="shared" si="11"/>
        <v>0.71129623196459213</v>
      </c>
      <c r="O16" s="59">
        <f t="shared" si="11"/>
        <v>0.3059372936292975</v>
      </c>
      <c r="P16" s="59">
        <f t="shared" si="11"/>
        <v>1.2323695488839466</v>
      </c>
      <c r="Q16" s="59">
        <f t="shared" si="11"/>
        <v>0.93328980805130468</v>
      </c>
      <c r="R16" s="59">
        <f>+R83</f>
        <v>0.65553380805406281</v>
      </c>
      <c r="S16" s="59">
        <f t="shared" ref="S16:AD16" si="12">+S83</f>
        <v>0.99561067029017081</v>
      </c>
      <c r="T16" s="59">
        <f t="shared" si="12"/>
        <v>0.59915896414558989</v>
      </c>
      <c r="U16" s="59">
        <f t="shared" si="12"/>
        <v>1.9467369647451782</v>
      </c>
      <c r="V16" s="59">
        <f t="shared" si="12"/>
        <v>1.2251966066023054</v>
      </c>
      <c r="W16" s="59">
        <f t="shared" si="12"/>
        <v>1.7272335414170452</v>
      </c>
      <c r="X16" s="59">
        <f t="shared" si="12"/>
        <v>0.95315880846921497</v>
      </c>
      <c r="Y16" s="59">
        <f t="shared" si="12"/>
        <v>1.6885285302187469</v>
      </c>
      <c r="Z16" s="59">
        <f t="shared" si="12"/>
        <v>1.0693032717295545</v>
      </c>
      <c r="AA16" s="59">
        <f t="shared" si="12"/>
        <v>0.77262799932013304</v>
      </c>
      <c r="AB16" s="59">
        <f t="shared" si="12"/>
        <v>0.33203790209530698</v>
      </c>
      <c r="AC16" s="59">
        <f t="shared" si="12"/>
        <v>2.0209014138058383</v>
      </c>
      <c r="AD16" s="59">
        <f t="shared" si="12"/>
        <v>0.12243385514782003</v>
      </c>
    </row>
    <row r="17" spans="1:30" x14ac:dyDescent="0.25">
      <c r="A17" s="24" t="s">
        <v>205</v>
      </c>
      <c r="B17" s="24"/>
      <c r="C17" s="54">
        <f>+C108</f>
        <v>0.10756307936841593</v>
      </c>
      <c r="D17" s="55">
        <f>+D108</f>
        <v>0.12749496878103864</v>
      </c>
      <c r="E17" s="55">
        <f t="shared" ref="E17:Q17" si="13">+E108</f>
        <v>0.13231064249540997</v>
      </c>
      <c r="F17" s="55">
        <f t="shared" si="13"/>
        <v>0.11424478413956564</v>
      </c>
      <c r="G17" s="55">
        <f t="shared" si="13"/>
        <v>0.12787215816636008</v>
      </c>
      <c r="H17" s="55">
        <f t="shared" si="13"/>
        <v>0.13273215413357944</v>
      </c>
      <c r="I17" s="55">
        <f t="shared" si="13"/>
        <v>0.12278523206633395</v>
      </c>
      <c r="J17" s="55">
        <f t="shared" si="13"/>
        <v>0.12939152168743664</v>
      </c>
      <c r="K17" s="55">
        <f t="shared" si="13"/>
        <v>0.13433843517975078</v>
      </c>
      <c r="L17" s="55">
        <f t="shared" si="13"/>
        <v>0.13333893614422904</v>
      </c>
      <c r="M17" s="55">
        <f t="shared" si="13"/>
        <v>0.14413422985366858</v>
      </c>
      <c r="N17" s="55">
        <f t="shared" si="13"/>
        <v>0.14962970932900269</v>
      </c>
      <c r="O17" s="55">
        <f t="shared" si="13"/>
        <v>0.15773793081715901</v>
      </c>
      <c r="P17" s="55">
        <f t="shared" si="13"/>
        <v>0.13920690261231536</v>
      </c>
      <c r="Q17" s="55">
        <f t="shared" si="13"/>
        <v>0.14518926676407259</v>
      </c>
      <c r="R17" s="55">
        <f>+R108</f>
        <v>0.15074510124718718</v>
      </c>
      <c r="S17" s="55">
        <f t="shared" ref="S17:AD17" si="14">+S108</f>
        <v>0.14394268920878095</v>
      </c>
      <c r="T17" s="55">
        <f t="shared" si="14"/>
        <v>0.15187274314068372</v>
      </c>
      <c r="U17" s="55">
        <f t="shared" si="14"/>
        <v>0.10150585621378311</v>
      </c>
      <c r="V17" s="55">
        <f t="shared" si="14"/>
        <v>0.11593851942454678</v>
      </c>
      <c r="W17" s="55">
        <f t="shared" si="14"/>
        <v>0.10589648931801943</v>
      </c>
      <c r="X17" s="55">
        <f t="shared" si="14"/>
        <v>0.12137997516121281</v>
      </c>
      <c r="Y17" s="55">
        <f t="shared" si="14"/>
        <v>0.14329428150768445</v>
      </c>
      <c r="Z17" s="55">
        <f t="shared" si="14"/>
        <v>0.15568037953604028</v>
      </c>
      <c r="AA17" s="55">
        <f t="shared" si="14"/>
        <v>0.16161464813422019</v>
      </c>
      <c r="AB17" s="55">
        <f t="shared" si="14"/>
        <v>0.17042758342672451</v>
      </c>
      <c r="AC17" s="55">
        <f t="shared" si="14"/>
        <v>0.21494272090303113</v>
      </c>
      <c r="AD17" s="55">
        <f t="shared" si="14"/>
        <v>0.25204604693818888</v>
      </c>
    </row>
    <row r="18" spans="1:30" x14ac:dyDescent="0.25">
      <c r="A18" s="24" t="s">
        <v>206</v>
      </c>
      <c r="B18" s="24"/>
      <c r="C18" s="54">
        <f>+C16+C17</f>
        <v>2.1114526360206134</v>
      </c>
      <c r="D18" s="55">
        <f>+D16+D17</f>
        <v>1.1349182173631969</v>
      </c>
      <c r="E18" s="55">
        <f t="shared" ref="E18:Q18" si="15">+E16+E17</f>
        <v>0.89898117026473012</v>
      </c>
      <c r="F18" s="55">
        <f t="shared" si="15"/>
        <v>1.716338135608878</v>
      </c>
      <c r="G18" s="55">
        <f t="shared" si="15"/>
        <v>1.0486844326611149</v>
      </c>
      <c r="H18" s="55">
        <f t="shared" si="15"/>
        <v>0.8105758801663201</v>
      </c>
      <c r="I18" s="55">
        <f t="shared" si="15"/>
        <v>1.2979111024968573</v>
      </c>
      <c r="J18" s="55">
        <f t="shared" si="15"/>
        <v>0.9742453896748462</v>
      </c>
      <c r="K18" s="55">
        <f t="shared" si="15"/>
        <v>0.7318784373323266</v>
      </c>
      <c r="L18" s="55">
        <f t="shared" si="15"/>
        <v>1.6590690772573156</v>
      </c>
      <c r="M18" s="55">
        <f t="shared" si="15"/>
        <v>1.1301690995107292</v>
      </c>
      <c r="N18" s="55">
        <f t="shared" si="15"/>
        <v>0.86092594129359479</v>
      </c>
      <c r="O18" s="55">
        <f t="shared" si="15"/>
        <v>0.46367522444645648</v>
      </c>
      <c r="P18" s="55">
        <f t="shared" si="15"/>
        <v>1.3715764514962618</v>
      </c>
      <c r="Q18" s="55">
        <f t="shared" si="15"/>
        <v>1.0784790748153772</v>
      </c>
      <c r="R18" s="55">
        <f>+R16+R17</f>
        <v>0.80627890930125001</v>
      </c>
      <c r="S18" s="55">
        <f t="shared" ref="S18:AD18" si="16">+S16+S17</f>
        <v>1.1395533594989518</v>
      </c>
      <c r="T18" s="55">
        <f t="shared" si="16"/>
        <v>0.75103170728627355</v>
      </c>
      <c r="U18" s="55">
        <f t="shared" si="16"/>
        <v>2.0482428209589614</v>
      </c>
      <c r="V18" s="55">
        <f t="shared" si="16"/>
        <v>1.3411351260268523</v>
      </c>
      <c r="W18" s="55">
        <f t="shared" si="16"/>
        <v>1.8331300307350646</v>
      </c>
      <c r="X18" s="55">
        <f t="shared" si="16"/>
        <v>1.0745387836304279</v>
      </c>
      <c r="Y18" s="55">
        <f t="shared" si="16"/>
        <v>1.8318228117264315</v>
      </c>
      <c r="Z18" s="55">
        <f t="shared" si="16"/>
        <v>1.2249836512655947</v>
      </c>
      <c r="AA18" s="55">
        <f t="shared" si="16"/>
        <v>0.93424264745435326</v>
      </c>
      <c r="AB18" s="55">
        <f t="shared" si="16"/>
        <v>0.50246548552203152</v>
      </c>
      <c r="AC18" s="55">
        <f t="shared" si="16"/>
        <v>2.2358441347088696</v>
      </c>
      <c r="AD18" s="55">
        <f t="shared" si="16"/>
        <v>0.3744799020860089</v>
      </c>
    </row>
    <row r="19" spans="1:30" x14ac:dyDescent="0.25">
      <c r="A19" s="24" t="s">
        <v>50</v>
      </c>
      <c r="B19" s="24" t="s">
        <v>51</v>
      </c>
      <c r="C19" s="29">
        <v>19.2</v>
      </c>
      <c r="D19" s="30">
        <v>19.2</v>
      </c>
      <c r="E19" s="30">
        <v>19.2</v>
      </c>
      <c r="F19" s="30">
        <v>78.599999999999994</v>
      </c>
      <c r="G19" s="30">
        <v>78.599999999999994</v>
      </c>
      <c r="H19" s="30">
        <v>78.599999999999994</v>
      </c>
      <c r="I19" s="30">
        <v>78.599999999999994</v>
      </c>
      <c r="J19" s="30">
        <v>78.599999999999994</v>
      </c>
      <c r="K19" s="30">
        <v>78.599999999999994</v>
      </c>
      <c r="L19" s="30">
        <v>49.2</v>
      </c>
      <c r="M19" s="30">
        <v>49.2</v>
      </c>
      <c r="N19" s="30">
        <v>49.2</v>
      </c>
      <c r="O19" s="30">
        <v>49.2</v>
      </c>
      <c r="P19" s="30">
        <f>17.6+20.7</f>
        <v>38.299999999999997</v>
      </c>
      <c r="Q19" s="30">
        <f t="shared" ref="Q19:R19" si="17">17.6+20.7</f>
        <v>38.299999999999997</v>
      </c>
      <c r="R19" s="30">
        <f t="shared" si="17"/>
        <v>38.299999999999997</v>
      </c>
      <c r="S19" s="30">
        <v>10.6</v>
      </c>
      <c r="T19" s="30">
        <v>10.6</v>
      </c>
      <c r="U19" s="30">
        <v>16.8</v>
      </c>
      <c r="V19" s="30">
        <v>16.8</v>
      </c>
      <c r="W19" s="30">
        <v>83.3</v>
      </c>
      <c r="X19" s="30">
        <v>83.3</v>
      </c>
      <c r="Y19" s="30">
        <f>57.9+31.8</f>
        <v>89.7</v>
      </c>
      <c r="Z19" s="30">
        <f t="shared" ref="Z19:AB19" si="18">57.9+31.8</f>
        <v>89.7</v>
      </c>
      <c r="AA19" s="30">
        <f t="shared" si="18"/>
        <v>89.7</v>
      </c>
      <c r="AB19" s="30">
        <f t="shared" si="18"/>
        <v>89.7</v>
      </c>
      <c r="AC19" s="30"/>
      <c r="AD19" s="30"/>
    </row>
    <row r="20" spans="1:3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25">
      <c r="A21" s="24" t="s">
        <v>52</v>
      </c>
      <c r="B21" s="24" t="s">
        <v>207</v>
      </c>
      <c r="C21" s="35">
        <f>18.6-1.8</f>
        <v>16.8</v>
      </c>
      <c r="D21" s="35">
        <f t="shared" ref="D21:AB21" si="19">18.6-1.8</f>
        <v>16.8</v>
      </c>
      <c r="E21" s="35">
        <f t="shared" si="19"/>
        <v>16.8</v>
      </c>
      <c r="F21" s="35">
        <f t="shared" si="19"/>
        <v>16.8</v>
      </c>
      <c r="G21" s="35">
        <f t="shared" si="19"/>
        <v>16.8</v>
      </c>
      <c r="H21" s="35">
        <f t="shared" si="19"/>
        <v>16.8</v>
      </c>
      <c r="I21" s="35">
        <f t="shared" si="19"/>
        <v>16.8</v>
      </c>
      <c r="J21" s="35">
        <f t="shared" si="19"/>
        <v>16.8</v>
      </c>
      <c r="K21" s="35">
        <f t="shared" si="19"/>
        <v>16.8</v>
      </c>
      <c r="L21" s="35">
        <f t="shared" si="19"/>
        <v>16.8</v>
      </c>
      <c r="M21" s="35">
        <f t="shared" si="19"/>
        <v>16.8</v>
      </c>
      <c r="N21" s="35">
        <f t="shared" si="19"/>
        <v>16.8</v>
      </c>
      <c r="O21" s="35">
        <f t="shared" si="19"/>
        <v>16.8</v>
      </c>
      <c r="P21" s="35">
        <f t="shared" si="19"/>
        <v>16.8</v>
      </c>
      <c r="Q21" s="35">
        <f t="shared" si="19"/>
        <v>16.8</v>
      </c>
      <c r="R21" s="35">
        <f t="shared" si="19"/>
        <v>16.8</v>
      </c>
      <c r="S21" s="35">
        <f t="shared" si="19"/>
        <v>16.8</v>
      </c>
      <c r="T21" s="35">
        <f t="shared" si="19"/>
        <v>16.8</v>
      </c>
      <c r="U21" s="35">
        <f t="shared" si="19"/>
        <v>16.8</v>
      </c>
      <c r="V21" s="35">
        <f t="shared" si="19"/>
        <v>16.8</v>
      </c>
      <c r="W21" s="35">
        <f t="shared" si="19"/>
        <v>16.8</v>
      </c>
      <c r="X21" s="35">
        <f t="shared" si="19"/>
        <v>16.8</v>
      </c>
      <c r="Y21" s="35">
        <f t="shared" si="19"/>
        <v>16.8</v>
      </c>
      <c r="Z21" s="35">
        <f t="shared" si="19"/>
        <v>16.8</v>
      </c>
      <c r="AA21" s="35">
        <f t="shared" si="19"/>
        <v>16.8</v>
      </c>
      <c r="AB21" s="35">
        <f t="shared" si="19"/>
        <v>16.8</v>
      </c>
      <c r="AC21" s="36">
        <v>12.45</v>
      </c>
      <c r="AD21" s="36">
        <v>12.45</v>
      </c>
    </row>
    <row r="22" spans="1:30" x14ac:dyDescent="0.25">
      <c r="A22" s="24" t="s">
        <v>54</v>
      </c>
      <c r="B22" s="24"/>
      <c r="C22" s="29">
        <f>+C21+273.15</f>
        <v>289.95</v>
      </c>
      <c r="D22" s="30">
        <f t="shared" ref="D22:Q22" si="20">+D21+273.15</f>
        <v>289.95</v>
      </c>
      <c r="E22" s="30">
        <f t="shared" si="20"/>
        <v>289.95</v>
      </c>
      <c r="F22" s="30">
        <f t="shared" si="20"/>
        <v>289.95</v>
      </c>
      <c r="G22" s="30">
        <f t="shared" si="20"/>
        <v>289.95</v>
      </c>
      <c r="H22" s="30">
        <f t="shared" si="20"/>
        <v>289.95</v>
      </c>
      <c r="I22" s="30">
        <f t="shared" si="20"/>
        <v>289.95</v>
      </c>
      <c r="J22" s="30">
        <f t="shared" si="20"/>
        <v>289.95</v>
      </c>
      <c r="K22" s="30">
        <f t="shared" si="20"/>
        <v>289.95</v>
      </c>
      <c r="L22" s="30">
        <f t="shared" si="20"/>
        <v>289.95</v>
      </c>
      <c r="M22" s="30">
        <f t="shared" si="20"/>
        <v>289.95</v>
      </c>
      <c r="N22" s="30">
        <f t="shared" si="20"/>
        <v>289.95</v>
      </c>
      <c r="O22" s="30">
        <f t="shared" si="20"/>
        <v>289.95</v>
      </c>
      <c r="P22" s="30">
        <f t="shared" si="20"/>
        <v>289.95</v>
      </c>
      <c r="Q22" s="30">
        <f t="shared" si="20"/>
        <v>289.95</v>
      </c>
      <c r="R22" s="30">
        <f>+R21+273.15</f>
        <v>289.95</v>
      </c>
      <c r="S22" s="30">
        <f t="shared" ref="S22:AD22" si="21">+S21+273.15</f>
        <v>289.95</v>
      </c>
      <c r="T22" s="30">
        <f t="shared" si="21"/>
        <v>289.95</v>
      </c>
      <c r="U22" s="30">
        <f t="shared" si="21"/>
        <v>289.95</v>
      </c>
      <c r="V22" s="30">
        <f t="shared" si="21"/>
        <v>289.95</v>
      </c>
      <c r="W22" s="30">
        <f t="shared" si="21"/>
        <v>289.95</v>
      </c>
      <c r="X22" s="30">
        <f t="shared" si="21"/>
        <v>289.95</v>
      </c>
      <c r="Y22" s="30">
        <f t="shared" si="21"/>
        <v>289.95</v>
      </c>
      <c r="Z22" s="30">
        <f t="shared" si="21"/>
        <v>289.95</v>
      </c>
      <c r="AA22" s="30">
        <f t="shared" si="21"/>
        <v>289.95</v>
      </c>
      <c r="AB22" s="30">
        <f t="shared" si="21"/>
        <v>289.95</v>
      </c>
      <c r="AC22" s="30">
        <f t="shared" si="21"/>
        <v>285.59999999999997</v>
      </c>
      <c r="AD22" s="30">
        <f t="shared" si="21"/>
        <v>285.59999999999997</v>
      </c>
    </row>
    <row r="23" spans="1:30" x14ac:dyDescent="0.25">
      <c r="A23" s="24" t="s">
        <v>55</v>
      </c>
      <c r="B23" s="24" t="s">
        <v>56</v>
      </c>
      <c r="C23" s="29">
        <v>31.3</v>
      </c>
      <c r="D23" s="30">
        <v>31.3</v>
      </c>
      <c r="E23" s="30">
        <v>31.3</v>
      </c>
      <c r="F23" s="30">
        <v>31.3</v>
      </c>
      <c r="G23" s="30">
        <v>31.3</v>
      </c>
      <c r="H23" s="30">
        <v>31.3</v>
      </c>
      <c r="I23" s="30">
        <v>31.3</v>
      </c>
      <c r="J23" s="30">
        <v>31.3</v>
      </c>
      <c r="K23" s="30">
        <v>31.3</v>
      </c>
      <c r="L23" s="30">
        <v>31.3</v>
      </c>
      <c r="M23" s="30">
        <v>31.3</v>
      </c>
      <c r="N23" s="30">
        <v>31.3</v>
      </c>
      <c r="O23" s="30">
        <v>31.3</v>
      </c>
      <c r="P23" s="30">
        <v>31.3</v>
      </c>
      <c r="Q23" s="30">
        <v>31.3</v>
      </c>
      <c r="R23" s="30">
        <v>31.3</v>
      </c>
      <c r="S23" s="30">
        <v>31.3</v>
      </c>
      <c r="T23" s="30">
        <v>31.3</v>
      </c>
      <c r="U23" s="30">
        <v>31.3</v>
      </c>
      <c r="V23" s="30">
        <v>31.3</v>
      </c>
      <c r="W23" s="30">
        <v>31.3</v>
      </c>
      <c r="X23" s="30">
        <v>31.3</v>
      </c>
      <c r="Y23" s="30">
        <v>31.3</v>
      </c>
      <c r="Z23" s="30">
        <v>31.3</v>
      </c>
      <c r="AA23" s="30">
        <v>31.3</v>
      </c>
      <c r="AB23" s="30">
        <v>31.3</v>
      </c>
      <c r="AC23" s="30">
        <v>31.2</v>
      </c>
      <c r="AD23" s="30">
        <v>31.2</v>
      </c>
    </row>
    <row r="24" spans="1:30" x14ac:dyDescent="0.25">
      <c r="A24" s="24" t="s">
        <v>208</v>
      </c>
      <c r="B24" s="24" t="s">
        <v>58</v>
      </c>
      <c r="C24" s="29">
        <v>30.3</v>
      </c>
      <c r="D24" s="30">
        <v>30.3</v>
      </c>
      <c r="E24" s="30">
        <v>30.3</v>
      </c>
      <c r="F24" s="30">
        <v>30.3</v>
      </c>
      <c r="G24" s="30">
        <v>30.3</v>
      </c>
      <c r="H24" s="30">
        <v>30.3</v>
      </c>
      <c r="I24" s="30">
        <v>30.3</v>
      </c>
      <c r="J24" s="30">
        <v>30.3</v>
      </c>
      <c r="K24" s="30">
        <v>30.3</v>
      </c>
      <c r="L24" s="30">
        <v>30.3</v>
      </c>
      <c r="M24" s="30">
        <v>30.3</v>
      </c>
      <c r="N24" s="30">
        <v>30.3</v>
      </c>
      <c r="O24" s="30">
        <v>30.3</v>
      </c>
      <c r="P24" s="30">
        <v>30.3</v>
      </c>
      <c r="Q24" s="30">
        <v>30.3</v>
      </c>
      <c r="R24" s="30">
        <v>30.3</v>
      </c>
      <c r="S24" s="30">
        <v>30.3</v>
      </c>
      <c r="T24" s="30">
        <v>30.3</v>
      </c>
      <c r="U24" s="30">
        <v>30.3</v>
      </c>
      <c r="V24" s="30">
        <v>30.3</v>
      </c>
      <c r="W24" s="30">
        <v>30.3</v>
      </c>
      <c r="X24" s="30">
        <v>30.3</v>
      </c>
      <c r="Y24" s="30">
        <v>30.3</v>
      </c>
      <c r="Z24" s="30">
        <v>30.3</v>
      </c>
      <c r="AA24" s="30">
        <v>30.3</v>
      </c>
      <c r="AB24" s="30">
        <v>30.3</v>
      </c>
      <c r="AC24" s="30">
        <v>30.2</v>
      </c>
      <c r="AD24" s="30">
        <v>30.2</v>
      </c>
    </row>
    <row r="25" spans="1:30" x14ac:dyDescent="0.25">
      <c r="A25" s="24" t="s">
        <v>59</v>
      </c>
      <c r="B25" s="24" t="s">
        <v>60</v>
      </c>
      <c r="C25" s="29">
        <v>27.9</v>
      </c>
      <c r="D25" s="30">
        <v>27.9</v>
      </c>
      <c r="E25" s="30">
        <v>27.9</v>
      </c>
      <c r="F25" s="30">
        <v>27.9</v>
      </c>
      <c r="G25" s="30">
        <v>27.9</v>
      </c>
      <c r="H25" s="30">
        <v>27.9</v>
      </c>
      <c r="I25" s="30">
        <v>27.9</v>
      </c>
      <c r="J25" s="30">
        <v>27.9</v>
      </c>
      <c r="K25" s="30">
        <v>27.9</v>
      </c>
      <c r="L25" s="30">
        <v>27.9</v>
      </c>
      <c r="M25" s="30">
        <v>27.9</v>
      </c>
      <c r="N25" s="30">
        <v>27.9</v>
      </c>
      <c r="O25" s="30">
        <v>27.9</v>
      </c>
      <c r="P25" s="30">
        <v>27.9</v>
      </c>
      <c r="Q25" s="30">
        <v>27.9</v>
      </c>
      <c r="R25" s="30">
        <v>27.9</v>
      </c>
      <c r="S25" s="30">
        <v>27.9</v>
      </c>
      <c r="T25" s="30">
        <v>27.9</v>
      </c>
      <c r="U25" s="30">
        <v>27.9</v>
      </c>
      <c r="V25" s="30">
        <v>27.9</v>
      </c>
      <c r="W25" s="30">
        <v>27.9</v>
      </c>
      <c r="X25" s="30">
        <v>27.9</v>
      </c>
      <c r="Y25" s="30">
        <v>27.9</v>
      </c>
      <c r="Z25" s="30">
        <v>27.9</v>
      </c>
      <c r="AA25" s="30">
        <v>27.9</v>
      </c>
      <c r="AB25" s="30">
        <v>27.9</v>
      </c>
      <c r="AC25" s="30">
        <v>27.8</v>
      </c>
      <c r="AD25" s="30">
        <v>27.8</v>
      </c>
    </row>
    <row r="26" spans="1:30" x14ac:dyDescent="0.25">
      <c r="A26" s="24" t="s">
        <v>61</v>
      </c>
      <c r="B26" s="24" t="s">
        <v>62</v>
      </c>
      <c r="C26" s="29">
        <v>81000</v>
      </c>
      <c r="D26" s="30">
        <v>81000</v>
      </c>
      <c r="E26" s="30">
        <v>81000</v>
      </c>
      <c r="F26" s="30">
        <v>81000</v>
      </c>
      <c r="G26" s="30">
        <v>81000</v>
      </c>
      <c r="H26" s="30">
        <v>81000</v>
      </c>
      <c r="I26" s="30">
        <v>81000</v>
      </c>
      <c r="J26" s="30">
        <v>81000</v>
      </c>
      <c r="K26" s="30">
        <v>81000</v>
      </c>
      <c r="L26" s="30">
        <v>81000</v>
      </c>
      <c r="M26" s="30">
        <v>81000</v>
      </c>
      <c r="N26" s="30">
        <v>81000</v>
      </c>
      <c r="O26" s="30">
        <v>81000</v>
      </c>
      <c r="P26" s="30">
        <v>81000</v>
      </c>
      <c r="Q26" s="30">
        <v>81000</v>
      </c>
      <c r="R26" s="30">
        <v>81000</v>
      </c>
      <c r="S26" s="30">
        <v>81000</v>
      </c>
      <c r="T26" s="30">
        <v>81000</v>
      </c>
      <c r="U26" s="30">
        <v>81000</v>
      </c>
      <c r="V26" s="30">
        <v>81000</v>
      </c>
      <c r="W26" s="30">
        <v>81000</v>
      </c>
      <c r="X26" s="30">
        <v>81000</v>
      </c>
      <c r="Y26" s="30">
        <v>81000</v>
      </c>
      <c r="Z26" s="30">
        <v>81000</v>
      </c>
      <c r="AA26" s="30">
        <v>81000</v>
      </c>
      <c r="AB26" s="30">
        <v>81000</v>
      </c>
      <c r="AC26" s="30">
        <v>81000</v>
      </c>
      <c r="AD26" s="30">
        <v>81000</v>
      </c>
    </row>
    <row r="27" spans="1:30" x14ac:dyDescent="0.25">
      <c r="A27" s="24" t="s">
        <v>63</v>
      </c>
      <c r="B27" s="24">
        <v>8.31</v>
      </c>
      <c r="C27" s="29">
        <v>8.31</v>
      </c>
      <c r="D27" s="30">
        <v>8.31</v>
      </c>
      <c r="E27" s="30">
        <v>8.31</v>
      </c>
      <c r="F27" s="30">
        <v>8.31</v>
      </c>
      <c r="G27" s="30">
        <v>8.31</v>
      </c>
      <c r="H27" s="30">
        <v>8.31</v>
      </c>
      <c r="I27" s="30">
        <v>8.31</v>
      </c>
      <c r="J27" s="30">
        <v>8.31</v>
      </c>
      <c r="K27" s="30">
        <v>8.31</v>
      </c>
      <c r="L27" s="30">
        <v>8.31</v>
      </c>
      <c r="M27" s="30">
        <v>8.31</v>
      </c>
      <c r="N27" s="30">
        <v>8.31</v>
      </c>
      <c r="O27" s="30">
        <v>8.31</v>
      </c>
      <c r="P27" s="30">
        <v>8.31</v>
      </c>
      <c r="Q27" s="30">
        <v>8.31</v>
      </c>
      <c r="R27" s="30">
        <v>8.31</v>
      </c>
      <c r="S27" s="30">
        <v>8.31</v>
      </c>
      <c r="T27" s="30">
        <v>8.31</v>
      </c>
      <c r="U27" s="30">
        <v>8.31</v>
      </c>
      <c r="V27" s="30">
        <v>8.31</v>
      </c>
      <c r="W27" s="30">
        <v>8.31</v>
      </c>
      <c r="X27" s="30">
        <v>8.31</v>
      </c>
      <c r="Y27" s="30">
        <v>8.31</v>
      </c>
      <c r="Z27" s="30">
        <v>8.31</v>
      </c>
      <c r="AA27" s="30">
        <v>8.31</v>
      </c>
      <c r="AB27" s="30">
        <v>8.31</v>
      </c>
      <c r="AC27" s="30">
        <v>8.31</v>
      </c>
      <c r="AD27" s="30">
        <v>8.31</v>
      </c>
    </row>
    <row r="28" spans="1:30" x14ac:dyDescent="0.25">
      <c r="A28" s="24" t="s">
        <v>65</v>
      </c>
      <c r="B28" s="24" t="s">
        <v>66</v>
      </c>
      <c r="C28" s="29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30">
        <v>4</v>
      </c>
      <c r="N28" s="30">
        <v>4</v>
      </c>
      <c r="O28" s="30">
        <v>4</v>
      </c>
      <c r="P28" s="30">
        <v>4</v>
      </c>
      <c r="Q28" s="30">
        <v>4</v>
      </c>
      <c r="R28" s="30">
        <v>4</v>
      </c>
      <c r="S28" s="30">
        <v>4</v>
      </c>
      <c r="T28" s="30">
        <v>4</v>
      </c>
      <c r="U28" s="30">
        <v>4</v>
      </c>
      <c r="V28" s="30">
        <v>4</v>
      </c>
      <c r="W28" s="30">
        <v>4</v>
      </c>
      <c r="X28" s="30">
        <v>4</v>
      </c>
      <c r="Y28" s="30">
        <v>4</v>
      </c>
      <c r="Z28" s="30">
        <v>4</v>
      </c>
      <c r="AA28" s="30">
        <v>4</v>
      </c>
      <c r="AB28" s="30">
        <v>4</v>
      </c>
      <c r="AC28" s="30">
        <v>4</v>
      </c>
      <c r="AD28" s="30">
        <v>4</v>
      </c>
    </row>
    <row r="29" spans="1:30" x14ac:dyDescent="0.25">
      <c r="A29" s="24" t="s">
        <v>67</v>
      </c>
      <c r="B29" s="24" t="s">
        <v>68</v>
      </c>
      <c r="C29" s="29">
        <v>0.45</v>
      </c>
      <c r="D29" s="30">
        <v>0.45</v>
      </c>
      <c r="E29" s="30">
        <v>0.45</v>
      </c>
      <c r="F29" s="30">
        <v>0.45</v>
      </c>
      <c r="G29" s="30">
        <v>0.45</v>
      </c>
      <c r="H29" s="30">
        <v>0.45</v>
      </c>
      <c r="I29" s="30">
        <v>0.45</v>
      </c>
      <c r="J29" s="30">
        <v>0.45</v>
      </c>
      <c r="K29" s="30">
        <v>0.45</v>
      </c>
      <c r="L29" s="30">
        <v>0.45</v>
      </c>
      <c r="M29" s="30">
        <v>0.45</v>
      </c>
      <c r="N29" s="30">
        <v>0.45</v>
      </c>
      <c r="O29" s="30">
        <v>0.45</v>
      </c>
      <c r="P29" s="30">
        <v>0.45</v>
      </c>
      <c r="Q29" s="30">
        <v>0.45</v>
      </c>
      <c r="R29" s="30">
        <v>0.45</v>
      </c>
      <c r="S29" s="30">
        <v>0.45</v>
      </c>
      <c r="T29" s="30">
        <v>0.45</v>
      </c>
      <c r="U29" s="30">
        <v>0.45</v>
      </c>
      <c r="V29" s="30">
        <v>0.45</v>
      </c>
      <c r="W29" s="30">
        <v>0.45</v>
      </c>
      <c r="X29" s="30">
        <v>0.45</v>
      </c>
      <c r="Y29" s="30">
        <v>0.45</v>
      </c>
      <c r="Z29" s="30">
        <v>0.45</v>
      </c>
      <c r="AA29" s="30">
        <v>0.45</v>
      </c>
      <c r="AB29" s="30">
        <v>0.45</v>
      </c>
      <c r="AC29" s="30">
        <v>0.45</v>
      </c>
      <c r="AD29" s="30">
        <v>0.45</v>
      </c>
    </row>
    <row r="30" spans="1:30" x14ac:dyDescent="0.25">
      <c r="A30" s="24" t="s">
        <v>69</v>
      </c>
      <c r="B30" s="24"/>
      <c r="C30" s="29">
        <v>10</v>
      </c>
      <c r="D30" s="30">
        <v>10</v>
      </c>
      <c r="E30" s="30">
        <v>10</v>
      </c>
      <c r="F30" s="30">
        <v>10</v>
      </c>
      <c r="G30" s="30">
        <v>10</v>
      </c>
      <c r="H30" s="30">
        <v>10</v>
      </c>
      <c r="I30" s="30">
        <v>10</v>
      </c>
      <c r="J30" s="30">
        <v>10</v>
      </c>
      <c r="K30" s="30">
        <v>10</v>
      </c>
      <c r="L30" s="30">
        <v>10</v>
      </c>
      <c r="M30" s="30">
        <v>10</v>
      </c>
      <c r="N30" s="30">
        <v>10</v>
      </c>
      <c r="O30" s="30">
        <v>10</v>
      </c>
      <c r="P30" s="30">
        <v>10</v>
      </c>
      <c r="Q30" s="30">
        <v>10</v>
      </c>
      <c r="R30" s="30">
        <v>10</v>
      </c>
      <c r="S30" s="30">
        <v>10</v>
      </c>
      <c r="T30" s="30">
        <v>10</v>
      </c>
      <c r="U30" s="30">
        <v>10</v>
      </c>
      <c r="V30" s="30">
        <v>10</v>
      </c>
      <c r="W30" s="30">
        <v>10</v>
      </c>
      <c r="X30" s="30">
        <v>10</v>
      </c>
      <c r="Y30" s="30">
        <v>10</v>
      </c>
      <c r="Z30" s="30">
        <v>10</v>
      </c>
      <c r="AA30" s="30">
        <v>10</v>
      </c>
      <c r="AB30" s="30">
        <v>10</v>
      </c>
      <c r="AC30" s="30">
        <v>10</v>
      </c>
      <c r="AD30" s="30">
        <v>10</v>
      </c>
    </row>
    <row r="31" spans="1:30" x14ac:dyDescent="0.25">
      <c r="A31" s="24" t="s">
        <v>70</v>
      </c>
      <c r="B31" s="24" t="s">
        <v>71</v>
      </c>
      <c r="C31" s="54">
        <f>+C28/C29*12/16</f>
        <v>6.666666666666667</v>
      </c>
      <c r="D31" s="55">
        <f t="shared" ref="D31:Q31" si="22">+D28/D29*12/16</f>
        <v>6.666666666666667</v>
      </c>
      <c r="E31" s="55">
        <f t="shared" si="22"/>
        <v>6.666666666666667</v>
      </c>
      <c r="F31" s="55">
        <f t="shared" si="22"/>
        <v>6.666666666666667</v>
      </c>
      <c r="G31" s="55">
        <f t="shared" si="22"/>
        <v>6.666666666666667</v>
      </c>
      <c r="H31" s="55">
        <f t="shared" si="22"/>
        <v>6.666666666666667</v>
      </c>
      <c r="I31" s="55">
        <f t="shared" si="22"/>
        <v>6.666666666666667</v>
      </c>
      <c r="J31" s="55">
        <f t="shared" si="22"/>
        <v>6.666666666666667</v>
      </c>
      <c r="K31" s="55">
        <f t="shared" si="22"/>
        <v>6.666666666666667</v>
      </c>
      <c r="L31" s="55">
        <f t="shared" si="22"/>
        <v>6.666666666666667</v>
      </c>
      <c r="M31" s="55">
        <f t="shared" si="22"/>
        <v>6.666666666666667</v>
      </c>
      <c r="N31" s="55">
        <f t="shared" si="22"/>
        <v>6.666666666666667</v>
      </c>
      <c r="O31" s="55">
        <f t="shared" si="22"/>
        <v>6.666666666666667</v>
      </c>
      <c r="P31" s="55">
        <f t="shared" si="22"/>
        <v>6.666666666666667</v>
      </c>
      <c r="Q31" s="55">
        <f t="shared" si="22"/>
        <v>6.666666666666667</v>
      </c>
      <c r="R31" s="55">
        <f>+R28/R29*12/16</f>
        <v>6.666666666666667</v>
      </c>
      <c r="S31" s="55">
        <f t="shared" ref="S31:AD31" si="23">+S28/S29*12/16</f>
        <v>6.666666666666667</v>
      </c>
      <c r="T31" s="55">
        <f t="shared" si="23"/>
        <v>6.666666666666667</v>
      </c>
      <c r="U31" s="55">
        <f t="shared" si="23"/>
        <v>6.666666666666667</v>
      </c>
      <c r="V31" s="55">
        <f t="shared" si="23"/>
        <v>6.666666666666667</v>
      </c>
      <c r="W31" s="55">
        <f t="shared" si="23"/>
        <v>6.666666666666667</v>
      </c>
      <c r="X31" s="55">
        <f t="shared" si="23"/>
        <v>6.666666666666667</v>
      </c>
      <c r="Y31" s="55">
        <f t="shared" si="23"/>
        <v>6.666666666666667</v>
      </c>
      <c r="Z31" s="55">
        <f t="shared" si="23"/>
        <v>6.666666666666667</v>
      </c>
      <c r="AA31" s="55">
        <f t="shared" si="23"/>
        <v>6.666666666666667</v>
      </c>
      <c r="AB31" s="55">
        <f t="shared" si="23"/>
        <v>6.666666666666667</v>
      </c>
      <c r="AC31" s="55">
        <f t="shared" si="23"/>
        <v>6.666666666666667</v>
      </c>
      <c r="AD31" s="55">
        <f t="shared" si="23"/>
        <v>6.666666666666667</v>
      </c>
    </row>
    <row r="32" spans="1:30" x14ac:dyDescent="0.25">
      <c r="A32" s="24" t="s">
        <v>72</v>
      </c>
      <c r="B32" s="24"/>
      <c r="C32" s="54">
        <f>+C30/16*12/C29</f>
        <v>16.666666666666668</v>
      </c>
      <c r="D32" s="55">
        <f t="shared" ref="D32:Q32" si="24">+D30/16*12/D29</f>
        <v>16.666666666666668</v>
      </c>
      <c r="E32" s="55">
        <f t="shared" si="24"/>
        <v>16.666666666666668</v>
      </c>
      <c r="F32" s="55">
        <f t="shared" si="24"/>
        <v>16.666666666666668</v>
      </c>
      <c r="G32" s="55">
        <f t="shared" si="24"/>
        <v>16.666666666666668</v>
      </c>
      <c r="H32" s="55">
        <f t="shared" si="24"/>
        <v>16.666666666666668</v>
      </c>
      <c r="I32" s="55">
        <f t="shared" si="24"/>
        <v>16.666666666666668</v>
      </c>
      <c r="J32" s="55">
        <f t="shared" si="24"/>
        <v>16.666666666666668</v>
      </c>
      <c r="K32" s="55">
        <f t="shared" si="24"/>
        <v>16.666666666666668</v>
      </c>
      <c r="L32" s="55">
        <f t="shared" si="24"/>
        <v>16.666666666666668</v>
      </c>
      <c r="M32" s="55">
        <f t="shared" si="24"/>
        <v>16.666666666666668</v>
      </c>
      <c r="N32" s="55">
        <f t="shared" si="24"/>
        <v>16.666666666666668</v>
      </c>
      <c r="O32" s="55">
        <f t="shared" si="24"/>
        <v>16.666666666666668</v>
      </c>
      <c r="P32" s="55">
        <f t="shared" si="24"/>
        <v>16.666666666666668</v>
      </c>
      <c r="Q32" s="55">
        <f t="shared" si="24"/>
        <v>16.666666666666668</v>
      </c>
      <c r="R32" s="55">
        <f>+R30/16*12/R29</f>
        <v>16.666666666666668</v>
      </c>
      <c r="S32" s="55">
        <f t="shared" ref="S32:AD32" si="25">+S30/16*12/S29</f>
        <v>16.666666666666668</v>
      </c>
      <c r="T32" s="55">
        <f t="shared" si="25"/>
        <v>16.666666666666668</v>
      </c>
      <c r="U32" s="55">
        <f t="shared" si="25"/>
        <v>16.666666666666668</v>
      </c>
      <c r="V32" s="55">
        <f t="shared" si="25"/>
        <v>16.666666666666668</v>
      </c>
      <c r="W32" s="55">
        <f t="shared" si="25"/>
        <v>16.666666666666668</v>
      </c>
      <c r="X32" s="55">
        <f t="shared" si="25"/>
        <v>16.666666666666668</v>
      </c>
      <c r="Y32" s="55">
        <f t="shared" si="25"/>
        <v>16.666666666666668</v>
      </c>
      <c r="Z32" s="55">
        <f t="shared" si="25"/>
        <v>16.666666666666668</v>
      </c>
      <c r="AA32" s="55">
        <f t="shared" si="25"/>
        <v>16.666666666666668</v>
      </c>
      <c r="AB32" s="55">
        <f t="shared" si="25"/>
        <v>16.666666666666668</v>
      </c>
      <c r="AC32" s="55">
        <f t="shared" si="25"/>
        <v>16.666666666666668</v>
      </c>
      <c r="AD32" s="55">
        <f t="shared" si="25"/>
        <v>16.666666666666668</v>
      </c>
    </row>
    <row r="33" spans="1:3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24" t="s">
        <v>73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24" t="s">
        <v>74</v>
      </c>
      <c r="B35" s="24" t="s">
        <v>75</v>
      </c>
      <c r="C35" s="33">
        <f>+C6</f>
        <v>3</v>
      </c>
      <c r="D35" s="34">
        <f t="shared" ref="D35:AD35" si="26">+D6</f>
        <v>3</v>
      </c>
      <c r="E35" s="34">
        <f t="shared" si="26"/>
        <v>3</v>
      </c>
      <c r="F35" s="34">
        <f t="shared" si="26"/>
        <v>3</v>
      </c>
      <c r="G35" s="34">
        <f t="shared" si="26"/>
        <v>3</v>
      </c>
      <c r="H35" s="34">
        <f t="shared" si="26"/>
        <v>3</v>
      </c>
      <c r="I35" s="34">
        <f t="shared" si="26"/>
        <v>3</v>
      </c>
      <c r="J35" s="34">
        <f t="shared" si="26"/>
        <v>3</v>
      </c>
      <c r="K35" s="34">
        <f t="shared" si="26"/>
        <v>3</v>
      </c>
      <c r="L35" s="34">
        <f t="shared" si="26"/>
        <v>3</v>
      </c>
      <c r="M35" s="34">
        <f t="shared" si="26"/>
        <v>3</v>
      </c>
      <c r="N35" s="34">
        <f t="shared" si="26"/>
        <v>3</v>
      </c>
      <c r="O35" s="34">
        <f t="shared" si="26"/>
        <v>1</v>
      </c>
      <c r="P35" s="34">
        <f t="shared" si="26"/>
        <v>3</v>
      </c>
      <c r="Q35" s="34">
        <f t="shared" si="26"/>
        <v>3</v>
      </c>
      <c r="R35" s="34">
        <f t="shared" si="26"/>
        <v>3</v>
      </c>
      <c r="S35" s="34">
        <f t="shared" si="26"/>
        <v>3</v>
      </c>
      <c r="T35" s="34">
        <f t="shared" si="26"/>
        <v>3</v>
      </c>
      <c r="U35" s="34">
        <f t="shared" si="26"/>
        <v>3</v>
      </c>
      <c r="V35" s="34">
        <f t="shared" si="26"/>
        <v>3</v>
      </c>
      <c r="W35" s="34">
        <f t="shared" si="26"/>
        <v>3</v>
      </c>
      <c r="X35" s="34">
        <f t="shared" si="26"/>
        <v>3</v>
      </c>
      <c r="Y35" s="34">
        <f t="shared" si="26"/>
        <v>3</v>
      </c>
      <c r="Z35" s="34">
        <f t="shared" si="26"/>
        <v>3</v>
      </c>
      <c r="AA35" s="34">
        <f t="shared" si="26"/>
        <v>3</v>
      </c>
      <c r="AB35" s="34">
        <f t="shared" si="26"/>
        <v>1</v>
      </c>
      <c r="AC35" s="34">
        <f t="shared" si="26"/>
        <v>40</v>
      </c>
      <c r="AD35" s="34">
        <f t="shared" si="26"/>
        <v>1</v>
      </c>
    </row>
    <row r="36" spans="1:30" x14ac:dyDescent="0.25">
      <c r="A36" s="24" t="s">
        <v>76</v>
      </c>
      <c r="B36" s="24"/>
      <c r="C36" s="31">
        <f>+C5</f>
        <v>35</v>
      </c>
      <c r="D36" s="32">
        <f t="shared" ref="D36:AD36" si="27">+D5</f>
        <v>35</v>
      </c>
      <c r="E36" s="32">
        <f t="shared" si="27"/>
        <v>35</v>
      </c>
      <c r="F36" s="32">
        <f t="shared" si="27"/>
        <v>35</v>
      </c>
      <c r="G36" s="32">
        <f t="shared" si="27"/>
        <v>35</v>
      </c>
      <c r="H36" s="32">
        <f t="shared" si="27"/>
        <v>35</v>
      </c>
      <c r="I36" s="32">
        <f t="shared" si="27"/>
        <v>35</v>
      </c>
      <c r="J36" s="32">
        <f t="shared" si="27"/>
        <v>35</v>
      </c>
      <c r="K36" s="32">
        <f t="shared" si="27"/>
        <v>35</v>
      </c>
      <c r="L36" s="32">
        <f t="shared" si="27"/>
        <v>35</v>
      </c>
      <c r="M36" s="32">
        <f t="shared" si="27"/>
        <v>35</v>
      </c>
      <c r="N36" s="32">
        <f t="shared" si="27"/>
        <v>35</v>
      </c>
      <c r="O36" s="32">
        <f t="shared" si="27"/>
        <v>35</v>
      </c>
      <c r="P36" s="32">
        <f t="shared" si="27"/>
        <v>35</v>
      </c>
      <c r="Q36" s="32">
        <f t="shared" si="27"/>
        <v>35</v>
      </c>
      <c r="R36" s="32">
        <f t="shared" si="27"/>
        <v>35</v>
      </c>
      <c r="S36" s="32">
        <f t="shared" si="27"/>
        <v>35</v>
      </c>
      <c r="T36" s="32">
        <f t="shared" si="27"/>
        <v>35</v>
      </c>
      <c r="U36" s="32">
        <f t="shared" si="27"/>
        <v>35</v>
      </c>
      <c r="V36" s="32">
        <f t="shared" si="27"/>
        <v>35</v>
      </c>
      <c r="W36" s="32">
        <f t="shared" si="27"/>
        <v>35</v>
      </c>
      <c r="X36" s="32">
        <f t="shared" si="27"/>
        <v>35</v>
      </c>
      <c r="Y36" s="32">
        <f t="shared" si="27"/>
        <v>35</v>
      </c>
      <c r="Z36" s="32">
        <f t="shared" si="27"/>
        <v>35</v>
      </c>
      <c r="AA36" s="32">
        <f t="shared" si="27"/>
        <v>35</v>
      </c>
      <c r="AB36" s="32">
        <f t="shared" si="27"/>
        <v>35</v>
      </c>
      <c r="AC36" s="32">
        <f t="shared" si="27"/>
        <v>80</v>
      </c>
      <c r="AD36" s="32">
        <f t="shared" si="27"/>
        <v>1</v>
      </c>
    </row>
    <row r="37" spans="1:30" x14ac:dyDescent="0.25">
      <c r="A37" s="24" t="s">
        <v>77</v>
      </c>
      <c r="B37" s="24"/>
      <c r="C37" s="37">
        <v>1</v>
      </c>
      <c r="D37" s="38">
        <v>1</v>
      </c>
      <c r="E37" s="38">
        <v>1</v>
      </c>
      <c r="F37" s="38">
        <v>0.75</v>
      </c>
      <c r="G37" s="38">
        <v>0.75</v>
      </c>
      <c r="H37" s="38">
        <v>0.75</v>
      </c>
      <c r="I37" s="38">
        <v>0.5</v>
      </c>
      <c r="J37" s="38">
        <v>0.5</v>
      </c>
      <c r="K37" s="38">
        <v>0.5</v>
      </c>
      <c r="L37" s="38">
        <v>1</v>
      </c>
      <c r="M37" s="38">
        <v>1</v>
      </c>
      <c r="N37" s="38">
        <v>1</v>
      </c>
      <c r="O37" s="38">
        <v>1</v>
      </c>
      <c r="P37" s="38">
        <v>0.75</v>
      </c>
      <c r="Q37" s="38">
        <v>0.75</v>
      </c>
      <c r="R37" s="38">
        <v>0.75</v>
      </c>
      <c r="S37" s="38">
        <v>0.5</v>
      </c>
      <c r="T37" s="38">
        <v>0.5</v>
      </c>
      <c r="U37" s="38">
        <v>1</v>
      </c>
      <c r="V37" s="38">
        <v>1</v>
      </c>
      <c r="W37" s="38">
        <v>0.5</v>
      </c>
      <c r="X37" s="38">
        <v>0.5</v>
      </c>
      <c r="Y37" s="38">
        <v>0.39</v>
      </c>
      <c r="Z37" s="38">
        <v>0.39</v>
      </c>
      <c r="AA37" s="38">
        <v>0.39</v>
      </c>
      <c r="AB37" s="38">
        <v>0.39</v>
      </c>
      <c r="AC37" s="38">
        <v>0.66</v>
      </c>
      <c r="AD37" s="38">
        <v>0.66</v>
      </c>
    </row>
    <row r="38" spans="1:30" x14ac:dyDescent="0.25">
      <c r="A38" s="24" t="s">
        <v>78</v>
      </c>
      <c r="B38" s="24"/>
      <c r="C38" s="29">
        <v>0.3</v>
      </c>
      <c r="D38" s="30">
        <v>0.3</v>
      </c>
      <c r="E38" s="30">
        <v>0.3</v>
      </c>
      <c r="F38" s="30">
        <v>0.3</v>
      </c>
      <c r="G38" s="30">
        <v>0.3</v>
      </c>
      <c r="H38" s="30">
        <v>0.3</v>
      </c>
      <c r="I38" s="30">
        <v>0.3</v>
      </c>
      <c r="J38" s="30">
        <v>0.3</v>
      </c>
      <c r="K38" s="30">
        <v>0.3</v>
      </c>
      <c r="L38" s="30">
        <v>0.65</v>
      </c>
      <c r="M38" s="30">
        <v>0.65</v>
      </c>
      <c r="N38" s="30">
        <v>0.65</v>
      </c>
      <c r="O38" s="30">
        <v>0.65</v>
      </c>
      <c r="P38" s="30">
        <v>0.65</v>
      </c>
      <c r="Q38" s="30">
        <v>0.65</v>
      </c>
      <c r="R38" s="30">
        <v>0.65</v>
      </c>
      <c r="S38" s="30">
        <v>0.65</v>
      </c>
      <c r="T38" s="30">
        <v>0.65</v>
      </c>
      <c r="U38" s="30">
        <v>4.9000000000000004</v>
      </c>
      <c r="V38" s="30">
        <v>4.9000000000000004</v>
      </c>
      <c r="W38" s="30">
        <v>4.9000000000000004</v>
      </c>
      <c r="X38" s="30">
        <v>4.9000000000000004</v>
      </c>
      <c r="Y38" s="30">
        <v>2.5</v>
      </c>
      <c r="Z38" s="30">
        <v>2.5</v>
      </c>
      <c r="AA38" s="30">
        <v>2.5</v>
      </c>
      <c r="AB38" s="30">
        <v>2.5</v>
      </c>
      <c r="AC38" s="30">
        <v>7.99</v>
      </c>
      <c r="AD38" s="30">
        <v>7.99</v>
      </c>
    </row>
    <row r="39" spans="1:30" x14ac:dyDescent="0.25">
      <c r="A39" s="24" t="s">
        <v>79</v>
      </c>
      <c r="B39" s="24"/>
      <c r="C39" s="31">
        <f>+C37*C38</f>
        <v>0.3</v>
      </c>
      <c r="D39" s="32">
        <f t="shared" ref="D39:Q39" si="28">+D37*D38</f>
        <v>0.3</v>
      </c>
      <c r="E39" s="32">
        <f t="shared" si="28"/>
        <v>0.3</v>
      </c>
      <c r="F39" s="32">
        <f t="shared" si="28"/>
        <v>0.22499999999999998</v>
      </c>
      <c r="G39" s="32">
        <f t="shared" si="28"/>
        <v>0.22499999999999998</v>
      </c>
      <c r="H39" s="32">
        <f t="shared" si="28"/>
        <v>0.22499999999999998</v>
      </c>
      <c r="I39" s="32">
        <f t="shared" si="28"/>
        <v>0.15</v>
      </c>
      <c r="J39" s="32">
        <f t="shared" si="28"/>
        <v>0.15</v>
      </c>
      <c r="K39" s="32">
        <f t="shared" si="28"/>
        <v>0.15</v>
      </c>
      <c r="L39" s="32">
        <f t="shared" si="28"/>
        <v>0.65</v>
      </c>
      <c r="M39" s="32">
        <f t="shared" si="28"/>
        <v>0.65</v>
      </c>
      <c r="N39" s="32">
        <f t="shared" si="28"/>
        <v>0.65</v>
      </c>
      <c r="O39" s="32">
        <f t="shared" si="28"/>
        <v>0.65</v>
      </c>
      <c r="P39" s="32">
        <f t="shared" si="28"/>
        <v>0.48750000000000004</v>
      </c>
      <c r="Q39" s="32">
        <f t="shared" si="28"/>
        <v>0.48750000000000004</v>
      </c>
      <c r="R39" s="32">
        <f>+R37*R38</f>
        <v>0.48750000000000004</v>
      </c>
      <c r="S39" s="32">
        <f t="shared" ref="S39:AD39" si="29">+S37*S38</f>
        <v>0.32500000000000001</v>
      </c>
      <c r="T39" s="32">
        <f t="shared" si="29"/>
        <v>0.32500000000000001</v>
      </c>
      <c r="U39" s="32">
        <f t="shared" si="29"/>
        <v>4.9000000000000004</v>
      </c>
      <c r="V39" s="32">
        <f t="shared" si="29"/>
        <v>4.9000000000000004</v>
      </c>
      <c r="W39" s="32">
        <f t="shared" si="29"/>
        <v>2.4500000000000002</v>
      </c>
      <c r="X39" s="32">
        <f t="shared" si="29"/>
        <v>2.4500000000000002</v>
      </c>
      <c r="Y39" s="32">
        <f t="shared" si="29"/>
        <v>0.97500000000000009</v>
      </c>
      <c r="Z39" s="32">
        <f t="shared" si="29"/>
        <v>0.97500000000000009</v>
      </c>
      <c r="AA39" s="32">
        <f t="shared" si="29"/>
        <v>0.97500000000000009</v>
      </c>
      <c r="AB39" s="32">
        <f t="shared" si="29"/>
        <v>0.97500000000000009</v>
      </c>
      <c r="AC39" s="32">
        <f t="shared" si="29"/>
        <v>5.2734000000000005</v>
      </c>
      <c r="AD39" s="32">
        <f t="shared" si="29"/>
        <v>5.2734000000000005</v>
      </c>
    </row>
    <row r="40" spans="1:30" x14ac:dyDescent="0.25">
      <c r="A40" s="24" t="s">
        <v>80</v>
      </c>
      <c r="B40" s="24"/>
      <c r="C40" s="29">
        <v>54</v>
      </c>
      <c r="D40" s="30">
        <v>54</v>
      </c>
      <c r="E40" s="30">
        <v>54</v>
      </c>
      <c r="F40" s="30">
        <v>54</v>
      </c>
      <c r="G40" s="30">
        <v>54</v>
      </c>
      <c r="H40" s="30">
        <v>54</v>
      </c>
      <c r="I40" s="30">
        <v>54</v>
      </c>
      <c r="J40" s="30">
        <v>54</v>
      </c>
      <c r="K40" s="30">
        <v>54</v>
      </c>
      <c r="L40" s="30">
        <v>84</v>
      </c>
      <c r="M40" s="30">
        <v>84</v>
      </c>
      <c r="N40" s="30">
        <v>84</v>
      </c>
      <c r="O40" s="30">
        <v>84</v>
      </c>
      <c r="P40" s="30">
        <v>84</v>
      </c>
      <c r="Q40" s="30">
        <v>84</v>
      </c>
      <c r="R40" s="30">
        <v>84</v>
      </c>
      <c r="S40" s="30">
        <v>84</v>
      </c>
      <c r="T40" s="30">
        <v>84</v>
      </c>
      <c r="U40" s="30">
        <f>+(7+31+3)*2.26</f>
        <v>92.66</v>
      </c>
      <c r="V40" s="30">
        <f t="shared" ref="V40:X40" si="30">+(7+31+3)*2.26</f>
        <v>92.66</v>
      </c>
      <c r="W40" s="30">
        <f t="shared" si="30"/>
        <v>92.66</v>
      </c>
      <c r="X40" s="30">
        <f t="shared" si="30"/>
        <v>92.66</v>
      </c>
      <c r="Y40" s="30">
        <f>365-(7+31+3)*2.26</f>
        <v>272.34000000000003</v>
      </c>
      <c r="Z40" s="30">
        <f t="shared" ref="Z40:AB40" si="31">365-(7+31+3)*2.26</f>
        <v>272.34000000000003</v>
      </c>
      <c r="AA40" s="30">
        <f t="shared" si="31"/>
        <v>272.34000000000003</v>
      </c>
      <c r="AB40" s="30">
        <f t="shared" si="31"/>
        <v>272.34000000000003</v>
      </c>
      <c r="AC40" s="30">
        <v>365</v>
      </c>
      <c r="AD40" s="30">
        <v>365</v>
      </c>
    </row>
    <row r="41" spans="1:30" x14ac:dyDescent="0.25">
      <c r="A41" s="24" t="s">
        <v>81</v>
      </c>
      <c r="B41" s="24" t="s">
        <v>82</v>
      </c>
      <c r="C41" s="29">
        <v>24.3</v>
      </c>
      <c r="D41" s="30">
        <v>24.3</v>
      </c>
      <c r="E41" s="30">
        <v>24.3</v>
      </c>
      <c r="F41" s="30">
        <v>24.3</v>
      </c>
      <c r="G41" s="30">
        <v>24.3</v>
      </c>
      <c r="H41" s="30">
        <v>24.3</v>
      </c>
      <c r="I41" s="30">
        <v>24.3</v>
      </c>
      <c r="J41" s="30">
        <v>24.3</v>
      </c>
      <c r="K41" s="30">
        <v>24.3</v>
      </c>
      <c r="L41" s="30">
        <v>84</v>
      </c>
      <c r="M41" s="30">
        <v>84</v>
      </c>
      <c r="N41" s="30">
        <v>84</v>
      </c>
      <c r="O41" s="30">
        <v>84</v>
      </c>
      <c r="P41" s="30">
        <v>84</v>
      </c>
      <c r="Q41" s="30">
        <v>84</v>
      </c>
      <c r="R41" s="30">
        <v>84</v>
      </c>
      <c r="S41" s="30">
        <v>84</v>
      </c>
      <c r="T41" s="30">
        <v>84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40</v>
      </c>
      <c r="AD41" s="30">
        <v>40</v>
      </c>
    </row>
    <row r="42" spans="1:30" x14ac:dyDescent="0.25">
      <c r="A42" s="24" t="s">
        <v>83</v>
      </c>
      <c r="B42" s="24" t="s">
        <v>84</v>
      </c>
      <c r="C42" s="29">
        <v>1.86</v>
      </c>
      <c r="D42" s="30">
        <v>1.86</v>
      </c>
      <c r="E42" s="30">
        <v>1.86</v>
      </c>
      <c r="F42" s="30">
        <v>1.86</v>
      </c>
      <c r="G42" s="30">
        <v>1.86</v>
      </c>
      <c r="H42" s="30">
        <v>1.86</v>
      </c>
      <c r="I42" s="30">
        <v>1.86</v>
      </c>
      <c r="J42" s="30">
        <v>1.86</v>
      </c>
      <c r="K42" s="30">
        <v>1.86</v>
      </c>
      <c r="L42" s="30">
        <v>2.75</v>
      </c>
      <c r="M42" s="30">
        <v>2.75</v>
      </c>
      <c r="N42" s="30">
        <v>2.75</v>
      </c>
      <c r="O42" s="30">
        <v>2.75</v>
      </c>
      <c r="P42" s="30">
        <v>2.75</v>
      </c>
      <c r="Q42" s="30">
        <v>2.75</v>
      </c>
      <c r="R42" s="30">
        <v>2.75</v>
      </c>
      <c r="S42" s="30">
        <v>2.75</v>
      </c>
      <c r="T42" s="30">
        <v>2.75</v>
      </c>
      <c r="U42" s="30">
        <f>1497*0.3</f>
        <v>449.09999999999997</v>
      </c>
      <c r="V42" s="30">
        <f t="shared" ref="V42:X42" si="32">1497*0.3</f>
        <v>449.09999999999997</v>
      </c>
      <c r="W42" s="30">
        <f t="shared" si="32"/>
        <v>449.09999999999997</v>
      </c>
      <c r="X42" s="30">
        <f t="shared" si="32"/>
        <v>449.09999999999997</v>
      </c>
      <c r="Y42" s="30">
        <f>1497*(1-0.3)</f>
        <v>1047.8999999999999</v>
      </c>
      <c r="Z42" s="30">
        <f t="shared" ref="Z42:AB42" si="33">1497*(1-0.3)</f>
        <v>1047.8999999999999</v>
      </c>
      <c r="AA42" s="30">
        <f t="shared" si="33"/>
        <v>1047.8999999999999</v>
      </c>
      <c r="AB42" s="30">
        <f t="shared" si="33"/>
        <v>1047.8999999999999</v>
      </c>
      <c r="AC42" s="30"/>
      <c r="AD42" s="30"/>
    </row>
    <row r="43" spans="1:30" x14ac:dyDescent="0.25">
      <c r="A43" s="24" t="s">
        <v>85</v>
      </c>
      <c r="B43" s="24" t="s">
        <v>84</v>
      </c>
      <c r="C43" s="29">
        <v>1.1000000000000001</v>
      </c>
      <c r="D43" s="30">
        <v>1.1000000000000001</v>
      </c>
      <c r="E43" s="30">
        <v>1.1000000000000001</v>
      </c>
      <c r="F43" s="30">
        <v>1.1000000000000001</v>
      </c>
      <c r="G43" s="30">
        <v>1.1000000000000001</v>
      </c>
      <c r="H43" s="30">
        <v>1.1000000000000001</v>
      </c>
      <c r="I43" s="30">
        <v>1.1000000000000001</v>
      </c>
      <c r="J43" s="30">
        <v>1.1000000000000001</v>
      </c>
      <c r="K43" s="30">
        <v>1.1000000000000001</v>
      </c>
      <c r="L43" s="30">
        <v>1.04</v>
      </c>
      <c r="M43" s="30">
        <v>1.04</v>
      </c>
      <c r="N43" s="30">
        <v>1.04</v>
      </c>
      <c r="O43" s="30">
        <v>1.04</v>
      </c>
      <c r="P43" s="30">
        <v>1.04</v>
      </c>
      <c r="Q43" s="30">
        <v>1.04</v>
      </c>
      <c r="R43" s="30">
        <v>1.04</v>
      </c>
      <c r="S43" s="30">
        <v>1.04</v>
      </c>
      <c r="T43" s="30">
        <v>1.04</v>
      </c>
      <c r="U43" s="30">
        <v>1.02</v>
      </c>
      <c r="V43" s="30">
        <v>1.02</v>
      </c>
      <c r="W43" s="30">
        <v>1.02</v>
      </c>
      <c r="X43" s="30">
        <v>1.02</v>
      </c>
      <c r="Y43" s="30">
        <v>1.02</v>
      </c>
      <c r="Z43" s="30">
        <v>1.02</v>
      </c>
      <c r="AA43" s="30">
        <v>1.02</v>
      </c>
      <c r="AB43" s="30">
        <v>1.02</v>
      </c>
      <c r="AC43" s="30"/>
      <c r="AD43" s="30"/>
    </row>
    <row r="44" spans="1:30" x14ac:dyDescent="0.25">
      <c r="A44" s="24" t="s">
        <v>86</v>
      </c>
      <c r="B44" s="24" t="s">
        <v>87</v>
      </c>
      <c r="C44" s="29">
        <v>0.87</v>
      </c>
      <c r="D44" s="30">
        <v>0.87</v>
      </c>
      <c r="E44" s="30">
        <v>0.87</v>
      </c>
      <c r="F44" s="30">
        <v>0.87</v>
      </c>
      <c r="G44" s="30">
        <v>0.87</v>
      </c>
      <c r="H44" s="30">
        <v>0.87</v>
      </c>
      <c r="I44" s="30">
        <v>0.87</v>
      </c>
      <c r="J44" s="30">
        <v>0.87</v>
      </c>
      <c r="K44" s="30">
        <v>0.87</v>
      </c>
      <c r="L44" s="30">
        <v>0.87</v>
      </c>
      <c r="M44" s="30">
        <v>0.87</v>
      </c>
      <c r="N44" s="30">
        <v>0.87</v>
      </c>
      <c r="O44" s="30">
        <v>0.87</v>
      </c>
      <c r="P44" s="30">
        <v>0.87</v>
      </c>
      <c r="Q44" s="30">
        <v>0.87</v>
      </c>
      <c r="R44" s="30">
        <v>0.87</v>
      </c>
      <c r="S44" s="30">
        <v>0.87</v>
      </c>
      <c r="T44" s="30">
        <v>0.87</v>
      </c>
      <c r="U44" s="30">
        <v>0.87</v>
      </c>
      <c r="V44" s="30">
        <v>0.87</v>
      </c>
      <c r="W44" s="30">
        <v>0.87</v>
      </c>
      <c r="X44" s="30">
        <v>0.87</v>
      </c>
      <c r="Y44" s="30">
        <v>0.87</v>
      </c>
      <c r="Z44" s="30">
        <v>0.87</v>
      </c>
      <c r="AA44" s="30">
        <v>0.87</v>
      </c>
      <c r="AB44" s="30">
        <v>0.87</v>
      </c>
      <c r="AC44" s="30"/>
      <c r="AD44" s="30"/>
    </row>
    <row r="45" spans="1:30" x14ac:dyDescent="0.25">
      <c r="A45" s="24" t="s">
        <v>88</v>
      </c>
      <c r="B45" s="24"/>
      <c r="C45" s="56">
        <f t="shared" ref="C45:AB45" si="34">+C41*C42/C43</f>
        <v>41.089090909090906</v>
      </c>
      <c r="D45" s="57">
        <f t="shared" si="34"/>
        <v>41.089090909090906</v>
      </c>
      <c r="E45" s="57">
        <f t="shared" si="34"/>
        <v>41.089090909090906</v>
      </c>
      <c r="F45" s="57">
        <f t="shared" si="34"/>
        <v>41.089090909090906</v>
      </c>
      <c r="G45" s="57">
        <f t="shared" si="34"/>
        <v>41.089090909090906</v>
      </c>
      <c r="H45" s="57">
        <f t="shared" si="34"/>
        <v>41.089090909090906</v>
      </c>
      <c r="I45" s="57">
        <f t="shared" si="34"/>
        <v>41.089090909090906</v>
      </c>
      <c r="J45" s="57">
        <f t="shared" si="34"/>
        <v>41.089090909090906</v>
      </c>
      <c r="K45" s="57">
        <f t="shared" si="34"/>
        <v>41.089090909090906</v>
      </c>
      <c r="L45" s="57">
        <f t="shared" si="34"/>
        <v>222.11538461538461</v>
      </c>
      <c r="M45" s="57">
        <f t="shared" si="34"/>
        <v>222.11538461538461</v>
      </c>
      <c r="N45" s="57">
        <f t="shared" si="34"/>
        <v>222.11538461538461</v>
      </c>
      <c r="O45" s="57">
        <f t="shared" si="34"/>
        <v>222.11538461538461</v>
      </c>
      <c r="P45" s="57">
        <f t="shared" si="34"/>
        <v>222.11538461538461</v>
      </c>
      <c r="Q45" s="57">
        <f t="shared" si="34"/>
        <v>222.11538461538461</v>
      </c>
      <c r="R45" s="57">
        <f t="shared" si="34"/>
        <v>222.11538461538461</v>
      </c>
      <c r="S45" s="57">
        <f t="shared" si="34"/>
        <v>222.11538461538461</v>
      </c>
      <c r="T45" s="57">
        <f t="shared" si="34"/>
        <v>222.11538461538461</v>
      </c>
      <c r="U45" s="57">
        <f t="shared" si="34"/>
        <v>440.29411764705878</v>
      </c>
      <c r="V45" s="57">
        <f t="shared" si="34"/>
        <v>440.29411764705878</v>
      </c>
      <c r="W45" s="57">
        <f t="shared" si="34"/>
        <v>440.29411764705878</v>
      </c>
      <c r="X45" s="57">
        <f t="shared" si="34"/>
        <v>440.29411764705878</v>
      </c>
      <c r="Y45" s="57">
        <f t="shared" si="34"/>
        <v>1027.3529411764705</v>
      </c>
      <c r="Z45" s="57">
        <f t="shared" si="34"/>
        <v>1027.3529411764705</v>
      </c>
      <c r="AA45" s="57">
        <f t="shared" si="34"/>
        <v>1027.3529411764705</v>
      </c>
      <c r="AB45" s="57">
        <f t="shared" si="34"/>
        <v>1027.3529411764705</v>
      </c>
      <c r="AC45" s="30"/>
      <c r="AD45" s="30"/>
    </row>
    <row r="46" spans="1:30" x14ac:dyDescent="0.25">
      <c r="A46" s="24" t="s">
        <v>89</v>
      </c>
      <c r="B46" s="24" t="s">
        <v>90</v>
      </c>
      <c r="C46" s="56">
        <f t="shared" ref="C46:AB46" si="35">+C44*C45</f>
        <v>35.747509090909091</v>
      </c>
      <c r="D46" s="57">
        <f t="shared" si="35"/>
        <v>35.747509090909091</v>
      </c>
      <c r="E46" s="57">
        <f t="shared" si="35"/>
        <v>35.747509090909091</v>
      </c>
      <c r="F46" s="57">
        <f t="shared" si="35"/>
        <v>35.747509090909091</v>
      </c>
      <c r="G46" s="57">
        <f t="shared" si="35"/>
        <v>35.747509090909091</v>
      </c>
      <c r="H46" s="57">
        <f t="shared" si="35"/>
        <v>35.747509090909091</v>
      </c>
      <c r="I46" s="57">
        <f t="shared" si="35"/>
        <v>35.747509090909091</v>
      </c>
      <c r="J46" s="57">
        <f t="shared" si="35"/>
        <v>35.747509090909091</v>
      </c>
      <c r="K46" s="57">
        <f t="shared" si="35"/>
        <v>35.747509090909091</v>
      </c>
      <c r="L46" s="57">
        <f t="shared" si="35"/>
        <v>193.24038461538461</v>
      </c>
      <c r="M46" s="57">
        <f t="shared" si="35"/>
        <v>193.24038461538461</v>
      </c>
      <c r="N46" s="57">
        <f t="shared" si="35"/>
        <v>193.24038461538461</v>
      </c>
      <c r="O46" s="57">
        <f t="shared" si="35"/>
        <v>193.24038461538461</v>
      </c>
      <c r="P46" s="57">
        <f t="shared" si="35"/>
        <v>193.24038461538461</v>
      </c>
      <c r="Q46" s="57">
        <f t="shared" si="35"/>
        <v>193.24038461538461</v>
      </c>
      <c r="R46" s="57">
        <f t="shared" si="35"/>
        <v>193.24038461538461</v>
      </c>
      <c r="S46" s="57">
        <f t="shared" si="35"/>
        <v>193.24038461538461</v>
      </c>
      <c r="T46" s="57">
        <f t="shared" si="35"/>
        <v>193.24038461538461</v>
      </c>
      <c r="U46" s="57">
        <f t="shared" si="35"/>
        <v>383.05588235294113</v>
      </c>
      <c r="V46" s="57">
        <f t="shared" si="35"/>
        <v>383.05588235294113</v>
      </c>
      <c r="W46" s="57">
        <f t="shared" si="35"/>
        <v>383.05588235294113</v>
      </c>
      <c r="X46" s="57">
        <f t="shared" si="35"/>
        <v>383.05588235294113</v>
      </c>
      <c r="Y46" s="57">
        <f t="shared" si="35"/>
        <v>893.79705882352937</v>
      </c>
      <c r="Z46" s="57">
        <f t="shared" si="35"/>
        <v>893.79705882352937</v>
      </c>
      <c r="AA46" s="57">
        <f t="shared" si="35"/>
        <v>893.79705882352937</v>
      </c>
      <c r="AB46" s="57">
        <f t="shared" si="35"/>
        <v>893.79705882352937</v>
      </c>
      <c r="AC46" s="30">
        <v>8246</v>
      </c>
      <c r="AD46" s="30">
        <v>8246</v>
      </c>
    </row>
    <row r="47" spans="1:30" x14ac:dyDescent="0.25">
      <c r="A47" s="24" t="s">
        <v>91</v>
      </c>
      <c r="B47" s="24" t="s">
        <v>92</v>
      </c>
      <c r="C47" s="29">
        <v>0.85</v>
      </c>
      <c r="D47" s="30">
        <v>0.85</v>
      </c>
      <c r="E47" s="30">
        <v>0.85</v>
      </c>
      <c r="F47" s="30">
        <v>0.85</v>
      </c>
      <c r="G47" s="30">
        <v>0.85</v>
      </c>
      <c r="H47" s="30">
        <v>0.85</v>
      </c>
      <c r="I47" s="30">
        <v>0.85</v>
      </c>
      <c r="J47" s="30">
        <v>0.85</v>
      </c>
      <c r="K47" s="30">
        <v>0.85</v>
      </c>
      <c r="L47" s="30">
        <v>0.83</v>
      </c>
      <c r="M47" s="30">
        <v>0.83</v>
      </c>
      <c r="N47" s="30">
        <v>0.83</v>
      </c>
      <c r="O47" s="30">
        <v>0.83</v>
      </c>
      <c r="P47" s="30">
        <v>0.83</v>
      </c>
      <c r="Q47" s="30">
        <v>0.83</v>
      </c>
      <c r="R47" s="30">
        <v>0.83</v>
      </c>
      <c r="S47" s="30">
        <v>0.83</v>
      </c>
      <c r="T47" s="30">
        <v>0.83</v>
      </c>
      <c r="U47" s="30">
        <v>0.81</v>
      </c>
      <c r="V47" s="30">
        <v>0.81</v>
      </c>
      <c r="W47" s="30">
        <v>0.81</v>
      </c>
      <c r="X47" s="30">
        <v>0.81</v>
      </c>
      <c r="Y47" s="30">
        <v>0.81</v>
      </c>
      <c r="Z47" s="30">
        <v>0.81</v>
      </c>
      <c r="AA47" s="30">
        <v>0.81</v>
      </c>
      <c r="AB47" s="30">
        <v>0.81</v>
      </c>
      <c r="AC47" s="30">
        <v>0.71</v>
      </c>
      <c r="AD47" s="30">
        <v>0.71</v>
      </c>
    </row>
    <row r="48" spans="1:30" x14ac:dyDescent="0.25">
      <c r="A48" s="24" t="s">
        <v>93</v>
      </c>
      <c r="B48" s="24" t="s">
        <v>94</v>
      </c>
      <c r="C48" s="29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30">
        <v>1</v>
      </c>
      <c r="AB48" s="30">
        <v>1</v>
      </c>
      <c r="AC48" s="30">
        <v>1</v>
      </c>
      <c r="AD48" s="30">
        <v>1</v>
      </c>
    </row>
    <row r="49" spans="1:30" x14ac:dyDescent="0.25">
      <c r="A49" s="24" t="s">
        <v>95</v>
      </c>
      <c r="B49" s="24"/>
      <c r="C49" s="54">
        <f t="shared" ref="C49:AD49" si="36">+C46*C48*(1-C47)</f>
        <v>5.3621263636363645</v>
      </c>
      <c r="D49" s="55">
        <f t="shared" si="36"/>
        <v>5.3621263636363645</v>
      </c>
      <c r="E49" s="55">
        <f t="shared" si="36"/>
        <v>5.3621263636363645</v>
      </c>
      <c r="F49" s="55">
        <f t="shared" si="36"/>
        <v>5.3621263636363645</v>
      </c>
      <c r="G49" s="55">
        <f t="shared" si="36"/>
        <v>5.3621263636363645</v>
      </c>
      <c r="H49" s="55">
        <f t="shared" si="36"/>
        <v>5.3621263636363645</v>
      </c>
      <c r="I49" s="55">
        <f t="shared" si="36"/>
        <v>5.3621263636363645</v>
      </c>
      <c r="J49" s="55">
        <f t="shared" si="36"/>
        <v>5.3621263636363645</v>
      </c>
      <c r="K49" s="55">
        <f t="shared" si="36"/>
        <v>5.3621263636363645</v>
      </c>
      <c r="L49" s="55">
        <f t="shared" si="36"/>
        <v>32.850865384615389</v>
      </c>
      <c r="M49" s="55">
        <f t="shared" si="36"/>
        <v>32.850865384615389</v>
      </c>
      <c r="N49" s="55">
        <f t="shared" si="36"/>
        <v>32.850865384615389</v>
      </c>
      <c r="O49" s="55">
        <f t="shared" si="36"/>
        <v>32.850865384615389</v>
      </c>
      <c r="P49" s="55">
        <f t="shared" si="36"/>
        <v>32.850865384615389</v>
      </c>
      <c r="Q49" s="55">
        <f t="shared" si="36"/>
        <v>32.850865384615389</v>
      </c>
      <c r="R49" s="55">
        <f t="shared" si="36"/>
        <v>32.850865384615389</v>
      </c>
      <c r="S49" s="55">
        <f t="shared" si="36"/>
        <v>32.850865384615389</v>
      </c>
      <c r="T49" s="55">
        <f t="shared" si="36"/>
        <v>32.850865384615389</v>
      </c>
      <c r="U49" s="55">
        <f t="shared" si="36"/>
        <v>72.78061764705879</v>
      </c>
      <c r="V49" s="55">
        <f t="shared" si="36"/>
        <v>72.78061764705879</v>
      </c>
      <c r="W49" s="55">
        <f t="shared" si="36"/>
        <v>72.78061764705879</v>
      </c>
      <c r="X49" s="55">
        <f t="shared" si="36"/>
        <v>72.78061764705879</v>
      </c>
      <c r="Y49" s="55">
        <f t="shared" si="36"/>
        <v>169.82144117647053</v>
      </c>
      <c r="Z49" s="55">
        <f t="shared" si="36"/>
        <v>169.82144117647053</v>
      </c>
      <c r="AA49" s="55">
        <f t="shared" si="36"/>
        <v>169.82144117647053</v>
      </c>
      <c r="AB49" s="55">
        <f t="shared" si="36"/>
        <v>169.82144117647053</v>
      </c>
      <c r="AC49" s="55">
        <f t="shared" si="36"/>
        <v>2391.34</v>
      </c>
      <c r="AD49" s="55">
        <f t="shared" si="36"/>
        <v>2391.34</v>
      </c>
    </row>
    <row r="50" spans="1:30" x14ac:dyDescent="0.25">
      <c r="A50" s="24" t="s">
        <v>96</v>
      </c>
      <c r="B50" s="24" t="s">
        <v>97</v>
      </c>
      <c r="C50" s="29">
        <v>0.25</v>
      </c>
      <c r="D50" s="30">
        <v>0.25</v>
      </c>
      <c r="E50" s="30">
        <v>0.25</v>
      </c>
      <c r="F50" s="30">
        <v>0.25</v>
      </c>
      <c r="G50" s="30">
        <v>0.25</v>
      </c>
      <c r="H50" s="30">
        <v>0.25</v>
      </c>
      <c r="I50" s="30">
        <v>0.25</v>
      </c>
      <c r="J50" s="30">
        <v>0.25</v>
      </c>
      <c r="K50" s="30">
        <v>0.25</v>
      </c>
      <c r="L50" s="30">
        <v>0.25</v>
      </c>
      <c r="M50" s="30">
        <v>0.25</v>
      </c>
      <c r="N50" s="30">
        <v>0.25</v>
      </c>
      <c r="O50" s="30">
        <v>0.25</v>
      </c>
      <c r="P50" s="30">
        <v>0.25</v>
      </c>
      <c r="Q50" s="30">
        <v>0.25</v>
      </c>
      <c r="R50" s="30">
        <v>0.25</v>
      </c>
      <c r="S50" s="30">
        <v>0.25</v>
      </c>
      <c r="T50" s="30">
        <v>0.25</v>
      </c>
      <c r="U50" s="30">
        <v>0.3</v>
      </c>
      <c r="V50" s="30">
        <v>0.3</v>
      </c>
      <c r="W50" s="30">
        <v>0.3</v>
      </c>
      <c r="X50" s="30">
        <v>0.3</v>
      </c>
      <c r="Y50" s="30">
        <v>0.3</v>
      </c>
      <c r="Z50" s="30">
        <v>0.3</v>
      </c>
      <c r="AA50" s="30">
        <v>0.3</v>
      </c>
      <c r="AB50" s="30">
        <v>0.3</v>
      </c>
      <c r="AC50" s="30">
        <v>0.13500000000000001</v>
      </c>
      <c r="AD50" s="30">
        <v>0.13500000000000001</v>
      </c>
    </row>
    <row r="51" spans="1:30" x14ac:dyDescent="0.25">
      <c r="A51" s="24" t="s">
        <v>98</v>
      </c>
      <c r="B51" s="24"/>
      <c r="C51" s="56">
        <f t="shared" ref="C51:AD51" si="37">+C46*(1-C47)/C50</f>
        <v>21.448505454545458</v>
      </c>
      <c r="D51" s="57">
        <f t="shared" si="37"/>
        <v>21.448505454545458</v>
      </c>
      <c r="E51" s="57">
        <f t="shared" si="37"/>
        <v>21.448505454545458</v>
      </c>
      <c r="F51" s="57">
        <f t="shared" si="37"/>
        <v>21.448505454545458</v>
      </c>
      <c r="G51" s="57">
        <f t="shared" si="37"/>
        <v>21.448505454545458</v>
      </c>
      <c r="H51" s="57">
        <f t="shared" si="37"/>
        <v>21.448505454545458</v>
      </c>
      <c r="I51" s="57">
        <f t="shared" si="37"/>
        <v>21.448505454545458</v>
      </c>
      <c r="J51" s="57">
        <f t="shared" si="37"/>
        <v>21.448505454545458</v>
      </c>
      <c r="K51" s="57">
        <f t="shared" si="37"/>
        <v>21.448505454545458</v>
      </c>
      <c r="L51" s="57">
        <f t="shared" si="37"/>
        <v>131.40346153846156</v>
      </c>
      <c r="M51" s="57">
        <f t="shared" si="37"/>
        <v>131.40346153846156</v>
      </c>
      <c r="N51" s="57">
        <f t="shared" si="37"/>
        <v>131.40346153846156</v>
      </c>
      <c r="O51" s="57">
        <f t="shared" si="37"/>
        <v>131.40346153846156</v>
      </c>
      <c r="P51" s="57">
        <f t="shared" si="37"/>
        <v>131.40346153846156</v>
      </c>
      <c r="Q51" s="57">
        <f t="shared" si="37"/>
        <v>131.40346153846156</v>
      </c>
      <c r="R51" s="57">
        <f t="shared" si="37"/>
        <v>131.40346153846156</v>
      </c>
      <c r="S51" s="57">
        <f t="shared" si="37"/>
        <v>131.40346153846156</v>
      </c>
      <c r="T51" s="57">
        <f t="shared" si="37"/>
        <v>131.40346153846156</v>
      </c>
      <c r="U51" s="57">
        <f t="shared" si="37"/>
        <v>242.60205882352932</v>
      </c>
      <c r="V51" s="57">
        <f t="shared" si="37"/>
        <v>242.60205882352932</v>
      </c>
      <c r="W51" s="57">
        <f t="shared" si="37"/>
        <v>242.60205882352932</v>
      </c>
      <c r="X51" s="57">
        <f t="shared" si="37"/>
        <v>242.60205882352932</v>
      </c>
      <c r="Y51" s="57">
        <f t="shared" si="37"/>
        <v>566.07147058823512</v>
      </c>
      <c r="Z51" s="57">
        <f t="shared" si="37"/>
        <v>566.07147058823512</v>
      </c>
      <c r="AA51" s="57">
        <f t="shared" si="37"/>
        <v>566.07147058823512</v>
      </c>
      <c r="AB51" s="57">
        <f t="shared" si="37"/>
        <v>566.07147058823512</v>
      </c>
      <c r="AC51" s="57">
        <f t="shared" si="37"/>
        <v>17713.629629629628</v>
      </c>
      <c r="AD51" s="57">
        <f t="shared" si="37"/>
        <v>17713.629629629628</v>
      </c>
    </row>
    <row r="52" spans="1:30" x14ac:dyDescent="0.25">
      <c r="A52" s="24" t="s">
        <v>99</v>
      </c>
      <c r="B52" s="24" t="s">
        <v>100</v>
      </c>
      <c r="C52" s="29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30">
        <v>2</v>
      </c>
      <c r="K52" s="30">
        <v>2</v>
      </c>
      <c r="L52" s="30">
        <v>2</v>
      </c>
      <c r="M52" s="30">
        <v>2</v>
      </c>
      <c r="N52" s="30">
        <v>2</v>
      </c>
      <c r="O52" s="30">
        <v>2</v>
      </c>
      <c r="P52" s="30">
        <v>2</v>
      </c>
      <c r="Q52" s="30">
        <v>2</v>
      </c>
      <c r="R52" s="30">
        <v>2</v>
      </c>
      <c r="S52" s="30">
        <v>2</v>
      </c>
      <c r="T52" s="30">
        <v>2</v>
      </c>
      <c r="U52" s="30">
        <v>2.5</v>
      </c>
      <c r="V52" s="30">
        <v>2.5</v>
      </c>
      <c r="W52" s="30">
        <v>2.5</v>
      </c>
      <c r="X52" s="30">
        <v>2.5</v>
      </c>
      <c r="Y52" s="30">
        <v>2.5</v>
      </c>
      <c r="Z52" s="30">
        <v>2.5</v>
      </c>
      <c r="AA52" s="30">
        <v>2.5</v>
      </c>
      <c r="AB52" s="30">
        <v>2.5</v>
      </c>
      <c r="AC52" s="30">
        <v>1.85</v>
      </c>
      <c r="AD52" s="30">
        <v>1.85</v>
      </c>
    </row>
    <row r="53" spans="1:30" x14ac:dyDescent="0.25">
      <c r="A53" s="24" t="s">
        <v>101</v>
      </c>
      <c r="B53" s="24" t="s">
        <v>102</v>
      </c>
      <c r="C53" s="29">
        <v>0.02</v>
      </c>
      <c r="D53" s="30">
        <v>0.02</v>
      </c>
      <c r="E53" s="30">
        <v>0.02</v>
      </c>
      <c r="F53" s="30">
        <v>0.02</v>
      </c>
      <c r="G53" s="30">
        <v>0.02</v>
      </c>
      <c r="H53" s="30">
        <v>0.02</v>
      </c>
      <c r="I53" s="30">
        <v>0.02</v>
      </c>
      <c r="J53" s="30">
        <v>0.02</v>
      </c>
      <c r="K53" s="30">
        <v>0.02</v>
      </c>
      <c r="L53" s="30">
        <v>0.02</v>
      </c>
      <c r="M53" s="30">
        <v>0.02</v>
      </c>
      <c r="N53" s="30">
        <v>0.02</v>
      </c>
      <c r="O53" s="30">
        <v>0.02</v>
      </c>
      <c r="P53" s="30">
        <v>0.02</v>
      </c>
      <c r="Q53" s="30">
        <v>0.02</v>
      </c>
      <c r="R53" s="30">
        <v>0.02</v>
      </c>
      <c r="S53" s="30">
        <v>0.02</v>
      </c>
      <c r="T53" s="30">
        <v>0.02</v>
      </c>
      <c r="U53" s="30">
        <v>0.02</v>
      </c>
      <c r="V53" s="30">
        <v>0.02</v>
      </c>
      <c r="W53" s="30">
        <v>0.02</v>
      </c>
      <c r="X53" s="30">
        <v>0.02</v>
      </c>
      <c r="Y53" s="30">
        <v>0.02</v>
      </c>
      <c r="Z53" s="30">
        <v>0.02</v>
      </c>
      <c r="AA53" s="30">
        <v>0.02</v>
      </c>
      <c r="AB53" s="30">
        <v>0.02</v>
      </c>
      <c r="AC53" s="30">
        <v>0.05</v>
      </c>
      <c r="AD53" s="30">
        <v>0.05</v>
      </c>
    </row>
    <row r="54" spans="1:30" x14ac:dyDescent="0.25">
      <c r="A54" s="24" t="s">
        <v>103</v>
      </c>
      <c r="B54" s="24" t="s">
        <v>104</v>
      </c>
      <c r="C54" s="56">
        <f t="shared" ref="C54:AB54" si="38">+C46*C52</f>
        <v>71.495018181818182</v>
      </c>
      <c r="D54" s="57">
        <f t="shared" si="38"/>
        <v>71.495018181818182</v>
      </c>
      <c r="E54" s="57">
        <f t="shared" si="38"/>
        <v>71.495018181818182</v>
      </c>
      <c r="F54" s="57">
        <f t="shared" si="38"/>
        <v>71.495018181818182</v>
      </c>
      <c r="G54" s="57">
        <f t="shared" si="38"/>
        <v>71.495018181818182</v>
      </c>
      <c r="H54" s="57">
        <f t="shared" si="38"/>
        <v>71.495018181818182</v>
      </c>
      <c r="I54" s="57">
        <f t="shared" si="38"/>
        <v>71.495018181818182</v>
      </c>
      <c r="J54" s="57">
        <f t="shared" si="38"/>
        <v>71.495018181818182</v>
      </c>
      <c r="K54" s="57">
        <f t="shared" si="38"/>
        <v>71.495018181818182</v>
      </c>
      <c r="L54" s="57">
        <f t="shared" si="38"/>
        <v>386.48076923076923</v>
      </c>
      <c r="M54" s="57">
        <f t="shared" si="38"/>
        <v>386.48076923076923</v>
      </c>
      <c r="N54" s="57">
        <f t="shared" si="38"/>
        <v>386.48076923076923</v>
      </c>
      <c r="O54" s="57">
        <f t="shared" si="38"/>
        <v>386.48076923076923</v>
      </c>
      <c r="P54" s="57">
        <f t="shared" si="38"/>
        <v>386.48076923076923</v>
      </c>
      <c r="Q54" s="57">
        <f t="shared" si="38"/>
        <v>386.48076923076923</v>
      </c>
      <c r="R54" s="57">
        <f t="shared" si="38"/>
        <v>386.48076923076923</v>
      </c>
      <c r="S54" s="57">
        <f t="shared" si="38"/>
        <v>386.48076923076923</v>
      </c>
      <c r="T54" s="57">
        <f t="shared" si="38"/>
        <v>386.48076923076923</v>
      </c>
      <c r="U54" s="57">
        <f t="shared" si="38"/>
        <v>957.63970588235281</v>
      </c>
      <c r="V54" s="57">
        <f t="shared" si="38"/>
        <v>957.63970588235281</v>
      </c>
      <c r="W54" s="57">
        <f t="shared" si="38"/>
        <v>957.63970588235281</v>
      </c>
      <c r="X54" s="57">
        <f t="shared" si="38"/>
        <v>957.63970588235281</v>
      </c>
      <c r="Y54" s="57">
        <f t="shared" si="38"/>
        <v>2234.4926470588234</v>
      </c>
      <c r="Z54" s="57">
        <f t="shared" si="38"/>
        <v>2234.4926470588234</v>
      </c>
      <c r="AA54" s="57">
        <f t="shared" si="38"/>
        <v>2234.4926470588234</v>
      </c>
      <c r="AB54" s="57">
        <f t="shared" si="38"/>
        <v>2234.4926470588234</v>
      </c>
      <c r="AC54" s="57">
        <f>AC51/AC52</f>
        <v>9574.9349349349341</v>
      </c>
      <c r="AD54" s="57">
        <f>AD51/AD52</f>
        <v>9574.9349349349341</v>
      </c>
    </row>
    <row r="55" spans="1:30" x14ac:dyDescent="0.25">
      <c r="A55" s="24" t="s">
        <v>105</v>
      </c>
      <c r="B55" s="24" t="s">
        <v>106</v>
      </c>
      <c r="C55" s="56">
        <f t="shared" ref="C55:AD55" si="39">+C54+C51</f>
        <v>92.943523636363636</v>
      </c>
      <c r="D55" s="57">
        <f t="shared" si="39"/>
        <v>92.943523636363636</v>
      </c>
      <c r="E55" s="57">
        <f t="shared" si="39"/>
        <v>92.943523636363636</v>
      </c>
      <c r="F55" s="57">
        <f t="shared" si="39"/>
        <v>92.943523636363636</v>
      </c>
      <c r="G55" s="57">
        <f t="shared" si="39"/>
        <v>92.943523636363636</v>
      </c>
      <c r="H55" s="57">
        <f t="shared" si="39"/>
        <v>92.943523636363636</v>
      </c>
      <c r="I55" s="57">
        <f t="shared" si="39"/>
        <v>92.943523636363636</v>
      </c>
      <c r="J55" s="57">
        <f t="shared" si="39"/>
        <v>92.943523636363636</v>
      </c>
      <c r="K55" s="57">
        <f t="shared" si="39"/>
        <v>92.943523636363636</v>
      </c>
      <c r="L55" s="57">
        <f t="shared" si="39"/>
        <v>517.88423076923073</v>
      </c>
      <c r="M55" s="57">
        <f t="shared" si="39"/>
        <v>517.88423076923073</v>
      </c>
      <c r="N55" s="57">
        <f>+N54+N51</f>
        <v>517.88423076923073</v>
      </c>
      <c r="O55" s="57">
        <f t="shared" si="39"/>
        <v>517.88423076923073</v>
      </c>
      <c r="P55" s="57">
        <f t="shared" si="39"/>
        <v>517.88423076923073</v>
      </c>
      <c r="Q55" s="57">
        <f t="shared" si="39"/>
        <v>517.88423076923073</v>
      </c>
      <c r="R55" s="57">
        <f t="shared" si="39"/>
        <v>517.88423076923073</v>
      </c>
      <c r="S55" s="57">
        <f t="shared" si="39"/>
        <v>517.88423076923073</v>
      </c>
      <c r="T55" s="57">
        <f t="shared" si="39"/>
        <v>517.88423076923073</v>
      </c>
      <c r="U55" s="57">
        <f t="shared" si="39"/>
        <v>1200.2417647058821</v>
      </c>
      <c r="V55" s="57">
        <f t="shared" si="39"/>
        <v>1200.2417647058821</v>
      </c>
      <c r="W55" s="57">
        <f t="shared" si="39"/>
        <v>1200.2417647058821</v>
      </c>
      <c r="X55" s="57">
        <f t="shared" si="39"/>
        <v>1200.2417647058821</v>
      </c>
      <c r="Y55" s="57">
        <f t="shared" si="39"/>
        <v>2800.5641176470585</v>
      </c>
      <c r="Z55" s="57">
        <f t="shared" si="39"/>
        <v>2800.5641176470585</v>
      </c>
      <c r="AA55" s="57">
        <f t="shared" si="39"/>
        <v>2800.5641176470585</v>
      </c>
      <c r="AB55" s="57">
        <f t="shared" si="39"/>
        <v>2800.5641176470585</v>
      </c>
      <c r="AC55" s="57">
        <f t="shared" si="39"/>
        <v>27288.564564564564</v>
      </c>
      <c r="AD55" s="57">
        <f t="shared" si="39"/>
        <v>27288.564564564564</v>
      </c>
    </row>
    <row r="56" spans="1:30" x14ac:dyDescent="0.25">
      <c r="A56" s="24" t="s">
        <v>107</v>
      </c>
      <c r="B56" s="24" t="s">
        <v>108</v>
      </c>
      <c r="C56" s="29">
        <v>15</v>
      </c>
      <c r="D56" s="30">
        <v>15</v>
      </c>
      <c r="E56" s="30">
        <v>15</v>
      </c>
      <c r="F56" s="30">
        <v>15</v>
      </c>
      <c r="G56" s="30">
        <v>15</v>
      </c>
      <c r="H56" s="30">
        <v>15</v>
      </c>
      <c r="I56" s="30">
        <v>15</v>
      </c>
      <c r="J56" s="30">
        <v>15</v>
      </c>
      <c r="K56" s="30">
        <v>15</v>
      </c>
      <c r="L56" s="30">
        <v>75</v>
      </c>
      <c r="M56" s="30">
        <v>75</v>
      </c>
      <c r="N56" s="30">
        <v>75</v>
      </c>
      <c r="O56" s="30">
        <v>75</v>
      </c>
      <c r="P56" s="30">
        <v>75</v>
      </c>
      <c r="Q56" s="30">
        <v>75</v>
      </c>
      <c r="R56" s="30">
        <v>75</v>
      </c>
      <c r="S56" s="30">
        <v>75</v>
      </c>
      <c r="T56" s="30">
        <v>75</v>
      </c>
      <c r="U56" s="30">
        <v>340</v>
      </c>
      <c r="V56" s="30">
        <v>340</v>
      </c>
      <c r="W56" s="30">
        <v>340</v>
      </c>
      <c r="X56" s="30">
        <v>340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</row>
    <row r="57" spans="1:30" x14ac:dyDescent="0.25">
      <c r="A57" s="24" t="s">
        <v>109</v>
      </c>
      <c r="B57" s="24" t="s">
        <v>110</v>
      </c>
      <c r="C57" s="29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3</v>
      </c>
      <c r="M57" s="30">
        <v>3</v>
      </c>
      <c r="N57" s="30">
        <v>3</v>
      </c>
      <c r="O57" s="30">
        <v>3</v>
      </c>
      <c r="P57" s="30">
        <v>3</v>
      </c>
      <c r="Q57" s="30">
        <v>3</v>
      </c>
      <c r="R57" s="30">
        <v>3</v>
      </c>
      <c r="S57" s="30">
        <v>3</v>
      </c>
      <c r="T57" s="30">
        <v>3</v>
      </c>
      <c r="U57" s="30">
        <v>0</v>
      </c>
      <c r="V57" s="30">
        <v>0</v>
      </c>
      <c r="W57" s="30">
        <v>0</v>
      </c>
      <c r="X57" s="30">
        <v>0</v>
      </c>
      <c r="Y57" s="30">
        <v>50</v>
      </c>
      <c r="Z57" s="30">
        <v>50</v>
      </c>
      <c r="AA57" s="30">
        <v>50</v>
      </c>
      <c r="AB57" s="30">
        <v>50</v>
      </c>
      <c r="AC57" s="30">
        <f>0.4*365</f>
        <v>146</v>
      </c>
      <c r="AD57" s="30">
        <f>0.4*365</f>
        <v>146</v>
      </c>
    </row>
    <row r="58" spans="1:30" x14ac:dyDescent="0.25">
      <c r="A58" s="24" t="s">
        <v>111</v>
      </c>
      <c r="B58" s="24"/>
      <c r="C58" s="29">
        <v>0.85</v>
      </c>
      <c r="D58" s="30">
        <f>$C$58</f>
        <v>0.85</v>
      </c>
      <c r="E58" s="30">
        <f t="shared" ref="E58:AD58" si="40">$C$58</f>
        <v>0.85</v>
      </c>
      <c r="F58" s="30">
        <f t="shared" si="40"/>
        <v>0.85</v>
      </c>
      <c r="G58" s="30">
        <f t="shared" si="40"/>
        <v>0.85</v>
      </c>
      <c r="H58" s="30">
        <f t="shared" si="40"/>
        <v>0.85</v>
      </c>
      <c r="I58" s="30">
        <f t="shared" si="40"/>
        <v>0.85</v>
      </c>
      <c r="J58" s="30">
        <f t="shared" si="40"/>
        <v>0.85</v>
      </c>
      <c r="K58" s="30">
        <f t="shared" si="40"/>
        <v>0.85</v>
      </c>
      <c r="L58" s="30">
        <f t="shared" si="40"/>
        <v>0.85</v>
      </c>
      <c r="M58" s="30">
        <f t="shared" si="40"/>
        <v>0.85</v>
      </c>
      <c r="N58" s="30">
        <f t="shared" si="40"/>
        <v>0.85</v>
      </c>
      <c r="O58" s="30">
        <f t="shared" si="40"/>
        <v>0.85</v>
      </c>
      <c r="P58" s="30">
        <f t="shared" si="40"/>
        <v>0.85</v>
      </c>
      <c r="Q58" s="30">
        <f t="shared" si="40"/>
        <v>0.85</v>
      </c>
      <c r="R58" s="30">
        <f t="shared" si="40"/>
        <v>0.85</v>
      </c>
      <c r="S58" s="30">
        <f t="shared" si="40"/>
        <v>0.85</v>
      </c>
      <c r="T58" s="30">
        <f t="shared" si="40"/>
        <v>0.85</v>
      </c>
      <c r="U58" s="30">
        <f t="shared" si="40"/>
        <v>0.85</v>
      </c>
      <c r="V58" s="30">
        <f t="shared" si="40"/>
        <v>0.85</v>
      </c>
      <c r="W58" s="30">
        <f t="shared" si="40"/>
        <v>0.85</v>
      </c>
      <c r="X58" s="30">
        <f t="shared" si="40"/>
        <v>0.85</v>
      </c>
      <c r="Y58" s="30">
        <f t="shared" si="40"/>
        <v>0.85</v>
      </c>
      <c r="Z58" s="30">
        <f t="shared" si="40"/>
        <v>0.85</v>
      </c>
      <c r="AA58" s="30">
        <f t="shared" si="40"/>
        <v>0.85</v>
      </c>
      <c r="AB58" s="30">
        <f t="shared" si="40"/>
        <v>0.85</v>
      </c>
      <c r="AC58" s="30">
        <f t="shared" si="40"/>
        <v>0.85</v>
      </c>
      <c r="AD58" s="30">
        <f t="shared" si="40"/>
        <v>0.85</v>
      </c>
    </row>
    <row r="59" spans="1:30" x14ac:dyDescent="0.25">
      <c r="A59" s="24" t="s">
        <v>112</v>
      </c>
      <c r="B59" s="24"/>
      <c r="C59" s="29">
        <f>C57*C58</f>
        <v>0</v>
      </c>
      <c r="D59" s="30">
        <f t="shared" ref="D59:AD59" si="41">D57*D58</f>
        <v>0</v>
      </c>
      <c r="E59" s="30">
        <f t="shared" si="41"/>
        <v>0</v>
      </c>
      <c r="F59" s="30">
        <f t="shared" si="41"/>
        <v>0.85</v>
      </c>
      <c r="G59" s="30">
        <f t="shared" si="41"/>
        <v>0.85</v>
      </c>
      <c r="H59" s="30">
        <f t="shared" si="41"/>
        <v>0.85</v>
      </c>
      <c r="I59" s="30">
        <f t="shared" si="41"/>
        <v>0.85</v>
      </c>
      <c r="J59" s="30">
        <f t="shared" si="41"/>
        <v>0.85</v>
      </c>
      <c r="K59" s="30">
        <f t="shared" si="41"/>
        <v>0.85</v>
      </c>
      <c r="L59" s="30">
        <f t="shared" si="41"/>
        <v>2.5499999999999998</v>
      </c>
      <c r="M59" s="30">
        <f t="shared" si="41"/>
        <v>2.5499999999999998</v>
      </c>
      <c r="N59" s="30">
        <f t="shared" si="41"/>
        <v>2.5499999999999998</v>
      </c>
      <c r="O59" s="30">
        <f t="shared" si="41"/>
        <v>2.5499999999999998</v>
      </c>
      <c r="P59" s="30">
        <f t="shared" si="41"/>
        <v>2.5499999999999998</v>
      </c>
      <c r="Q59" s="30">
        <f t="shared" si="41"/>
        <v>2.5499999999999998</v>
      </c>
      <c r="R59" s="30">
        <f t="shared" si="41"/>
        <v>2.5499999999999998</v>
      </c>
      <c r="S59" s="30">
        <f t="shared" si="41"/>
        <v>2.5499999999999998</v>
      </c>
      <c r="T59" s="30">
        <f t="shared" si="41"/>
        <v>2.5499999999999998</v>
      </c>
      <c r="U59" s="30">
        <f t="shared" si="41"/>
        <v>0</v>
      </c>
      <c r="V59" s="30">
        <f t="shared" si="41"/>
        <v>0</v>
      </c>
      <c r="W59" s="30">
        <f t="shared" si="41"/>
        <v>0</v>
      </c>
      <c r="X59" s="30">
        <f t="shared" si="41"/>
        <v>0</v>
      </c>
      <c r="Y59" s="30">
        <f t="shared" si="41"/>
        <v>42.5</v>
      </c>
      <c r="Z59" s="30">
        <f t="shared" si="41"/>
        <v>42.5</v>
      </c>
      <c r="AA59" s="30">
        <f t="shared" si="41"/>
        <v>42.5</v>
      </c>
      <c r="AB59" s="30">
        <f t="shared" si="41"/>
        <v>42.5</v>
      </c>
      <c r="AC59" s="30">
        <f t="shared" si="41"/>
        <v>124.1</v>
      </c>
      <c r="AD59" s="30">
        <f t="shared" si="41"/>
        <v>124.1</v>
      </c>
    </row>
    <row r="60" spans="1:30" x14ac:dyDescent="0.25">
      <c r="A60" s="24" t="s">
        <v>113</v>
      </c>
      <c r="B60" s="24" t="s">
        <v>114</v>
      </c>
      <c r="C60" s="60">
        <f>+C55+C56+C57</f>
        <v>107.94352363636364</v>
      </c>
      <c r="D60" s="61">
        <f t="shared" ref="D60:AD60" si="42">+D55+D56+D57</f>
        <v>107.94352363636364</v>
      </c>
      <c r="E60" s="61">
        <f t="shared" si="42"/>
        <v>107.94352363636364</v>
      </c>
      <c r="F60" s="61">
        <f t="shared" si="42"/>
        <v>108.94352363636364</v>
      </c>
      <c r="G60" s="61">
        <f t="shared" si="42"/>
        <v>108.94352363636364</v>
      </c>
      <c r="H60" s="61">
        <f t="shared" si="42"/>
        <v>108.94352363636364</v>
      </c>
      <c r="I60" s="61">
        <f t="shared" si="42"/>
        <v>108.94352363636364</v>
      </c>
      <c r="J60" s="61">
        <f t="shared" si="42"/>
        <v>108.94352363636364</v>
      </c>
      <c r="K60" s="61">
        <f t="shared" si="42"/>
        <v>108.94352363636364</v>
      </c>
      <c r="L60" s="61">
        <f t="shared" si="42"/>
        <v>595.88423076923073</v>
      </c>
      <c r="M60" s="61">
        <f t="shared" si="42"/>
        <v>595.88423076923073</v>
      </c>
      <c r="N60" s="61">
        <f>+N55+N56+N57</f>
        <v>595.88423076923073</v>
      </c>
      <c r="O60" s="61">
        <f t="shared" si="42"/>
        <v>595.88423076923073</v>
      </c>
      <c r="P60" s="61">
        <f t="shared" si="42"/>
        <v>595.88423076923073</v>
      </c>
      <c r="Q60" s="61">
        <f t="shared" si="42"/>
        <v>595.88423076923073</v>
      </c>
      <c r="R60" s="61">
        <f t="shared" si="42"/>
        <v>595.88423076923073</v>
      </c>
      <c r="S60" s="61">
        <f t="shared" si="42"/>
        <v>595.88423076923073</v>
      </c>
      <c r="T60" s="61">
        <f t="shared" si="42"/>
        <v>595.88423076923073</v>
      </c>
      <c r="U60" s="61">
        <f t="shared" si="42"/>
        <v>1540.2417647058821</v>
      </c>
      <c r="V60" s="61">
        <f t="shared" si="42"/>
        <v>1540.2417647058821</v>
      </c>
      <c r="W60" s="61">
        <f t="shared" si="42"/>
        <v>1540.2417647058821</v>
      </c>
      <c r="X60" s="61">
        <f t="shared" si="42"/>
        <v>1540.2417647058821</v>
      </c>
      <c r="Y60" s="61">
        <f t="shared" si="42"/>
        <v>2850.5641176470585</v>
      </c>
      <c r="Z60" s="61">
        <f t="shared" si="42"/>
        <v>2850.5641176470585</v>
      </c>
      <c r="AA60" s="61">
        <f t="shared" si="42"/>
        <v>2850.5641176470585</v>
      </c>
      <c r="AB60" s="61">
        <f t="shared" si="42"/>
        <v>2850.5641176470585</v>
      </c>
      <c r="AC60" s="61">
        <f t="shared" si="42"/>
        <v>27434.564564564564</v>
      </c>
      <c r="AD60" s="61">
        <f t="shared" si="42"/>
        <v>27434.564564564564</v>
      </c>
    </row>
    <row r="61" spans="1:30" x14ac:dyDescent="0.25">
      <c r="A61" s="24" t="s">
        <v>117</v>
      </c>
      <c r="B61" s="24"/>
      <c r="C61" s="29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</row>
    <row r="62" spans="1:30" x14ac:dyDescent="0.25">
      <c r="A62" s="24" t="s">
        <v>118</v>
      </c>
      <c r="B62" s="24"/>
      <c r="C62" s="54">
        <f t="shared" ref="C62:AD62" si="43">+C60/C61/C39/C40/10</f>
        <v>0.66631804713804721</v>
      </c>
      <c r="D62" s="55">
        <f t="shared" si="43"/>
        <v>0.66631804713804721</v>
      </c>
      <c r="E62" s="55">
        <f t="shared" si="43"/>
        <v>0.66631804713804721</v>
      </c>
      <c r="F62" s="55">
        <f t="shared" si="43"/>
        <v>0.89665451552562681</v>
      </c>
      <c r="G62" s="55">
        <f t="shared" si="43"/>
        <v>0.89665451552562681</v>
      </c>
      <c r="H62" s="55">
        <f t="shared" si="43"/>
        <v>0.89665451552562681</v>
      </c>
      <c r="I62" s="55">
        <f t="shared" si="43"/>
        <v>1.3449817732884399</v>
      </c>
      <c r="J62" s="55">
        <f t="shared" si="43"/>
        <v>1.3449817732884399</v>
      </c>
      <c r="K62" s="55">
        <f t="shared" si="43"/>
        <v>1.3449817732884399</v>
      </c>
      <c r="L62" s="55">
        <f t="shared" si="43"/>
        <v>1.091363060016906</v>
      </c>
      <c r="M62" s="55">
        <f t="shared" si="43"/>
        <v>1.091363060016906</v>
      </c>
      <c r="N62" s="55">
        <f t="shared" si="43"/>
        <v>1.091363060016906</v>
      </c>
      <c r="O62" s="55">
        <f t="shared" si="43"/>
        <v>1.091363060016906</v>
      </c>
      <c r="P62" s="55">
        <f t="shared" si="43"/>
        <v>1.455150746689208</v>
      </c>
      <c r="Q62" s="55">
        <f t="shared" si="43"/>
        <v>1.455150746689208</v>
      </c>
      <c r="R62" s="55">
        <f t="shared" si="43"/>
        <v>1.455150746689208</v>
      </c>
      <c r="S62" s="55">
        <f t="shared" si="43"/>
        <v>2.1827261200338119</v>
      </c>
      <c r="T62" s="55">
        <f t="shared" si="43"/>
        <v>2.1827261200338119</v>
      </c>
      <c r="U62" s="55">
        <f t="shared" si="43"/>
        <v>0.33923489533953011</v>
      </c>
      <c r="V62" s="55">
        <f t="shared" si="43"/>
        <v>0.33923489533953011</v>
      </c>
      <c r="W62" s="55">
        <f t="shared" si="43"/>
        <v>0.67846979067906021</v>
      </c>
      <c r="X62" s="55">
        <f t="shared" si="43"/>
        <v>0.67846979067906021</v>
      </c>
      <c r="Y62" s="55">
        <f t="shared" si="43"/>
        <v>1.0735314332375097</v>
      </c>
      <c r="Z62" s="55">
        <f t="shared" si="43"/>
        <v>1.0735314332375097</v>
      </c>
      <c r="AA62" s="55">
        <f t="shared" si="43"/>
        <v>1.0735314332375097</v>
      </c>
      <c r="AB62" s="55">
        <f t="shared" si="43"/>
        <v>1.0735314332375097</v>
      </c>
      <c r="AC62" s="55">
        <f t="shared" si="43"/>
        <v>1.4253269349536941</v>
      </c>
      <c r="AD62" s="55">
        <f t="shared" si="43"/>
        <v>1.4253269349536941</v>
      </c>
    </row>
    <row r="63" spans="1:30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25">
      <c r="A65" s="24" t="s">
        <v>119</v>
      </c>
      <c r="B65" s="24"/>
      <c r="C65" s="35">
        <v>0.7</v>
      </c>
      <c r="D65" s="36">
        <v>0.7</v>
      </c>
      <c r="E65" s="36">
        <v>0.7</v>
      </c>
      <c r="F65" s="36">
        <v>0.7</v>
      </c>
      <c r="G65" s="36">
        <v>0.7</v>
      </c>
      <c r="H65" s="36">
        <v>0.7</v>
      </c>
      <c r="I65" s="36">
        <v>0.7</v>
      </c>
      <c r="J65" s="36">
        <v>0.7</v>
      </c>
      <c r="K65" s="36">
        <v>0.7</v>
      </c>
      <c r="L65" s="36">
        <v>0.7</v>
      </c>
      <c r="M65" s="36">
        <v>0.7</v>
      </c>
      <c r="N65" s="36">
        <v>0.7</v>
      </c>
      <c r="O65" s="36">
        <v>0.7</v>
      </c>
      <c r="P65" s="36">
        <v>0.7</v>
      </c>
      <c r="Q65" s="36">
        <v>0.7</v>
      </c>
      <c r="R65" s="36">
        <v>0.7</v>
      </c>
      <c r="S65" s="36">
        <v>0.7</v>
      </c>
      <c r="T65" s="36">
        <v>0.7</v>
      </c>
      <c r="U65" s="36">
        <v>0.7</v>
      </c>
      <c r="V65" s="36">
        <v>0.7</v>
      </c>
      <c r="W65" s="36">
        <v>0.7</v>
      </c>
      <c r="X65" s="36">
        <v>0.7</v>
      </c>
      <c r="Y65" s="36">
        <v>0.7</v>
      </c>
      <c r="Z65" s="36">
        <v>0.7</v>
      </c>
      <c r="AA65" s="36">
        <v>0.7</v>
      </c>
      <c r="AB65" s="36">
        <v>0.7</v>
      </c>
      <c r="AC65" s="36">
        <v>0.5</v>
      </c>
      <c r="AD65" s="36">
        <v>0.5</v>
      </c>
    </row>
    <row r="66" spans="1:30" x14ac:dyDescent="0.25">
      <c r="A66" s="24" t="s">
        <v>120</v>
      </c>
      <c r="B66" s="24"/>
      <c r="C66" s="46">
        <f t="shared" ref="C66:AD66" si="44">+EXP(C23-C26/(C27*C22))*24/1000</f>
        <v>2.3652993806734289E-3</v>
      </c>
      <c r="D66" s="47">
        <f t="shared" si="44"/>
        <v>2.3652993806734289E-3</v>
      </c>
      <c r="E66" s="47">
        <f t="shared" si="44"/>
        <v>2.3652993806734289E-3</v>
      </c>
      <c r="F66" s="47">
        <f t="shared" si="44"/>
        <v>2.3652993806734289E-3</v>
      </c>
      <c r="G66" s="47">
        <f t="shared" si="44"/>
        <v>2.3652993806734289E-3</v>
      </c>
      <c r="H66" s="47">
        <f t="shared" si="44"/>
        <v>2.3652993806734289E-3</v>
      </c>
      <c r="I66" s="47">
        <f t="shared" si="44"/>
        <v>2.3652993806734289E-3</v>
      </c>
      <c r="J66" s="47">
        <f t="shared" si="44"/>
        <v>2.3652993806734289E-3</v>
      </c>
      <c r="K66" s="47">
        <f t="shared" si="44"/>
        <v>2.3652993806734289E-3</v>
      </c>
      <c r="L66" s="47">
        <f t="shared" si="44"/>
        <v>2.3652993806734289E-3</v>
      </c>
      <c r="M66" s="47">
        <f t="shared" si="44"/>
        <v>2.3652993806734289E-3</v>
      </c>
      <c r="N66" s="47">
        <f t="shared" si="44"/>
        <v>2.3652993806734289E-3</v>
      </c>
      <c r="O66" s="47">
        <f t="shared" si="44"/>
        <v>2.3652993806734289E-3</v>
      </c>
      <c r="P66" s="47">
        <f t="shared" si="44"/>
        <v>2.3652993806734289E-3</v>
      </c>
      <c r="Q66" s="47">
        <f t="shared" si="44"/>
        <v>2.3652993806734289E-3</v>
      </c>
      <c r="R66" s="47">
        <f t="shared" si="44"/>
        <v>2.3652993806734289E-3</v>
      </c>
      <c r="S66" s="47">
        <f t="shared" si="44"/>
        <v>2.3652993806734289E-3</v>
      </c>
      <c r="T66" s="47">
        <f t="shared" si="44"/>
        <v>2.3652993806734289E-3</v>
      </c>
      <c r="U66" s="47">
        <f t="shared" si="44"/>
        <v>2.3652993806734289E-3</v>
      </c>
      <c r="V66" s="47">
        <f t="shared" si="44"/>
        <v>2.3652993806734289E-3</v>
      </c>
      <c r="W66" s="47">
        <f t="shared" si="44"/>
        <v>2.3652993806734289E-3</v>
      </c>
      <c r="X66" s="47">
        <f t="shared" si="44"/>
        <v>2.3652993806734289E-3</v>
      </c>
      <c r="Y66" s="47">
        <f t="shared" si="44"/>
        <v>2.3652993806734289E-3</v>
      </c>
      <c r="Z66" s="47">
        <f t="shared" si="44"/>
        <v>2.3652993806734289E-3</v>
      </c>
      <c r="AA66" s="47">
        <f t="shared" si="44"/>
        <v>2.3652993806734289E-3</v>
      </c>
      <c r="AB66" s="47">
        <f t="shared" si="44"/>
        <v>2.3652993806734289E-3</v>
      </c>
      <c r="AC66" s="47">
        <f t="shared" si="44"/>
        <v>1.282586438958538E-3</v>
      </c>
      <c r="AD66" s="47">
        <f t="shared" si="44"/>
        <v>1.282586438958538E-3</v>
      </c>
    </row>
    <row r="67" spans="1:30" x14ac:dyDescent="0.25">
      <c r="A67" s="24" t="s">
        <v>121</v>
      </c>
      <c r="B67" s="24"/>
      <c r="C67" s="46">
        <f t="shared" ref="C67:AD67" si="45">+C66*C31</f>
        <v>1.5768662537822862E-2</v>
      </c>
      <c r="D67" s="47">
        <f t="shared" si="45"/>
        <v>1.5768662537822862E-2</v>
      </c>
      <c r="E67" s="47">
        <f t="shared" si="45"/>
        <v>1.5768662537822862E-2</v>
      </c>
      <c r="F67" s="47">
        <f t="shared" si="45"/>
        <v>1.5768662537822862E-2</v>
      </c>
      <c r="G67" s="47">
        <f t="shared" si="45"/>
        <v>1.5768662537822862E-2</v>
      </c>
      <c r="H67" s="47">
        <f t="shared" si="45"/>
        <v>1.5768662537822862E-2</v>
      </c>
      <c r="I67" s="47">
        <f t="shared" si="45"/>
        <v>1.5768662537822862E-2</v>
      </c>
      <c r="J67" s="47">
        <f t="shared" si="45"/>
        <v>1.5768662537822862E-2</v>
      </c>
      <c r="K67" s="47">
        <f t="shared" si="45"/>
        <v>1.5768662537822862E-2</v>
      </c>
      <c r="L67" s="47">
        <f t="shared" si="45"/>
        <v>1.5768662537822862E-2</v>
      </c>
      <c r="M67" s="47">
        <f t="shared" si="45"/>
        <v>1.5768662537822862E-2</v>
      </c>
      <c r="N67" s="47">
        <f t="shared" si="45"/>
        <v>1.5768662537822862E-2</v>
      </c>
      <c r="O67" s="47">
        <f t="shared" si="45"/>
        <v>1.5768662537822862E-2</v>
      </c>
      <c r="P67" s="47">
        <f t="shared" si="45"/>
        <v>1.5768662537822862E-2</v>
      </c>
      <c r="Q67" s="47">
        <f t="shared" si="45"/>
        <v>1.5768662537822862E-2</v>
      </c>
      <c r="R67" s="47">
        <f t="shared" si="45"/>
        <v>1.5768662537822862E-2</v>
      </c>
      <c r="S67" s="47">
        <f t="shared" si="45"/>
        <v>1.5768662537822862E-2</v>
      </c>
      <c r="T67" s="47">
        <f t="shared" si="45"/>
        <v>1.5768662537822862E-2</v>
      </c>
      <c r="U67" s="47">
        <f t="shared" si="45"/>
        <v>1.5768662537822862E-2</v>
      </c>
      <c r="V67" s="47">
        <f t="shared" si="45"/>
        <v>1.5768662537822862E-2</v>
      </c>
      <c r="W67" s="47">
        <f t="shared" si="45"/>
        <v>1.5768662537822862E-2</v>
      </c>
      <c r="X67" s="47">
        <f t="shared" si="45"/>
        <v>1.5768662537822862E-2</v>
      </c>
      <c r="Y67" s="47">
        <f t="shared" si="45"/>
        <v>1.5768662537822862E-2</v>
      </c>
      <c r="Z67" s="47">
        <f t="shared" si="45"/>
        <v>1.5768662537822862E-2</v>
      </c>
      <c r="AA67" s="47">
        <f t="shared" si="45"/>
        <v>1.5768662537822862E-2</v>
      </c>
      <c r="AB67" s="47">
        <f t="shared" si="45"/>
        <v>1.5768662537822862E-2</v>
      </c>
      <c r="AC67" s="47">
        <f t="shared" si="45"/>
        <v>8.5505762597235871E-3</v>
      </c>
      <c r="AD67" s="47">
        <f t="shared" si="45"/>
        <v>8.5505762597235871E-3</v>
      </c>
    </row>
    <row r="68" spans="1:3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25">
      <c r="A69" s="24" t="s">
        <v>122</v>
      </c>
      <c r="B69" s="24"/>
      <c r="C69" s="64">
        <f t="shared" ref="C69:AD69" si="46">+C65*C49</f>
        <v>3.753488454545455</v>
      </c>
      <c r="D69" s="65">
        <f t="shared" si="46"/>
        <v>3.753488454545455</v>
      </c>
      <c r="E69" s="65">
        <f t="shared" si="46"/>
        <v>3.753488454545455</v>
      </c>
      <c r="F69" s="65">
        <f t="shared" si="46"/>
        <v>3.753488454545455</v>
      </c>
      <c r="G69" s="65">
        <f t="shared" si="46"/>
        <v>3.753488454545455</v>
      </c>
      <c r="H69" s="65">
        <f t="shared" si="46"/>
        <v>3.753488454545455</v>
      </c>
      <c r="I69" s="65">
        <f t="shared" si="46"/>
        <v>3.753488454545455</v>
      </c>
      <c r="J69" s="65">
        <f t="shared" si="46"/>
        <v>3.753488454545455</v>
      </c>
      <c r="K69" s="65">
        <f t="shared" si="46"/>
        <v>3.753488454545455</v>
      </c>
      <c r="L69" s="65">
        <f t="shared" si="46"/>
        <v>22.995605769230771</v>
      </c>
      <c r="M69" s="65">
        <f t="shared" si="46"/>
        <v>22.995605769230771</v>
      </c>
      <c r="N69" s="65">
        <f t="shared" si="46"/>
        <v>22.995605769230771</v>
      </c>
      <c r="O69" s="65">
        <f t="shared" si="46"/>
        <v>22.995605769230771</v>
      </c>
      <c r="P69" s="65">
        <f t="shared" si="46"/>
        <v>22.995605769230771</v>
      </c>
      <c r="Q69" s="65">
        <f t="shared" si="46"/>
        <v>22.995605769230771</v>
      </c>
      <c r="R69" s="65">
        <f t="shared" si="46"/>
        <v>22.995605769230771</v>
      </c>
      <c r="S69" s="65">
        <f t="shared" si="46"/>
        <v>22.995605769230771</v>
      </c>
      <c r="T69" s="65">
        <f t="shared" si="46"/>
        <v>22.995605769230771</v>
      </c>
      <c r="U69" s="65">
        <f t="shared" si="46"/>
        <v>50.946432352941152</v>
      </c>
      <c r="V69" s="65">
        <f t="shared" si="46"/>
        <v>50.946432352941152</v>
      </c>
      <c r="W69" s="65">
        <f t="shared" si="46"/>
        <v>50.946432352941152</v>
      </c>
      <c r="X69" s="65">
        <f t="shared" si="46"/>
        <v>50.946432352941152</v>
      </c>
      <c r="Y69" s="65">
        <f t="shared" si="46"/>
        <v>118.87500882352936</v>
      </c>
      <c r="Z69" s="65">
        <f t="shared" si="46"/>
        <v>118.87500882352936</v>
      </c>
      <c r="AA69" s="65">
        <f t="shared" si="46"/>
        <v>118.87500882352936</v>
      </c>
      <c r="AB69" s="65">
        <f t="shared" si="46"/>
        <v>118.87500882352936</v>
      </c>
      <c r="AC69" s="65">
        <f t="shared" si="46"/>
        <v>1195.67</v>
      </c>
      <c r="AD69" s="65">
        <f t="shared" si="46"/>
        <v>1195.67</v>
      </c>
    </row>
    <row r="70" spans="1:30" x14ac:dyDescent="0.25">
      <c r="A70" s="24" t="s">
        <v>123</v>
      </c>
      <c r="B70" s="24"/>
      <c r="C70" s="56">
        <f t="shared" ref="C70:AD70" si="47">+C49*(1-C65)</f>
        <v>1.6086379090909095</v>
      </c>
      <c r="D70" s="57">
        <f t="shared" si="47"/>
        <v>1.6086379090909095</v>
      </c>
      <c r="E70" s="57">
        <f t="shared" si="47"/>
        <v>1.6086379090909095</v>
      </c>
      <c r="F70" s="57">
        <f t="shared" si="47"/>
        <v>1.6086379090909095</v>
      </c>
      <c r="G70" s="57">
        <f t="shared" si="47"/>
        <v>1.6086379090909095</v>
      </c>
      <c r="H70" s="57">
        <f t="shared" si="47"/>
        <v>1.6086379090909095</v>
      </c>
      <c r="I70" s="57">
        <f t="shared" si="47"/>
        <v>1.6086379090909095</v>
      </c>
      <c r="J70" s="57">
        <f t="shared" si="47"/>
        <v>1.6086379090909095</v>
      </c>
      <c r="K70" s="57">
        <f t="shared" si="47"/>
        <v>1.6086379090909095</v>
      </c>
      <c r="L70" s="57">
        <f t="shared" si="47"/>
        <v>9.8552596153846181</v>
      </c>
      <c r="M70" s="57">
        <f t="shared" si="47"/>
        <v>9.8552596153846181</v>
      </c>
      <c r="N70" s="57">
        <f t="shared" si="47"/>
        <v>9.8552596153846181</v>
      </c>
      <c r="O70" s="57">
        <f t="shared" si="47"/>
        <v>9.8552596153846181</v>
      </c>
      <c r="P70" s="57">
        <f t="shared" si="47"/>
        <v>9.8552596153846181</v>
      </c>
      <c r="Q70" s="57">
        <f t="shared" si="47"/>
        <v>9.8552596153846181</v>
      </c>
      <c r="R70" s="57">
        <f t="shared" si="47"/>
        <v>9.8552596153846181</v>
      </c>
      <c r="S70" s="57">
        <f t="shared" si="47"/>
        <v>9.8552596153846181</v>
      </c>
      <c r="T70" s="57">
        <f t="shared" si="47"/>
        <v>9.8552596153846181</v>
      </c>
      <c r="U70" s="57">
        <f t="shared" si="47"/>
        <v>21.834185294117642</v>
      </c>
      <c r="V70" s="57">
        <f t="shared" si="47"/>
        <v>21.834185294117642</v>
      </c>
      <c r="W70" s="57">
        <f t="shared" si="47"/>
        <v>21.834185294117642</v>
      </c>
      <c r="X70" s="57">
        <f t="shared" si="47"/>
        <v>21.834185294117642</v>
      </c>
      <c r="Y70" s="57">
        <f t="shared" si="47"/>
        <v>50.946432352941166</v>
      </c>
      <c r="Z70" s="57">
        <f t="shared" si="47"/>
        <v>50.946432352941166</v>
      </c>
      <c r="AA70" s="57">
        <f t="shared" si="47"/>
        <v>50.946432352941166</v>
      </c>
      <c r="AB70" s="57">
        <f t="shared" si="47"/>
        <v>50.946432352941166</v>
      </c>
      <c r="AC70" s="57">
        <f t="shared" si="47"/>
        <v>1195.67</v>
      </c>
      <c r="AD70" s="57">
        <f t="shared" si="47"/>
        <v>1195.67</v>
      </c>
    </row>
    <row r="71" spans="1:30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x14ac:dyDescent="0.25">
      <c r="A72" s="24" t="s">
        <v>124</v>
      </c>
      <c r="B72" s="24"/>
      <c r="C72" s="62">
        <f t="shared" ref="C72:AD72" si="48">+(1-C67)^C10</f>
        <v>0.63570206832181197</v>
      </c>
      <c r="D72" s="63">
        <f t="shared" si="48"/>
        <v>0.83291640775332321</v>
      </c>
      <c r="E72" s="63">
        <f t="shared" si="48"/>
        <v>0.88056467083750334</v>
      </c>
      <c r="F72" s="63">
        <f t="shared" si="48"/>
        <v>0.71228561704226989</v>
      </c>
      <c r="G72" s="63">
        <f t="shared" si="48"/>
        <v>0.84836960362225144</v>
      </c>
      <c r="H72" s="63">
        <f t="shared" si="48"/>
        <v>0.89690189052370783</v>
      </c>
      <c r="I72" s="63">
        <f t="shared" si="48"/>
        <v>0.79757117527000987</v>
      </c>
      <c r="J72" s="63">
        <f t="shared" si="48"/>
        <v>0.86354208253166997</v>
      </c>
      <c r="K72" s="63">
        <f t="shared" si="48"/>
        <v>0.91294233440534378</v>
      </c>
      <c r="L72" s="63">
        <f t="shared" si="48"/>
        <v>0.76021143929120338</v>
      </c>
      <c r="M72" s="63">
        <f t="shared" si="48"/>
        <v>0.85645684657003118</v>
      </c>
      <c r="N72" s="63">
        <f t="shared" si="48"/>
        <v>0.90545177663233101</v>
      </c>
      <c r="O72" s="63">
        <f t="shared" si="48"/>
        <v>0.97774059993244877</v>
      </c>
      <c r="P72" s="63">
        <f t="shared" si="48"/>
        <v>0.81252727597155527</v>
      </c>
      <c r="Q72" s="63">
        <f t="shared" si="48"/>
        <v>0.86586302484262789</v>
      </c>
      <c r="R72" s="63">
        <f t="shared" si="48"/>
        <v>0.91539604978789246</v>
      </c>
      <c r="S72" s="63">
        <f t="shared" si="48"/>
        <v>0.85474916655002997</v>
      </c>
      <c r="T72" s="63">
        <f t="shared" si="48"/>
        <v>0.92544953756000714</v>
      </c>
      <c r="U72" s="63">
        <f t="shared" si="48"/>
        <v>0.62726035480600739</v>
      </c>
      <c r="V72" s="63">
        <f t="shared" si="48"/>
        <v>0.77738434868289796</v>
      </c>
      <c r="W72" s="63">
        <f t="shared" si="48"/>
        <v>0.67293033044601758</v>
      </c>
      <c r="X72" s="63">
        <f t="shared" si="48"/>
        <v>0.83398464869429145</v>
      </c>
      <c r="Y72" s="63">
        <f t="shared" si="48"/>
        <v>0.75364672789943821</v>
      </c>
      <c r="Z72" s="63">
        <f t="shared" si="48"/>
        <v>0.85583552303405064</v>
      </c>
      <c r="AA72" s="63">
        <f t="shared" si="48"/>
        <v>0.90479490932866002</v>
      </c>
      <c r="AB72" s="63">
        <f t="shared" si="48"/>
        <v>0.97750410612966965</v>
      </c>
      <c r="AC72" s="63">
        <f t="shared" si="48"/>
        <v>0.69682867563046358</v>
      </c>
      <c r="AD72" s="63">
        <f t="shared" si="48"/>
        <v>0.98973455917571185</v>
      </c>
    </row>
    <row r="73" spans="1:30" x14ac:dyDescent="0.25">
      <c r="A73" s="24" t="s">
        <v>125</v>
      </c>
      <c r="B73" s="24"/>
      <c r="C73" s="46">
        <f>1-C72</f>
        <v>0.36429793167818803</v>
      </c>
      <c r="D73" s="47">
        <f t="shared" ref="D73:Q73" si="49">1-D72</f>
        <v>0.16708359224667679</v>
      </c>
      <c r="E73" s="47">
        <f t="shared" si="49"/>
        <v>0.11943532916249666</v>
      </c>
      <c r="F73" s="47">
        <f t="shared" si="49"/>
        <v>0.28771438295773011</v>
      </c>
      <c r="G73" s="47">
        <f t="shared" si="49"/>
        <v>0.15163039637774856</v>
      </c>
      <c r="H73" s="47">
        <f t="shared" si="49"/>
        <v>0.10309810947629217</v>
      </c>
      <c r="I73" s="47">
        <f t="shared" si="49"/>
        <v>0.20242882472999013</v>
      </c>
      <c r="J73" s="47">
        <f t="shared" si="49"/>
        <v>0.13645791746833003</v>
      </c>
      <c r="K73" s="47">
        <f t="shared" si="49"/>
        <v>8.7057665594656219E-2</v>
      </c>
      <c r="L73" s="47">
        <f t="shared" si="49"/>
        <v>0.23978856070879662</v>
      </c>
      <c r="M73" s="47">
        <f t="shared" si="49"/>
        <v>0.14354315342996882</v>
      </c>
      <c r="N73" s="47">
        <f t="shared" si="49"/>
        <v>9.4548223367668993E-2</v>
      </c>
      <c r="O73" s="47">
        <f t="shared" si="49"/>
        <v>2.2259400067551227E-2</v>
      </c>
      <c r="P73" s="47">
        <f t="shared" si="49"/>
        <v>0.18747272402844473</v>
      </c>
      <c r="Q73" s="47">
        <f t="shared" si="49"/>
        <v>0.13413697515737211</v>
      </c>
      <c r="R73" s="47">
        <f>1-R72</f>
        <v>8.4603950212107537E-2</v>
      </c>
      <c r="S73" s="47">
        <f t="shared" ref="S73:AD73" si="50">1-S72</f>
        <v>0.14525083344997003</v>
      </c>
      <c r="T73" s="47">
        <f t="shared" si="50"/>
        <v>7.4550462439992859E-2</v>
      </c>
      <c r="U73" s="47">
        <f t="shared" si="50"/>
        <v>0.37273964519399261</v>
      </c>
      <c r="V73" s="47">
        <f t="shared" si="50"/>
        <v>0.22261565131710204</v>
      </c>
      <c r="W73" s="47">
        <f t="shared" si="50"/>
        <v>0.32706966955398242</v>
      </c>
      <c r="X73" s="47">
        <f t="shared" si="50"/>
        <v>0.16601535130570855</v>
      </c>
      <c r="Y73" s="47">
        <f t="shared" si="50"/>
        <v>0.24635327210056179</v>
      </c>
      <c r="Z73" s="47">
        <f t="shared" si="50"/>
        <v>0.14416447696594936</v>
      </c>
      <c r="AA73" s="47">
        <f t="shared" si="50"/>
        <v>9.5205090671339976E-2</v>
      </c>
      <c r="AB73" s="47">
        <f t="shared" si="50"/>
        <v>2.2495893870330352E-2</v>
      </c>
      <c r="AC73" s="47">
        <f t="shared" si="50"/>
        <v>0.30317132436953642</v>
      </c>
      <c r="AD73" s="47">
        <f t="shared" si="50"/>
        <v>1.0265440824288152E-2</v>
      </c>
    </row>
    <row r="74" spans="1:30" x14ac:dyDescent="0.25">
      <c r="A74" s="24" t="s">
        <v>126</v>
      </c>
      <c r="B74" s="24"/>
      <c r="C74" s="46">
        <f t="shared" ref="C74:AD74" si="51">+C73/C31</f>
        <v>5.4644689751728204E-2</v>
      </c>
      <c r="D74" s="47">
        <f t="shared" si="51"/>
        <v>2.5062538837001519E-2</v>
      </c>
      <c r="E74" s="47">
        <f t="shared" si="51"/>
        <v>1.7915299374374499E-2</v>
      </c>
      <c r="F74" s="47">
        <f t="shared" si="51"/>
        <v>4.3157157443659513E-2</v>
      </c>
      <c r="G74" s="47">
        <f t="shared" si="51"/>
        <v>2.2744559456662282E-2</v>
      </c>
      <c r="H74" s="47">
        <f t="shared" si="51"/>
        <v>1.5464716421443824E-2</v>
      </c>
      <c r="I74" s="47">
        <f t="shared" si="51"/>
        <v>3.0364323709498518E-2</v>
      </c>
      <c r="J74" s="47">
        <f t="shared" si="51"/>
        <v>2.0468687620249504E-2</v>
      </c>
      <c r="K74" s="47">
        <f t="shared" si="51"/>
        <v>1.3058649839198432E-2</v>
      </c>
      <c r="L74" s="47">
        <f t="shared" si="51"/>
        <v>3.5968284106319491E-2</v>
      </c>
      <c r="M74" s="47">
        <f t="shared" si="51"/>
        <v>2.1531473014495321E-2</v>
      </c>
      <c r="N74" s="47">
        <f t="shared" si="51"/>
        <v>1.4182233505150348E-2</v>
      </c>
      <c r="O74" s="47">
        <f t="shared" si="51"/>
        <v>3.3389100101326838E-3</v>
      </c>
      <c r="P74" s="47">
        <f t="shared" si="51"/>
        <v>2.8120908604266706E-2</v>
      </c>
      <c r="Q74" s="47">
        <f t="shared" si="51"/>
        <v>2.0120546273605815E-2</v>
      </c>
      <c r="R74" s="47">
        <f t="shared" si="51"/>
        <v>1.269059253181613E-2</v>
      </c>
      <c r="S74" s="47">
        <f t="shared" si="51"/>
        <v>2.1787625017495503E-2</v>
      </c>
      <c r="T74" s="47">
        <f t="shared" si="51"/>
        <v>1.1182569365998929E-2</v>
      </c>
      <c r="U74" s="47">
        <f t="shared" si="51"/>
        <v>5.5910946779098886E-2</v>
      </c>
      <c r="V74" s="47">
        <f t="shared" si="51"/>
        <v>3.3392347697565307E-2</v>
      </c>
      <c r="W74" s="47">
        <f t="shared" si="51"/>
        <v>4.9060450433097362E-2</v>
      </c>
      <c r="X74" s="47">
        <f t="shared" si="51"/>
        <v>2.490230269585628E-2</v>
      </c>
      <c r="Y74" s="47">
        <f t="shared" si="51"/>
        <v>3.6952990815084269E-2</v>
      </c>
      <c r="Z74" s="47">
        <f t="shared" si="51"/>
        <v>2.1624671544892404E-2</v>
      </c>
      <c r="AA74" s="47">
        <f t="shared" si="51"/>
        <v>1.4280763600700996E-2</v>
      </c>
      <c r="AB74" s="47">
        <f t="shared" si="51"/>
        <v>3.3743840805495525E-3</v>
      </c>
      <c r="AC74" s="47">
        <f t="shared" si="51"/>
        <v>4.5475698655430462E-2</v>
      </c>
      <c r="AD74" s="47">
        <f t="shared" si="51"/>
        <v>1.5398161236432227E-3</v>
      </c>
    </row>
    <row r="75" spans="1:30" x14ac:dyDescent="0.25">
      <c r="A75" s="24" t="s">
        <v>127</v>
      </c>
      <c r="B75" s="24"/>
      <c r="C75" s="46">
        <f t="shared" ref="C75:AD75" si="52">+C74*C49*C65</f>
        <v>0.20510821208533014</v>
      </c>
      <c r="D75" s="47">
        <f t="shared" si="52"/>
        <v>9.4071950166282281E-2</v>
      </c>
      <c r="E75" s="47">
        <f t="shared" si="52"/>
        <v>6.7244869361440099E-2</v>
      </c>
      <c r="F75" s="47">
        <f t="shared" si="52"/>
        <v>0.16198989219577642</v>
      </c>
      <c r="G75" s="47">
        <f t="shared" si="52"/>
        <v>8.537144132430452E-2</v>
      </c>
      <c r="H75" s="47">
        <f t="shared" si="52"/>
        <v>5.8046634540708901E-2</v>
      </c>
      <c r="I75" s="47">
        <f t="shared" si="52"/>
        <v>0.11397213847368351</v>
      </c>
      <c r="J75" s="47">
        <f t="shared" si="52"/>
        <v>7.6828982662303993E-2</v>
      </c>
      <c r="K75" s="47">
        <f t="shared" si="52"/>
        <v>4.9015491403383175E-2</v>
      </c>
      <c r="L75" s="47">
        <f t="shared" si="52"/>
        <v>0.82711248150461192</v>
      </c>
      <c r="M75" s="47">
        <f t="shared" si="52"/>
        <v>0.49512926507216526</v>
      </c>
      <c r="N75" s="47">
        <f t="shared" si="52"/>
        <v>0.32612905061161329</v>
      </c>
      <c r="O75" s="47">
        <f t="shared" si="52"/>
        <v>7.678025829194951E-2</v>
      </c>
      <c r="P75" s="47">
        <f t="shared" si="52"/>
        <v>0.64665732813628674</v>
      </c>
      <c r="Q75" s="47">
        <f t="shared" si="52"/>
        <v>0.46268414996940455</v>
      </c>
      <c r="R75" s="47">
        <f t="shared" si="52"/>
        <v>0.29182786283958789</v>
      </c>
      <c r="S75" s="47">
        <f t="shared" si="52"/>
        <v>0.50101963555015627</v>
      </c>
      <c r="T75" s="47">
        <f t="shared" si="52"/>
        <v>0.25714995662758827</v>
      </c>
      <c r="U75" s="47">
        <f t="shared" si="52"/>
        <v>2.8484632678702546</v>
      </c>
      <c r="V75" s="47">
        <f t="shared" si="52"/>
        <v>1.7012209830799012</v>
      </c>
      <c r="W75" s="47">
        <f t="shared" si="52"/>
        <v>2.4994549191946174</v>
      </c>
      <c r="X75" s="47">
        <f t="shared" si="52"/>
        <v>1.268683479726906</v>
      </c>
      <c r="Y75" s="47">
        <f t="shared" si="52"/>
        <v>4.3927871091989417</v>
      </c>
      <c r="Z75" s="47">
        <f t="shared" si="52"/>
        <v>2.5706330207050088</v>
      </c>
      <c r="AA75" s="47">
        <f t="shared" si="52"/>
        <v>1.6976258990400679</v>
      </c>
      <c r="AB75" s="47">
        <f t="shared" si="52"/>
        <v>0.40112993734930508</v>
      </c>
      <c r="AC75" s="47">
        <f t="shared" si="52"/>
        <v>54.373928611338542</v>
      </c>
      <c r="AD75" s="47">
        <f t="shared" si="52"/>
        <v>1.8411119445564921</v>
      </c>
    </row>
    <row r="76" spans="1:30" x14ac:dyDescent="0.25">
      <c r="A76" s="24" t="s">
        <v>128</v>
      </c>
      <c r="B76" s="24"/>
      <c r="C76" s="46">
        <f t="shared" ref="C76:AD76" si="53">+C75*1000/C60</f>
        <v>1.9001437527302842</v>
      </c>
      <c r="D76" s="47">
        <f t="shared" si="53"/>
        <v>0.87149230446829373</v>
      </c>
      <c r="E76" s="47">
        <f t="shared" si="53"/>
        <v>0.62296344510646384</v>
      </c>
      <c r="F76" s="47">
        <f t="shared" si="53"/>
        <v>1.486916218503022</v>
      </c>
      <c r="G76" s="47">
        <f t="shared" si="53"/>
        <v>0.78363025606975023</v>
      </c>
      <c r="H76" s="47">
        <f t="shared" si="53"/>
        <v>0.53281399943019514</v>
      </c>
      <c r="I76" s="47">
        <f t="shared" si="53"/>
        <v>1.0461579970013142</v>
      </c>
      <c r="J76" s="47">
        <f t="shared" si="53"/>
        <v>0.70521844803503031</v>
      </c>
      <c r="K76" s="47">
        <f t="shared" si="53"/>
        <v>0.44991652341803429</v>
      </c>
      <c r="L76" s="47">
        <f t="shared" si="53"/>
        <v>1.3880422384007161</v>
      </c>
      <c r="M76" s="47">
        <f t="shared" si="53"/>
        <v>0.83091520047946188</v>
      </c>
      <c r="N76" s="47">
        <f t="shared" si="53"/>
        <v>0.54730270373258783</v>
      </c>
      <c r="O76" s="47">
        <f t="shared" si="53"/>
        <v>0.12885096521657133</v>
      </c>
      <c r="P76" s="47">
        <f t="shared" si="53"/>
        <v>1.0852063114701203</v>
      </c>
      <c r="Q76" s="47">
        <f t="shared" si="53"/>
        <v>0.77646651157746305</v>
      </c>
      <c r="R76" s="47">
        <f t="shared" si="53"/>
        <v>0.48973919390829568</v>
      </c>
      <c r="S76" s="47">
        <f t="shared" si="53"/>
        <v>0.840800292539017</v>
      </c>
      <c r="T76" s="47">
        <f t="shared" si="53"/>
        <v>0.43154348336359188</v>
      </c>
      <c r="U76" s="47">
        <f t="shared" si="53"/>
        <v>1.8493611413102959</v>
      </c>
      <c r="V76" s="47">
        <f t="shared" si="53"/>
        <v>1.1045155520794225</v>
      </c>
      <c r="W76" s="47">
        <f t="shared" si="53"/>
        <v>1.6227679163549384</v>
      </c>
      <c r="X76" s="47">
        <f t="shared" si="53"/>
        <v>0.82369113005396799</v>
      </c>
      <c r="Y76" s="47">
        <f t="shared" si="53"/>
        <v>1.5410237861356653</v>
      </c>
      <c r="Z76" s="47">
        <f t="shared" si="53"/>
        <v>0.90179800018912981</v>
      </c>
      <c r="AA76" s="47">
        <f t="shared" si="53"/>
        <v>0.59554033130864614</v>
      </c>
      <c r="AB76" s="47">
        <f t="shared" si="53"/>
        <v>0.14071949298246614</v>
      </c>
      <c r="AC76" s="47">
        <f t="shared" si="53"/>
        <v>1.9819497584288177</v>
      </c>
      <c r="AD76" s="47">
        <f t="shared" si="53"/>
        <v>6.7109209633111372E-2</v>
      </c>
    </row>
    <row r="77" spans="1:30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x14ac:dyDescent="0.25">
      <c r="A78" s="24" t="s">
        <v>129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x14ac:dyDescent="0.25">
      <c r="A79" s="24" t="s">
        <v>130</v>
      </c>
      <c r="B79" s="24"/>
      <c r="C79" s="62">
        <f t="shared" ref="C79:AD79" si="54">+(1-C67)^(C4+C10)</f>
        <v>0.61581179331775637</v>
      </c>
      <c r="D79" s="63">
        <f t="shared" si="54"/>
        <v>0.80685555750418247</v>
      </c>
      <c r="E79" s="63">
        <f t="shared" si="54"/>
        <v>0.85301296960102535</v>
      </c>
      <c r="F79" s="63">
        <f t="shared" si="54"/>
        <v>0.6899991443211646</v>
      </c>
      <c r="G79" s="63">
        <f t="shared" si="54"/>
        <v>0.82182524335978657</v>
      </c>
      <c r="H79" s="63">
        <f t="shared" si="54"/>
        <v>0.86883901934056262</v>
      </c>
      <c r="I79" s="63">
        <f t="shared" si="54"/>
        <v>0.77261623049012673</v>
      </c>
      <c r="J79" s="63">
        <f t="shared" si="54"/>
        <v>0.83652299551741349</v>
      </c>
      <c r="K79" s="63">
        <f t="shared" si="54"/>
        <v>0.88437757899703773</v>
      </c>
      <c r="L79" s="63">
        <f t="shared" si="54"/>
        <v>0.73642543112443992</v>
      </c>
      <c r="M79" s="63">
        <f t="shared" si="54"/>
        <v>0.82965944719652385</v>
      </c>
      <c r="N79" s="63">
        <f t="shared" si="54"/>
        <v>0.87712139084694019</v>
      </c>
      <c r="O79" s="63">
        <f t="shared" si="54"/>
        <v>0.94714839269513984</v>
      </c>
      <c r="P79" s="63">
        <f t="shared" si="54"/>
        <v>0.78710437462716476</v>
      </c>
      <c r="Q79" s="63">
        <f t="shared" si="54"/>
        <v>0.83877131862020149</v>
      </c>
      <c r="R79" s="63">
        <f t="shared" si="54"/>
        <v>0.88675452087801598</v>
      </c>
      <c r="S79" s="63">
        <f t="shared" si="54"/>
        <v>0.82800519822057517</v>
      </c>
      <c r="T79" s="63">
        <f t="shared" si="54"/>
        <v>0.89649344834507283</v>
      </c>
      <c r="U79" s="63">
        <f t="shared" si="54"/>
        <v>0.60763420982716632</v>
      </c>
      <c r="V79" s="63">
        <f t="shared" si="54"/>
        <v>0.75306102294640842</v>
      </c>
      <c r="W79" s="63">
        <f t="shared" si="54"/>
        <v>0.65187523247146517</v>
      </c>
      <c r="X79" s="63">
        <f t="shared" si="54"/>
        <v>0.80789037460221347</v>
      </c>
      <c r="Y79" s="63">
        <f t="shared" si="54"/>
        <v>0.73006612084966216</v>
      </c>
      <c r="Z79" s="63">
        <f t="shared" si="54"/>
        <v>0.82905756405033126</v>
      </c>
      <c r="AA79" s="63">
        <f t="shared" si="54"/>
        <v>0.8764850760504298</v>
      </c>
      <c r="AB79" s="63">
        <f t="shared" si="54"/>
        <v>0.94691929846994349</v>
      </c>
      <c r="AC79" s="63">
        <f t="shared" si="54"/>
        <v>0.69087038889952312</v>
      </c>
      <c r="AD79" s="63">
        <f t="shared" si="54"/>
        <v>0.9812717583505961</v>
      </c>
    </row>
    <row r="80" spans="1:30" x14ac:dyDescent="0.25">
      <c r="A80" s="24" t="s">
        <v>131</v>
      </c>
      <c r="B80" s="24"/>
      <c r="C80" s="46">
        <f>1-C79</f>
        <v>0.38418820668224363</v>
      </c>
      <c r="D80" s="47">
        <f t="shared" ref="D80:Q80" si="55">1-D79</f>
        <v>0.19314444249581753</v>
      </c>
      <c r="E80" s="47">
        <f t="shared" si="55"/>
        <v>0.14698703039897465</v>
      </c>
      <c r="F80" s="47">
        <f t="shared" si="55"/>
        <v>0.3100008556788354</v>
      </c>
      <c r="G80" s="47">
        <f t="shared" si="55"/>
        <v>0.17817475664021343</v>
      </c>
      <c r="H80" s="47">
        <f t="shared" si="55"/>
        <v>0.13116098065943738</v>
      </c>
      <c r="I80" s="47">
        <f t="shared" si="55"/>
        <v>0.22738376950987327</v>
      </c>
      <c r="J80" s="47">
        <f t="shared" si="55"/>
        <v>0.16347700448258651</v>
      </c>
      <c r="K80" s="47">
        <f t="shared" si="55"/>
        <v>0.11562242100296227</v>
      </c>
      <c r="L80" s="47">
        <f t="shared" si="55"/>
        <v>0.26357456887556008</v>
      </c>
      <c r="M80" s="47">
        <f t="shared" si="55"/>
        <v>0.17034055280347615</v>
      </c>
      <c r="N80" s="47">
        <f t="shared" si="55"/>
        <v>0.12287860915305981</v>
      </c>
      <c r="O80" s="47">
        <f t="shared" si="55"/>
        <v>5.285160730486016E-2</v>
      </c>
      <c r="P80" s="47">
        <f t="shared" si="55"/>
        <v>0.21289562537283524</v>
      </c>
      <c r="Q80" s="47">
        <f t="shared" si="55"/>
        <v>0.16122868137979851</v>
      </c>
      <c r="R80" s="47">
        <f>1-R79</f>
        <v>0.11324547912198402</v>
      </c>
      <c r="S80" s="47">
        <f t="shared" ref="S80:AD80" si="56">1-S79</f>
        <v>0.17199480177942483</v>
      </c>
      <c r="T80" s="47">
        <f t="shared" si="56"/>
        <v>0.10350655165492717</v>
      </c>
      <c r="U80" s="47">
        <f t="shared" si="56"/>
        <v>0.39236579017283368</v>
      </c>
      <c r="V80" s="47">
        <f t="shared" si="56"/>
        <v>0.24693897705359158</v>
      </c>
      <c r="W80" s="47">
        <f t="shared" si="56"/>
        <v>0.34812476752853483</v>
      </c>
      <c r="X80" s="47">
        <f t="shared" si="56"/>
        <v>0.19210962539778653</v>
      </c>
      <c r="Y80" s="47">
        <f t="shared" si="56"/>
        <v>0.26993387915033784</v>
      </c>
      <c r="Z80" s="47">
        <f t="shared" si="56"/>
        <v>0.17094243594966874</v>
      </c>
      <c r="AA80" s="47">
        <f t="shared" si="56"/>
        <v>0.1235149239495702</v>
      </c>
      <c r="AB80" s="47">
        <f t="shared" si="56"/>
        <v>5.3080701530056507E-2</v>
      </c>
      <c r="AC80" s="47">
        <f t="shared" si="56"/>
        <v>0.30912961110047688</v>
      </c>
      <c r="AD80" s="47">
        <f t="shared" si="56"/>
        <v>1.8728241649403898E-2</v>
      </c>
    </row>
    <row r="81" spans="1:30" x14ac:dyDescent="0.25">
      <c r="A81" s="24" t="s">
        <v>126</v>
      </c>
      <c r="B81" s="24"/>
      <c r="C81" s="46">
        <f t="shared" ref="C81:AD81" si="57">+C80/C31</f>
        <v>5.7628231002336543E-2</v>
      </c>
      <c r="D81" s="47">
        <f t="shared" si="57"/>
        <v>2.8971666374372627E-2</v>
      </c>
      <c r="E81" s="47">
        <f t="shared" si="57"/>
        <v>2.2048054559846198E-2</v>
      </c>
      <c r="F81" s="47">
        <f t="shared" si="57"/>
        <v>4.6500128351825307E-2</v>
      </c>
      <c r="G81" s="47">
        <f t="shared" si="57"/>
        <v>2.6726213496032013E-2</v>
      </c>
      <c r="H81" s="47">
        <f t="shared" si="57"/>
        <v>1.9674147098915604E-2</v>
      </c>
      <c r="I81" s="47">
        <f t="shared" si="57"/>
        <v>3.4107565426480989E-2</v>
      </c>
      <c r="J81" s="47">
        <f t="shared" si="57"/>
        <v>2.4521550672387975E-2</v>
      </c>
      <c r="K81" s="47">
        <f t="shared" si="57"/>
        <v>1.7343363150444342E-2</v>
      </c>
      <c r="L81" s="47">
        <f t="shared" si="57"/>
        <v>3.953618533133401E-2</v>
      </c>
      <c r="M81" s="47">
        <f t="shared" si="57"/>
        <v>2.5551082920521422E-2</v>
      </c>
      <c r="N81" s="47">
        <f t="shared" si="57"/>
        <v>1.8431791372958972E-2</v>
      </c>
      <c r="O81" s="47">
        <f t="shared" si="57"/>
        <v>7.927741095729024E-3</v>
      </c>
      <c r="P81" s="47">
        <f t="shared" si="57"/>
        <v>3.1934343805925282E-2</v>
      </c>
      <c r="Q81" s="47">
        <f t="shared" si="57"/>
        <v>2.4184302206969776E-2</v>
      </c>
      <c r="R81" s="47">
        <f t="shared" si="57"/>
        <v>1.6986821868297603E-2</v>
      </c>
      <c r="S81" s="47">
        <f t="shared" si="57"/>
        <v>2.5799220266913725E-2</v>
      </c>
      <c r="T81" s="47">
        <f t="shared" si="57"/>
        <v>1.5525982748239076E-2</v>
      </c>
      <c r="U81" s="47">
        <f t="shared" si="57"/>
        <v>5.8854868525925051E-2</v>
      </c>
      <c r="V81" s="47">
        <f t="shared" si="57"/>
        <v>3.7040846558038736E-2</v>
      </c>
      <c r="W81" s="47">
        <f t="shared" si="57"/>
        <v>5.2218715129280224E-2</v>
      </c>
      <c r="X81" s="47">
        <f t="shared" si="57"/>
        <v>2.8816443809667979E-2</v>
      </c>
      <c r="Y81" s="47">
        <f t="shared" si="57"/>
        <v>4.0490081872550675E-2</v>
      </c>
      <c r="Z81" s="47">
        <f t="shared" si="57"/>
        <v>2.5641365392450308E-2</v>
      </c>
      <c r="AA81" s="47">
        <f t="shared" si="57"/>
        <v>1.8527238592435529E-2</v>
      </c>
      <c r="AB81" s="47">
        <f t="shared" si="57"/>
        <v>7.9621052295084753E-3</v>
      </c>
      <c r="AC81" s="47">
        <f t="shared" si="57"/>
        <v>4.636944166507153E-2</v>
      </c>
      <c r="AD81" s="47">
        <f t="shared" si="57"/>
        <v>2.8092362474105848E-3</v>
      </c>
    </row>
    <row r="82" spans="1:30" x14ac:dyDescent="0.25">
      <c r="A82" s="24" t="s">
        <v>127</v>
      </c>
      <c r="B82" s="24"/>
      <c r="C82" s="46">
        <f t="shared" ref="C82:AD82" si="58">+C49*C65*C81</f>
        <v>0.21630689972314868</v>
      </c>
      <c r="D82" s="47">
        <f t="shared" si="58"/>
        <v>0.10874481524515044</v>
      </c>
      <c r="E82" s="47">
        <f t="shared" si="58"/>
        <v>8.2757118235570984E-2</v>
      </c>
      <c r="F82" s="47">
        <f t="shared" si="58"/>
        <v>0.17453769490345805</v>
      </c>
      <c r="G82" s="47">
        <f t="shared" si="58"/>
        <v>0.10031653379107308</v>
      </c>
      <c r="H82" s="47">
        <f t="shared" si="58"/>
        <v>7.3846683988808684E-2</v>
      </c>
      <c r="I82" s="47">
        <f t="shared" si="58"/>
        <v>0.12802235304095011</v>
      </c>
      <c r="J82" s="47">
        <f t="shared" si="58"/>
        <v>9.2041357336359597E-2</v>
      </c>
      <c r="K82" s="47">
        <f t="shared" si="58"/>
        <v>6.5098113348181927E-2</v>
      </c>
      <c r="L82" s="47">
        <f t="shared" si="58"/>
        <v>0.90915853149860137</v>
      </c>
      <c r="M82" s="47">
        <f t="shared" si="58"/>
        <v>0.58756262981723628</v>
      </c>
      <c r="N82" s="47">
        <f t="shared" si="58"/>
        <v>0.42385020803327328</v>
      </c>
      <c r="O82" s="47">
        <f t="shared" si="58"/>
        <v>0.18230320887791421</v>
      </c>
      <c r="P82" s="47">
        <f t="shared" si="58"/>
        <v>0.73434958066013434</v>
      </c>
      <c r="Q82" s="47">
        <f t="shared" si="58"/>
        <v>0.55613267935541466</v>
      </c>
      <c r="R82" s="47">
        <f t="shared" si="58"/>
        <v>0.39062225895551977</v>
      </c>
      <c r="S82" s="47">
        <f t="shared" si="58"/>
        <v>0.59326869841149665</v>
      </c>
      <c r="T82" s="47">
        <f t="shared" si="58"/>
        <v>0.35702937845838389</v>
      </c>
      <c r="U82" s="47">
        <f t="shared" si="58"/>
        <v>2.9984455779972858</v>
      </c>
      <c r="V82" s="47">
        <f t="shared" si="58"/>
        <v>1.8870989834647935</v>
      </c>
      <c r="W82" s="47">
        <f t="shared" si="58"/>
        <v>2.6603572378913798</v>
      </c>
      <c r="X82" s="47">
        <f t="shared" si="58"/>
        <v>1.4680950052015795</v>
      </c>
      <c r="Y82" s="47">
        <f t="shared" si="58"/>
        <v>4.8132588398648872</v>
      </c>
      <c r="Z82" s="47">
        <f t="shared" si="58"/>
        <v>3.0481175372748708</v>
      </c>
      <c r="AA82" s="47">
        <f t="shared" si="58"/>
        <v>2.2024256511514073</v>
      </c>
      <c r="AB82" s="47">
        <f t="shared" si="58"/>
        <v>0.94649532941168923</v>
      </c>
      <c r="AC82" s="47">
        <f t="shared" si="58"/>
        <v>55.44255031567608</v>
      </c>
      <c r="AD82" s="47">
        <f t="shared" si="58"/>
        <v>3.3589195039414141</v>
      </c>
    </row>
    <row r="83" spans="1:30" x14ac:dyDescent="0.25">
      <c r="A83" s="24" t="s">
        <v>128</v>
      </c>
      <c r="B83" s="24"/>
      <c r="C83" s="46">
        <f t="shared" ref="C83:AD83" si="59">+C82*1000/C60</f>
        <v>2.0038895566521973</v>
      </c>
      <c r="D83" s="47">
        <f t="shared" si="59"/>
        <v>1.0074232485821581</v>
      </c>
      <c r="E83" s="47">
        <f t="shared" si="59"/>
        <v>0.7666705277693201</v>
      </c>
      <c r="F83" s="47">
        <f t="shared" si="59"/>
        <v>1.6020933514693123</v>
      </c>
      <c r="G83" s="47">
        <f t="shared" si="59"/>
        <v>0.92081227449475489</v>
      </c>
      <c r="H83" s="47">
        <f t="shared" si="59"/>
        <v>0.67784372603274068</v>
      </c>
      <c r="I83" s="47">
        <f t="shared" si="59"/>
        <v>1.1751258704305234</v>
      </c>
      <c r="J83" s="47">
        <f t="shared" si="59"/>
        <v>0.84485386798740958</v>
      </c>
      <c r="K83" s="47">
        <f t="shared" si="59"/>
        <v>0.59754000215257586</v>
      </c>
      <c r="L83" s="47">
        <f t="shared" si="59"/>
        <v>1.5257301411130866</v>
      </c>
      <c r="M83" s="47">
        <f t="shared" si="59"/>
        <v>0.98603486965706066</v>
      </c>
      <c r="N83" s="47">
        <f t="shared" si="59"/>
        <v>0.71129623196459213</v>
      </c>
      <c r="O83" s="47">
        <f t="shared" si="59"/>
        <v>0.3059372936292975</v>
      </c>
      <c r="P83" s="47">
        <f t="shared" si="59"/>
        <v>1.2323695488839466</v>
      </c>
      <c r="Q83" s="47">
        <f t="shared" si="59"/>
        <v>0.93328980805130468</v>
      </c>
      <c r="R83" s="47">
        <f t="shared" si="59"/>
        <v>0.65553380805406281</v>
      </c>
      <c r="S83" s="47">
        <f t="shared" si="59"/>
        <v>0.99561067029017081</v>
      </c>
      <c r="T83" s="47">
        <f t="shared" si="59"/>
        <v>0.59915896414558989</v>
      </c>
      <c r="U83" s="47">
        <f t="shared" si="59"/>
        <v>1.9467369647451782</v>
      </c>
      <c r="V83" s="47">
        <f t="shared" si="59"/>
        <v>1.2251966066023054</v>
      </c>
      <c r="W83" s="47">
        <f t="shared" si="59"/>
        <v>1.7272335414170452</v>
      </c>
      <c r="X83" s="47">
        <f t="shared" si="59"/>
        <v>0.95315880846921497</v>
      </c>
      <c r="Y83" s="47">
        <f t="shared" si="59"/>
        <v>1.6885285302187469</v>
      </c>
      <c r="Z83" s="47">
        <f t="shared" si="59"/>
        <v>1.0693032717295545</v>
      </c>
      <c r="AA83" s="47">
        <f t="shared" si="59"/>
        <v>0.77262799932013304</v>
      </c>
      <c r="AB83" s="47">
        <f t="shared" si="59"/>
        <v>0.33203790209530698</v>
      </c>
      <c r="AC83" s="47">
        <f t="shared" si="59"/>
        <v>2.0209014138058383</v>
      </c>
      <c r="AD83" s="47">
        <f t="shared" si="59"/>
        <v>0.12243385514782003</v>
      </c>
    </row>
    <row r="84" spans="1:3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x14ac:dyDescent="0.25">
      <c r="A85" s="24" t="s">
        <v>132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x14ac:dyDescent="0.25">
      <c r="A86" s="24" t="s">
        <v>133</v>
      </c>
      <c r="B86" s="24"/>
      <c r="C86" s="58">
        <f>C72*C69</f>
        <v>2.3861003739765874</v>
      </c>
      <c r="D86" s="59">
        <f t="shared" ref="D86:Q86" si="60">D72*D69</f>
        <v>3.126342120103573</v>
      </c>
      <c r="E86" s="59">
        <f t="shared" si="60"/>
        <v>3.3051893254691875</v>
      </c>
      <c r="F86" s="59">
        <f t="shared" si="60"/>
        <v>2.6735558399069452</v>
      </c>
      <c r="G86" s="59">
        <f t="shared" si="60"/>
        <v>3.184345512383425</v>
      </c>
      <c r="H86" s="59">
        <f t="shared" si="60"/>
        <v>3.3665108909407291</v>
      </c>
      <c r="I86" s="59">
        <f t="shared" si="60"/>
        <v>2.9936741980542316</v>
      </c>
      <c r="J86" s="59">
        <f t="shared" si="60"/>
        <v>3.2412952367967618</v>
      </c>
      <c r="K86" s="59">
        <f t="shared" si="60"/>
        <v>3.426718511856234</v>
      </c>
      <c r="L86" s="59">
        <f t="shared" si="60"/>
        <v>17.481522559200023</v>
      </c>
      <c r="M86" s="59">
        <f t="shared" si="60"/>
        <v>19.694744002083002</v>
      </c>
      <c r="N86" s="59">
        <f t="shared" si="60"/>
        <v>20.821412098486682</v>
      </c>
      <c r="O86" s="59">
        <f t="shared" si="60"/>
        <v>22.483737380617775</v>
      </c>
      <c r="P86" s="59">
        <f t="shared" si="60"/>
        <v>18.68455691498886</v>
      </c>
      <c r="Q86" s="59">
        <f t="shared" si="60"/>
        <v>19.911044769434739</v>
      </c>
      <c r="R86" s="59">
        <f>R72*R69</f>
        <v>21.050086683633516</v>
      </c>
      <c r="S86" s="59">
        <f t="shared" ref="S86:AD86" si="61">S72*S69</f>
        <v>19.655474865563061</v>
      </c>
      <c r="T86" s="59">
        <f t="shared" si="61"/>
        <v>21.281272725046851</v>
      </c>
      <c r="U86" s="59">
        <f t="shared" si="61"/>
        <v>31.956677233806122</v>
      </c>
      <c r="V86" s="59">
        <f t="shared" si="61"/>
        <v>39.604959132408474</v>
      </c>
      <c r="W86" s="59">
        <f t="shared" si="61"/>
        <v>34.283399558310371</v>
      </c>
      <c r="X86" s="59">
        <f t="shared" si="61"/>
        <v>42.488542488095113</v>
      </c>
      <c r="Y86" s="59">
        <f t="shared" si="61"/>
        <v>89.58976142886975</v>
      </c>
      <c r="Z86" s="59">
        <f t="shared" si="61"/>
        <v>101.73745535216263</v>
      </c>
      <c r="AA86" s="59">
        <f t="shared" si="61"/>
        <v>107.55750282992891</v>
      </c>
      <c r="AB86" s="59">
        <f t="shared" si="61"/>
        <v>116.20080924120066</v>
      </c>
      <c r="AC86" s="59">
        <f t="shared" si="61"/>
        <v>833.1771425910764</v>
      </c>
      <c r="AD86" s="59">
        <f t="shared" si="61"/>
        <v>1183.3959203696234</v>
      </c>
    </row>
    <row r="87" spans="1:30" x14ac:dyDescent="0.25">
      <c r="A87" s="24" t="s">
        <v>134</v>
      </c>
      <c r="B87" s="24"/>
      <c r="C87" s="54">
        <f>+C70</f>
        <v>1.6086379090909095</v>
      </c>
      <c r="D87" s="55">
        <f t="shared" ref="D87:Q87" si="62">+D70</f>
        <v>1.6086379090909095</v>
      </c>
      <c r="E87" s="55">
        <f t="shared" si="62"/>
        <v>1.6086379090909095</v>
      </c>
      <c r="F87" s="55">
        <f t="shared" si="62"/>
        <v>1.6086379090909095</v>
      </c>
      <c r="G87" s="55">
        <f t="shared" si="62"/>
        <v>1.6086379090909095</v>
      </c>
      <c r="H87" s="55">
        <f t="shared" si="62"/>
        <v>1.6086379090909095</v>
      </c>
      <c r="I87" s="55">
        <f t="shared" si="62"/>
        <v>1.6086379090909095</v>
      </c>
      <c r="J87" s="55">
        <f t="shared" si="62"/>
        <v>1.6086379090909095</v>
      </c>
      <c r="K87" s="55">
        <f t="shared" si="62"/>
        <v>1.6086379090909095</v>
      </c>
      <c r="L87" s="55">
        <f t="shared" si="62"/>
        <v>9.8552596153846181</v>
      </c>
      <c r="M87" s="55">
        <f t="shared" si="62"/>
        <v>9.8552596153846181</v>
      </c>
      <c r="N87" s="55">
        <f t="shared" si="62"/>
        <v>9.8552596153846181</v>
      </c>
      <c r="O87" s="55">
        <f t="shared" si="62"/>
        <v>9.8552596153846181</v>
      </c>
      <c r="P87" s="55">
        <f t="shared" si="62"/>
        <v>9.8552596153846181</v>
      </c>
      <c r="Q87" s="55">
        <f t="shared" si="62"/>
        <v>9.8552596153846181</v>
      </c>
      <c r="R87" s="55">
        <f>+R70</f>
        <v>9.8552596153846181</v>
      </c>
      <c r="S87" s="55">
        <f t="shared" ref="S87:AD87" si="63">+S70</f>
        <v>9.8552596153846181</v>
      </c>
      <c r="T87" s="55">
        <f t="shared" si="63"/>
        <v>9.8552596153846181</v>
      </c>
      <c r="U87" s="55">
        <f t="shared" si="63"/>
        <v>21.834185294117642</v>
      </c>
      <c r="V87" s="55">
        <f t="shared" si="63"/>
        <v>21.834185294117642</v>
      </c>
      <c r="W87" s="55">
        <f t="shared" si="63"/>
        <v>21.834185294117642</v>
      </c>
      <c r="X87" s="55">
        <f t="shared" si="63"/>
        <v>21.834185294117642</v>
      </c>
      <c r="Y87" s="55">
        <f t="shared" si="63"/>
        <v>50.946432352941166</v>
      </c>
      <c r="Z87" s="55">
        <f t="shared" si="63"/>
        <v>50.946432352941166</v>
      </c>
      <c r="AA87" s="55">
        <f t="shared" si="63"/>
        <v>50.946432352941166</v>
      </c>
      <c r="AB87" s="55">
        <f t="shared" si="63"/>
        <v>50.946432352941166</v>
      </c>
      <c r="AC87" s="55">
        <f t="shared" si="63"/>
        <v>1195.67</v>
      </c>
      <c r="AD87" s="55">
        <f t="shared" si="63"/>
        <v>1195.67</v>
      </c>
    </row>
    <row r="88" spans="1:30" x14ac:dyDescent="0.25">
      <c r="A88" s="24" t="s">
        <v>135</v>
      </c>
      <c r="B88" s="24"/>
      <c r="C88" s="54">
        <f t="shared" ref="C88:AD88" si="64">+C86*1000/C60</f>
        <v>22.105081375838711</v>
      </c>
      <c r="D88" s="55">
        <f t="shared" si="64"/>
        <v>28.962757697585314</v>
      </c>
      <c r="E88" s="55">
        <f t="shared" si="64"/>
        <v>30.619616759997513</v>
      </c>
      <c r="F88" s="55">
        <f t="shared" si="64"/>
        <v>24.540750571193698</v>
      </c>
      <c r="G88" s="55">
        <f t="shared" si="64"/>
        <v>29.229323654082183</v>
      </c>
      <c r="H88" s="55">
        <f t="shared" si="64"/>
        <v>30.901432031679217</v>
      </c>
      <c r="I88" s="55">
        <f t="shared" si="64"/>
        <v>27.479138714538422</v>
      </c>
      <c r="J88" s="55">
        <f t="shared" si="64"/>
        <v>29.752069040980317</v>
      </c>
      <c r="K88" s="55">
        <f t="shared" si="64"/>
        <v>31.454081871760287</v>
      </c>
      <c r="L88" s="55">
        <f t="shared" si="64"/>
        <v>29.337112238451109</v>
      </c>
      <c r="M88" s="55">
        <f t="shared" si="64"/>
        <v>33.051292491259474</v>
      </c>
      <c r="N88" s="55">
        <f t="shared" si="64"/>
        <v>34.942042469571966</v>
      </c>
      <c r="O88" s="55">
        <f t="shared" si="64"/>
        <v>37.731720726345408</v>
      </c>
      <c r="P88" s="55">
        <f t="shared" si="64"/>
        <v>31.356018417988423</v>
      </c>
      <c r="Q88" s="55">
        <f t="shared" si="64"/>
        <v>33.414283750606131</v>
      </c>
      <c r="R88" s="55">
        <f t="shared" si="64"/>
        <v>35.325799201733908</v>
      </c>
      <c r="S88" s="55">
        <f t="shared" si="64"/>
        <v>32.985391877529104</v>
      </c>
      <c r="T88" s="55">
        <f t="shared" si="64"/>
        <v>35.713770605365269</v>
      </c>
      <c r="U88" s="55">
        <f t="shared" si="64"/>
        <v>20.747831909303169</v>
      </c>
      <c r="V88" s="55">
        <f t="shared" si="64"/>
        <v>25.713469170842323</v>
      </c>
      <c r="W88" s="55">
        <f t="shared" si="64"/>
        <v>22.258453409005551</v>
      </c>
      <c r="X88" s="55">
        <f t="shared" si="64"/>
        <v>27.585631984345351</v>
      </c>
      <c r="Y88" s="55">
        <f t="shared" si="64"/>
        <v>31.428783121994758</v>
      </c>
      <c r="Z88" s="55">
        <f t="shared" si="64"/>
        <v>35.690288361638324</v>
      </c>
      <c r="AA88" s="55">
        <f t="shared" si="64"/>
        <v>37.732006154174883</v>
      </c>
      <c r="AB88" s="55">
        <f t="shared" si="64"/>
        <v>40.764145076349415</v>
      </c>
      <c r="AC88" s="55">
        <f t="shared" si="64"/>
        <v>30.369614237188841</v>
      </c>
      <c r="AD88" s="55">
        <f t="shared" si="64"/>
        <v>43.135217895826884</v>
      </c>
    </row>
    <row r="89" spans="1:30" x14ac:dyDescent="0.25">
      <c r="A89" s="24" t="s">
        <v>136</v>
      </c>
      <c r="B89" s="24"/>
      <c r="C89" s="54">
        <f t="shared" ref="C89:AD89" si="65">+C87*1000/C60</f>
        <v>14.902588454588832</v>
      </c>
      <c r="D89" s="55">
        <f t="shared" si="65"/>
        <v>14.902588454588832</v>
      </c>
      <c r="E89" s="55">
        <f t="shared" si="65"/>
        <v>14.902588454588832</v>
      </c>
      <c r="F89" s="55">
        <f t="shared" si="65"/>
        <v>14.765796583377366</v>
      </c>
      <c r="G89" s="55">
        <f t="shared" si="65"/>
        <v>14.765796583377366</v>
      </c>
      <c r="H89" s="55">
        <f t="shared" si="65"/>
        <v>14.765796583377366</v>
      </c>
      <c r="I89" s="55">
        <f t="shared" si="65"/>
        <v>14.765796583377366</v>
      </c>
      <c r="J89" s="55">
        <f t="shared" si="65"/>
        <v>14.765796583377366</v>
      </c>
      <c r="K89" s="55">
        <f t="shared" si="65"/>
        <v>14.765796583377366</v>
      </c>
      <c r="L89" s="55">
        <f t="shared" si="65"/>
        <v>16.538883069052527</v>
      </c>
      <c r="M89" s="55">
        <f t="shared" si="65"/>
        <v>16.538883069052527</v>
      </c>
      <c r="N89" s="55">
        <f t="shared" si="65"/>
        <v>16.538883069052527</v>
      </c>
      <c r="O89" s="55">
        <f t="shared" si="65"/>
        <v>16.538883069052527</v>
      </c>
      <c r="P89" s="55">
        <f t="shared" si="65"/>
        <v>16.538883069052527</v>
      </c>
      <c r="Q89" s="55">
        <f t="shared" si="65"/>
        <v>16.538883069052527</v>
      </c>
      <c r="R89" s="55">
        <f t="shared" si="65"/>
        <v>16.538883069052527</v>
      </c>
      <c r="S89" s="55">
        <f t="shared" si="65"/>
        <v>16.538883069052527</v>
      </c>
      <c r="T89" s="55">
        <f t="shared" si="65"/>
        <v>16.538883069052527</v>
      </c>
      <c r="U89" s="55">
        <f t="shared" si="65"/>
        <v>14.175816936302205</v>
      </c>
      <c r="V89" s="55">
        <f t="shared" si="65"/>
        <v>14.175816936302205</v>
      </c>
      <c r="W89" s="55">
        <f t="shared" si="65"/>
        <v>14.175816936302205</v>
      </c>
      <c r="X89" s="55">
        <f t="shared" si="65"/>
        <v>14.175816936302205</v>
      </c>
      <c r="Y89" s="55">
        <f t="shared" si="65"/>
        <v>17.872403584099658</v>
      </c>
      <c r="Z89" s="55">
        <f t="shared" si="65"/>
        <v>17.872403584099658</v>
      </c>
      <c r="AA89" s="55">
        <f t="shared" si="65"/>
        <v>17.872403584099658</v>
      </c>
      <c r="AB89" s="55">
        <f t="shared" si="65"/>
        <v>17.872403584099658</v>
      </c>
      <c r="AC89" s="55">
        <f t="shared" si="65"/>
        <v>43.582612626714294</v>
      </c>
      <c r="AD89" s="55">
        <f t="shared" si="65"/>
        <v>43.582612626714294</v>
      </c>
    </row>
    <row r="90" spans="1:30" x14ac:dyDescent="0.25">
      <c r="A90" s="24" t="s">
        <v>209</v>
      </c>
      <c r="B90" s="24"/>
      <c r="C90" s="54">
        <f>+C88+C89</f>
        <v>37.007669830427545</v>
      </c>
      <c r="D90" s="55">
        <f t="shared" ref="D90:Q90" si="66">+D88+D89</f>
        <v>43.865346152174148</v>
      </c>
      <c r="E90" s="55">
        <f t="shared" si="66"/>
        <v>45.522205214586343</v>
      </c>
      <c r="F90" s="55">
        <f t="shared" si="66"/>
        <v>39.306547154571064</v>
      </c>
      <c r="G90" s="55">
        <f t="shared" si="66"/>
        <v>43.995120237459545</v>
      </c>
      <c r="H90" s="55">
        <f t="shared" si="66"/>
        <v>45.667228615056587</v>
      </c>
      <c r="I90" s="55">
        <f t="shared" si="66"/>
        <v>42.244935297915788</v>
      </c>
      <c r="J90" s="55">
        <f t="shared" si="66"/>
        <v>44.517865624357682</v>
      </c>
      <c r="K90" s="55">
        <f t="shared" si="66"/>
        <v>46.219878455137653</v>
      </c>
      <c r="L90" s="55">
        <f t="shared" si="66"/>
        <v>45.875995307503636</v>
      </c>
      <c r="M90" s="55">
        <f t="shared" si="66"/>
        <v>49.590175560312005</v>
      </c>
      <c r="N90" s="55">
        <f t="shared" si="66"/>
        <v>51.48092553862449</v>
      </c>
      <c r="O90" s="55">
        <f t="shared" si="66"/>
        <v>54.270603795397932</v>
      </c>
      <c r="P90" s="55">
        <f t="shared" si="66"/>
        <v>47.894901487040954</v>
      </c>
      <c r="Q90" s="55">
        <f t="shared" si="66"/>
        <v>49.953166819658662</v>
      </c>
      <c r="R90" s="55">
        <f>+R88+R89</f>
        <v>51.864682270786432</v>
      </c>
      <c r="S90" s="55">
        <f t="shared" ref="S90:AD90" si="67">+S88+S89</f>
        <v>49.524274946581627</v>
      </c>
      <c r="T90" s="55">
        <f t="shared" si="67"/>
        <v>52.2526536744178</v>
      </c>
      <c r="U90" s="55">
        <f t="shared" si="67"/>
        <v>34.923648845605371</v>
      </c>
      <c r="V90" s="55">
        <f t="shared" si="67"/>
        <v>39.889286107144528</v>
      </c>
      <c r="W90" s="55">
        <f t="shared" si="67"/>
        <v>36.434270345307752</v>
      </c>
      <c r="X90" s="55">
        <f t="shared" si="67"/>
        <v>41.761448920647553</v>
      </c>
      <c r="Y90" s="55">
        <f t="shared" si="67"/>
        <v>49.301186706094413</v>
      </c>
      <c r="Z90" s="55">
        <f t="shared" si="67"/>
        <v>53.562691945737981</v>
      </c>
      <c r="AA90" s="55">
        <f t="shared" si="67"/>
        <v>55.604409738274541</v>
      </c>
      <c r="AB90" s="55">
        <f t="shared" si="67"/>
        <v>58.636548660449073</v>
      </c>
      <c r="AC90" s="55">
        <f t="shared" si="67"/>
        <v>73.952226863903135</v>
      </c>
      <c r="AD90" s="55">
        <f t="shared" si="67"/>
        <v>86.717830522541178</v>
      </c>
    </row>
    <row r="91" spans="1:30" x14ac:dyDescent="0.25">
      <c r="A91" s="24" t="s">
        <v>138</v>
      </c>
      <c r="B91" s="24" t="s">
        <v>139</v>
      </c>
      <c r="C91" s="66">
        <f t="shared" ref="C91:AD91" si="68">+VS_tot_omsat_lager</f>
        <v>0.32714318957727601</v>
      </c>
      <c r="D91" s="67">
        <f t="shared" si="68"/>
        <v>0.32714318957727601</v>
      </c>
      <c r="E91" s="67">
        <f t="shared" si="68"/>
        <v>0.32714318957727601</v>
      </c>
      <c r="F91" s="67">
        <f t="shared" si="68"/>
        <v>0.32714318957727601</v>
      </c>
      <c r="G91" s="67">
        <f t="shared" si="68"/>
        <v>0.32714318957727601</v>
      </c>
      <c r="H91" s="67">
        <f t="shared" si="68"/>
        <v>0.32714318957727601</v>
      </c>
      <c r="I91" s="67">
        <f t="shared" si="68"/>
        <v>0.32714318957727601</v>
      </c>
      <c r="J91" s="67">
        <f t="shared" si="68"/>
        <v>0.32714318957727601</v>
      </c>
      <c r="K91" s="67">
        <f t="shared" si="68"/>
        <v>0.32714318957727601</v>
      </c>
      <c r="L91" s="67">
        <f t="shared" si="68"/>
        <v>0.32714318957727601</v>
      </c>
      <c r="M91" s="67">
        <f t="shared" si="68"/>
        <v>0.32714318957727601</v>
      </c>
      <c r="N91" s="67">
        <f t="shared" si="68"/>
        <v>0.32714318957727601</v>
      </c>
      <c r="O91" s="67">
        <f t="shared" si="68"/>
        <v>0.32714318957727601</v>
      </c>
      <c r="P91" s="67">
        <f t="shared" si="68"/>
        <v>0.32714318957727601</v>
      </c>
      <c r="Q91" s="67">
        <f t="shared" si="68"/>
        <v>0.32714318957727601</v>
      </c>
      <c r="R91" s="67">
        <f t="shared" si="68"/>
        <v>0.32714318957727601</v>
      </c>
      <c r="S91" s="67">
        <f t="shared" si="68"/>
        <v>0.32714318957727601</v>
      </c>
      <c r="T91" s="67">
        <f t="shared" si="68"/>
        <v>0.32714318957727601</v>
      </c>
      <c r="U91" s="67">
        <f t="shared" si="68"/>
        <v>0.32714318957727601</v>
      </c>
      <c r="V91" s="67">
        <f t="shared" si="68"/>
        <v>0.32714318957727601</v>
      </c>
      <c r="W91" s="67">
        <f t="shared" si="68"/>
        <v>0.32714318957727601</v>
      </c>
      <c r="X91" s="67">
        <f t="shared" si="68"/>
        <v>0.32714318957727601</v>
      </c>
      <c r="Y91" s="67">
        <f t="shared" si="68"/>
        <v>0.32714318957727601</v>
      </c>
      <c r="Z91" s="67">
        <f t="shared" si="68"/>
        <v>0.32714318957727601</v>
      </c>
      <c r="AA91" s="67">
        <f t="shared" si="68"/>
        <v>0.32714318957727601</v>
      </c>
      <c r="AB91" s="67">
        <f t="shared" si="68"/>
        <v>0.32714318957727601</v>
      </c>
      <c r="AC91" s="67">
        <f t="shared" si="68"/>
        <v>0.32714318957727601</v>
      </c>
      <c r="AD91" s="67">
        <f t="shared" si="68"/>
        <v>0.32714318957727601</v>
      </c>
    </row>
    <row r="92" spans="1:30" x14ac:dyDescent="0.25">
      <c r="A92" s="24" t="s">
        <v>140</v>
      </c>
      <c r="B92" s="24"/>
      <c r="C92" s="54">
        <f>+C91*C88</f>
        <v>7.2315268271571167</v>
      </c>
      <c r="D92" s="55">
        <f t="shared" ref="D92:Q92" si="69">+D91*D88</f>
        <v>9.4749689321418629</v>
      </c>
      <c r="E92" s="55">
        <f t="shared" si="69"/>
        <v>10.016999090499404</v>
      </c>
      <c r="F92" s="55">
        <f t="shared" si="69"/>
        <v>8.0283394164806641</v>
      </c>
      <c r="G92" s="55">
        <f t="shared" si="69"/>
        <v>9.5621741693829652</v>
      </c>
      <c r="H92" s="55">
        <f t="shared" si="69"/>
        <v>10.109193037348943</v>
      </c>
      <c r="I92" s="55">
        <f t="shared" si="69"/>
        <v>8.9896130859105075</v>
      </c>
      <c r="J92" s="55">
        <f t="shared" si="69"/>
        <v>9.7331867625896287</v>
      </c>
      <c r="K92" s="55">
        <f t="shared" si="69"/>
        <v>10.289988668752436</v>
      </c>
      <c r="L92" s="55">
        <f t="shared" si="69"/>
        <v>9.5974364706734345</v>
      </c>
      <c r="M92" s="55">
        <f t="shared" si="69"/>
        <v>10.812505245242097</v>
      </c>
      <c r="N92" s="55">
        <f t="shared" si="69"/>
        <v>11.431051223840411</v>
      </c>
      <c r="O92" s="55">
        <f t="shared" si="69"/>
        <v>12.34367546665565</v>
      </c>
      <c r="P92" s="55">
        <f t="shared" si="69"/>
        <v>10.257907877704545</v>
      </c>
      <c r="Q92" s="55">
        <f t="shared" si="69"/>
        <v>10.931255363613435</v>
      </c>
      <c r="R92" s="55">
        <f>+R91*R88</f>
        <v>11.556594625221621</v>
      </c>
      <c r="S92" s="55">
        <f t="shared" ref="S92:AD92" si="70">+S91*S88</f>
        <v>10.790946308271243</v>
      </c>
      <c r="T92" s="55">
        <f t="shared" si="70"/>
        <v>11.683516827670358</v>
      </c>
      <c r="U92" s="55">
        <f t="shared" si="70"/>
        <v>6.7875119076226227</v>
      </c>
      <c r="V92" s="55">
        <f t="shared" si="70"/>
        <v>8.4119863196463118</v>
      </c>
      <c r="W92" s="55">
        <f t="shared" si="70"/>
        <v>7.2817014432792684</v>
      </c>
      <c r="X92" s="55">
        <f t="shared" si="70"/>
        <v>9.0244516338636593</v>
      </c>
      <c r="Y92" s="55">
        <f t="shared" si="70"/>
        <v>10.281712355061824</v>
      </c>
      <c r="Z92" s="55">
        <f t="shared" si="70"/>
        <v>11.675834771559094</v>
      </c>
      <c r="AA92" s="55">
        <f t="shared" si="70"/>
        <v>12.343768842426179</v>
      </c>
      <c r="AB92" s="55">
        <f t="shared" si="70"/>
        <v>13.335712440667759</v>
      </c>
      <c r="AC92" s="55">
        <f t="shared" si="70"/>
        <v>9.9352124677854103</v>
      </c>
      <c r="AD92" s="55">
        <f t="shared" si="70"/>
        <v>14.111392765551603</v>
      </c>
    </row>
    <row r="93" spans="1:30" x14ac:dyDescent="0.25">
      <c r="A93" s="24" t="s">
        <v>141</v>
      </c>
      <c r="B93" s="24"/>
      <c r="C93" s="54">
        <f>+C89*C91</f>
        <v>4.8752803199916785</v>
      </c>
      <c r="D93" s="55">
        <f t="shared" ref="D93:Q93" si="71">+D89*D91</f>
        <v>4.8752803199916785</v>
      </c>
      <c r="E93" s="55">
        <f t="shared" si="71"/>
        <v>4.8752803199916785</v>
      </c>
      <c r="F93" s="55">
        <f t="shared" si="71"/>
        <v>4.8305297909353158</v>
      </c>
      <c r="G93" s="55">
        <f t="shared" si="71"/>
        <v>4.8305297909353158</v>
      </c>
      <c r="H93" s="55">
        <f t="shared" si="71"/>
        <v>4.8305297909353158</v>
      </c>
      <c r="I93" s="55">
        <f t="shared" si="71"/>
        <v>4.8305297909353158</v>
      </c>
      <c r="J93" s="55">
        <f t="shared" si="71"/>
        <v>4.8305297909353158</v>
      </c>
      <c r="K93" s="55">
        <f t="shared" si="71"/>
        <v>4.8305297909353158</v>
      </c>
      <c r="L93" s="55">
        <f t="shared" si="71"/>
        <v>5.4105829592554517</v>
      </c>
      <c r="M93" s="55">
        <f t="shared" si="71"/>
        <v>5.4105829592554517</v>
      </c>
      <c r="N93" s="55">
        <f t="shared" si="71"/>
        <v>5.4105829592554517</v>
      </c>
      <c r="O93" s="55">
        <f t="shared" si="71"/>
        <v>5.4105829592554517</v>
      </c>
      <c r="P93" s="55">
        <f t="shared" si="71"/>
        <v>5.4105829592554517</v>
      </c>
      <c r="Q93" s="55">
        <f t="shared" si="71"/>
        <v>5.4105829592554517</v>
      </c>
      <c r="R93" s="55">
        <f>+R89*R91</f>
        <v>5.4105829592554517</v>
      </c>
      <c r="S93" s="55">
        <f t="shared" ref="S93:AD93" si="72">+S89*S91</f>
        <v>5.4105829592554517</v>
      </c>
      <c r="T93" s="55">
        <f t="shared" si="72"/>
        <v>5.4105829592554517</v>
      </c>
      <c r="U93" s="55">
        <f t="shared" si="72"/>
        <v>4.6375219674054717</v>
      </c>
      <c r="V93" s="55">
        <f t="shared" si="72"/>
        <v>4.6375219674054717</v>
      </c>
      <c r="W93" s="55">
        <f t="shared" si="72"/>
        <v>4.6375219674054717</v>
      </c>
      <c r="X93" s="55">
        <f t="shared" si="72"/>
        <v>4.6375219674054717</v>
      </c>
      <c r="Y93" s="55">
        <f t="shared" si="72"/>
        <v>5.8468351139147012</v>
      </c>
      <c r="Z93" s="55">
        <f t="shared" si="72"/>
        <v>5.8468351139147012</v>
      </c>
      <c r="AA93" s="55">
        <f t="shared" si="72"/>
        <v>5.8468351139147012</v>
      </c>
      <c r="AB93" s="55">
        <f t="shared" si="72"/>
        <v>5.8468351139147012</v>
      </c>
      <c r="AC93" s="55">
        <f t="shared" si="72"/>
        <v>14.257754904814178</v>
      </c>
      <c r="AD93" s="55">
        <f t="shared" si="72"/>
        <v>14.257754904814178</v>
      </c>
    </row>
    <row r="94" spans="1:30" x14ac:dyDescent="0.25">
      <c r="A94" s="24" t="s">
        <v>142</v>
      </c>
      <c r="B94" s="24"/>
      <c r="C94" s="54">
        <f t="shared" ref="C94:AD94" si="73">+C92/C31</f>
        <v>1.0847290240735674</v>
      </c>
      <c r="D94" s="55">
        <f t="shared" si="73"/>
        <v>1.4212453398212794</v>
      </c>
      <c r="E94" s="55">
        <f t="shared" si="73"/>
        <v>1.5025498635749104</v>
      </c>
      <c r="F94" s="55">
        <f t="shared" si="73"/>
        <v>1.2042509124720995</v>
      </c>
      <c r="G94" s="55">
        <f t="shared" si="73"/>
        <v>1.4343261254074446</v>
      </c>
      <c r="H94" s="55">
        <f t="shared" si="73"/>
        <v>1.5163789556023413</v>
      </c>
      <c r="I94" s="55">
        <f t="shared" si="73"/>
        <v>1.348441962886576</v>
      </c>
      <c r="J94" s="55">
        <f t="shared" si="73"/>
        <v>1.4599780143884442</v>
      </c>
      <c r="K94" s="55">
        <f t="shared" si="73"/>
        <v>1.5434983003128653</v>
      </c>
      <c r="L94" s="55">
        <f t="shared" si="73"/>
        <v>1.4396154706010151</v>
      </c>
      <c r="M94" s="55">
        <f t="shared" si="73"/>
        <v>1.6218757867863145</v>
      </c>
      <c r="N94" s="55">
        <f t="shared" si="73"/>
        <v>1.7146576835760616</v>
      </c>
      <c r="O94" s="55">
        <f t="shared" si="73"/>
        <v>1.8515513199983475</v>
      </c>
      <c r="P94" s="55">
        <f t="shared" si="73"/>
        <v>1.5386861816556816</v>
      </c>
      <c r="Q94" s="55">
        <f t="shared" si="73"/>
        <v>1.6396883045420152</v>
      </c>
      <c r="R94" s="55">
        <f t="shared" si="73"/>
        <v>1.7334891937832431</v>
      </c>
      <c r="S94" s="55">
        <f t="shared" si="73"/>
        <v>1.6186419462406865</v>
      </c>
      <c r="T94" s="55">
        <f t="shared" si="73"/>
        <v>1.7525275241505536</v>
      </c>
      <c r="U94" s="55">
        <f t="shared" si="73"/>
        <v>1.0181267861433934</v>
      </c>
      <c r="V94" s="55">
        <f t="shared" si="73"/>
        <v>1.2617979479469468</v>
      </c>
      <c r="W94" s="55">
        <f t="shared" si="73"/>
        <v>1.0922552164918902</v>
      </c>
      <c r="X94" s="55">
        <f t="shared" si="73"/>
        <v>1.3536677450795489</v>
      </c>
      <c r="Y94" s="55">
        <f t="shared" si="73"/>
        <v>1.5422568532592735</v>
      </c>
      <c r="Z94" s="55">
        <f t="shared" si="73"/>
        <v>1.751375215733864</v>
      </c>
      <c r="AA94" s="55">
        <f t="shared" si="73"/>
        <v>1.8515653263639269</v>
      </c>
      <c r="AB94" s="55">
        <f t="shared" si="73"/>
        <v>2.0003568661001636</v>
      </c>
      <c r="AC94" s="55">
        <f t="shared" si="73"/>
        <v>1.4902818701678116</v>
      </c>
      <c r="AD94" s="55">
        <f t="shared" si="73"/>
        <v>2.1167089148327403</v>
      </c>
    </row>
    <row r="95" spans="1:30" x14ac:dyDescent="0.25">
      <c r="A95" s="24" t="s">
        <v>143</v>
      </c>
      <c r="B95" s="24"/>
      <c r="C95" s="54">
        <f t="shared" ref="C95:AD95" si="74">+C93/C31</f>
        <v>0.7312920479987518</v>
      </c>
      <c r="D95" s="55">
        <f t="shared" si="74"/>
        <v>0.7312920479987518</v>
      </c>
      <c r="E95" s="55">
        <f t="shared" si="74"/>
        <v>0.7312920479987518</v>
      </c>
      <c r="F95" s="55">
        <f t="shared" si="74"/>
        <v>0.72457946864029732</v>
      </c>
      <c r="G95" s="55">
        <f t="shared" si="74"/>
        <v>0.72457946864029732</v>
      </c>
      <c r="H95" s="55">
        <f t="shared" si="74"/>
        <v>0.72457946864029732</v>
      </c>
      <c r="I95" s="55">
        <f t="shared" si="74"/>
        <v>0.72457946864029732</v>
      </c>
      <c r="J95" s="55">
        <f t="shared" si="74"/>
        <v>0.72457946864029732</v>
      </c>
      <c r="K95" s="55">
        <f t="shared" si="74"/>
        <v>0.72457946864029732</v>
      </c>
      <c r="L95" s="55">
        <f t="shared" si="74"/>
        <v>0.81158744388831772</v>
      </c>
      <c r="M95" s="55">
        <f t="shared" si="74"/>
        <v>0.81158744388831772</v>
      </c>
      <c r="N95" s="55">
        <f t="shared" si="74"/>
        <v>0.81158744388831772</v>
      </c>
      <c r="O95" s="55">
        <f t="shared" si="74"/>
        <v>0.81158744388831772</v>
      </c>
      <c r="P95" s="55">
        <f t="shared" si="74"/>
        <v>0.81158744388831772</v>
      </c>
      <c r="Q95" s="55">
        <f t="shared" si="74"/>
        <v>0.81158744388831772</v>
      </c>
      <c r="R95" s="55">
        <f t="shared" si="74"/>
        <v>0.81158744388831772</v>
      </c>
      <c r="S95" s="55">
        <f t="shared" si="74"/>
        <v>0.81158744388831772</v>
      </c>
      <c r="T95" s="55">
        <f t="shared" si="74"/>
        <v>0.81158744388831772</v>
      </c>
      <c r="U95" s="55">
        <f t="shared" si="74"/>
        <v>0.69562829511082069</v>
      </c>
      <c r="V95" s="55">
        <f t="shared" si="74"/>
        <v>0.69562829511082069</v>
      </c>
      <c r="W95" s="55">
        <f t="shared" si="74"/>
        <v>0.69562829511082069</v>
      </c>
      <c r="X95" s="55">
        <f t="shared" si="74"/>
        <v>0.69562829511082069</v>
      </c>
      <c r="Y95" s="55">
        <f t="shared" si="74"/>
        <v>0.87702526708720518</v>
      </c>
      <c r="Z95" s="55">
        <f t="shared" si="74"/>
        <v>0.87702526708720518</v>
      </c>
      <c r="AA95" s="55">
        <f t="shared" si="74"/>
        <v>0.87702526708720518</v>
      </c>
      <c r="AB95" s="55">
        <f t="shared" si="74"/>
        <v>0.87702526708720518</v>
      </c>
      <c r="AC95" s="55">
        <f t="shared" si="74"/>
        <v>2.1386632357221265</v>
      </c>
      <c r="AD95" s="55">
        <f t="shared" si="74"/>
        <v>2.1386632357221265</v>
      </c>
    </row>
    <row r="96" spans="1:30" x14ac:dyDescent="0.25">
      <c r="A96" s="24" t="s">
        <v>128</v>
      </c>
      <c r="B96" s="24"/>
      <c r="C96" s="54">
        <f>+SUM(C94:C95)</f>
        <v>1.8160210720723193</v>
      </c>
      <c r="D96" s="55">
        <f t="shared" ref="D96:F96" si="75">+SUM(D94:D95)</f>
        <v>2.1525373878200313</v>
      </c>
      <c r="E96" s="55">
        <f t="shared" si="75"/>
        <v>2.2338419115736623</v>
      </c>
      <c r="F96" s="55">
        <f t="shared" si="75"/>
        <v>1.9288303811123968</v>
      </c>
      <c r="G96" s="55">
        <f t="shared" ref="G96:AD96" si="76">+SUM(G94:G95)</f>
        <v>2.158905594047742</v>
      </c>
      <c r="H96" s="55">
        <f t="shared" si="76"/>
        <v>2.2409584242426384</v>
      </c>
      <c r="I96" s="55">
        <f t="shared" si="76"/>
        <v>2.0730214315268736</v>
      </c>
      <c r="J96" s="55">
        <f t="shared" si="76"/>
        <v>2.1845574830287413</v>
      </c>
      <c r="K96" s="55">
        <f t="shared" si="76"/>
        <v>2.2680777689531624</v>
      </c>
      <c r="L96" s="55">
        <f t="shared" si="76"/>
        <v>2.2512029144893329</v>
      </c>
      <c r="M96" s="55">
        <f t="shared" si="76"/>
        <v>2.433463230674632</v>
      </c>
      <c r="N96" s="55">
        <f t="shared" si="76"/>
        <v>2.5262451274643793</v>
      </c>
      <c r="O96" s="55">
        <f t="shared" si="76"/>
        <v>2.663138763886665</v>
      </c>
      <c r="P96" s="55">
        <f t="shared" si="76"/>
        <v>2.3502736255439993</v>
      </c>
      <c r="Q96" s="55">
        <f t="shared" si="76"/>
        <v>2.4512757484303327</v>
      </c>
      <c r="R96" s="55">
        <f t="shared" si="76"/>
        <v>2.5450766376715608</v>
      </c>
      <c r="S96" s="55">
        <f t="shared" si="76"/>
        <v>2.4302293901290044</v>
      </c>
      <c r="T96" s="55">
        <f t="shared" si="76"/>
        <v>2.5641149680388713</v>
      </c>
      <c r="U96" s="55">
        <f t="shared" si="76"/>
        <v>1.7137550812542139</v>
      </c>
      <c r="V96" s="55">
        <f t="shared" si="76"/>
        <v>1.9574262430577676</v>
      </c>
      <c r="W96" s="55">
        <f t="shared" si="76"/>
        <v>1.7878835116027108</v>
      </c>
      <c r="X96" s="55">
        <f t="shared" si="76"/>
        <v>2.0492960401903697</v>
      </c>
      <c r="Y96" s="55">
        <f t="shared" si="76"/>
        <v>2.4192821203464785</v>
      </c>
      <c r="Z96" s="55">
        <f t="shared" si="76"/>
        <v>2.6284004828210694</v>
      </c>
      <c r="AA96" s="55">
        <f t="shared" si="76"/>
        <v>2.7285905934511323</v>
      </c>
      <c r="AB96" s="55">
        <f t="shared" si="76"/>
        <v>2.8773821331873686</v>
      </c>
      <c r="AC96" s="55">
        <f t="shared" si="76"/>
        <v>3.628945105889938</v>
      </c>
      <c r="AD96" s="55">
        <f t="shared" si="76"/>
        <v>4.2553721505548667</v>
      </c>
    </row>
    <row r="97" spans="1:3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x14ac:dyDescent="0.25">
      <c r="A98" s="24" t="s">
        <v>144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x14ac:dyDescent="0.25">
      <c r="A99" s="24" t="s">
        <v>133</v>
      </c>
      <c r="B99" s="24"/>
      <c r="C99" s="64">
        <f>+C69*C72</f>
        <v>2.3861003739765874</v>
      </c>
      <c r="D99" s="65">
        <f t="shared" ref="D99:Q99" si="77">+D69*D72</f>
        <v>3.126342120103573</v>
      </c>
      <c r="E99" s="65">
        <f t="shared" si="77"/>
        <v>3.3051893254691875</v>
      </c>
      <c r="F99" s="65">
        <f t="shared" si="77"/>
        <v>2.6735558399069452</v>
      </c>
      <c r="G99" s="65">
        <f t="shared" si="77"/>
        <v>3.184345512383425</v>
      </c>
      <c r="H99" s="65">
        <f t="shared" si="77"/>
        <v>3.3665108909407291</v>
      </c>
      <c r="I99" s="65">
        <f t="shared" si="77"/>
        <v>2.9936741980542316</v>
      </c>
      <c r="J99" s="65">
        <f t="shared" si="77"/>
        <v>3.2412952367967618</v>
      </c>
      <c r="K99" s="65">
        <f t="shared" si="77"/>
        <v>3.426718511856234</v>
      </c>
      <c r="L99" s="65">
        <f t="shared" si="77"/>
        <v>17.481522559200023</v>
      </c>
      <c r="M99" s="65">
        <f t="shared" si="77"/>
        <v>19.694744002083002</v>
      </c>
      <c r="N99" s="65">
        <f t="shared" si="77"/>
        <v>20.821412098486682</v>
      </c>
      <c r="O99" s="65">
        <f t="shared" si="77"/>
        <v>22.483737380617775</v>
      </c>
      <c r="P99" s="65">
        <f t="shared" si="77"/>
        <v>18.68455691498886</v>
      </c>
      <c r="Q99" s="65">
        <f t="shared" si="77"/>
        <v>19.911044769434739</v>
      </c>
      <c r="R99" s="65">
        <f>+R69*R72</f>
        <v>21.050086683633516</v>
      </c>
      <c r="S99" s="65">
        <f t="shared" ref="S99:AD99" si="78">+S69*S72</f>
        <v>19.655474865563061</v>
      </c>
      <c r="T99" s="65">
        <f t="shared" si="78"/>
        <v>21.281272725046851</v>
      </c>
      <c r="U99" s="65">
        <f t="shared" si="78"/>
        <v>31.956677233806122</v>
      </c>
      <c r="V99" s="65">
        <f t="shared" si="78"/>
        <v>39.604959132408474</v>
      </c>
      <c r="W99" s="65">
        <f t="shared" si="78"/>
        <v>34.283399558310371</v>
      </c>
      <c r="X99" s="65">
        <f t="shared" si="78"/>
        <v>42.488542488095113</v>
      </c>
      <c r="Y99" s="65">
        <f t="shared" si="78"/>
        <v>89.58976142886975</v>
      </c>
      <c r="Z99" s="65">
        <f t="shared" si="78"/>
        <v>101.73745535216263</v>
      </c>
      <c r="AA99" s="65">
        <f t="shared" si="78"/>
        <v>107.55750282992891</v>
      </c>
      <c r="AB99" s="65">
        <f t="shared" si="78"/>
        <v>116.20080924120066</v>
      </c>
      <c r="AC99" s="65">
        <f t="shared" si="78"/>
        <v>833.1771425910764</v>
      </c>
      <c r="AD99" s="65">
        <f t="shared" si="78"/>
        <v>1183.3959203696234</v>
      </c>
    </row>
    <row r="100" spans="1:30" x14ac:dyDescent="0.25">
      <c r="A100" s="24" t="s">
        <v>134</v>
      </c>
      <c r="B100" s="24"/>
      <c r="C100" s="56">
        <f>+C70</f>
        <v>1.6086379090909095</v>
      </c>
      <c r="D100" s="57">
        <f t="shared" ref="D100:Q100" si="79">+D70</f>
        <v>1.6086379090909095</v>
      </c>
      <c r="E100" s="57">
        <f t="shared" si="79"/>
        <v>1.6086379090909095</v>
      </c>
      <c r="F100" s="57">
        <f t="shared" si="79"/>
        <v>1.6086379090909095</v>
      </c>
      <c r="G100" s="57">
        <f t="shared" si="79"/>
        <v>1.6086379090909095</v>
      </c>
      <c r="H100" s="57">
        <f t="shared" si="79"/>
        <v>1.6086379090909095</v>
      </c>
      <c r="I100" s="57">
        <f t="shared" si="79"/>
        <v>1.6086379090909095</v>
      </c>
      <c r="J100" s="57">
        <f t="shared" si="79"/>
        <v>1.6086379090909095</v>
      </c>
      <c r="K100" s="57">
        <f t="shared" si="79"/>
        <v>1.6086379090909095</v>
      </c>
      <c r="L100" s="57">
        <f t="shared" si="79"/>
        <v>9.8552596153846181</v>
      </c>
      <c r="M100" s="57">
        <f t="shared" si="79"/>
        <v>9.8552596153846181</v>
      </c>
      <c r="N100" s="57">
        <f t="shared" si="79"/>
        <v>9.8552596153846181</v>
      </c>
      <c r="O100" s="57">
        <f t="shared" si="79"/>
        <v>9.8552596153846181</v>
      </c>
      <c r="P100" s="57">
        <f t="shared" si="79"/>
        <v>9.8552596153846181</v>
      </c>
      <c r="Q100" s="57">
        <f t="shared" si="79"/>
        <v>9.8552596153846181</v>
      </c>
      <c r="R100" s="57">
        <f>+R70</f>
        <v>9.8552596153846181</v>
      </c>
      <c r="S100" s="57">
        <f t="shared" ref="S100:AD100" si="80">+S70</f>
        <v>9.8552596153846181</v>
      </c>
      <c r="T100" s="57">
        <f t="shared" si="80"/>
        <v>9.8552596153846181</v>
      </c>
      <c r="U100" s="57">
        <f t="shared" si="80"/>
        <v>21.834185294117642</v>
      </c>
      <c r="V100" s="57">
        <f t="shared" si="80"/>
        <v>21.834185294117642</v>
      </c>
      <c r="W100" s="57">
        <f t="shared" si="80"/>
        <v>21.834185294117642</v>
      </c>
      <c r="X100" s="57">
        <f t="shared" si="80"/>
        <v>21.834185294117642</v>
      </c>
      <c r="Y100" s="57">
        <f t="shared" si="80"/>
        <v>50.946432352941166</v>
      </c>
      <c r="Z100" s="57">
        <f t="shared" si="80"/>
        <v>50.946432352941166</v>
      </c>
      <c r="AA100" s="57">
        <f t="shared" si="80"/>
        <v>50.946432352941166</v>
      </c>
      <c r="AB100" s="57">
        <f t="shared" si="80"/>
        <v>50.946432352941166</v>
      </c>
      <c r="AC100" s="57">
        <f t="shared" si="80"/>
        <v>1195.67</v>
      </c>
      <c r="AD100" s="57">
        <f t="shared" si="80"/>
        <v>1195.67</v>
      </c>
    </row>
    <row r="101" spans="1:30" x14ac:dyDescent="0.25">
      <c r="A101" s="24" t="s">
        <v>135</v>
      </c>
      <c r="B101" s="24"/>
      <c r="C101" s="56">
        <f t="shared" ref="C101:AD101" si="81">+C99*1000/C60</f>
        <v>22.105081375838711</v>
      </c>
      <c r="D101" s="57">
        <f t="shared" si="81"/>
        <v>28.962757697585314</v>
      </c>
      <c r="E101" s="57">
        <f t="shared" si="81"/>
        <v>30.619616759997513</v>
      </c>
      <c r="F101" s="57">
        <f t="shared" si="81"/>
        <v>24.540750571193698</v>
      </c>
      <c r="G101" s="57">
        <f t="shared" si="81"/>
        <v>29.229323654082183</v>
      </c>
      <c r="H101" s="57">
        <f t="shared" si="81"/>
        <v>30.901432031679217</v>
      </c>
      <c r="I101" s="57">
        <f t="shared" si="81"/>
        <v>27.479138714538422</v>
      </c>
      <c r="J101" s="57">
        <f t="shared" si="81"/>
        <v>29.752069040980317</v>
      </c>
      <c r="K101" s="57">
        <f t="shared" si="81"/>
        <v>31.454081871760287</v>
      </c>
      <c r="L101" s="57">
        <f t="shared" si="81"/>
        <v>29.337112238451109</v>
      </c>
      <c r="M101" s="57">
        <f t="shared" si="81"/>
        <v>33.051292491259474</v>
      </c>
      <c r="N101" s="57">
        <f t="shared" si="81"/>
        <v>34.942042469571966</v>
      </c>
      <c r="O101" s="57">
        <f t="shared" si="81"/>
        <v>37.731720726345408</v>
      </c>
      <c r="P101" s="57">
        <f t="shared" si="81"/>
        <v>31.356018417988423</v>
      </c>
      <c r="Q101" s="57">
        <f t="shared" si="81"/>
        <v>33.414283750606131</v>
      </c>
      <c r="R101" s="57">
        <f t="shared" si="81"/>
        <v>35.325799201733908</v>
      </c>
      <c r="S101" s="57">
        <f t="shared" si="81"/>
        <v>32.985391877529104</v>
      </c>
      <c r="T101" s="57">
        <f t="shared" si="81"/>
        <v>35.713770605365269</v>
      </c>
      <c r="U101" s="57">
        <f t="shared" si="81"/>
        <v>20.747831909303169</v>
      </c>
      <c r="V101" s="57">
        <f t="shared" si="81"/>
        <v>25.713469170842323</v>
      </c>
      <c r="W101" s="57">
        <f t="shared" si="81"/>
        <v>22.258453409005551</v>
      </c>
      <c r="X101" s="57">
        <f t="shared" si="81"/>
        <v>27.585631984345351</v>
      </c>
      <c r="Y101" s="57">
        <f t="shared" si="81"/>
        <v>31.428783121994758</v>
      </c>
      <c r="Z101" s="57">
        <f t="shared" si="81"/>
        <v>35.690288361638324</v>
      </c>
      <c r="AA101" s="57">
        <f t="shared" si="81"/>
        <v>37.732006154174883</v>
      </c>
      <c r="AB101" s="57">
        <f t="shared" si="81"/>
        <v>40.764145076349415</v>
      </c>
      <c r="AC101" s="57">
        <f t="shared" si="81"/>
        <v>30.369614237188841</v>
      </c>
      <c r="AD101" s="57">
        <f t="shared" si="81"/>
        <v>43.135217895826884</v>
      </c>
    </row>
    <row r="102" spans="1:30" x14ac:dyDescent="0.25">
      <c r="A102" s="24" t="s">
        <v>136</v>
      </c>
      <c r="B102" s="24"/>
      <c r="C102" s="56">
        <f t="shared" ref="C102:AD102" si="82">+C100*1000/C60</f>
        <v>14.902588454588832</v>
      </c>
      <c r="D102" s="57">
        <f t="shared" si="82"/>
        <v>14.902588454588832</v>
      </c>
      <c r="E102" s="57">
        <f t="shared" si="82"/>
        <v>14.902588454588832</v>
      </c>
      <c r="F102" s="57">
        <f t="shared" si="82"/>
        <v>14.765796583377366</v>
      </c>
      <c r="G102" s="57">
        <f t="shared" si="82"/>
        <v>14.765796583377366</v>
      </c>
      <c r="H102" s="57">
        <f t="shared" si="82"/>
        <v>14.765796583377366</v>
      </c>
      <c r="I102" s="57">
        <f t="shared" si="82"/>
        <v>14.765796583377366</v>
      </c>
      <c r="J102" s="57">
        <f t="shared" si="82"/>
        <v>14.765796583377366</v>
      </c>
      <c r="K102" s="57">
        <f t="shared" si="82"/>
        <v>14.765796583377366</v>
      </c>
      <c r="L102" s="57">
        <f t="shared" si="82"/>
        <v>16.538883069052527</v>
      </c>
      <c r="M102" s="57">
        <f t="shared" si="82"/>
        <v>16.538883069052527</v>
      </c>
      <c r="N102" s="57">
        <f t="shared" si="82"/>
        <v>16.538883069052527</v>
      </c>
      <c r="O102" s="57">
        <f t="shared" si="82"/>
        <v>16.538883069052527</v>
      </c>
      <c r="P102" s="57">
        <f t="shared" si="82"/>
        <v>16.538883069052527</v>
      </c>
      <c r="Q102" s="57">
        <f t="shared" si="82"/>
        <v>16.538883069052527</v>
      </c>
      <c r="R102" s="57">
        <f t="shared" si="82"/>
        <v>16.538883069052527</v>
      </c>
      <c r="S102" s="57">
        <f t="shared" si="82"/>
        <v>16.538883069052527</v>
      </c>
      <c r="T102" s="57">
        <f t="shared" si="82"/>
        <v>16.538883069052527</v>
      </c>
      <c r="U102" s="57">
        <f t="shared" si="82"/>
        <v>14.175816936302205</v>
      </c>
      <c r="V102" s="57">
        <f t="shared" si="82"/>
        <v>14.175816936302205</v>
      </c>
      <c r="W102" s="57">
        <f t="shared" si="82"/>
        <v>14.175816936302205</v>
      </c>
      <c r="X102" s="57">
        <f t="shared" si="82"/>
        <v>14.175816936302205</v>
      </c>
      <c r="Y102" s="57">
        <f t="shared" si="82"/>
        <v>17.872403584099658</v>
      </c>
      <c r="Z102" s="57">
        <f t="shared" si="82"/>
        <v>17.872403584099658</v>
      </c>
      <c r="AA102" s="57">
        <f t="shared" si="82"/>
        <v>17.872403584099658</v>
      </c>
      <c r="AB102" s="57">
        <f t="shared" si="82"/>
        <v>17.872403584099658</v>
      </c>
      <c r="AC102" s="57">
        <f t="shared" si="82"/>
        <v>43.582612626714294</v>
      </c>
      <c r="AD102" s="57">
        <f t="shared" si="82"/>
        <v>43.582612626714294</v>
      </c>
    </row>
    <row r="103" spans="1:30" x14ac:dyDescent="0.25">
      <c r="A103" s="24" t="s">
        <v>210</v>
      </c>
      <c r="B103" s="24"/>
      <c r="C103" s="56">
        <f>+C101+C102</f>
        <v>37.007669830427545</v>
      </c>
      <c r="D103" s="57">
        <f t="shared" ref="D103:Q103" si="83">+D101+D102</f>
        <v>43.865346152174148</v>
      </c>
      <c r="E103" s="57">
        <f t="shared" si="83"/>
        <v>45.522205214586343</v>
      </c>
      <c r="F103" s="57">
        <f t="shared" si="83"/>
        <v>39.306547154571064</v>
      </c>
      <c r="G103" s="57">
        <f t="shared" si="83"/>
        <v>43.995120237459545</v>
      </c>
      <c r="H103" s="57">
        <f t="shared" si="83"/>
        <v>45.667228615056587</v>
      </c>
      <c r="I103" s="57">
        <f t="shared" si="83"/>
        <v>42.244935297915788</v>
      </c>
      <c r="J103" s="57">
        <f t="shared" si="83"/>
        <v>44.517865624357682</v>
      </c>
      <c r="K103" s="57">
        <f t="shared" si="83"/>
        <v>46.219878455137653</v>
      </c>
      <c r="L103" s="57">
        <f t="shared" si="83"/>
        <v>45.875995307503636</v>
      </c>
      <c r="M103" s="57">
        <f t="shared" si="83"/>
        <v>49.590175560312005</v>
      </c>
      <c r="N103" s="57">
        <f t="shared" si="83"/>
        <v>51.48092553862449</v>
      </c>
      <c r="O103" s="57">
        <f t="shared" si="83"/>
        <v>54.270603795397932</v>
      </c>
      <c r="P103" s="57">
        <f t="shared" si="83"/>
        <v>47.894901487040954</v>
      </c>
      <c r="Q103" s="57">
        <f t="shared" si="83"/>
        <v>49.953166819658662</v>
      </c>
      <c r="R103" s="57">
        <f>+R101+R102</f>
        <v>51.864682270786432</v>
      </c>
      <c r="S103" s="57">
        <f t="shared" ref="S103:AD103" si="84">+S101+S102</f>
        <v>49.524274946581627</v>
      </c>
      <c r="T103" s="57">
        <f t="shared" si="84"/>
        <v>52.2526536744178</v>
      </c>
      <c r="U103" s="57">
        <f t="shared" si="84"/>
        <v>34.923648845605371</v>
      </c>
      <c r="V103" s="57">
        <f t="shared" si="84"/>
        <v>39.889286107144528</v>
      </c>
      <c r="W103" s="57">
        <f t="shared" si="84"/>
        <v>36.434270345307752</v>
      </c>
      <c r="X103" s="57">
        <f t="shared" si="84"/>
        <v>41.761448920647553</v>
      </c>
      <c r="Y103" s="57">
        <f t="shared" si="84"/>
        <v>49.301186706094413</v>
      </c>
      <c r="Z103" s="57">
        <f t="shared" si="84"/>
        <v>53.562691945737981</v>
      </c>
      <c r="AA103" s="57">
        <f t="shared" si="84"/>
        <v>55.604409738274541</v>
      </c>
      <c r="AB103" s="57">
        <f t="shared" si="84"/>
        <v>58.636548660449073</v>
      </c>
      <c r="AC103" s="57">
        <f t="shared" si="84"/>
        <v>73.952226863903135</v>
      </c>
      <c r="AD103" s="57">
        <f t="shared" si="84"/>
        <v>86.717830522541178</v>
      </c>
    </row>
    <row r="104" spans="1:30" x14ac:dyDescent="0.25">
      <c r="A104" s="24" t="s">
        <v>148</v>
      </c>
      <c r="B104" s="24" t="s">
        <v>211</v>
      </c>
      <c r="C104" s="29">
        <v>0.63</v>
      </c>
      <c r="D104" s="30">
        <v>0.63</v>
      </c>
      <c r="E104" s="30">
        <v>0.63</v>
      </c>
      <c r="F104" s="30">
        <v>0.63</v>
      </c>
      <c r="G104" s="30">
        <v>0.63</v>
      </c>
      <c r="H104" s="30">
        <v>0.63</v>
      </c>
      <c r="I104" s="30">
        <v>0.63</v>
      </c>
      <c r="J104" s="30">
        <v>0.63</v>
      </c>
      <c r="K104" s="30">
        <v>0.63</v>
      </c>
      <c r="L104" s="30">
        <v>0.63</v>
      </c>
      <c r="M104" s="30">
        <v>0.63</v>
      </c>
      <c r="N104" s="30">
        <v>0.63</v>
      </c>
      <c r="O104" s="30">
        <v>0.63</v>
      </c>
      <c r="P104" s="30">
        <v>0.63</v>
      </c>
      <c r="Q104" s="30">
        <v>0.63</v>
      </c>
      <c r="R104" s="30">
        <v>0.63</v>
      </c>
      <c r="S104" s="30">
        <v>0.63</v>
      </c>
      <c r="T104" s="30">
        <v>0.63</v>
      </c>
      <c r="U104" s="30">
        <v>0.63</v>
      </c>
      <c r="V104" s="30">
        <v>0.63</v>
      </c>
      <c r="W104" s="30">
        <v>0.63</v>
      </c>
      <c r="X104" s="30">
        <v>0.63</v>
      </c>
      <c r="Y104" s="30">
        <v>0.63</v>
      </c>
      <c r="Z104" s="30">
        <v>0.63</v>
      </c>
      <c r="AA104" s="30">
        <v>0.63</v>
      </c>
      <c r="AB104" s="30">
        <v>0.63</v>
      </c>
      <c r="AC104" s="30">
        <v>0.63</v>
      </c>
      <c r="AD104" s="30">
        <v>0.63</v>
      </c>
    </row>
    <row r="105" spans="1:30" x14ac:dyDescent="0.25">
      <c r="A105" s="24" t="s">
        <v>212</v>
      </c>
      <c r="B105" s="24"/>
      <c r="C105" s="56">
        <f>+C103*(1-C104)</f>
        <v>13.692837837258192</v>
      </c>
      <c r="D105" s="57">
        <f t="shared" ref="D105:Q105" si="85">+D103*(1-D104)</f>
        <v>16.230178076304433</v>
      </c>
      <c r="E105" s="57">
        <f t="shared" si="85"/>
        <v>16.843215929396948</v>
      </c>
      <c r="F105" s="57">
        <f t="shared" si="85"/>
        <v>14.543422447191293</v>
      </c>
      <c r="G105" s="57">
        <f t="shared" si="85"/>
        <v>16.278194487860031</v>
      </c>
      <c r="H105" s="57">
        <f t="shared" si="85"/>
        <v>16.896874587570938</v>
      </c>
      <c r="I105" s="57">
        <f t="shared" si="85"/>
        <v>15.630626060228842</v>
      </c>
      <c r="J105" s="57">
        <f t="shared" si="85"/>
        <v>16.471610281012342</v>
      </c>
      <c r="K105" s="57">
        <f t="shared" si="85"/>
        <v>17.101355028400931</v>
      </c>
      <c r="L105" s="57">
        <f t="shared" si="85"/>
        <v>16.974118263776344</v>
      </c>
      <c r="M105" s="57">
        <f t="shared" si="85"/>
        <v>18.348364957315443</v>
      </c>
      <c r="N105" s="57">
        <f t="shared" si="85"/>
        <v>19.04794244929106</v>
      </c>
      <c r="O105" s="57">
        <f t="shared" si="85"/>
        <v>20.080123404297236</v>
      </c>
      <c r="P105" s="57">
        <f t="shared" si="85"/>
        <v>17.721113550205153</v>
      </c>
      <c r="Q105" s="57">
        <f t="shared" si="85"/>
        <v>18.482671723273704</v>
      </c>
      <c r="R105" s="57">
        <f>+R103*(1-R104)</f>
        <v>19.189932440190979</v>
      </c>
      <c r="S105" s="57">
        <f t="shared" ref="S105:AD105" si="86">+S103*(1-S104)</f>
        <v>18.3239817302352</v>
      </c>
      <c r="T105" s="57">
        <f t="shared" si="86"/>
        <v>19.333481859534587</v>
      </c>
      <c r="U105" s="57">
        <f t="shared" si="86"/>
        <v>12.921750072873987</v>
      </c>
      <c r="V105" s="57">
        <f t="shared" si="86"/>
        <v>14.759035859643475</v>
      </c>
      <c r="W105" s="57">
        <f t="shared" si="86"/>
        <v>13.480680027763867</v>
      </c>
      <c r="X105" s="57">
        <f t="shared" si="86"/>
        <v>15.451736100639595</v>
      </c>
      <c r="Y105" s="57">
        <f t="shared" si="86"/>
        <v>18.241439081254931</v>
      </c>
      <c r="Z105" s="57">
        <f t="shared" si="86"/>
        <v>19.818196019923054</v>
      </c>
      <c r="AA105" s="57">
        <f t="shared" si="86"/>
        <v>20.57363160316158</v>
      </c>
      <c r="AB105" s="57">
        <f t="shared" si="86"/>
        <v>21.695523004366155</v>
      </c>
      <c r="AC105" s="57">
        <f t="shared" si="86"/>
        <v>27.36232393964416</v>
      </c>
      <c r="AD105" s="57">
        <f t="shared" si="86"/>
        <v>32.085597293340236</v>
      </c>
    </row>
    <row r="106" spans="1:30" x14ac:dyDescent="0.25">
      <c r="A106" s="24" t="s">
        <v>158</v>
      </c>
      <c r="B106" s="24" t="s">
        <v>159</v>
      </c>
      <c r="C106" s="66">
        <f t="shared" ref="C106:AD106" si="87">+VS_tot_omsat_lager_afg</f>
        <v>0.13092377276210895</v>
      </c>
      <c r="D106" s="67">
        <f t="shared" si="87"/>
        <v>0.13092377276210895</v>
      </c>
      <c r="E106" s="67">
        <f t="shared" si="87"/>
        <v>0.13092377276210895</v>
      </c>
      <c r="F106" s="67">
        <f t="shared" si="87"/>
        <v>0.13092377276210895</v>
      </c>
      <c r="G106" s="67">
        <f t="shared" si="87"/>
        <v>0.13092377276210895</v>
      </c>
      <c r="H106" s="67">
        <f t="shared" si="87"/>
        <v>0.13092377276210895</v>
      </c>
      <c r="I106" s="67">
        <f t="shared" si="87"/>
        <v>0.13092377276210895</v>
      </c>
      <c r="J106" s="67">
        <f t="shared" si="87"/>
        <v>0.13092377276210895</v>
      </c>
      <c r="K106" s="67">
        <f t="shared" si="87"/>
        <v>0.13092377276210895</v>
      </c>
      <c r="L106" s="67">
        <f t="shared" si="87"/>
        <v>0.13092377276210895</v>
      </c>
      <c r="M106" s="67">
        <f t="shared" si="87"/>
        <v>0.13092377276210895</v>
      </c>
      <c r="N106" s="67">
        <f t="shared" si="87"/>
        <v>0.13092377276210895</v>
      </c>
      <c r="O106" s="67">
        <f t="shared" si="87"/>
        <v>0.13092377276210895</v>
      </c>
      <c r="P106" s="67">
        <f t="shared" si="87"/>
        <v>0.13092377276210895</v>
      </c>
      <c r="Q106" s="67">
        <f t="shared" si="87"/>
        <v>0.13092377276210895</v>
      </c>
      <c r="R106" s="67">
        <f t="shared" si="87"/>
        <v>0.13092377276210895</v>
      </c>
      <c r="S106" s="67">
        <f t="shared" si="87"/>
        <v>0.13092377276210895</v>
      </c>
      <c r="T106" s="67">
        <f t="shared" si="87"/>
        <v>0.13092377276210895</v>
      </c>
      <c r="U106" s="67">
        <f t="shared" si="87"/>
        <v>0.13092377276210895</v>
      </c>
      <c r="V106" s="67">
        <f t="shared" si="87"/>
        <v>0.13092377276210895</v>
      </c>
      <c r="W106" s="67">
        <f t="shared" si="87"/>
        <v>0.13092377276210895</v>
      </c>
      <c r="X106" s="67">
        <f t="shared" si="87"/>
        <v>0.13092377276210895</v>
      </c>
      <c r="Y106" s="67">
        <f t="shared" si="87"/>
        <v>0.13092377276210895</v>
      </c>
      <c r="Z106" s="67">
        <f t="shared" si="87"/>
        <v>0.13092377276210895</v>
      </c>
      <c r="AA106" s="67">
        <f t="shared" si="87"/>
        <v>0.13092377276210895</v>
      </c>
      <c r="AB106" s="67">
        <f t="shared" si="87"/>
        <v>0.13092377276210895</v>
      </c>
      <c r="AC106" s="67">
        <f t="shared" si="87"/>
        <v>0.13092377276210895</v>
      </c>
      <c r="AD106" s="67">
        <f t="shared" si="87"/>
        <v>0.13092377276210895</v>
      </c>
    </row>
    <row r="107" spans="1:30" x14ac:dyDescent="0.25">
      <c r="A107" s="24" t="s">
        <v>160</v>
      </c>
      <c r="B107" s="24"/>
      <c r="C107" s="54">
        <f>+C105*C106</f>
        <v>1.7927179894735989</v>
      </c>
      <c r="D107" s="55">
        <f t="shared" ref="D107:Q107" si="88">+D105*D106</f>
        <v>2.1249161463506443</v>
      </c>
      <c r="E107" s="55">
        <f t="shared" si="88"/>
        <v>2.2051773749234997</v>
      </c>
      <c r="F107" s="55">
        <f t="shared" si="88"/>
        <v>1.9040797356594275</v>
      </c>
      <c r="G107" s="55">
        <f t="shared" si="88"/>
        <v>2.1312026361060012</v>
      </c>
      <c r="H107" s="55">
        <f t="shared" si="88"/>
        <v>2.2122025688929909</v>
      </c>
      <c r="I107" s="55">
        <f t="shared" si="88"/>
        <v>2.0464205344388993</v>
      </c>
      <c r="J107" s="55">
        <f t="shared" si="88"/>
        <v>2.1565253614572777</v>
      </c>
      <c r="K107" s="55">
        <f t="shared" si="88"/>
        <v>2.2389739196625129</v>
      </c>
      <c r="L107" s="55">
        <f t="shared" si="88"/>
        <v>2.2223156024038175</v>
      </c>
      <c r="M107" s="55">
        <f t="shared" si="88"/>
        <v>2.40223716422781</v>
      </c>
      <c r="N107" s="55">
        <f t="shared" si="88"/>
        <v>2.4938284888167117</v>
      </c>
      <c r="O107" s="55">
        <f t="shared" si="88"/>
        <v>2.6289655136193169</v>
      </c>
      <c r="P107" s="55">
        <f t="shared" si="88"/>
        <v>2.3201150435385895</v>
      </c>
      <c r="Q107" s="55">
        <f t="shared" si="88"/>
        <v>2.4198211127345433</v>
      </c>
      <c r="R107" s="55">
        <f>+R105*R106</f>
        <v>2.5124183541197866</v>
      </c>
      <c r="S107" s="55">
        <f t="shared" ref="S107:AD107" si="89">+S105*S106</f>
        <v>2.3990448201463495</v>
      </c>
      <c r="T107" s="55">
        <f t="shared" si="89"/>
        <v>2.5312123856780619</v>
      </c>
      <c r="U107" s="55">
        <f t="shared" si="89"/>
        <v>1.6917642702297186</v>
      </c>
      <c r="V107" s="55">
        <f t="shared" si="89"/>
        <v>1.9323086570757797</v>
      </c>
      <c r="W107" s="55">
        <f t="shared" si="89"/>
        <v>1.7649414886336572</v>
      </c>
      <c r="X107" s="55">
        <f t="shared" si="89"/>
        <v>2.0229995860202137</v>
      </c>
      <c r="Y107" s="55">
        <f t="shared" si="89"/>
        <v>2.3882380251280741</v>
      </c>
      <c r="Z107" s="55">
        <f t="shared" si="89"/>
        <v>2.5946729922673382</v>
      </c>
      <c r="AA107" s="55">
        <f t="shared" si="89"/>
        <v>2.69357746890367</v>
      </c>
      <c r="AB107" s="55">
        <f t="shared" si="89"/>
        <v>2.8404597237787419</v>
      </c>
      <c r="AC107" s="55">
        <f t="shared" si="89"/>
        <v>3.5823786817171857</v>
      </c>
      <c r="AD107" s="55">
        <f t="shared" si="89"/>
        <v>4.200767448969815</v>
      </c>
    </row>
    <row r="108" spans="1:30" x14ac:dyDescent="0.25">
      <c r="A108" s="24" t="s">
        <v>128</v>
      </c>
      <c r="B108" s="24"/>
      <c r="C108" s="54">
        <f t="shared" ref="C108:AD108" si="90">+C107/C32</f>
        <v>0.10756307936841593</v>
      </c>
      <c r="D108" s="55">
        <f t="shared" si="90"/>
        <v>0.12749496878103864</v>
      </c>
      <c r="E108" s="55">
        <f t="shared" si="90"/>
        <v>0.13231064249540997</v>
      </c>
      <c r="F108" s="55">
        <f t="shared" si="90"/>
        <v>0.11424478413956564</v>
      </c>
      <c r="G108" s="55">
        <f t="shared" si="90"/>
        <v>0.12787215816636008</v>
      </c>
      <c r="H108" s="55">
        <f t="shared" si="90"/>
        <v>0.13273215413357944</v>
      </c>
      <c r="I108" s="55">
        <f t="shared" si="90"/>
        <v>0.12278523206633395</v>
      </c>
      <c r="J108" s="55">
        <f t="shared" si="90"/>
        <v>0.12939152168743664</v>
      </c>
      <c r="K108" s="55">
        <f t="shared" si="90"/>
        <v>0.13433843517975078</v>
      </c>
      <c r="L108" s="55">
        <f t="shared" si="90"/>
        <v>0.13333893614422904</v>
      </c>
      <c r="M108" s="55">
        <f t="shared" si="90"/>
        <v>0.14413422985366858</v>
      </c>
      <c r="N108" s="55">
        <f t="shared" si="90"/>
        <v>0.14962970932900269</v>
      </c>
      <c r="O108" s="55">
        <f t="shared" si="90"/>
        <v>0.15773793081715901</v>
      </c>
      <c r="P108" s="55">
        <f t="shared" si="90"/>
        <v>0.13920690261231536</v>
      </c>
      <c r="Q108" s="55">
        <f t="shared" si="90"/>
        <v>0.14518926676407259</v>
      </c>
      <c r="R108" s="55">
        <f t="shared" si="90"/>
        <v>0.15074510124718718</v>
      </c>
      <c r="S108" s="55">
        <f t="shared" si="90"/>
        <v>0.14394268920878095</v>
      </c>
      <c r="T108" s="55">
        <f t="shared" si="90"/>
        <v>0.15187274314068372</v>
      </c>
      <c r="U108" s="55">
        <f t="shared" si="90"/>
        <v>0.10150585621378311</v>
      </c>
      <c r="V108" s="55">
        <f t="shared" si="90"/>
        <v>0.11593851942454678</v>
      </c>
      <c r="W108" s="55">
        <f t="shared" si="90"/>
        <v>0.10589648931801943</v>
      </c>
      <c r="X108" s="55">
        <f t="shared" si="90"/>
        <v>0.12137997516121281</v>
      </c>
      <c r="Y108" s="55">
        <f t="shared" si="90"/>
        <v>0.14329428150768445</v>
      </c>
      <c r="Z108" s="55">
        <f t="shared" si="90"/>
        <v>0.15568037953604028</v>
      </c>
      <c r="AA108" s="55">
        <f t="shared" si="90"/>
        <v>0.16161464813422019</v>
      </c>
      <c r="AB108" s="55">
        <f t="shared" si="90"/>
        <v>0.17042758342672451</v>
      </c>
      <c r="AC108" s="55">
        <f t="shared" si="90"/>
        <v>0.21494272090303113</v>
      </c>
      <c r="AD108" s="55">
        <f t="shared" si="90"/>
        <v>0.25204604693818888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topLeftCell="A3" workbookViewId="0">
      <selection activeCell="C22" sqref="C22"/>
    </sheetView>
  </sheetViews>
  <sheetFormatPr defaultRowHeight="15" x14ac:dyDescent="0.25"/>
  <cols>
    <col min="1" max="2" width="45.5703125" customWidth="1"/>
    <col min="3" max="28" width="9.570312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D1" s="24" t="s">
        <v>2</v>
      </c>
      <c r="E1" s="24" t="s">
        <v>2</v>
      </c>
      <c r="F1" s="24" t="s">
        <v>2</v>
      </c>
      <c r="G1" s="24" t="s">
        <v>2</v>
      </c>
      <c r="H1" s="24" t="s">
        <v>2</v>
      </c>
      <c r="I1" s="24" t="s">
        <v>2</v>
      </c>
      <c r="J1" s="24" t="s">
        <v>2</v>
      </c>
      <c r="K1" s="24" t="s">
        <v>2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4</v>
      </c>
      <c r="V1" s="24" t="s">
        <v>4</v>
      </c>
      <c r="W1" s="24" t="s">
        <v>4</v>
      </c>
      <c r="X1" s="24" t="s">
        <v>4</v>
      </c>
      <c r="Y1" s="24" t="s">
        <v>4</v>
      </c>
      <c r="Z1" s="24" t="s">
        <v>4</v>
      </c>
      <c r="AA1" s="24" t="s">
        <v>4</v>
      </c>
      <c r="AB1" s="24" t="s">
        <v>4</v>
      </c>
    </row>
    <row r="2" spans="1:28" ht="105" x14ac:dyDescent="0.25">
      <c r="A2" s="42" t="s">
        <v>5</v>
      </c>
      <c r="B2" s="24" t="s">
        <v>6</v>
      </c>
      <c r="C2" s="39" t="s">
        <v>7</v>
      </c>
      <c r="D2" s="39" t="s">
        <v>7</v>
      </c>
      <c r="E2" s="39" t="s">
        <v>7</v>
      </c>
      <c r="F2" s="39" t="s">
        <v>8</v>
      </c>
      <c r="G2" s="39" t="s">
        <v>8</v>
      </c>
      <c r="H2" s="39" t="s">
        <v>8</v>
      </c>
      <c r="I2" s="39" t="s">
        <v>9</v>
      </c>
      <c r="J2" s="39" t="s">
        <v>9</v>
      </c>
      <c r="K2" s="39" t="s">
        <v>9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11</v>
      </c>
      <c r="Q2" s="39" t="s">
        <v>11</v>
      </c>
      <c r="R2" s="39" t="s">
        <v>11</v>
      </c>
      <c r="S2" s="39" t="s">
        <v>12</v>
      </c>
      <c r="T2" s="39" t="s">
        <v>12</v>
      </c>
      <c r="U2" s="39" t="s">
        <v>13</v>
      </c>
      <c r="V2" s="39" t="s">
        <v>13</v>
      </c>
      <c r="W2" s="39" t="s">
        <v>14</v>
      </c>
      <c r="X2" s="39" t="s">
        <v>14</v>
      </c>
      <c r="Y2" s="39" t="s">
        <v>15</v>
      </c>
      <c r="Z2" s="39" t="s">
        <v>15</v>
      </c>
      <c r="AA2" s="39" t="s">
        <v>15</v>
      </c>
      <c r="AB2" s="39" t="s">
        <v>15</v>
      </c>
    </row>
    <row r="3" spans="1:28" x14ac:dyDescent="0.25">
      <c r="A3" s="24" t="s">
        <v>16</v>
      </c>
      <c r="B3" s="24" t="s">
        <v>17</v>
      </c>
      <c r="C3" s="35">
        <v>48</v>
      </c>
      <c r="D3" s="36">
        <v>14</v>
      </c>
      <c r="E3" s="36">
        <v>7</v>
      </c>
      <c r="F3" s="36">
        <v>36</v>
      </c>
      <c r="G3" s="36">
        <v>14</v>
      </c>
      <c r="H3" s="36">
        <v>7</v>
      </c>
      <c r="I3" s="36">
        <v>24</v>
      </c>
      <c r="J3" s="36">
        <v>14</v>
      </c>
      <c r="K3" s="36">
        <v>7</v>
      </c>
      <c r="L3" s="36">
        <v>29</v>
      </c>
      <c r="M3" s="36">
        <v>14</v>
      </c>
      <c r="N3" s="36">
        <v>7</v>
      </c>
      <c r="O3" s="36">
        <v>1</v>
      </c>
      <c r="P3" s="36">
        <v>22</v>
      </c>
      <c r="Q3" s="36">
        <v>14</v>
      </c>
      <c r="R3" s="36">
        <v>7</v>
      </c>
      <c r="S3" s="36">
        <v>17</v>
      </c>
      <c r="T3" s="36">
        <v>7</v>
      </c>
      <c r="U3" s="36">
        <v>41</v>
      </c>
      <c r="V3" s="36">
        <v>14</v>
      </c>
      <c r="W3" s="36">
        <v>41</v>
      </c>
      <c r="X3" s="36">
        <v>14</v>
      </c>
      <c r="Y3" s="36">
        <v>30</v>
      </c>
      <c r="Z3" s="36">
        <v>14</v>
      </c>
      <c r="AA3" s="36">
        <v>7</v>
      </c>
      <c r="AB3" s="36">
        <v>1</v>
      </c>
    </row>
    <row r="4" spans="1:28" x14ac:dyDescent="0.25">
      <c r="A4" s="40" t="s">
        <v>213</v>
      </c>
      <c r="B4" s="41" t="s">
        <v>214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4" t="s">
        <v>215</v>
      </c>
      <c r="B5" s="24" t="s">
        <v>216</v>
      </c>
      <c r="C5" s="29">
        <v>0.45</v>
      </c>
      <c r="D5" s="30">
        <v>0.45</v>
      </c>
      <c r="E5" s="30">
        <v>0.45</v>
      </c>
      <c r="F5" s="30">
        <v>0.45</v>
      </c>
      <c r="G5" s="30">
        <v>0.45</v>
      </c>
      <c r="H5" s="30">
        <v>0.45</v>
      </c>
      <c r="I5" s="30">
        <v>0.45</v>
      </c>
      <c r="J5" s="30">
        <v>0.45</v>
      </c>
      <c r="K5" s="30">
        <v>2.93</v>
      </c>
      <c r="L5" s="30">
        <v>2.93</v>
      </c>
      <c r="M5" s="30">
        <v>2.93</v>
      </c>
      <c r="N5" s="30">
        <v>2.93</v>
      </c>
      <c r="O5" s="30">
        <v>2.93</v>
      </c>
      <c r="P5" s="30">
        <v>2.93</v>
      </c>
      <c r="Q5" s="30">
        <v>2.93</v>
      </c>
      <c r="R5" s="30">
        <v>2.93</v>
      </c>
      <c r="S5" s="30">
        <v>2.93</v>
      </c>
      <c r="T5" s="30">
        <v>2.93</v>
      </c>
      <c r="U5" s="30">
        <f>23.84*0.3</f>
        <v>7.1520000000000001</v>
      </c>
      <c r="V5" s="30">
        <f t="shared" ref="V5:X5" si="0">23.84*0.3</f>
        <v>7.1520000000000001</v>
      </c>
      <c r="W5" s="30">
        <f t="shared" si="0"/>
        <v>7.1520000000000001</v>
      </c>
      <c r="X5" s="30">
        <f t="shared" si="0"/>
        <v>7.1520000000000001</v>
      </c>
      <c r="Y5" s="30">
        <f>23.84*0.7</f>
        <v>16.687999999999999</v>
      </c>
      <c r="Z5" s="30">
        <f t="shared" ref="Z5:AB5" si="1">23.84*0.7</f>
        <v>16.687999999999999</v>
      </c>
      <c r="AA5" s="30">
        <f t="shared" si="1"/>
        <v>16.687999999999999</v>
      </c>
      <c r="AB5" s="30">
        <f t="shared" si="1"/>
        <v>16.687999999999999</v>
      </c>
    </row>
    <row r="6" spans="1:28" x14ac:dyDescent="0.25">
      <c r="A6" s="24" t="s">
        <v>217</v>
      </c>
      <c r="B6" s="24" t="s">
        <v>216</v>
      </c>
      <c r="C6" s="29">
        <v>0.26</v>
      </c>
      <c r="D6" s="30">
        <v>0.26</v>
      </c>
      <c r="E6" s="30">
        <v>0.26</v>
      </c>
      <c r="F6" s="30">
        <v>0.26</v>
      </c>
      <c r="G6" s="30">
        <v>0.26</v>
      </c>
      <c r="H6" s="30">
        <v>0.26</v>
      </c>
      <c r="I6" s="30">
        <v>0.26</v>
      </c>
      <c r="J6" s="30">
        <v>0.26</v>
      </c>
      <c r="K6" s="30">
        <v>1.9</v>
      </c>
      <c r="L6" s="30">
        <v>1.9</v>
      </c>
      <c r="M6" s="30">
        <v>1.9</v>
      </c>
      <c r="N6" s="30">
        <v>1.9</v>
      </c>
      <c r="O6" s="30">
        <v>1.9</v>
      </c>
      <c r="P6" s="30">
        <v>1.9</v>
      </c>
      <c r="Q6" s="30">
        <v>1.9</v>
      </c>
      <c r="R6" s="30">
        <v>1.9</v>
      </c>
      <c r="S6" s="30">
        <v>1.9</v>
      </c>
      <c r="T6" s="30">
        <v>1.9</v>
      </c>
      <c r="U6" s="30">
        <f>17.5*0.3</f>
        <v>5.25</v>
      </c>
      <c r="V6" s="30">
        <f t="shared" ref="V6:X6" si="2">17.5*0.3</f>
        <v>5.25</v>
      </c>
      <c r="W6" s="30">
        <f t="shared" si="2"/>
        <v>5.25</v>
      </c>
      <c r="X6" s="30">
        <f t="shared" si="2"/>
        <v>5.25</v>
      </c>
      <c r="Y6" s="30">
        <f>17.5*0.7</f>
        <v>12.25</v>
      </c>
      <c r="Z6" s="30">
        <f t="shared" ref="Z6:AB6" si="3">17.5*0.7</f>
        <v>12.25</v>
      </c>
      <c r="AA6" s="30">
        <f t="shared" si="3"/>
        <v>12.25</v>
      </c>
      <c r="AB6" s="30">
        <f t="shared" si="3"/>
        <v>12.25</v>
      </c>
    </row>
    <row r="7" spans="1:28" x14ac:dyDescent="0.25">
      <c r="A7" s="24" t="s">
        <v>218</v>
      </c>
      <c r="B7" s="24" t="s">
        <v>216</v>
      </c>
      <c r="C7" s="29">
        <v>0</v>
      </c>
      <c r="D7" s="30">
        <v>0</v>
      </c>
      <c r="E7" s="30">
        <v>0</v>
      </c>
      <c r="F7" s="30">
        <f>1*0.85*0.005</f>
        <v>4.2500000000000003E-3</v>
      </c>
      <c r="G7" s="30">
        <f t="shared" ref="G7:K7" si="4">1*0.85*0.005</f>
        <v>4.2500000000000003E-3</v>
      </c>
      <c r="H7" s="30">
        <f t="shared" si="4"/>
        <v>4.2500000000000003E-3</v>
      </c>
      <c r="I7" s="30">
        <f t="shared" si="4"/>
        <v>4.2500000000000003E-3</v>
      </c>
      <c r="J7" s="30">
        <f t="shared" si="4"/>
        <v>4.2500000000000003E-3</v>
      </c>
      <c r="K7" s="30">
        <f t="shared" si="4"/>
        <v>4.2500000000000003E-3</v>
      </c>
      <c r="L7" s="30">
        <v>0</v>
      </c>
      <c r="M7" s="30">
        <v>0</v>
      </c>
      <c r="N7" s="30">
        <v>0</v>
      </c>
      <c r="O7" s="30">
        <v>0</v>
      </c>
      <c r="P7" s="30">
        <f>3*0.85*0.005</f>
        <v>1.2749999999999999E-2</v>
      </c>
      <c r="Q7" s="30">
        <f t="shared" ref="Q7:T7" si="5">3*0.85*0.005</f>
        <v>1.2749999999999999E-2</v>
      </c>
      <c r="R7" s="30">
        <f t="shared" si="5"/>
        <v>1.2749999999999999E-2</v>
      </c>
      <c r="S7" s="30">
        <f t="shared" si="5"/>
        <v>1.2749999999999999E-2</v>
      </c>
      <c r="T7" s="30">
        <f t="shared" si="5"/>
        <v>1.2749999999999999E-2</v>
      </c>
      <c r="U7" s="30">
        <v>0</v>
      </c>
      <c r="V7" s="30">
        <v>0</v>
      </c>
      <c r="W7" s="30">
        <v>0</v>
      </c>
      <c r="X7" s="30">
        <v>0</v>
      </c>
      <c r="Y7" s="30">
        <f>50*0.85*0.005</f>
        <v>0.21249999999999999</v>
      </c>
      <c r="Z7" s="30">
        <f t="shared" ref="Z7:AB7" si="6">50*0.85*0.005</f>
        <v>0.21249999999999999</v>
      </c>
      <c r="AA7" s="30">
        <f t="shared" si="6"/>
        <v>0.21249999999999999</v>
      </c>
      <c r="AB7" s="30">
        <f t="shared" si="6"/>
        <v>0.21249999999999999</v>
      </c>
    </row>
    <row r="8" spans="1:28" x14ac:dyDescent="0.25">
      <c r="A8" s="24" t="s">
        <v>219</v>
      </c>
      <c r="B8" s="24" t="s">
        <v>216</v>
      </c>
      <c r="C8" s="29">
        <v>0.21</v>
      </c>
      <c r="D8" s="30">
        <v>0.21</v>
      </c>
      <c r="E8" s="30">
        <v>0.21</v>
      </c>
      <c r="F8" s="30">
        <v>0.1</v>
      </c>
      <c r="G8" s="30">
        <v>0.1</v>
      </c>
      <c r="H8" s="30">
        <v>0.1</v>
      </c>
      <c r="I8" s="30">
        <v>0.1</v>
      </c>
      <c r="J8" s="30">
        <v>0.1</v>
      </c>
      <c r="K8" s="30">
        <v>0.1</v>
      </c>
      <c r="L8" s="30">
        <v>0.21</v>
      </c>
      <c r="M8" s="30">
        <v>0.21</v>
      </c>
      <c r="N8" s="30">
        <v>0.21</v>
      </c>
      <c r="O8" s="30">
        <v>0.21</v>
      </c>
      <c r="P8" s="30">
        <v>0.17</v>
      </c>
      <c r="Q8" s="30">
        <v>0.17</v>
      </c>
      <c r="R8" s="30">
        <v>0.17</v>
      </c>
      <c r="S8" s="30">
        <v>0.14000000000000001</v>
      </c>
      <c r="T8" s="30">
        <v>0.14000000000000001</v>
      </c>
      <c r="U8" s="30">
        <v>0.26</v>
      </c>
      <c r="V8" s="30">
        <v>0.26</v>
      </c>
      <c r="W8" s="30">
        <v>0.13</v>
      </c>
      <c r="X8" s="30">
        <v>0.13</v>
      </c>
      <c r="Y8" s="30">
        <v>0.16</v>
      </c>
      <c r="Z8" s="30">
        <v>0.16</v>
      </c>
      <c r="AA8" s="30">
        <v>0.16</v>
      </c>
      <c r="AB8" s="30">
        <v>0.16</v>
      </c>
    </row>
    <row r="9" spans="1:28" x14ac:dyDescent="0.25">
      <c r="A9" s="24" t="s">
        <v>220</v>
      </c>
      <c r="B9" s="24"/>
      <c r="C9" s="31">
        <f>C6*C8</f>
        <v>5.4600000000000003E-2</v>
      </c>
      <c r="D9" s="32">
        <f t="shared" ref="D9:AB9" si="7">D6*D8</f>
        <v>5.4600000000000003E-2</v>
      </c>
      <c r="E9" s="32">
        <f t="shared" si="7"/>
        <v>5.4600000000000003E-2</v>
      </c>
      <c r="F9" s="32">
        <f t="shared" si="7"/>
        <v>2.6000000000000002E-2</v>
      </c>
      <c r="G9" s="32">
        <f t="shared" si="7"/>
        <v>2.6000000000000002E-2</v>
      </c>
      <c r="H9" s="32">
        <f t="shared" si="7"/>
        <v>2.6000000000000002E-2</v>
      </c>
      <c r="I9" s="32">
        <f t="shared" si="7"/>
        <v>2.6000000000000002E-2</v>
      </c>
      <c r="J9" s="32">
        <f t="shared" si="7"/>
        <v>2.6000000000000002E-2</v>
      </c>
      <c r="K9" s="32">
        <f t="shared" si="7"/>
        <v>0.19</v>
      </c>
      <c r="L9" s="32">
        <f t="shared" si="7"/>
        <v>0.39899999999999997</v>
      </c>
      <c r="M9" s="32">
        <f t="shared" si="7"/>
        <v>0.39899999999999997</v>
      </c>
      <c r="N9" s="32">
        <f t="shared" si="7"/>
        <v>0.39899999999999997</v>
      </c>
      <c r="O9" s="32">
        <f t="shared" si="7"/>
        <v>0.39899999999999997</v>
      </c>
      <c r="P9" s="32">
        <f t="shared" si="7"/>
        <v>0.32300000000000001</v>
      </c>
      <c r="Q9" s="32">
        <f t="shared" si="7"/>
        <v>0.32300000000000001</v>
      </c>
      <c r="R9" s="32">
        <f t="shared" si="7"/>
        <v>0.32300000000000001</v>
      </c>
      <c r="S9" s="32">
        <f t="shared" si="7"/>
        <v>0.26600000000000001</v>
      </c>
      <c r="T9" s="32">
        <f t="shared" si="7"/>
        <v>0.26600000000000001</v>
      </c>
      <c r="U9" s="32">
        <f t="shared" si="7"/>
        <v>1.365</v>
      </c>
      <c r="V9" s="32">
        <f t="shared" si="7"/>
        <v>1.365</v>
      </c>
      <c r="W9" s="32">
        <f t="shared" si="7"/>
        <v>0.6825</v>
      </c>
      <c r="X9" s="32">
        <f t="shared" si="7"/>
        <v>0.6825</v>
      </c>
      <c r="Y9" s="32">
        <f t="shared" si="7"/>
        <v>1.96</v>
      </c>
      <c r="Z9" s="32">
        <f t="shared" si="7"/>
        <v>1.96</v>
      </c>
      <c r="AA9" s="32">
        <f t="shared" si="7"/>
        <v>1.96</v>
      </c>
      <c r="AB9" s="32">
        <f t="shared" si="7"/>
        <v>1.96</v>
      </c>
    </row>
    <row r="10" spans="1:28" x14ac:dyDescent="0.25">
      <c r="A10" s="24" t="s">
        <v>221</v>
      </c>
      <c r="B10" s="24"/>
      <c r="C10" s="31">
        <f t="shared" ref="C10:AB10" si="8">C5+C7-C9</f>
        <v>0.39540000000000003</v>
      </c>
      <c r="D10" s="32">
        <f t="shared" si="8"/>
        <v>0.39540000000000003</v>
      </c>
      <c r="E10" s="32">
        <f t="shared" si="8"/>
        <v>0.39540000000000003</v>
      </c>
      <c r="F10" s="32">
        <f t="shared" si="8"/>
        <v>0.42824999999999996</v>
      </c>
      <c r="G10" s="32">
        <f t="shared" si="8"/>
        <v>0.42824999999999996</v>
      </c>
      <c r="H10" s="32">
        <f t="shared" si="8"/>
        <v>0.42824999999999996</v>
      </c>
      <c r="I10" s="32">
        <f t="shared" si="8"/>
        <v>0.42824999999999996</v>
      </c>
      <c r="J10" s="32">
        <f t="shared" si="8"/>
        <v>0.42824999999999996</v>
      </c>
      <c r="K10" s="32">
        <f t="shared" si="8"/>
        <v>2.7442500000000001</v>
      </c>
      <c r="L10" s="32">
        <f t="shared" si="8"/>
        <v>2.5310000000000001</v>
      </c>
      <c r="M10" s="32">
        <f t="shared" si="8"/>
        <v>2.5310000000000001</v>
      </c>
      <c r="N10" s="32">
        <f t="shared" si="8"/>
        <v>2.5310000000000001</v>
      </c>
      <c r="O10" s="32">
        <f t="shared" si="8"/>
        <v>2.5310000000000001</v>
      </c>
      <c r="P10" s="32">
        <f t="shared" si="8"/>
        <v>2.6197500000000002</v>
      </c>
      <c r="Q10" s="32">
        <f t="shared" si="8"/>
        <v>2.6197500000000002</v>
      </c>
      <c r="R10" s="32">
        <f t="shared" si="8"/>
        <v>2.6197500000000002</v>
      </c>
      <c r="S10" s="32">
        <f t="shared" si="8"/>
        <v>2.6767500000000002</v>
      </c>
      <c r="T10" s="32">
        <f t="shared" si="8"/>
        <v>2.6767500000000002</v>
      </c>
      <c r="U10" s="32">
        <f t="shared" si="8"/>
        <v>5.7869999999999999</v>
      </c>
      <c r="V10" s="32">
        <f t="shared" si="8"/>
        <v>5.7869999999999999</v>
      </c>
      <c r="W10" s="32">
        <f t="shared" si="8"/>
        <v>6.4695</v>
      </c>
      <c r="X10" s="32">
        <f t="shared" si="8"/>
        <v>6.4695</v>
      </c>
      <c r="Y10" s="32">
        <f t="shared" si="8"/>
        <v>14.940499999999997</v>
      </c>
      <c r="Z10" s="32">
        <f t="shared" si="8"/>
        <v>14.940499999999997</v>
      </c>
      <c r="AA10" s="32">
        <f t="shared" si="8"/>
        <v>14.940499999999997</v>
      </c>
      <c r="AB10" s="32">
        <f t="shared" si="8"/>
        <v>14.940499999999997</v>
      </c>
    </row>
    <row r="11" spans="1:28" x14ac:dyDescent="0.25">
      <c r="A11" s="24" t="s">
        <v>222</v>
      </c>
      <c r="B11" s="24"/>
      <c r="C11" s="31">
        <f t="shared" ref="C11:AB11" si="9">C6-C9</f>
        <v>0.2054</v>
      </c>
      <c r="D11" s="32">
        <f t="shared" si="9"/>
        <v>0.2054</v>
      </c>
      <c r="E11" s="32">
        <f t="shared" si="9"/>
        <v>0.2054</v>
      </c>
      <c r="F11" s="32">
        <f t="shared" si="9"/>
        <v>0.23400000000000001</v>
      </c>
      <c r="G11" s="32">
        <f t="shared" si="9"/>
        <v>0.23400000000000001</v>
      </c>
      <c r="H11" s="32">
        <f t="shared" si="9"/>
        <v>0.23400000000000001</v>
      </c>
      <c r="I11" s="32">
        <f t="shared" si="9"/>
        <v>0.23400000000000001</v>
      </c>
      <c r="J11" s="32">
        <f t="shared" si="9"/>
        <v>0.23400000000000001</v>
      </c>
      <c r="K11" s="32">
        <f t="shared" si="9"/>
        <v>1.71</v>
      </c>
      <c r="L11" s="32">
        <f t="shared" si="9"/>
        <v>1.5009999999999999</v>
      </c>
      <c r="M11" s="32">
        <f t="shared" si="9"/>
        <v>1.5009999999999999</v>
      </c>
      <c r="N11" s="32">
        <f t="shared" si="9"/>
        <v>1.5009999999999999</v>
      </c>
      <c r="O11" s="32">
        <f t="shared" si="9"/>
        <v>1.5009999999999999</v>
      </c>
      <c r="P11" s="32">
        <f t="shared" si="9"/>
        <v>1.577</v>
      </c>
      <c r="Q11" s="32">
        <f t="shared" si="9"/>
        <v>1.577</v>
      </c>
      <c r="R11" s="32">
        <f t="shared" si="9"/>
        <v>1.577</v>
      </c>
      <c r="S11" s="32">
        <f t="shared" si="9"/>
        <v>1.6339999999999999</v>
      </c>
      <c r="T11" s="32">
        <f t="shared" si="9"/>
        <v>1.6339999999999999</v>
      </c>
      <c r="U11" s="32">
        <f t="shared" si="9"/>
        <v>3.8849999999999998</v>
      </c>
      <c r="V11" s="32">
        <f t="shared" si="9"/>
        <v>3.8849999999999998</v>
      </c>
      <c r="W11" s="32">
        <f t="shared" si="9"/>
        <v>4.5674999999999999</v>
      </c>
      <c r="X11" s="32">
        <f t="shared" si="9"/>
        <v>4.5674999999999999</v>
      </c>
      <c r="Y11" s="32">
        <f t="shared" si="9"/>
        <v>10.29</v>
      </c>
      <c r="Z11" s="32">
        <f t="shared" si="9"/>
        <v>10.29</v>
      </c>
      <c r="AA11" s="32">
        <f t="shared" si="9"/>
        <v>10.29</v>
      </c>
      <c r="AB11" s="32">
        <f t="shared" si="9"/>
        <v>10.29</v>
      </c>
    </row>
    <row r="12" spans="1:28" x14ac:dyDescent="0.25">
      <c r="A12" s="24" t="s">
        <v>223</v>
      </c>
      <c r="B12" s="24" t="s">
        <v>216</v>
      </c>
      <c r="C12" s="29">
        <v>2.5000000000000001E-2</v>
      </c>
      <c r="D12" s="30">
        <v>2.5000000000000001E-2</v>
      </c>
      <c r="E12" s="30">
        <v>2.5000000000000001E-2</v>
      </c>
      <c r="F12" s="30">
        <v>2.5000000000000001E-2</v>
      </c>
      <c r="G12" s="30">
        <v>2.5000000000000001E-2</v>
      </c>
      <c r="H12" s="30">
        <v>2.5000000000000001E-2</v>
      </c>
      <c r="I12" s="30">
        <v>2.5000000000000001E-2</v>
      </c>
      <c r="J12" s="30">
        <v>2.5000000000000001E-2</v>
      </c>
      <c r="K12" s="30">
        <v>2.5000000000000001E-2</v>
      </c>
      <c r="L12" s="30">
        <v>2.5000000000000001E-2</v>
      </c>
      <c r="M12" s="30">
        <v>2.5000000000000001E-2</v>
      </c>
      <c r="N12" s="30">
        <v>2.5000000000000001E-2</v>
      </c>
      <c r="O12" s="30">
        <v>2.5000000000000001E-2</v>
      </c>
      <c r="P12" s="30">
        <v>2.5000000000000001E-2</v>
      </c>
      <c r="Q12" s="30">
        <v>2.5000000000000001E-2</v>
      </c>
      <c r="R12" s="30">
        <v>2.5000000000000001E-2</v>
      </c>
      <c r="S12" s="30">
        <v>2.5000000000000001E-2</v>
      </c>
      <c r="T12" s="30">
        <v>2.5000000000000001E-2</v>
      </c>
      <c r="U12" s="30">
        <v>2.5000000000000001E-2</v>
      </c>
      <c r="V12" s="30">
        <v>2.5000000000000001E-2</v>
      </c>
      <c r="W12" s="30">
        <v>2.5000000000000001E-2</v>
      </c>
      <c r="X12" s="30">
        <v>2.5000000000000001E-2</v>
      </c>
      <c r="Y12" s="30">
        <v>2.5000000000000001E-2</v>
      </c>
      <c r="Z12" s="30">
        <v>2.5000000000000001E-2</v>
      </c>
      <c r="AA12" s="30">
        <v>2.5000000000000001E-2</v>
      </c>
      <c r="AB12" s="30">
        <v>2.5000000000000001E-2</v>
      </c>
    </row>
    <row r="13" spans="1:28" x14ac:dyDescent="0.25">
      <c r="A13" s="24" t="s">
        <v>224</v>
      </c>
      <c r="B13" s="24"/>
      <c r="C13" s="31">
        <f>C11*C12</f>
        <v>5.1350000000000007E-3</v>
      </c>
      <c r="D13" s="32">
        <f t="shared" ref="D13:AB13" si="10">D11*D12</f>
        <v>5.1350000000000007E-3</v>
      </c>
      <c r="E13" s="32">
        <f t="shared" si="10"/>
        <v>5.1350000000000007E-3</v>
      </c>
      <c r="F13" s="32">
        <f t="shared" si="10"/>
        <v>5.850000000000001E-3</v>
      </c>
      <c r="G13" s="32">
        <f t="shared" si="10"/>
        <v>5.850000000000001E-3</v>
      </c>
      <c r="H13" s="32">
        <f t="shared" si="10"/>
        <v>5.850000000000001E-3</v>
      </c>
      <c r="I13" s="32">
        <f t="shared" si="10"/>
        <v>5.850000000000001E-3</v>
      </c>
      <c r="J13" s="32">
        <f t="shared" si="10"/>
        <v>5.850000000000001E-3</v>
      </c>
      <c r="K13" s="32">
        <f t="shared" si="10"/>
        <v>4.2750000000000003E-2</v>
      </c>
      <c r="L13" s="32">
        <f t="shared" si="10"/>
        <v>3.7525000000000003E-2</v>
      </c>
      <c r="M13" s="32">
        <f t="shared" si="10"/>
        <v>3.7525000000000003E-2</v>
      </c>
      <c r="N13" s="32">
        <f t="shared" si="10"/>
        <v>3.7525000000000003E-2</v>
      </c>
      <c r="O13" s="32">
        <f t="shared" si="10"/>
        <v>3.7525000000000003E-2</v>
      </c>
      <c r="P13" s="32">
        <f t="shared" si="10"/>
        <v>3.9425000000000002E-2</v>
      </c>
      <c r="Q13" s="32">
        <f t="shared" si="10"/>
        <v>3.9425000000000002E-2</v>
      </c>
      <c r="R13" s="32">
        <f t="shared" si="10"/>
        <v>3.9425000000000002E-2</v>
      </c>
      <c r="S13" s="32">
        <f t="shared" si="10"/>
        <v>4.0849999999999997E-2</v>
      </c>
      <c r="T13" s="32">
        <f t="shared" si="10"/>
        <v>4.0849999999999997E-2</v>
      </c>
      <c r="U13" s="32">
        <f t="shared" si="10"/>
        <v>9.7125000000000003E-2</v>
      </c>
      <c r="V13" s="32">
        <f t="shared" si="10"/>
        <v>9.7125000000000003E-2</v>
      </c>
      <c r="W13" s="32">
        <f t="shared" si="10"/>
        <v>0.1141875</v>
      </c>
      <c r="X13" s="32">
        <f t="shared" si="10"/>
        <v>0.1141875</v>
      </c>
      <c r="Y13" s="32">
        <f t="shared" si="10"/>
        <v>0.25724999999999998</v>
      </c>
      <c r="Z13" s="32">
        <f t="shared" si="10"/>
        <v>0.25724999999999998</v>
      </c>
      <c r="AA13" s="32">
        <f t="shared" si="10"/>
        <v>0.25724999999999998</v>
      </c>
      <c r="AB13" s="32">
        <f t="shared" si="10"/>
        <v>0.25724999999999998</v>
      </c>
    </row>
    <row r="14" spans="1:28" x14ac:dyDescent="0.25">
      <c r="A14" s="24" t="s">
        <v>225</v>
      </c>
      <c r="B14" s="24"/>
      <c r="C14" s="31">
        <f>C10-C13</f>
        <v>0.39026500000000003</v>
      </c>
      <c r="D14" s="32">
        <f t="shared" ref="D14:AB14" si="11">D10-D13</f>
        <v>0.39026500000000003</v>
      </c>
      <c r="E14" s="32">
        <f t="shared" si="11"/>
        <v>0.39026500000000003</v>
      </c>
      <c r="F14" s="32">
        <f t="shared" si="11"/>
        <v>0.42239999999999994</v>
      </c>
      <c r="G14" s="32">
        <f t="shared" si="11"/>
        <v>0.42239999999999994</v>
      </c>
      <c r="H14" s="32">
        <f t="shared" si="11"/>
        <v>0.42239999999999994</v>
      </c>
      <c r="I14" s="32">
        <f t="shared" si="11"/>
        <v>0.42239999999999994</v>
      </c>
      <c r="J14" s="32">
        <f t="shared" si="11"/>
        <v>0.42239999999999994</v>
      </c>
      <c r="K14" s="32">
        <f t="shared" si="11"/>
        <v>2.7015000000000002</v>
      </c>
      <c r="L14" s="32">
        <f t="shared" si="11"/>
        <v>2.4934750000000001</v>
      </c>
      <c r="M14" s="32">
        <f t="shared" si="11"/>
        <v>2.4934750000000001</v>
      </c>
      <c r="N14" s="32">
        <f t="shared" si="11"/>
        <v>2.4934750000000001</v>
      </c>
      <c r="O14" s="32">
        <f t="shared" si="11"/>
        <v>2.4934750000000001</v>
      </c>
      <c r="P14" s="32">
        <f t="shared" si="11"/>
        <v>2.5803250000000002</v>
      </c>
      <c r="Q14" s="32">
        <f t="shared" si="11"/>
        <v>2.5803250000000002</v>
      </c>
      <c r="R14" s="32">
        <f t="shared" si="11"/>
        <v>2.5803250000000002</v>
      </c>
      <c r="S14" s="32">
        <f t="shared" si="11"/>
        <v>2.6359000000000004</v>
      </c>
      <c r="T14" s="32">
        <f t="shared" si="11"/>
        <v>2.6359000000000004</v>
      </c>
      <c r="U14" s="32">
        <f t="shared" si="11"/>
        <v>5.6898749999999998</v>
      </c>
      <c r="V14" s="32">
        <f t="shared" si="11"/>
        <v>5.6898749999999998</v>
      </c>
      <c r="W14" s="32">
        <f t="shared" si="11"/>
        <v>6.3553125000000001</v>
      </c>
      <c r="X14" s="32">
        <f t="shared" si="11"/>
        <v>6.3553125000000001</v>
      </c>
      <c r="Y14" s="32">
        <f t="shared" si="11"/>
        <v>14.683249999999997</v>
      </c>
      <c r="Z14" s="32">
        <f t="shared" si="11"/>
        <v>14.683249999999997</v>
      </c>
      <c r="AA14" s="32">
        <f t="shared" si="11"/>
        <v>14.683249999999997</v>
      </c>
      <c r="AB14" s="32">
        <f t="shared" si="11"/>
        <v>14.683249999999997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40" t="s">
        <v>226</v>
      </c>
      <c r="B16" s="41" t="s">
        <v>214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24" t="s">
        <v>215</v>
      </c>
      <c r="B17" s="24" t="s">
        <v>216</v>
      </c>
      <c r="C17" s="35">
        <f>+C5</f>
        <v>0.45</v>
      </c>
      <c r="D17" s="36">
        <f t="shared" ref="D17:AB18" si="12">+D5</f>
        <v>0.45</v>
      </c>
      <c r="E17" s="36">
        <f t="shared" si="12"/>
        <v>0.45</v>
      </c>
      <c r="F17" s="36">
        <f t="shared" si="12"/>
        <v>0.45</v>
      </c>
      <c r="G17" s="36">
        <f t="shared" si="12"/>
        <v>0.45</v>
      </c>
      <c r="H17" s="36">
        <f t="shared" si="12"/>
        <v>0.45</v>
      </c>
      <c r="I17" s="36">
        <f t="shared" si="12"/>
        <v>0.45</v>
      </c>
      <c r="J17" s="36">
        <f t="shared" si="12"/>
        <v>0.45</v>
      </c>
      <c r="K17" s="36">
        <f t="shared" si="12"/>
        <v>2.93</v>
      </c>
      <c r="L17" s="36">
        <f t="shared" si="12"/>
        <v>2.93</v>
      </c>
      <c r="M17" s="36">
        <f t="shared" si="12"/>
        <v>2.93</v>
      </c>
      <c r="N17" s="36">
        <f t="shared" si="12"/>
        <v>2.93</v>
      </c>
      <c r="O17" s="36">
        <f t="shared" si="12"/>
        <v>2.93</v>
      </c>
      <c r="P17" s="36">
        <f t="shared" si="12"/>
        <v>2.93</v>
      </c>
      <c r="Q17" s="36">
        <f t="shared" si="12"/>
        <v>2.93</v>
      </c>
      <c r="R17" s="36">
        <f t="shared" si="12"/>
        <v>2.93</v>
      </c>
      <c r="S17" s="36">
        <f t="shared" si="12"/>
        <v>2.93</v>
      </c>
      <c r="T17" s="36">
        <f t="shared" si="12"/>
        <v>2.93</v>
      </c>
      <c r="U17" s="36">
        <f t="shared" si="12"/>
        <v>7.1520000000000001</v>
      </c>
      <c r="V17" s="36">
        <f t="shared" si="12"/>
        <v>7.1520000000000001</v>
      </c>
      <c r="W17" s="36">
        <f t="shared" si="12"/>
        <v>7.1520000000000001</v>
      </c>
      <c r="X17" s="36">
        <f t="shared" si="12"/>
        <v>7.1520000000000001</v>
      </c>
      <c r="Y17" s="36">
        <f t="shared" si="12"/>
        <v>16.687999999999999</v>
      </c>
      <c r="Z17" s="36">
        <f t="shared" si="12"/>
        <v>16.687999999999999</v>
      </c>
      <c r="AA17" s="36">
        <f t="shared" si="12"/>
        <v>16.687999999999999</v>
      </c>
      <c r="AB17" s="36">
        <f t="shared" si="12"/>
        <v>16.687999999999999</v>
      </c>
    </row>
    <row r="18" spans="1:28" x14ac:dyDescent="0.25">
      <c r="A18" s="24" t="s">
        <v>217</v>
      </c>
      <c r="B18" s="24" t="s">
        <v>216</v>
      </c>
      <c r="C18" s="29">
        <f>+C6</f>
        <v>0.26</v>
      </c>
      <c r="D18" s="30">
        <f t="shared" si="12"/>
        <v>0.26</v>
      </c>
      <c r="E18" s="30">
        <f t="shared" si="12"/>
        <v>0.26</v>
      </c>
      <c r="F18" s="30">
        <f t="shared" si="12"/>
        <v>0.26</v>
      </c>
      <c r="G18" s="30">
        <f t="shared" si="12"/>
        <v>0.26</v>
      </c>
      <c r="H18" s="30">
        <f t="shared" si="12"/>
        <v>0.26</v>
      </c>
      <c r="I18" s="30">
        <f t="shared" si="12"/>
        <v>0.26</v>
      </c>
      <c r="J18" s="30">
        <f t="shared" si="12"/>
        <v>0.26</v>
      </c>
      <c r="K18" s="30">
        <f t="shared" si="12"/>
        <v>1.9</v>
      </c>
      <c r="L18" s="30">
        <f t="shared" si="12"/>
        <v>1.9</v>
      </c>
      <c r="M18" s="30">
        <f t="shared" si="12"/>
        <v>1.9</v>
      </c>
      <c r="N18" s="30">
        <f t="shared" si="12"/>
        <v>1.9</v>
      </c>
      <c r="O18" s="30">
        <f t="shared" si="12"/>
        <v>1.9</v>
      </c>
      <c r="P18" s="30">
        <f t="shared" si="12"/>
        <v>1.9</v>
      </c>
      <c r="Q18" s="30">
        <f t="shared" si="12"/>
        <v>1.9</v>
      </c>
      <c r="R18" s="30">
        <f t="shared" si="12"/>
        <v>1.9</v>
      </c>
      <c r="S18" s="30">
        <f t="shared" si="12"/>
        <v>1.9</v>
      </c>
      <c r="T18" s="30">
        <f t="shared" si="12"/>
        <v>1.9</v>
      </c>
      <c r="U18" s="30">
        <f t="shared" si="12"/>
        <v>5.25</v>
      </c>
      <c r="V18" s="30">
        <f t="shared" si="12"/>
        <v>5.25</v>
      </c>
      <c r="W18" s="30">
        <f t="shared" si="12"/>
        <v>5.25</v>
      </c>
      <c r="X18" s="30">
        <f t="shared" si="12"/>
        <v>5.25</v>
      </c>
      <c r="Y18" s="30">
        <f t="shared" si="12"/>
        <v>12.25</v>
      </c>
      <c r="Z18" s="30">
        <f t="shared" si="12"/>
        <v>12.25</v>
      </c>
      <c r="AA18" s="30">
        <f t="shared" si="12"/>
        <v>12.25</v>
      </c>
      <c r="AB18" s="30">
        <f t="shared" si="12"/>
        <v>12.25</v>
      </c>
    </row>
    <row r="19" spans="1:28" x14ac:dyDescent="0.25">
      <c r="A19" s="24" t="s">
        <v>218</v>
      </c>
      <c r="B19" s="24" t="s">
        <v>216</v>
      </c>
      <c r="C19" s="29">
        <v>0</v>
      </c>
      <c r="D19" s="30">
        <v>0</v>
      </c>
      <c r="E19" s="30">
        <v>0</v>
      </c>
      <c r="F19" s="30">
        <f>1*0.85*0.005</f>
        <v>4.2500000000000003E-3</v>
      </c>
      <c r="G19" s="30">
        <f t="shared" ref="G19:K19" si="13">1*0.85*0.005</f>
        <v>4.2500000000000003E-3</v>
      </c>
      <c r="H19" s="30">
        <f t="shared" si="13"/>
        <v>4.2500000000000003E-3</v>
      </c>
      <c r="I19" s="30">
        <f t="shared" si="13"/>
        <v>4.2500000000000003E-3</v>
      </c>
      <c r="J19" s="30">
        <f t="shared" si="13"/>
        <v>4.2500000000000003E-3</v>
      </c>
      <c r="K19" s="30">
        <f t="shared" si="13"/>
        <v>4.2500000000000003E-3</v>
      </c>
      <c r="L19" s="30">
        <v>0</v>
      </c>
      <c r="M19" s="30">
        <v>0</v>
      </c>
      <c r="N19" s="30">
        <v>0</v>
      </c>
      <c r="O19" s="30">
        <v>0</v>
      </c>
      <c r="P19" s="30">
        <f>3*0.85*0.005</f>
        <v>1.2749999999999999E-2</v>
      </c>
      <c r="Q19" s="30">
        <f t="shared" ref="Q19:T19" si="14">3*0.85*0.005</f>
        <v>1.2749999999999999E-2</v>
      </c>
      <c r="R19" s="30">
        <f t="shared" si="14"/>
        <v>1.2749999999999999E-2</v>
      </c>
      <c r="S19" s="30">
        <f t="shared" si="14"/>
        <v>1.2749999999999999E-2</v>
      </c>
      <c r="T19" s="30">
        <f t="shared" si="14"/>
        <v>1.2749999999999999E-2</v>
      </c>
      <c r="U19" s="30">
        <v>0</v>
      </c>
      <c r="V19" s="30">
        <v>0</v>
      </c>
      <c r="W19" s="30">
        <v>0</v>
      </c>
      <c r="X19" s="30">
        <v>0</v>
      </c>
      <c r="Y19" s="30">
        <f>50*0.85*0.005</f>
        <v>0.21249999999999999</v>
      </c>
      <c r="Z19" s="30">
        <f t="shared" ref="Z19:AB19" si="15">50*0.85*0.005</f>
        <v>0.21249999999999999</v>
      </c>
      <c r="AA19" s="30">
        <f t="shared" si="15"/>
        <v>0.21249999999999999</v>
      </c>
      <c r="AB19" s="30">
        <f t="shared" si="15"/>
        <v>0.21249999999999999</v>
      </c>
    </row>
    <row r="20" spans="1:28" x14ac:dyDescent="0.25">
      <c r="A20" s="24" t="s">
        <v>227</v>
      </c>
      <c r="B20" s="24"/>
      <c r="C20" s="29">
        <v>16.8</v>
      </c>
      <c r="D20" s="29">
        <v>16.8</v>
      </c>
      <c r="E20" s="29">
        <v>16.8</v>
      </c>
      <c r="F20" s="29">
        <v>16.8</v>
      </c>
      <c r="G20" s="29">
        <v>16.8</v>
      </c>
      <c r="H20" s="29">
        <v>16.8</v>
      </c>
      <c r="I20" s="29">
        <v>16.8</v>
      </c>
      <c r="J20" s="29">
        <v>16.8</v>
      </c>
      <c r="K20" s="29">
        <v>16.8</v>
      </c>
      <c r="L20" s="29">
        <v>16.8</v>
      </c>
      <c r="M20" s="29">
        <v>16.8</v>
      </c>
      <c r="N20" s="29">
        <v>16.8</v>
      </c>
      <c r="O20" s="29">
        <v>16.8</v>
      </c>
      <c r="P20" s="29">
        <v>16.8</v>
      </c>
      <c r="Q20" s="29">
        <v>16.8</v>
      </c>
      <c r="R20" s="29">
        <v>16.8</v>
      </c>
      <c r="S20" s="29">
        <v>16.8</v>
      </c>
      <c r="T20" s="29">
        <v>16.8</v>
      </c>
      <c r="U20" s="29">
        <v>16.8</v>
      </c>
      <c r="V20" s="29">
        <v>16.8</v>
      </c>
      <c r="W20" s="29">
        <v>16.8</v>
      </c>
      <c r="X20" s="29">
        <v>16.8</v>
      </c>
      <c r="Y20" s="29">
        <v>16.8</v>
      </c>
      <c r="Z20" s="29">
        <v>16.8</v>
      </c>
      <c r="AA20" s="29">
        <v>16.8</v>
      </c>
      <c r="AB20" s="29">
        <v>16.8</v>
      </c>
    </row>
    <row r="21" spans="1:28" x14ac:dyDescent="0.25">
      <c r="A21" s="24" t="s">
        <v>228</v>
      </c>
      <c r="B21" s="24" t="s">
        <v>229</v>
      </c>
      <c r="C21" s="56">
        <f>0.85*C20-0.004*C20^2</f>
        <v>13.15104</v>
      </c>
      <c r="D21" s="57">
        <f t="shared" ref="D21:AA21" si="16">0.85*D20-0.004*D20^2</f>
        <v>13.15104</v>
      </c>
      <c r="E21" s="57">
        <f t="shared" si="16"/>
        <v>13.15104</v>
      </c>
      <c r="F21" s="57">
        <f t="shared" si="16"/>
        <v>13.15104</v>
      </c>
      <c r="G21" s="57">
        <f t="shared" si="16"/>
        <v>13.15104</v>
      </c>
      <c r="H21" s="57">
        <f t="shared" si="16"/>
        <v>13.15104</v>
      </c>
      <c r="I21" s="57">
        <f t="shared" si="16"/>
        <v>13.15104</v>
      </c>
      <c r="J21" s="57">
        <f t="shared" si="16"/>
        <v>13.15104</v>
      </c>
      <c r="K21" s="57">
        <f t="shared" si="16"/>
        <v>13.15104</v>
      </c>
      <c r="L21" s="57">
        <f t="shared" si="16"/>
        <v>13.15104</v>
      </c>
      <c r="M21" s="57">
        <f t="shared" si="16"/>
        <v>13.15104</v>
      </c>
      <c r="N21" s="57">
        <f t="shared" si="16"/>
        <v>13.15104</v>
      </c>
      <c r="O21" s="57">
        <f>1.66*O20-0.02*O20^2</f>
        <v>22.243199999999998</v>
      </c>
      <c r="P21" s="57">
        <f t="shared" si="16"/>
        <v>13.15104</v>
      </c>
      <c r="Q21" s="57">
        <f t="shared" si="16"/>
        <v>13.15104</v>
      </c>
      <c r="R21" s="57">
        <f t="shared" si="16"/>
        <v>13.15104</v>
      </c>
      <c r="S21" s="57">
        <f t="shared" si="16"/>
        <v>13.15104</v>
      </c>
      <c r="T21" s="57">
        <f t="shared" si="16"/>
        <v>13.15104</v>
      </c>
      <c r="U21" s="57">
        <f t="shared" si="16"/>
        <v>13.15104</v>
      </c>
      <c r="V21" s="57">
        <f t="shared" si="16"/>
        <v>13.15104</v>
      </c>
      <c r="W21" s="57">
        <f t="shared" si="16"/>
        <v>13.15104</v>
      </c>
      <c r="X21" s="57">
        <f t="shared" si="16"/>
        <v>13.15104</v>
      </c>
      <c r="Y21" s="57">
        <f t="shared" si="16"/>
        <v>13.15104</v>
      </c>
      <c r="Z21" s="57">
        <f t="shared" si="16"/>
        <v>13.15104</v>
      </c>
      <c r="AA21" s="57">
        <f t="shared" si="16"/>
        <v>13.15104</v>
      </c>
      <c r="AB21" s="57">
        <f>1.66*AB20-0.02*AB20^2</f>
        <v>22.243199999999998</v>
      </c>
    </row>
    <row r="22" spans="1:28" x14ac:dyDescent="0.25">
      <c r="A22" s="24" t="s">
        <v>223</v>
      </c>
      <c r="B22" s="24"/>
      <c r="C22" s="46">
        <f t="shared" ref="C22:AB22" si="17">C8*(100-C21)/100</f>
        <v>0.182382816</v>
      </c>
      <c r="D22" s="47">
        <f t="shared" si="17"/>
        <v>0.182382816</v>
      </c>
      <c r="E22" s="47">
        <f t="shared" si="17"/>
        <v>0.182382816</v>
      </c>
      <c r="F22" s="47">
        <f t="shared" si="17"/>
        <v>8.6848960000000003E-2</v>
      </c>
      <c r="G22" s="47">
        <f t="shared" si="17"/>
        <v>8.6848960000000003E-2</v>
      </c>
      <c r="H22" s="47">
        <f t="shared" si="17"/>
        <v>8.6848960000000003E-2</v>
      </c>
      <c r="I22" s="47">
        <f t="shared" si="17"/>
        <v>8.6848960000000003E-2</v>
      </c>
      <c r="J22" s="47">
        <f t="shared" si="17"/>
        <v>8.6848960000000003E-2</v>
      </c>
      <c r="K22" s="47">
        <f t="shared" si="17"/>
        <v>8.6848960000000003E-2</v>
      </c>
      <c r="L22" s="47">
        <f t="shared" si="17"/>
        <v>0.182382816</v>
      </c>
      <c r="M22" s="47">
        <f t="shared" si="17"/>
        <v>0.182382816</v>
      </c>
      <c r="N22" s="47">
        <f t="shared" si="17"/>
        <v>0.182382816</v>
      </c>
      <c r="O22" s="47">
        <f t="shared" si="17"/>
        <v>0.16328927999999998</v>
      </c>
      <c r="P22" s="47">
        <f t="shared" si="17"/>
        <v>0.14764323200000001</v>
      </c>
      <c r="Q22" s="47">
        <f t="shared" si="17"/>
        <v>0.14764323200000001</v>
      </c>
      <c r="R22" s="47">
        <f t="shared" si="17"/>
        <v>0.14764323200000001</v>
      </c>
      <c r="S22" s="47">
        <f t="shared" si="17"/>
        <v>0.12158854400000002</v>
      </c>
      <c r="T22" s="47">
        <f t="shared" si="17"/>
        <v>0.12158854400000002</v>
      </c>
      <c r="U22" s="47">
        <f t="shared" si="17"/>
        <v>0.22580729600000002</v>
      </c>
      <c r="V22" s="47">
        <f t="shared" si="17"/>
        <v>0.22580729600000002</v>
      </c>
      <c r="W22" s="47">
        <f t="shared" si="17"/>
        <v>0.11290364800000001</v>
      </c>
      <c r="X22" s="47">
        <f t="shared" si="17"/>
        <v>0.11290364800000001</v>
      </c>
      <c r="Y22" s="47">
        <f t="shared" si="17"/>
        <v>0.13895833600000002</v>
      </c>
      <c r="Z22" s="47">
        <f t="shared" si="17"/>
        <v>0.13895833600000002</v>
      </c>
      <c r="AA22" s="47">
        <f t="shared" si="17"/>
        <v>0.13895833600000002</v>
      </c>
      <c r="AB22" s="47">
        <f t="shared" si="17"/>
        <v>0.12441088</v>
      </c>
    </row>
    <row r="23" spans="1:28" x14ac:dyDescent="0.25">
      <c r="A23" s="24" t="s">
        <v>220</v>
      </c>
      <c r="B23" s="24"/>
      <c r="C23" s="46">
        <f>C18*C22</f>
        <v>4.741953216E-2</v>
      </c>
      <c r="D23" s="47">
        <f t="shared" ref="D23:AB23" si="18">D18*D22</f>
        <v>4.741953216E-2</v>
      </c>
      <c r="E23" s="47">
        <f t="shared" si="18"/>
        <v>4.741953216E-2</v>
      </c>
      <c r="F23" s="47">
        <f t="shared" si="18"/>
        <v>2.2580729600000002E-2</v>
      </c>
      <c r="G23" s="47">
        <f t="shared" si="18"/>
        <v>2.2580729600000002E-2</v>
      </c>
      <c r="H23" s="47">
        <f t="shared" si="18"/>
        <v>2.2580729600000002E-2</v>
      </c>
      <c r="I23" s="47">
        <f t="shared" si="18"/>
        <v>2.2580729600000002E-2</v>
      </c>
      <c r="J23" s="47">
        <f t="shared" si="18"/>
        <v>2.2580729600000002E-2</v>
      </c>
      <c r="K23" s="47">
        <f t="shared" si="18"/>
        <v>0.16501302400000001</v>
      </c>
      <c r="L23" s="47">
        <f t="shared" si="18"/>
        <v>0.34652735039999999</v>
      </c>
      <c r="M23" s="47">
        <f t="shared" si="18"/>
        <v>0.34652735039999999</v>
      </c>
      <c r="N23" s="47">
        <f t="shared" si="18"/>
        <v>0.34652735039999999</v>
      </c>
      <c r="O23" s="47">
        <f t="shared" si="18"/>
        <v>0.31024963199999994</v>
      </c>
      <c r="P23" s="47">
        <f t="shared" si="18"/>
        <v>0.28052214079999999</v>
      </c>
      <c r="Q23" s="47">
        <f t="shared" si="18"/>
        <v>0.28052214079999999</v>
      </c>
      <c r="R23" s="47">
        <f t="shared" si="18"/>
        <v>0.28052214079999999</v>
      </c>
      <c r="S23" s="47">
        <f t="shared" si="18"/>
        <v>0.23101823360000004</v>
      </c>
      <c r="T23" s="47">
        <f t="shared" si="18"/>
        <v>0.23101823360000004</v>
      </c>
      <c r="U23" s="47">
        <f t="shared" si="18"/>
        <v>1.1854883040000002</v>
      </c>
      <c r="V23" s="47">
        <f t="shared" si="18"/>
        <v>1.1854883040000002</v>
      </c>
      <c r="W23" s="47">
        <f t="shared" si="18"/>
        <v>0.59274415200000008</v>
      </c>
      <c r="X23" s="47">
        <f t="shared" si="18"/>
        <v>0.59274415200000008</v>
      </c>
      <c r="Y23" s="47">
        <f t="shared" si="18"/>
        <v>1.7022396160000002</v>
      </c>
      <c r="Z23" s="47">
        <f t="shared" si="18"/>
        <v>1.7022396160000002</v>
      </c>
      <c r="AA23" s="47">
        <f t="shared" si="18"/>
        <v>1.7022396160000002</v>
      </c>
      <c r="AB23" s="47">
        <f t="shared" si="18"/>
        <v>1.52403328</v>
      </c>
    </row>
    <row r="24" spans="1:28" x14ac:dyDescent="0.25">
      <c r="A24" s="24" t="s">
        <v>221</v>
      </c>
      <c r="B24" s="24"/>
      <c r="C24" s="46">
        <f t="shared" ref="C24:AB24" si="19">C17+C19-C23</f>
        <v>0.40258046784000001</v>
      </c>
      <c r="D24" s="47">
        <f t="shared" si="19"/>
        <v>0.40258046784000001</v>
      </c>
      <c r="E24" s="47">
        <f t="shared" si="19"/>
        <v>0.40258046784000001</v>
      </c>
      <c r="F24" s="47">
        <f t="shared" si="19"/>
        <v>0.43166927039999997</v>
      </c>
      <c r="G24" s="47">
        <f t="shared" si="19"/>
        <v>0.43166927039999997</v>
      </c>
      <c r="H24" s="47">
        <f t="shared" si="19"/>
        <v>0.43166927039999997</v>
      </c>
      <c r="I24" s="47">
        <f t="shared" si="19"/>
        <v>0.43166927039999997</v>
      </c>
      <c r="J24" s="47">
        <f t="shared" si="19"/>
        <v>0.43166927039999997</v>
      </c>
      <c r="K24" s="47">
        <f t="shared" si="19"/>
        <v>2.7692369760000002</v>
      </c>
      <c r="L24" s="47">
        <f t="shared" si="19"/>
        <v>2.5834726496</v>
      </c>
      <c r="M24" s="47">
        <f t="shared" si="19"/>
        <v>2.5834726496</v>
      </c>
      <c r="N24" s="47">
        <f t="shared" si="19"/>
        <v>2.5834726496</v>
      </c>
      <c r="O24" s="47">
        <f t="shared" si="19"/>
        <v>2.6197503680000001</v>
      </c>
      <c r="P24" s="47">
        <f t="shared" si="19"/>
        <v>2.6622278592000002</v>
      </c>
      <c r="Q24" s="47">
        <f t="shared" si="19"/>
        <v>2.6622278592000002</v>
      </c>
      <c r="R24" s="47">
        <f t="shared" si="19"/>
        <v>2.6622278592000002</v>
      </c>
      <c r="S24" s="47">
        <f t="shared" si="19"/>
        <v>2.7117317664000002</v>
      </c>
      <c r="T24" s="47">
        <f t="shared" si="19"/>
        <v>2.7117317664000002</v>
      </c>
      <c r="U24" s="47">
        <f t="shared" si="19"/>
        <v>5.9665116959999995</v>
      </c>
      <c r="V24" s="47">
        <f t="shared" si="19"/>
        <v>5.9665116959999995</v>
      </c>
      <c r="W24" s="47">
        <f t="shared" si="19"/>
        <v>6.5592558480000003</v>
      </c>
      <c r="X24" s="47">
        <f t="shared" si="19"/>
        <v>6.5592558480000003</v>
      </c>
      <c r="Y24" s="47">
        <f t="shared" si="19"/>
        <v>15.198260383999997</v>
      </c>
      <c r="Z24" s="47">
        <f t="shared" si="19"/>
        <v>15.198260383999997</v>
      </c>
      <c r="AA24" s="47">
        <f t="shared" si="19"/>
        <v>15.198260383999997</v>
      </c>
      <c r="AB24" s="47">
        <f t="shared" si="19"/>
        <v>15.376466719999998</v>
      </c>
    </row>
    <row r="25" spans="1:28" x14ac:dyDescent="0.25">
      <c r="A25" s="24" t="s">
        <v>222</v>
      </c>
      <c r="B25" s="24"/>
      <c r="C25" s="46">
        <f t="shared" ref="C25:AB25" si="20">C18-C23</f>
        <v>0.21258046784000001</v>
      </c>
      <c r="D25" s="47">
        <f t="shared" si="20"/>
        <v>0.21258046784000001</v>
      </c>
      <c r="E25" s="47">
        <f t="shared" si="20"/>
        <v>0.21258046784000001</v>
      </c>
      <c r="F25" s="47">
        <f t="shared" si="20"/>
        <v>0.23741927039999999</v>
      </c>
      <c r="G25" s="47">
        <f t="shared" si="20"/>
        <v>0.23741927039999999</v>
      </c>
      <c r="H25" s="47">
        <f t="shared" si="20"/>
        <v>0.23741927039999999</v>
      </c>
      <c r="I25" s="47">
        <f t="shared" si="20"/>
        <v>0.23741927039999999</v>
      </c>
      <c r="J25" s="47">
        <f t="shared" si="20"/>
        <v>0.23741927039999999</v>
      </c>
      <c r="K25" s="47">
        <f t="shared" si="20"/>
        <v>1.7349869759999998</v>
      </c>
      <c r="L25" s="47">
        <f t="shared" si="20"/>
        <v>1.5534726496</v>
      </c>
      <c r="M25" s="47">
        <f t="shared" si="20"/>
        <v>1.5534726496</v>
      </c>
      <c r="N25" s="47">
        <f t="shared" si="20"/>
        <v>1.5534726496</v>
      </c>
      <c r="O25" s="47">
        <f t="shared" si="20"/>
        <v>1.589750368</v>
      </c>
      <c r="P25" s="47">
        <f t="shared" si="20"/>
        <v>1.6194778591999999</v>
      </c>
      <c r="Q25" s="47">
        <f t="shared" si="20"/>
        <v>1.6194778591999999</v>
      </c>
      <c r="R25" s="47">
        <f t="shared" si="20"/>
        <v>1.6194778591999999</v>
      </c>
      <c r="S25" s="47">
        <f t="shared" si="20"/>
        <v>1.6689817664</v>
      </c>
      <c r="T25" s="47">
        <f t="shared" si="20"/>
        <v>1.6689817664</v>
      </c>
      <c r="U25" s="47">
        <f t="shared" si="20"/>
        <v>4.0645116960000003</v>
      </c>
      <c r="V25" s="47">
        <f t="shared" si="20"/>
        <v>4.0645116960000003</v>
      </c>
      <c r="W25" s="47">
        <f t="shared" si="20"/>
        <v>4.6572558480000001</v>
      </c>
      <c r="X25" s="47">
        <f t="shared" si="20"/>
        <v>4.6572558480000001</v>
      </c>
      <c r="Y25" s="47">
        <f t="shared" si="20"/>
        <v>10.547760384</v>
      </c>
      <c r="Z25" s="47">
        <f t="shared" si="20"/>
        <v>10.547760384</v>
      </c>
      <c r="AA25" s="47">
        <f t="shared" si="20"/>
        <v>10.547760384</v>
      </c>
      <c r="AB25" s="47">
        <f t="shared" si="20"/>
        <v>10.725966720000001</v>
      </c>
    </row>
    <row r="26" spans="1:28" x14ac:dyDescent="0.25">
      <c r="A26" s="24" t="s">
        <v>223</v>
      </c>
      <c r="B26" s="24" t="s">
        <v>216</v>
      </c>
      <c r="C26" s="29">
        <f>+C12</f>
        <v>2.5000000000000001E-2</v>
      </c>
      <c r="D26" s="30">
        <f t="shared" ref="D26:AB26" si="21">+D12</f>
        <v>2.5000000000000001E-2</v>
      </c>
      <c r="E26" s="30">
        <f t="shared" si="21"/>
        <v>2.5000000000000001E-2</v>
      </c>
      <c r="F26" s="30">
        <f t="shared" si="21"/>
        <v>2.5000000000000001E-2</v>
      </c>
      <c r="G26" s="30">
        <f t="shared" si="21"/>
        <v>2.5000000000000001E-2</v>
      </c>
      <c r="H26" s="30">
        <f t="shared" si="21"/>
        <v>2.5000000000000001E-2</v>
      </c>
      <c r="I26" s="30">
        <f t="shared" si="21"/>
        <v>2.5000000000000001E-2</v>
      </c>
      <c r="J26" s="30">
        <f t="shared" si="21"/>
        <v>2.5000000000000001E-2</v>
      </c>
      <c r="K26" s="30">
        <f t="shared" si="21"/>
        <v>2.5000000000000001E-2</v>
      </c>
      <c r="L26" s="30">
        <f t="shared" si="21"/>
        <v>2.5000000000000001E-2</v>
      </c>
      <c r="M26" s="30">
        <f t="shared" si="21"/>
        <v>2.5000000000000001E-2</v>
      </c>
      <c r="N26" s="30">
        <f t="shared" si="21"/>
        <v>2.5000000000000001E-2</v>
      </c>
      <c r="O26" s="30">
        <f t="shared" si="21"/>
        <v>2.5000000000000001E-2</v>
      </c>
      <c r="P26" s="30">
        <f t="shared" si="21"/>
        <v>2.5000000000000001E-2</v>
      </c>
      <c r="Q26" s="30">
        <f t="shared" si="21"/>
        <v>2.5000000000000001E-2</v>
      </c>
      <c r="R26" s="30">
        <f t="shared" si="21"/>
        <v>2.5000000000000001E-2</v>
      </c>
      <c r="S26" s="30">
        <f t="shared" si="21"/>
        <v>2.5000000000000001E-2</v>
      </c>
      <c r="T26" s="30">
        <f t="shared" si="21"/>
        <v>2.5000000000000001E-2</v>
      </c>
      <c r="U26" s="30">
        <f t="shared" si="21"/>
        <v>2.5000000000000001E-2</v>
      </c>
      <c r="V26" s="30">
        <f t="shared" si="21"/>
        <v>2.5000000000000001E-2</v>
      </c>
      <c r="W26" s="30">
        <f t="shared" si="21"/>
        <v>2.5000000000000001E-2</v>
      </c>
      <c r="X26" s="30">
        <f t="shared" si="21"/>
        <v>2.5000000000000001E-2</v>
      </c>
      <c r="Y26" s="30">
        <f t="shared" si="21"/>
        <v>2.5000000000000001E-2</v>
      </c>
      <c r="Z26" s="30">
        <f t="shared" si="21"/>
        <v>2.5000000000000001E-2</v>
      </c>
      <c r="AA26" s="30">
        <f t="shared" si="21"/>
        <v>2.5000000000000001E-2</v>
      </c>
      <c r="AB26" s="30">
        <f t="shared" si="21"/>
        <v>2.5000000000000001E-2</v>
      </c>
    </row>
    <row r="27" spans="1:28" x14ac:dyDescent="0.25">
      <c r="A27" s="24" t="s">
        <v>224</v>
      </c>
      <c r="B27" s="24"/>
      <c r="C27" s="44">
        <f>C25*C26</f>
        <v>5.3145116960000007E-3</v>
      </c>
      <c r="D27" s="45">
        <f t="shared" ref="D27:AB27" si="22">D25*D26</f>
        <v>5.3145116960000007E-3</v>
      </c>
      <c r="E27" s="45">
        <f t="shared" si="22"/>
        <v>5.3145116960000007E-3</v>
      </c>
      <c r="F27" s="45">
        <f t="shared" si="22"/>
        <v>5.9354817599999998E-3</v>
      </c>
      <c r="G27" s="45">
        <f t="shared" si="22"/>
        <v>5.9354817599999998E-3</v>
      </c>
      <c r="H27" s="45">
        <f t="shared" si="22"/>
        <v>5.9354817599999998E-3</v>
      </c>
      <c r="I27" s="45">
        <f t="shared" si="22"/>
        <v>5.9354817599999998E-3</v>
      </c>
      <c r="J27" s="45">
        <f t="shared" si="22"/>
        <v>5.9354817599999998E-3</v>
      </c>
      <c r="K27" s="45">
        <f t="shared" si="22"/>
        <v>4.33746744E-2</v>
      </c>
      <c r="L27" s="45">
        <f t="shared" si="22"/>
        <v>3.8836816240000002E-2</v>
      </c>
      <c r="M27" s="45">
        <f t="shared" si="22"/>
        <v>3.8836816240000002E-2</v>
      </c>
      <c r="N27" s="45">
        <f t="shared" si="22"/>
        <v>3.8836816240000002E-2</v>
      </c>
      <c r="O27" s="45">
        <f t="shared" si="22"/>
        <v>3.9743759200000006E-2</v>
      </c>
      <c r="P27" s="45">
        <f t="shared" si="22"/>
        <v>4.0486946480000001E-2</v>
      </c>
      <c r="Q27" s="45">
        <f t="shared" si="22"/>
        <v>4.0486946480000001E-2</v>
      </c>
      <c r="R27" s="45">
        <f t="shared" si="22"/>
        <v>4.0486946480000001E-2</v>
      </c>
      <c r="S27" s="45">
        <f t="shared" si="22"/>
        <v>4.1724544160000002E-2</v>
      </c>
      <c r="T27" s="45">
        <f t="shared" si="22"/>
        <v>4.1724544160000002E-2</v>
      </c>
      <c r="U27" s="45">
        <f t="shared" si="22"/>
        <v>0.10161279240000001</v>
      </c>
      <c r="V27" s="45">
        <f t="shared" si="22"/>
        <v>0.10161279240000001</v>
      </c>
      <c r="W27" s="45">
        <f t="shared" si="22"/>
        <v>0.11643139620000001</v>
      </c>
      <c r="X27" s="45">
        <f t="shared" si="22"/>
        <v>0.11643139620000001</v>
      </c>
      <c r="Y27" s="45">
        <f t="shared" si="22"/>
        <v>0.2636940096</v>
      </c>
      <c r="Z27" s="45">
        <f t="shared" si="22"/>
        <v>0.2636940096</v>
      </c>
      <c r="AA27" s="45">
        <f t="shared" si="22"/>
        <v>0.2636940096</v>
      </c>
      <c r="AB27" s="45">
        <f t="shared" si="22"/>
        <v>0.26814916800000005</v>
      </c>
    </row>
    <row r="28" spans="1:28" x14ac:dyDescent="0.25">
      <c r="A28" s="24" t="s">
        <v>225</v>
      </c>
      <c r="B28" s="24"/>
      <c r="C28" s="46">
        <f>C24-C27</f>
        <v>0.39726595614400001</v>
      </c>
      <c r="D28" s="47">
        <f t="shared" ref="D28:AB28" si="23">D24-D27</f>
        <v>0.39726595614400001</v>
      </c>
      <c r="E28" s="47">
        <f t="shared" si="23"/>
        <v>0.39726595614400001</v>
      </c>
      <c r="F28" s="47">
        <f t="shared" si="23"/>
        <v>0.42573378864</v>
      </c>
      <c r="G28" s="47">
        <f t="shared" si="23"/>
        <v>0.42573378864</v>
      </c>
      <c r="H28" s="47">
        <f t="shared" si="23"/>
        <v>0.42573378864</v>
      </c>
      <c r="I28" s="47">
        <f t="shared" si="23"/>
        <v>0.42573378864</v>
      </c>
      <c r="J28" s="47">
        <f t="shared" si="23"/>
        <v>0.42573378864</v>
      </c>
      <c r="K28" s="47">
        <f t="shared" si="23"/>
        <v>2.7258623016000003</v>
      </c>
      <c r="L28" s="47">
        <f t="shared" si="23"/>
        <v>2.5446358333600001</v>
      </c>
      <c r="M28" s="47">
        <f t="shared" si="23"/>
        <v>2.5446358333600001</v>
      </c>
      <c r="N28" s="47">
        <f t="shared" si="23"/>
        <v>2.5446358333600001</v>
      </c>
      <c r="O28" s="47">
        <f t="shared" si="23"/>
        <v>2.5800066088000002</v>
      </c>
      <c r="P28" s="47">
        <f t="shared" si="23"/>
        <v>2.62174091272</v>
      </c>
      <c r="Q28" s="47">
        <f t="shared" si="23"/>
        <v>2.62174091272</v>
      </c>
      <c r="R28" s="47">
        <f t="shared" si="23"/>
        <v>2.62174091272</v>
      </c>
      <c r="S28" s="47">
        <f t="shared" si="23"/>
        <v>2.6700072222400002</v>
      </c>
      <c r="T28" s="47">
        <f t="shared" si="23"/>
        <v>2.6700072222400002</v>
      </c>
      <c r="U28" s="47">
        <f t="shared" si="23"/>
        <v>5.8648989035999994</v>
      </c>
      <c r="V28" s="47">
        <f t="shared" si="23"/>
        <v>5.8648989035999994</v>
      </c>
      <c r="W28" s="47">
        <f t="shared" si="23"/>
        <v>6.4428244518</v>
      </c>
      <c r="X28" s="47">
        <f t="shared" si="23"/>
        <v>6.4428244518</v>
      </c>
      <c r="Y28" s="47">
        <f t="shared" si="23"/>
        <v>14.934566374399997</v>
      </c>
      <c r="Z28" s="47">
        <f t="shared" si="23"/>
        <v>14.934566374399997</v>
      </c>
      <c r="AA28" s="47">
        <f t="shared" si="23"/>
        <v>14.934566374399997</v>
      </c>
      <c r="AB28" s="47">
        <f t="shared" si="23"/>
        <v>15.108317551999997</v>
      </c>
    </row>
    <row r="29" spans="1:28" x14ac:dyDescent="0.25">
      <c r="A29" s="24"/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5">
      <c r="A30" s="40" t="s">
        <v>230</v>
      </c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25">
      <c r="A31" s="24" t="s">
        <v>231</v>
      </c>
      <c r="B31" s="24"/>
      <c r="C31" s="50">
        <f>C9+C13</f>
        <v>5.9735000000000003E-2</v>
      </c>
      <c r="D31" s="51">
        <f t="shared" ref="D31:AB31" si="24">D9+D13</f>
        <v>5.9735000000000003E-2</v>
      </c>
      <c r="E31" s="51">
        <f t="shared" si="24"/>
        <v>5.9735000000000003E-2</v>
      </c>
      <c r="F31" s="51">
        <f t="shared" si="24"/>
        <v>3.1850000000000003E-2</v>
      </c>
      <c r="G31" s="51">
        <f t="shared" si="24"/>
        <v>3.1850000000000003E-2</v>
      </c>
      <c r="H31" s="51">
        <f t="shared" si="24"/>
        <v>3.1850000000000003E-2</v>
      </c>
      <c r="I31" s="51">
        <f t="shared" si="24"/>
        <v>3.1850000000000003E-2</v>
      </c>
      <c r="J31" s="51">
        <f t="shared" si="24"/>
        <v>3.1850000000000003E-2</v>
      </c>
      <c r="K31" s="51">
        <f t="shared" si="24"/>
        <v>0.23275000000000001</v>
      </c>
      <c r="L31" s="51">
        <f t="shared" si="24"/>
        <v>0.43652499999999994</v>
      </c>
      <c r="M31" s="51">
        <f t="shared" si="24"/>
        <v>0.43652499999999994</v>
      </c>
      <c r="N31" s="51">
        <f t="shared" si="24"/>
        <v>0.43652499999999994</v>
      </c>
      <c r="O31" s="51">
        <f t="shared" si="24"/>
        <v>0.43652499999999994</v>
      </c>
      <c r="P31" s="51">
        <f t="shared" si="24"/>
        <v>0.362425</v>
      </c>
      <c r="Q31" s="51">
        <f t="shared" si="24"/>
        <v>0.362425</v>
      </c>
      <c r="R31" s="51">
        <f t="shared" si="24"/>
        <v>0.362425</v>
      </c>
      <c r="S31" s="51">
        <f t="shared" si="24"/>
        <v>0.30685000000000001</v>
      </c>
      <c r="T31" s="51">
        <f t="shared" si="24"/>
        <v>0.30685000000000001</v>
      </c>
      <c r="U31" s="51">
        <f t="shared" si="24"/>
        <v>1.4621249999999999</v>
      </c>
      <c r="V31" s="51">
        <f t="shared" si="24"/>
        <v>1.4621249999999999</v>
      </c>
      <c r="W31" s="51">
        <f t="shared" si="24"/>
        <v>0.79668749999999999</v>
      </c>
      <c r="X31" s="51">
        <f t="shared" si="24"/>
        <v>0.79668749999999999</v>
      </c>
      <c r="Y31" s="51">
        <f t="shared" si="24"/>
        <v>2.2172499999999999</v>
      </c>
      <c r="Z31" s="51">
        <f t="shared" si="24"/>
        <v>2.2172499999999999</v>
      </c>
      <c r="AA31" s="51">
        <f t="shared" si="24"/>
        <v>2.2172499999999999</v>
      </c>
      <c r="AB31" s="51">
        <f t="shared" si="24"/>
        <v>2.2172499999999999</v>
      </c>
    </row>
    <row r="32" spans="1:28" x14ac:dyDescent="0.25">
      <c r="A32" s="24" t="s">
        <v>232</v>
      </c>
      <c r="B32" s="24"/>
      <c r="C32" s="48">
        <f>C23+C27</f>
        <v>5.2734043856000001E-2</v>
      </c>
      <c r="D32" s="49">
        <f t="shared" ref="D32:AB32" si="25">D23+D27</f>
        <v>5.2734043856000001E-2</v>
      </c>
      <c r="E32" s="49">
        <f t="shared" si="25"/>
        <v>5.2734043856000001E-2</v>
      </c>
      <c r="F32" s="49">
        <f t="shared" si="25"/>
        <v>2.8516211360000002E-2</v>
      </c>
      <c r="G32" s="49">
        <f t="shared" si="25"/>
        <v>2.8516211360000002E-2</v>
      </c>
      <c r="H32" s="49">
        <f t="shared" si="25"/>
        <v>2.8516211360000002E-2</v>
      </c>
      <c r="I32" s="49">
        <f t="shared" si="25"/>
        <v>2.8516211360000002E-2</v>
      </c>
      <c r="J32" s="49">
        <f t="shared" si="25"/>
        <v>2.8516211360000002E-2</v>
      </c>
      <c r="K32" s="49">
        <f t="shared" si="25"/>
        <v>0.20838769840000002</v>
      </c>
      <c r="L32" s="49">
        <f t="shared" si="25"/>
        <v>0.38536416664000001</v>
      </c>
      <c r="M32" s="49">
        <f t="shared" si="25"/>
        <v>0.38536416664000001</v>
      </c>
      <c r="N32" s="49">
        <f t="shared" si="25"/>
        <v>0.38536416664000001</v>
      </c>
      <c r="O32" s="49">
        <f t="shared" si="25"/>
        <v>0.34999339119999995</v>
      </c>
      <c r="P32" s="49">
        <f t="shared" si="25"/>
        <v>0.32100908727999999</v>
      </c>
      <c r="Q32" s="49">
        <f t="shared" si="25"/>
        <v>0.32100908727999999</v>
      </c>
      <c r="R32" s="49">
        <f t="shared" si="25"/>
        <v>0.32100908727999999</v>
      </c>
      <c r="S32" s="49">
        <f t="shared" si="25"/>
        <v>0.27274277776000005</v>
      </c>
      <c r="T32" s="49">
        <f t="shared" si="25"/>
        <v>0.27274277776000005</v>
      </c>
      <c r="U32" s="49">
        <f t="shared" si="25"/>
        <v>1.2871010964000003</v>
      </c>
      <c r="V32" s="49">
        <f t="shared" si="25"/>
        <v>1.2871010964000003</v>
      </c>
      <c r="W32" s="49">
        <f t="shared" si="25"/>
        <v>0.70917554820000006</v>
      </c>
      <c r="X32" s="49">
        <f t="shared" si="25"/>
        <v>0.70917554820000006</v>
      </c>
      <c r="Y32" s="49">
        <f t="shared" si="25"/>
        <v>1.9659336256000002</v>
      </c>
      <c r="Z32" s="49">
        <f t="shared" si="25"/>
        <v>1.9659336256000002</v>
      </c>
      <c r="AA32" s="49">
        <f t="shared" si="25"/>
        <v>1.9659336256000002</v>
      </c>
      <c r="AB32" s="49">
        <f t="shared" si="25"/>
        <v>1.7921824480000002</v>
      </c>
    </row>
    <row r="33" spans="1:28" x14ac:dyDescent="0.25">
      <c r="A33" s="24" t="s">
        <v>233</v>
      </c>
      <c r="B33" s="24"/>
      <c r="C33" s="48">
        <f>C31-C32</f>
        <v>7.000956144000002E-3</v>
      </c>
      <c r="D33" s="49">
        <f t="shared" ref="D33:AB33" si="26">D31-D32</f>
        <v>7.000956144000002E-3</v>
      </c>
      <c r="E33" s="49">
        <f t="shared" si="26"/>
        <v>7.000956144000002E-3</v>
      </c>
      <c r="F33" s="49">
        <f t="shared" si="26"/>
        <v>3.3337886400000016E-3</v>
      </c>
      <c r="G33" s="49">
        <f t="shared" si="26"/>
        <v>3.3337886400000016E-3</v>
      </c>
      <c r="H33" s="49">
        <f t="shared" si="26"/>
        <v>3.3337886400000016E-3</v>
      </c>
      <c r="I33" s="49">
        <f t="shared" si="26"/>
        <v>3.3337886400000016E-3</v>
      </c>
      <c r="J33" s="49">
        <f t="shared" si="26"/>
        <v>3.3337886400000016E-3</v>
      </c>
      <c r="K33" s="49">
        <f t="shared" si="26"/>
        <v>2.4362301599999997E-2</v>
      </c>
      <c r="L33" s="49">
        <f t="shared" si="26"/>
        <v>5.1160833359999935E-2</v>
      </c>
      <c r="M33" s="49">
        <f t="shared" si="26"/>
        <v>5.1160833359999935E-2</v>
      </c>
      <c r="N33" s="49">
        <f t="shared" si="26"/>
        <v>5.1160833359999935E-2</v>
      </c>
      <c r="O33" s="49">
        <f t="shared" si="26"/>
        <v>8.6531608799999993E-2</v>
      </c>
      <c r="P33" s="49">
        <f t="shared" si="26"/>
        <v>4.1415912720000003E-2</v>
      </c>
      <c r="Q33" s="49">
        <f t="shared" si="26"/>
        <v>4.1415912720000003E-2</v>
      </c>
      <c r="R33" s="49">
        <f t="shared" si="26"/>
        <v>4.1415912720000003E-2</v>
      </c>
      <c r="S33" s="49">
        <f t="shared" si="26"/>
        <v>3.4107222239999957E-2</v>
      </c>
      <c r="T33" s="49">
        <f t="shared" si="26"/>
        <v>3.4107222239999957E-2</v>
      </c>
      <c r="U33" s="49">
        <f t="shared" si="26"/>
        <v>0.17502390359999964</v>
      </c>
      <c r="V33" s="49">
        <f t="shared" si="26"/>
        <v>0.17502390359999964</v>
      </c>
      <c r="W33" s="49">
        <f t="shared" si="26"/>
        <v>8.7511951799999932E-2</v>
      </c>
      <c r="X33" s="49">
        <f t="shared" si="26"/>
        <v>8.7511951799999932E-2</v>
      </c>
      <c r="Y33" s="49">
        <f t="shared" si="26"/>
        <v>0.25131637439999976</v>
      </c>
      <c r="Z33" s="49">
        <f t="shared" si="26"/>
        <v>0.25131637439999976</v>
      </c>
      <c r="AA33" s="49">
        <f t="shared" si="26"/>
        <v>0.25131637439999976</v>
      </c>
      <c r="AB33" s="49">
        <f t="shared" si="26"/>
        <v>0.42506755199999979</v>
      </c>
    </row>
    <row r="34" spans="1:28" x14ac:dyDescent="0.25">
      <c r="A34" s="24" t="s">
        <v>234</v>
      </c>
      <c r="B34" s="24"/>
      <c r="C34" s="48">
        <f>0.01*(44/28)</f>
        <v>1.5714285714285715E-2</v>
      </c>
      <c r="D34" s="49">
        <f t="shared" ref="D34:AB34" si="27">0.01*(44/28)</f>
        <v>1.5714285714285715E-2</v>
      </c>
      <c r="E34" s="49">
        <f t="shared" si="27"/>
        <v>1.5714285714285715E-2</v>
      </c>
      <c r="F34" s="49">
        <f t="shared" si="27"/>
        <v>1.5714285714285715E-2</v>
      </c>
      <c r="G34" s="49">
        <f t="shared" si="27"/>
        <v>1.5714285714285715E-2</v>
      </c>
      <c r="H34" s="49">
        <f t="shared" si="27"/>
        <v>1.5714285714285715E-2</v>
      </c>
      <c r="I34" s="49">
        <f t="shared" si="27"/>
        <v>1.5714285714285715E-2</v>
      </c>
      <c r="J34" s="49">
        <f t="shared" si="27"/>
        <v>1.5714285714285715E-2</v>
      </c>
      <c r="K34" s="49">
        <f t="shared" si="27"/>
        <v>1.5714285714285715E-2</v>
      </c>
      <c r="L34" s="49">
        <f t="shared" si="27"/>
        <v>1.5714285714285715E-2</v>
      </c>
      <c r="M34" s="49">
        <f t="shared" si="27"/>
        <v>1.5714285714285715E-2</v>
      </c>
      <c r="N34" s="49">
        <f t="shared" si="27"/>
        <v>1.5714285714285715E-2</v>
      </c>
      <c r="O34" s="49">
        <f t="shared" si="27"/>
        <v>1.5714285714285715E-2</v>
      </c>
      <c r="P34" s="49">
        <f t="shared" si="27"/>
        <v>1.5714285714285715E-2</v>
      </c>
      <c r="Q34" s="49">
        <f t="shared" si="27"/>
        <v>1.5714285714285715E-2</v>
      </c>
      <c r="R34" s="49">
        <f t="shared" si="27"/>
        <v>1.5714285714285715E-2</v>
      </c>
      <c r="S34" s="49">
        <f t="shared" si="27"/>
        <v>1.5714285714285715E-2</v>
      </c>
      <c r="T34" s="49">
        <f t="shared" si="27"/>
        <v>1.5714285714285715E-2</v>
      </c>
      <c r="U34" s="49">
        <f t="shared" si="27"/>
        <v>1.5714285714285715E-2</v>
      </c>
      <c r="V34" s="49">
        <f t="shared" si="27"/>
        <v>1.5714285714285715E-2</v>
      </c>
      <c r="W34" s="49">
        <f t="shared" si="27"/>
        <v>1.5714285714285715E-2</v>
      </c>
      <c r="X34" s="49">
        <f t="shared" si="27"/>
        <v>1.5714285714285715E-2</v>
      </c>
      <c r="Y34" s="49">
        <f t="shared" si="27"/>
        <v>1.5714285714285715E-2</v>
      </c>
      <c r="Z34" s="49">
        <f t="shared" si="27"/>
        <v>1.5714285714285715E-2</v>
      </c>
      <c r="AA34" s="49">
        <f t="shared" si="27"/>
        <v>1.5714285714285715E-2</v>
      </c>
      <c r="AB34" s="49">
        <f t="shared" si="27"/>
        <v>1.5714285714285715E-2</v>
      </c>
    </row>
    <row r="35" spans="1:28" x14ac:dyDescent="0.25">
      <c r="A35" s="24" t="s">
        <v>235</v>
      </c>
      <c r="B35" s="24"/>
      <c r="C35" s="48">
        <f>C33*C34</f>
        <v>1.1001502512000004E-4</v>
      </c>
      <c r="D35" s="49">
        <f t="shared" ref="D35:AB35" si="28">D33*D34</f>
        <v>1.1001502512000004E-4</v>
      </c>
      <c r="E35" s="49">
        <f t="shared" si="28"/>
        <v>1.1001502512000004E-4</v>
      </c>
      <c r="F35" s="49">
        <f t="shared" si="28"/>
        <v>5.238810720000003E-5</v>
      </c>
      <c r="G35" s="49">
        <f t="shared" si="28"/>
        <v>5.238810720000003E-5</v>
      </c>
      <c r="H35" s="49">
        <f t="shared" si="28"/>
        <v>5.238810720000003E-5</v>
      </c>
      <c r="I35" s="49">
        <f t="shared" si="28"/>
        <v>5.238810720000003E-5</v>
      </c>
      <c r="J35" s="49">
        <f t="shared" si="28"/>
        <v>5.238810720000003E-5</v>
      </c>
      <c r="K35" s="49">
        <f t="shared" si="28"/>
        <v>3.8283616799999998E-4</v>
      </c>
      <c r="L35" s="49">
        <f t="shared" si="28"/>
        <v>8.0395595279999902E-4</v>
      </c>
      <c r="M35" s="49">
        <f t="shared" si="28"/>
        <v>8.0395595279999902E-4</v>
      </c>
      <c r="N35" s="49">
        <f t="shared" si="28"/>
        <v>8.0395595279999902E-4</v>
      </c>
      <c r="O35" s="49">
        <f t="shared" si="28"/>
        <v>1.359782424E-3</v>
      </c>
      <c r="P35" s="49">
        <f t="shared" si="28"/>
        <v>6.5082148560000009E-4</v>
      </c>
      <c r="Q35" s="49">
        <f t="shared" si="28"/>
        <v>6.5082148560000009E-4</v>
      </c>
      <c r="R35" s="49">
        <f t="shared" si="28"/>
        <v>6.5082148560000009E-4</v>
      </c>
      <c r="S35" s="49">
        <f t="shared" si="28"/>
        <v>5.3597063519999935E-4</v>
      </c>
      <c r="T35" s="49">
        <f t="shared" si="28"/>
        <v>5.3597063519999935E-4</v>
      </c>
      <c r="U35" s="49">
        <f t="shared" si="28"/>
        <v>2.7503756279999947E-3</v>
      </c>
      <c r="V35" s="49">
        <f t="shared" si="28"/>
        <v>2.7503756279999947E-3</v>
      </c>
      <c r="W35" s="49">
        <f t="shared" si="28"/>
        <v>1.3751878139999991E-3</v>
      </c>
      <c r="X35" s="49">
        <f t="shared" si="28"/>
        <v>1.3751878139999991E-3</v>
      </c>
      <c r="Y35" s="49">
        <f t="shared" si="28"/>
        <v>3.9492573119999964E-3</v>
      </c>
      <c r="Z35" s="49">
        <f t="shared" si="28"/>
        <v>3.9492573119999964E-3</v>
      </c>
      <c r="AA35" s="49">
        <f t="shared" si="28"/>
        <v>3.9492573119999964E-3</v>
      </c>
      <c r="AB35" s="49">
        <f t="shared" si="28"/>
        <v>6.6796329599999975E-3</v>
      </c>
    </row>
    <row r="36" spans="1:28" x14ac:dyDescent="0.25">
      <c r="A36" s="24" t="s">
        <v>236</v>
      </c>
      <c r="B36" s="24" t="s">
        <v>237</v>
      </c>
      <c r="C36" s="29">
        <v>4.7499999999999999E-3</v>
      </c>
      <c r="D36" s="30">
        <f>+$C$36</f>
        <v>4.7499999999999999E-3</v>
      </c>
      <c r="E36" s="30">
        <f t="shared" ref="E36:AB36" si="29">+$C$36</f>
        <v>4.7499999999999999E-3</v>
      </c>
      <c r="F36" s="30">
        <f t="shared" si="29"/>
        <v>4.7499999999999999E-3</v>
      </c>
      <c r="G36" s="30">
        <f t="shared" si="29"/>
        <v>4.7499999999999999E-3</v>
      </c>
      <c r="H36" s="30">
        <f t="shared" si="29"/>
        <v>4.7499999999999999E-3</v>
      </c>
      <c r="I36" s="30">
        <f t="shared" si="29"/>
        <v>4.7499999999999999E-3</v>
      </c>
      <c r="J36" s="30">
        <f t="shared" si="29"/>
        <v>4.7499999999999999E-3</v>
      </c>
      <c r="K36" s="30">
        <f t="shared" si="29"/>
        <v>4.7499999999999999E-3</v>
      </c>
      <c r="L36" s="30">
        <f t="shared" si="29"/>
        <v>4.7499999999999999E-3</v>
      </c>
      <c r="M36" s="30">
        <f t="shared" si="29"/>
        <v>4.7499999999999999E-3</v>
      </c>
      <c r="N36" s="30">
        <f t="shared" si="29"/>
        <v>4.7499999999999999E-3</v>
      </c>
      <c r="O36" s="30">
        <f t="shared" si="29"/>
        <v>4.7499999999999999E-3</v>
      </c>
      <c r="P36" s="30">
        <f t="shared" si="29"/>
        <v>4.7499999999999999E-3</v>
      </c>
      <c r="Q36" s="30">
        <f t="shared" si="29"/>
        <v>4.7499999999999999E-3</v>
      </c>
      <c r="R36" s="30">
        <f t="shared" si="29"/>
        <v>4.7499999999999999E-3</v>
      </c>
      <c r="S36" s="30">
        <f t="shared" si="29"/>
        <v>4.7499999999999999E-3</v>
      </c>
      <c r="T36" s="30">
        <f t="shared" si="29"/>
        <v>4.7499999999999999E-3</v>
      </c>
      <c r="U36" s="30">
        <f t="shared" si="29"/>
        <v>4.7499999999999999E-3</v>
      </c>
      <c r="V36" s="30">
        <f t="shared" si="29"/>
        <v>4.7499999999999999E-3</v>
      </c>
      <c r="W36" s="30">
        <f t="shared" si="29"/>
        <v>4.7499999999999999E-3</v>
      </c>
      <c r="X36" s="30">
        <f t="shared" si="29"/>
        <v>4.7499999999999999E-3</v>
      </c>
      <c r="Y36" s="30">
        <f t="shared" si="29"/>
        <v>4.7499999999999999E-3</v>
      </c>
      <c r="Z36" s="30">
        <f t="shared" si="29"/>
        <v>4.7499999999999999E-3</v>
      </c>
      <c r="AA36" s="30">
        <f t="shared" si="29"/>
        <v>4.7499999999999999E-3</v>
      </c>
      <c r="AB36" s="30">
        <f t="shared" si="29"/>
        <v>4.7499999999999999E-3</v>
      </c>
    </row>
    <row r="37" spans="1:28" x14ac:dyDescent="0.25">
      <c r="A37" s="24" t="s">
        <v>238</v>
      </c>
      <c r="B37" s="24"/>
      <c r="C37" s="31">
        <f>C5*C36</f>
        <v>2.1375000000000001E-3</v>
      </c>
      <c r="D37" s="32">
        <f t="shared" ref="D37:AB37" si="30">D5*D36</f>
        <v>2.1375000000000001E-3</v>
      </c>
      <c r="E37" s="32">
        <f t="shared" si="30"/>
        <v>2.1375000000000001E-3</v>
      </c>
      <c r="F37" s="32">
        <f t="shared" si="30"/>
        <v>2.1375000000000001E-3</v>
      </c>
      <c r="G37" s="32">
        <f t="shared" si="30"/>
        <v>2.1375000000000001E-3</v>
      </c>
      <c r="H37" s="32">
        <f t="shared" si="30"/>
        <v>2.1375000000000001E-3</v>
      </c>
      <c r="I37" s="32">
        <f t="shared" si="30"/>
        <v>2.1375000000000001E-3</v>
      </c>
      <c r="J37" s="32">
        <f t="shared" si="30"/>
        <v>2.1375000000000001E-3</v>
      </c>
      <c r="K37" s="32">
        <f t="shared" si="30"/>
        <v>1.3917500000000001E-2</v>
      </c>
      <c r="L37" s="32">
        <f t="shared" si="30"/>
        <v>1.3917500000000001E-2</v>
      </c>
      <c r="M37" s="32">
        <f t="shared" si="30"/>
        <v>1.3917500000000001E-2</v>
      </c>
      <c r="N37" s="32">
        <f t="shared" si="30"/>
        <v>1.3917500000000001E-2</v>
      </c>
      <c r="O37" s="32">
        <f t="shared" si="30"/>
        <v>1.3917500000000001E-2</v>
      </c>
      <c r="P37" s="32">
        <f t="shared" si="30"/>
        <v>1.3917500000000001E-2</v>
      </c>
      <c r="Q37" s="32">
        <f t="shared" si="30"/>
        <v>1.3917500000000001E-2</v>
      </c>
      <c r="R37" s="32">
        <f t="shared" si="30"/>
        <v>1.3917500000000001E-2</v>
      </c>
      <c r="S37" s="32">
        <f t="shared" si="30"/>
        <v>1.3917500000000001E-2</v>
      </c>
      <c r="T37" s="32">
        <f t="shared" si="30"/>
        <v>1.3917500000000001E-2</v>
      </c>
      <c r="U37" s="32">
        <f t="shared" si="30"/>
        <v>3.3972000000000002E-2</v>
      </c>
      <c r="V37" s="32">
        <f t="shared" si="30"/>
        <v>3.3972000000000002E-2</v>
      </c>
      <c r="W37" s="32">
        <f t="shared" si="30"/>
        <v>3.3972000000000002E-2</v>
      </c>
      <c r="X37" s="32">
        <f t="shared" si="30"/>
        <v>3.3972000000000002E-2</v>
      </c>
      <c r="Y37" s="32">
        <f t="shared" si="30"/>
        <v>7.9267999999999991E-2</v>
      </c>
      <c r="Z37" s="32">
        <f t="shared" si="30"/>
        <v>7.9267999999999991E-2</v>
      </c>
      <c r="AA37" s="32">
        <f t="shared" si="30"/>
        <v>7.9267999999999991E-2</v>
      </c>
      <c r="AB37" s="32">
        <f t="shared" si="30"/>
        <v>7.9267999999999991E-2</v>
      </c>
    </row>
    <row r="38" spans="1:28" x14ac:dyDescent="0.25">
      <c r="A38" s="24" t="s">
        <v>239</v>
      </c>
      <c r="B38" s="24" t="s">
        <v>240</v>
      </c>
      <c r="C38" s="31">
        <v>265</v>
      </c>
      <c r="D38" s="32">
        <f>$C$38</f>
        <v>265</v>
      </c>
      <c r="E38" s="32">
        <f t="shared" ref="E38:AB38" si="31">$C$38</f>
        <v>265</v>
      </c>
      <c r="F38" s="32">
        <f t="shared" si="31"/>
        <v>265</v>
      </c>
      <c r="G38" s="32">
        <f t="shared" si="31"/>
        <v>265</v>
      </c>
      <c r="H38" s="32">
        <f t="shared" si="31"/>
        <v>265</v>
      </c>
      <c r="I38" s="32">
        <f t="shared" si="31"/>
        <v>265</v>
      </c>
      <c r="J38" s="32">
        <f t="shared" si="31"/>
        <v>265</v>
      </c>
      <c r="K38" s="32">
        <f t="shared" si="31"/>
        <v>265</v>
      </c>
      <c r="L38" s="32">
        <f t="shared" si="31"/>
        <v>265</v>
      </c>
      <c r="M38" s="32">
        <f t="shared" si="31"/>
        <v>265</v>
      </c>
      <c r="N38" s="32">
        <f t="shared" si="31"/>
        <v>265</v>
      </c>
      <c r="O38" s="32">
        <f t="shared" si="31"/>
        <v>265</v>
      </c>
      <c r="P38" s="32">
        <f t="shared" si="31"/>
        <v>265</v>
      </c>
      <c r="Q38" s="32">
        <f t="shared" si="31"/>
        <v>265</v>
      </c>
      <c r="R38" s="32">
        <f t="shared" si="31"/>
        <v>265</v>
      </c>
      <c r="S38" s="32">
        <f t="shared" si="31"/>
        <v>265</v>
      </c>
      <c r="T38" s="32">
        <f t="shared" si="31"/>
        <v>265</v>
      </c>
      <c r="U38" s="32">
        <f t="shared" si="31"/>
        <v>265</v>
      </c>
      <c r="V38" s="32">
        <f t="shared" si="31"/>
        <v>265</v>
      </c>
      <c r="W38" s="32">
        <f t="shared" si="31"/>
        <v>265</v>
      </c>
      <c r="X38" s="32">
        <f t="shared" si="31"/>
        <v>265</v>
      </c>
      <c r="Y38" s="32">
        <f t="shared" si="31"/>
        <v>265</v>
      </c>
      <c r="Z38" s="32">
        <f t="shared" si="31"/>
        <v>265</v>
      </c>
      <c r="AA38" s="32">
        <f t="shared" si="31"/>
        <v>265</v>
      </c>
      <c r="AB38" s="32">
        <f t="shared" si="31"/>
        <v>265</v>
      </c>
    </row>
    <row r="39" spans="1:28" x14ac:dyDescent="0.25">
      <c r="A39" s="24" t="s">
        <v>241</v>
      </c>
      <c r="B39" s="24"/>
      <c r="C39" s="52">
        <f t="shared" ref="C39:AB39" si="32">C35*C38</f>
        <v>2.9153981656800013E-2</v>
      </c>
      <c r="D39" s="53">
        <f t="shared" si="32"/>
        <v>2.9153981656800013E-2</v>
      </c>
      <c r="E39" s="53">
        <f t="shared" si="32"/>
        <v>2.9153981656800013E-2</v>
      </c>
      <c r="F39" s="53">
        <f t="shared" si="32"/>
        <v>1.3882848408000008E-2</v>
      </c>
      <c r="G39" s="53">
        <f t="shared" si="32"/>
        <v>1.3882848408000008E-2</v>
      </c>
      <c r="H39" s="53">
        <f t="shared" si="32"/>
        <v>1.3882848408000008E-2</v>
      </c>
      <c r="I39" s="53">
        <f t="shared" si="32"/>
        <v>1.3882848408000008E-2</v>
      </c>
      <c r="J39" s="53">
        <f t="shared" si="32"/>
        <v>1.3882848408000008E-2</v>
      </c>
      <c r="K39" s="53">
        <f t="shared" si="32"/>
        <v>0.10145158452</v>
      </c>
      <c r="L39" s="53">
        <f t="shared" si="32"/>
        <v>0.21304832749199973</v>
      </c>
      <c r="M39" s="53">
        <f t="shared" si="32"/>
        <v>0.21304832749199973</v>
      </c>
      <c r="N39" s="53">
        <f t="shared" si="32"/>
        <v>0.21304832749199973</v>
      </c>
      <c r="O39" s="53">
        <f t="shared" si="32"/>
        <v>0.36034234236000001</v>
      </c>
      <c r="P39" s="53">
        <f t="shared" si="32"/>
        <v>0.17246769368400003</v>
      </c>
      <c r="Q39" s="53">
        <f t="shared" si="32"/>
        <v>0.17246769368400003</v>
      </c>
      <c r="R39" s="53">
        <f t="shared" si="32"/>
        <v>0.17246769368400003</v>
      </c>
      <c r="S39" s="53">
        <f t="shared" si="32"/>
        <v>0.14203221832799984</v>
      </c>
      <c r="T39" s="53">
        <f t="shared" si="32"/>
        <v>0.14203221832799984</v>
      </c>
      <c r="U39" s="53">
        <f t="shared" si="32"/>
        <v>0.72884954141999858</v>
      </c>
      <c r="V39" s="53">
        <f t="shared" si="32"/>
        <v>0.72884954141999858</v>
      </c>
      <c r="W39" s="53">
        <f t="shared" si="32"/>
        <v>0.36442477070999973</v>
      </c>
      <c r="X39" s="53">
        <f t="shared" si="32"/>
        <v>0.36442477070999973</v>
      </c>
      <c r="Y39" s="53">
        <f t="shared" si="32"/>
        <v>1.0465531876799992</v>
      </c>
      <c r="Z39" s="53">
        <f t="shared" si="32"/>
        <v>1.0465531876799992</v>
      </c>
      <c r="AA39" s="53">
        <f t="shared" si="32"/>
        <v>1.0465531876799992</v>
      </c>
      <c r="AB39" s="53">
        <f t="shared" si="32"/>
        <v>1.7701027343999993</v>
      </c>
    </row>
    <row r="40" spans="1:28" x14ac:dyDescent="0.25">
      <c r="A40" s="24" t="s">
        <v>113</v>
      </c>
      <c r="B40" s="24" t="s">
        <v>242</v>
      </c>
      <c r="C40" s="43">
        <f>Tabel_svin!C76</f>
        <v>107.94352363636364</v>
      </c>
      <c r="D40" s="43" t="e">
        <f>Tabel_svin!#REF!</f>
        <v>#REF!</v>
      </c>
      <c r="E40" s="43">
        <f>Tabel_svin!D76</f>
        <v>107.94352363636364</v>
      </c>
      <c r="F40" s="43">
        <f>Tabel_svin!E76</f>
        <v>108.94352363636364</v>
      </c>
      <c r="G40" s="43" t="e">
        <f>Tabel_svin!#REF!</f>
        <v>#REF!</v>
      </c>
      <c r="H40" s="43">
        <f>Tabel_svin!F76</f>
        <v>108.94352363636364</v>
      </c>
      <c r="I40" s="43">
        <f>Tabel_svin!G76</f>
        <v>108.94352363636364</v>
      </c>
      <c r="J40" s="43" t="e">
        <f>Tabel_svin!#REF!</f>
        <v>#REF!</v>
      </c>
      <c r="K40" s="43">
        <f>Tabel_svin!H76</f>
        <v>108.94352363636364</v>
      </c>
      <c r="L40" s="43">
        <f>Tabel_svin!I76</f>
        <v>595.88423076923073</v>
      </c>
      <c r="M40" s="43" t="e">
        <f>Tabel_svin!#REF!</f>
        <v>#REF!</v>
      </c>
      <c r="N40" s="43">
        <f>Tabel_svin!J76</f>
        <v>595.88423076923073</v>
      </c>
      <c r="O40" s="43">
        <f>Tabel_svin!K76</f>
        <v>595.88423076923073</v>
      </c>
      <c r="P40" s="43">
        <f>Tabel_svin!L76</f>
        <v>595.88423076923073</v>
      </c>
      <c r="Q40" s="43" t="e">
        <f>Tabel_svin!#REF!</f>
        <v>#REF!</v>
      </c>
      <c r="R40" s="43">
        <f>Tabel_svin!M76</f>
        <v>595.88423076923073</v>
      </c>
      <c r="S40" s="43">
        <f>Tabel_svin!N76</f>
        <v>595.88423076923073</v>
      </c>
      <c r="T40" s="43">
        <f>Tabel_svin!O76</f>
        <v>595.88423076923073</v>
      </c>
      <c r="U40" s="43">
        <f>Tabel_svin!P76</f>
        <v>1540.2417647058821</v>
      </c>
      <c r="V40" s="43" t="e">
        <f>Tabel_svin!#REF!</f>
        <v>#REF!</v>
      </c>
      <c r="W40" s="43">
        <f>Tabel_svin!Q76</f>
        <v>1540.2417647058821</v>
      </c>
      <c r="X40" s="43" t="e">
        <f>Tabel_svin!#REF!</f>
        <v>#REF!</v>
      </c>
      <c r="Y40" s="43">
        <f>Tabel_svin!R76</f>
        <v>2850.5641176470585</v>
      </c>
      <c r="Z40" s="43" t="e">
        <f>Tabel_svin!#REF!</f>
        <v>#REF!</v>
      </c>
      <c r="AA40" s="43">
        <f>Tabel_svin!S76</f>
        <v>2850.5641176470585</v>
      </c>
      <c r="AB40" s="43">
        <f>Tabel_svin!T76</f>
        <v>2850.5641176470585</v>
      </c>
    </row>
    <row r="41" spans="1:28" x14ac:dyDescent="0.25">
      <c r="A41" s="24" t="s">
        <v>243</v>
      </c>
      <c r="B41" s="24" t="s">
        <v>244</v>
      </c>
      <c r="C41" s="46">
        <f>C39/(C40/1000)</f>
        <v>0.27008551022489247</v>
      </c>
      <c r="D41" s="47" t="e">
        <f t="shared" ref="D41:AB41" si="33">D39/(D40/1000)</f>
        <v>#REF!</v>
      </c>
      <c r="E41" s="47">
        <f t="shared" si="33"/>
        <v>0.27008551022489247</v>
      </c>
      <c r="F41" s="47">
        <f t="shared" si="33"/>
        <v>0.12743160809025028</v>
      </c>
      <c r="G41" s="47" t="e">
        <f t="shared" si="33"/>
        <v>#REF!</v>
      </c>
      <c r="H41" s="47">
        <f t="shared" si="33"/>
        <v>0.12743160809025028</v>
      </c>
      <c r="I41" s="47">
        <f t="shared" si="33"/>
        <v>0.12743160809025028</v>
      </c>
      <c r="J41" s="47" t="e">
        <f t="shared" si="33"/>
        <v>#REF!</v>
      </c>
      <c r="K41" s="47">
        <f t="shared" si="33"/>
        <v>0.93123098219798217</v>
      </c>
      <c r="L41" s="47">
        <f t="shared" si="33"/>
        <v>0.35753308527224209</v>
      </c>
      <c r="M41" s="47" t="e">
        <f t="shared" si="33"/>
        <v>#REF!</v>
      </c>
      <c r="N41" s="47">
        <f t="shared" si="33"/>
        <v>0.35753308527224209</v>
      </c>
      <c r="O41" s="47">
        <f t="shared" si="33"/>
        <v>0.60471870835519814</v>
      </c>
      <c r="P41" s="47">
        <f t="shared" si="33"/>
        <v>0.28943154522038683</v>
      </c>
      <c r="Q41" s="47" t="e">
        <f t="shared" si="33"/>
        <v>#REF!</v>
      </c>
      <c r="R41" s="47">
        <f t="shared" si="33"/>
        <v>0.28943154522038683</v>
      </c>
      <c r="S41" s="47">
        <f t="shared" si="33"/>
        <v>0.23835539018149474</v>
      </c>
      <c r="T41" s="47">
        <f t="shared" si="33"/>
        <v>0.23835539018149474</v>
      </c>
      <c r="U41" s="47">
        <f t="shared" si="33"/>
        <v>0.47320463457188261</v>
      </c>
      <c r="V41" s="47" t="e">
        <f t="shared" si="33"/>
        <v>#REF!</v>
      </c>
      <c r="W41" s="47">
        <f t="shared" si="33"/>
        <v>0.23660231728594161</v>
      </c>
      <c r="X41" s="47" t="e">
        <f t="shared" si="33"/>
        <v>#REF!</v>
      </c>
      <c r="Y41" s="47">
        <f t="shared" si="33"/>
        <v>0.36713897477382673</v>
      </c>
      <c r="Z41" s="47" t="e">
        <f t="shared" si="33"/>
        <v>#REF!</v>
      </c>
      <c r="AA41" s="47">
        <f t="shared" si="33"/>
        <v>0.36713897477382673</v>
      </c>
      <c r="AB41" s="47">
        <f t="shared" si="33"/>
        <v>0.62096576724648289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N4"/>
  <sheetViews>
    <sheetView workbookViewId="0">
      <selection activeCell="C39" sqref="C39"/>
    </sheetView>
  </sheetViews>
  <sheetFormatPr defaultRowHeight="15" x14ac:dyDescent="0.25"/>
  <cols>
    <col min="2" max="3" width="43.140625" customWidth="1"/>
    <col min="4" max="91" width="43.140625" bestFit="1" customWidth="1"/>
    <col min="92" max="92" width="10.7109375" bestFit="1" customWidth="1"/>
  </cols>
  <sheetData>
    <row r="3" spans="2:92" x14ac:dyDescent="0.25">
      <c r="B3" s="21" t="s">
        <v>245</v>
      </c>
    </row>
    <row r="4" spans="2:92" x14ac:dyDescent="0.25">
      <c r="B4" t="s">
        <v>65</v>
      </c>
      <c r="C4" t="s">
        <v>69</v>
      </c>
      <c r="D4" t="s">
        <v>27</v>
      </c>
      <c r="E4" t="s">
        <v>127</v>
      </c>
      <c r="F4" t="s">
        <v>126</v>
      </c>
      <c r="G4" t="s">
        <v>128</v>
      </c>
      <c r="H4" t="s">
        <v>142</v>
      </c>
      <c r="I4" t="s">
        <v>143</v>
      </c>
      <c r="J4" t="s">
        <v>202</v>
      </c>
      <c r="K4" t="s">
        <v>206</v>
      </c>
      <c r="L4" t="s">
        <v>203</v>
      </c>
      <c r="M4" t="s">
        <v>204</v>
      </c>
      <c r="N4" t="s">
        <v>201</v>
      </c>
      <c r="O4" t="s">
        <v>205</v>
      </c>
      <c r="P4" t="s">
        <v>33</v>
      </c>
      <c r="Q4" t="s">
        <v>200</v>
      </c>
      <c r="R4" t="s">
        <v>117</v>
      </c>
      <c r="S4" t="s">
        <v>61</v>
      </c>
      <c r="T4" t="s">
        <v>120</v>
      </c>
      <c r="U4" t="s">
        <v>105</v>
      </c>
      <c r="V4" t="s">
        <v>98</v>
      </c>
      <c r="W4" t="s">
        <v>96</v>
      </c>
      <c r="X4" t="s">
        <v>95</v>
      </c>
      <c r="Y4" t="s">
        <v>85</v>
      </c>
      <c r="Z4" t="s">
        <v>83</v>
      </c>
      <c r="AA4" t="s">
        <v>88</v>
      </c>
      <c r="AB4" t="s">
        <v>89</v>
      </c>
      <c r="AC4" t="s">
        <v>86</v>
      </c>
      <c r="AD4" t="s">
        <v>91</v>
      </c>
      <c r="AE4" t="s">
        <v>25</v>
      </c>
      <c r="AF4" t="s">
        <v>113</v>
      </c>
      <c r="AG4" t="s">
        <v>118</v>
      </c>
      <c r="AH4" t="s">
        <v>24</v>
      </c>
      <c r="AI4" t="s">
        <v>26</v>
      </c>
      <c r="AJ4" t="s">
        <v>80</v>
      </c>
      <c r="AK4" t="s">
        <v>67</v>
      </c>
      <c r="AL4" t="s">
        <v>77</v>
      </c>
      <c r="AM4" t="s">
        <v>79</v>
      </c>
      <c r="AN4" t="s">
        <v>208</v>
      </c>
      <c r="AO4" t="s">
        <v>132</v>
      </c>
      <c r="AP4" t="s">
        <v>144</v>
      </c>
      <c r="AQ4" t="s">
        <v>59</v>
      </c>
      <c r="AR4" t="s">
        <v>55</v>
      </c>
      <c r="AS4" t="s">
        <v>20</v>
      </c>
      <c r="AT4" t="s">
        <v>76</v>
      </c>
      <c r="AU4" t="s">
        <v>93</v>
      </c>
      <c r="AV4" t="s">
        <v>78</v>
      </c>
      <c r="AW4" t="s">
        <v>63</v>
      </c>
      <c r="AX4" t="s">
        <v>74</v>
      </c>
      <c r="AY4" t="s">
        <v>22</v>
      </c>
      <c r="AZ4" t="s">
        <v>129</v>
      </c>
      <c r="BA4" t="s">
        <v>73</v>
      </c>
      <c r="BB4" t="s">
        <v>5</v>
      </c>
      <c r="BC4" t="s">
        <v>112</v>
      </c>
      <c r="BD4" t="s">
        <v>109</v>
      </c>
      <c r="BE4" t="s">
        <v>52</v>
      </c>
      <c r="BF4" t="s">
        <v>54</v>
      </c>
      <c r="BG4" t="s">
        <v>18</v>
      </c>
      <c r="BH4" t="s">
        <v>81</v>
      </c>
      <c r="BI4" t="s">
        <v>111</v>
      </c>
      <c r="BJ4" t="s">
        <v>50</v>
      </c>
      <c r="BK4" t="s">
        <v>16</v>
      </c>
      <c r="BL4" t="s">
        <v>103</v>
      </c>
      <c r="BM4" t="s">
        <v>101</v>
      </c>
      <c r="BN4" t="s">
        <v>99</v>
      </c>
      <c r="BO4" t="s">
        <v>107</v>
      </c>
      <c r="BP4" t="s">
        <v>124</v>
      </c>
      <c r="BQ4" t="s">
        <v>130</v>
      </c>
      <c r="BR4" t="s">
        <v>122</v>
      </c>
      <c r="BS4" t="s">
        <v>121</v>
      </c>
      <c r="BT4" t="s">
        <v>125</v>
      </c>
      <c r="BU4" t="s">
        <v>138</v>
      </c>
      <c r="BV4" t="s">
        <v>140</v>
      </c>
      <c r="BW4" t="s">
        <v>131</v>
      </c>
      <c r="BX4" t="s">
        <v>133</v>
      </c>
      <c r="BY4" t="s">
        <v>135</v>
      </c>
      <c r="BZ4" t="s">
        <v>119</v>
      </c>
      <c r="CA4" t="s">
        <v>123</v>
      </c>
      <c r="CB4" t="s">
        <v>141</v>
      </c>
      <c r="CC4" t="s">
        <v>134</v>
      </c>
      <c r="CD4" t="s">
        <v>136</v>
      </c>
      <c r="CE4" t="s">
        <v>212</v>
      </c>
      <c r="CF4" t="s">
        <v>158</v>
      </c>
      <c r="CG4" t="s">
        <v>160</v>
      </c>
      <c r="CH4" t="s">
        <v>210</v>
      </c>
      <c r="CI4" t="s">
        <v>209</v>
      </c>
      <c r="CJ4" t="s">
        <v>148</v>
      </c>
      <c r="CK4" t="s">
        <v>70</v>
      </c>
      <c r="CL4" t="s">
        <v>72</v>
      </c>
      <c r="CM4" t="s">
        <v>246</v>
      </c>
      <c r="CN4" t="s">
        <v>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Tabel_svin</vt:lpstr>
      <vt:lpstr>Tabel_kvæg</vt:lpstr>
      <vt:lpstr>Lager</vt:lpstr>
      <vt:lpstr>Tabel_gyllekøling</vt:lpstr>
      <vt:lpstr>NH3_N2O</vt:lpstr>
      <vt:lpstr>Pivot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2024-01-05T09:13:39Z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