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3642_uni_au_dk/Documents/Models and tools/"/>
    </mc:Choice>
  </mc:AlternateContent>
  <xr:revisionPtr revIDLastSave="15" documentId="8_{0B0D16DA-F987-4172-834A-E5A42E502C95}" xr6:coauthVersionLast="47" xr6:coauthVersionMax="47" xr10:uidLastSave="{5F242FBB-64DF-463F-B4D6-84A715875424}"/>
  <bookViews>
    <workbookView xWindow="28680" yWindow="-120" windowWidth="29040" windowHeight="17520" xr2:uid="{86A3C7CE-5D82-4A55-8627-6C61FEAEB00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K16" i="1"/>
  <c r="C7" i="1"/>
  <c r="R6" i="1"/>
  <c r="R4" i="1"/>
  <c r="R5" i="1"/>
  <c r="R3" i="1"/>
  <c r="J14" i="1"/>
  <c r="H15" i="1"/>
  <c r="K15" i="1" s="1"/>
  <c r="H14" i="1"/>
  <c r="K14" i="1" s="1"/>
  <c r="F6" i="1"/>
  <c r="G6" i="1" s="1"/>
  <c r="F4" i="1"/>
  <c r="G4" i="1" s="1"/>
  <c r="N4" i="1" s="1"/>
  <c r="F5" i="1"/>
  <c r="G5" i="1" s="1"/>
  <c r="F3" i="1"/>
  <c r="G3" i="1" s="1"/>
  <c r="N3" i="1" l="1"/>
  <c r="O3" i="1" s="1"/>
  <c r="P3" i="1" s="1"/>
  <c r="N6" i="1"/>
  <c r="O6" i="1" s="1"/>
  <c r="G7" i="1"/>
  <c r="N5" i="1"/>
  <c r="O5" i="1" s="1"/>
  <c r="O4" i="1"/>
  <c r="T4" i="1" s="1"/>
  <c r="T3" i="1" l="1"/>
  <c r="T5" i="1"/>
  <c r="P5" i="1"/>
  <c r="T6" i="1"/>
  <c r="P6" i="1"/>
  <c r="P4" i="1"/>
  <c r="M7" i="1"/>
  <c r="F10" i="1" s="1"/>
  <c r="U3" i="1" l="1"/>
  <c r="V3" i="1" s="1"/>
  <c r="W3" i="1" s="1"/>
  <c r="U4" i="1"/>
  <c r="V4" i="1" s="1"/>
  <c r="W4" i="1" s="1"/>
  <c r="X3" i="1"/>
  <c r="U6" i="1"/>
  <c r="U5" i="1"/>
  <c r="H10" i="1"/>
  <c r="H11" i="1" s="1"/>
  <c r="F13" i="1"/>
  <c r="K13" i="1" s="1"/>
  <c r="V5" i="1" l="1"/>
  <c r="W5" i="1" s="1"/>
  <c r="X5" i="1" s="1"/>
  <c r="V6" i="1"/>
  <c r="W6" i="1" s="1"/>
  <c r="X6" i="1" s="1"/>
  <c r="X4" i="1"/>
  <c r="K11" i="1"/>
  <c r="L11" i="1" s="1"/>
  <c r="K18" i="1" l="1"/>
  <c r="L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tc={AC5D6033-2565-4AFC-A4D9-A2E126C72A02}</author>
    <author>tc={90D00BE9-6C5B-49F8-9AE6-1E9573B2DD4F}</author>
  </authors>
  <commentList>
    <comment ref="U1" authorId="0" shapeId="0" xr:uid="{AC5D6033-2565-4AFC-A4D9-A2E126C72A02}">
      <text>
        <t>[Threaded comment]
Your version of Excel allows you to read this threaded comment; however, any edits to it will get removed if the file is opened in a newer version of Excel. Learn more: https://go.microsoft.com/fwlink/?linkid=870924
Comment:
    afhænger af biomasse</t>
      </text>
    </comment>
    <comment ref="U2" authorId="1" shapeId="0" xr:uid="{90D00BE9-6C5B-49F8-9AE6-1E9573B2DD4F}">
      <text>
        <t>[Threaded comment]
Your version of Excel allows you to read this threaded comment; however, any edits to it will get removed if the file is opened in a newer version of Excel. Learn more: https://go.microsoft.com/fwlink/?linkid=870924
Comment:
    Går ud fra der skal stå CO2 her</t>
      </text>
    </comment>
  </commentList>
</comments>
</file>

<file path=xl/sharedStrings.xml><?xml version="1.0" encoding="utf-8"?>
<sst xmlns="http://schemas.openxmlformats.org/spreadsheetml/2006/main" count="51" uniqueCount="49">
  <si>
    <t>Manure type</t>
  </si>
  <si>
    <t>Proportion</t>
  </si>
  <si>
    <t>DM (kg/t)</t>
  </si>
  <si>
    <t>VS</t>
  </si>
  <si>
    <t>VS (kg/t_feed)</t>
  </si>
  <si>
    <t>BMP (L CH4/kg VS)</t>
  </si>
  <si>
    <t>Temp. (°C)</t>
  </si>
  <si>
    <t>Apparent hydrolysis rate</t>
  </si>
  <si>
    <t>Reactor Ret.time (days)</t>
  </si>
  <si>
    <t>Yield of BMP</t>
  </si>
  <si>
    <t>CH4 prod. (L CH4/kg VS)</t>
  </si>
  <si>
    <t>CH4 prod (m3/t_feed)</t>
  </si>
  <si>
    <t>CH4 prod (kg/t_feed)</t>
  </si>
  <si>
    <t>kg CH4/kg VS</t>
  </si>
  <si>
    <t>CH4 proportion</t>
  </si>
  <si>
    <t>CO2 proportion</t>
  </si>
  <si>
    <t>kg C/kg VS</t>
  </si>
  <si>
    <t>kg CH4-C/t_feed</t>
  </si>
  <si>
    <t>kg CO2_C/t_feed</t>
  </si>
  <si>
    <t>kg VS/t_feed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</si>
  <si>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kg VS/kg VS_feed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</si>
  <si>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kg TS/kg DM_feed</t>
    </r>
  </si>
  <si>
    <t>Cattle slurry</t>
  </si>
  <si>
    <t>Pig slurry</t>
  </si>
  <si>
    <t>Deep litter</t>
  </si>
  <si>
    <t>Wheat straw</t>
  </si>
  <si>
    <t>kg/t feed</t>
  </si>
  <si>
    <t>Energy (MJ/kg)</t>
  </si>
  <si>
    <t>Energy (MJ)</t>
  </si>
  <si>
    <t>GWP100_AR5</t>
  </si>
  <si>
    <t>Emission (CO2e/kWh)</t>
  </si>
  <si>
    <t>CO2e (kg)</t>
  </si>
  <si>
    <t>CO2e (kg/kg CH4)</t>
  </si>
  <si>
    <t>Source</t>
  </si>
  <si>
    <t>CH4 prod.</t>
  </si>
  <si>
    <t>Substittute natural gas</t>
  </si>
  <si>
    <t>kg CO2/MJ</t>
  </si>
  <si>
    <t>Leakage</t>
  </si>
  <si>
    <t>of prod. CH4</t>
  </si>
  <si>
    <t>KF23_7b</t>
  </si>
  <si>
    <t>Process heat</t>
  </si>
  <si>
    <t>kWh/t biomass</t>
  </si>
  <si>
    <t>Olesen et al. 2020. Model 1B (med varmeveksling)</t>
  </si>
  <si>
    <t>Process electricity</t>
  </si>
  <si>
    <t>KF23_el_emissionsfaktorer</t>
  </si>
  <si>
    <t>Transport biomass</t>
  </si>
  <si>
    <t>kg CO2/t feed</t>
  </si>
  <si>
    <t>Olesen et al. 2020</t>
  </si>
  <si>
    <t>Net 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</si>
</sst>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3" applyNumberFormat="0" applyAlignment="0" applyProtection="0"/>
    <xf numFmtId="0" fontId="2" fillId="3" borderId="3" applyNumberFormat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1" fontId="0" fillId="0" borderId="0" xfId="0" applyNumberFormat="1"/>
    <xf numFmtId="2" fontId="0" fillId="0" borderId="0" xfId="0" applyNumberFormat="1" applyAlignment="1">
      <alignment wrapText="1"/>
    </xf>
    <xf numFmtId="2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2" xfId="0" applyBorder="1"/>
    <xf numFmtId="0" fontId="1" fillId="2" borderId="3" xfId="1"/>
    <xf numFmtId="2" fontId="1" fillId="2" borderId="3" xfId="1" applyNumberFormat="1"/>
    <xf numFmtId="164" fontId="1" fillId="2" borderId="3" xfId="1" applyNumberFormat="1"/>
    <xf numFmtId="167" fontId="1" fillId="2" borderId="3" xfId="1" applyNumberFormat="1"/>
    <xf numFmtId="165" fontId="1" fillId="2" borderId="3" xfId="1" applyNumberFormat="1"/>
    <xf numFmtId="0" fontId="2" fillId="3" borderId="3" xfId="2"/>
    <xf numFmtId="2" fontId="2" fillId="3" borderId="3" xfId="2" applyNumberFormat="1"/>
    <xf numFmtId="164" fontId="2" fillId="3" borderId="3" xfId="2" applyNumberFormat="1"/>
    <xf numFmtId="1" fontId="2" fillId="3" borderId="3" xfId="2" applyNumberFormat="1"/>
    <xf numFmtId="165" fontId="2" fillId="3" borderId="3" xfId="2" applyNumberFormat="1"/>
    <xf numFmtId="166" fontId="2" fillId="3" borderId="3" xfId="2" applyNumberFormat="1"/>
  </cellXfs>
  <cellStyles count="3">
    <cellStyle name="Beregning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ik Bjarne Møller" id="{3EECA6B0-8583-4E9E-916C-C515814CB917}" userId="S::au224339@uni.au.dk::f2f4527d-af01-4963-b0eb-7a616c6c18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" dT="2024-02-14T10:31:56.28" personId="{3EECA6B0-8583-4E9E-916C-C515814CB917}" id="{AC5D6033-2565-4AFC-A4D9-A2E126C72A02}">
    <text>afhænger af biomasse</text>
  </threadedComment>
  <threadedComment ref="U2" dT="2024-02-14T10:32:26.87" personId="{3EECA6B0-8583-4E9E-916C-C515814CB917}" id="{90D00BE9-6C5B-49F8-9AE6-1E9573B2DD4F}">
    <text>Går ud fra der skal stå CO2 her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87C6-B92F-45E9-88F4-3746D5E0631B}">
  <dimension ref="B1:X18"/>
  <sheetViews>
    <sheetView tabSelected="1" topLeftCell="C1" workbookViewId="0">
      <selection activeCell="M4" sqref="M4"/>
    </sheetView>
  </sheetViews>
  <sheetFormatPr defaultRowHeight="15"/>
  <cols>
    <col min="1" max="21" width="12.7109375" customWidth="1"/>
  </cols>
  <sheetData>
    <row r="1" spans="2:24"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24" s="1" customFormat="1" ht="45.75">
      <c r="B2" s="8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N2" s="10" t="s">
        <v>11</v>
      </c>
      <c r="O2" s="10" t="s">
        <v>12</v>
      </c>
      <c r="P2" s="10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</row>
    <row r="3" spans="2:24">
      <c r="B3" t="s">
        <v>22</v>
      </c>
      <c r="C3" s="13">
        <v>0.4</v>
      </c>
      <c r="D3" s="14">
        <v>77</v>
      </c>
      <c r="E3" s="13">
        <v>0.8</v>
      </c>
      <c r="F3" s="18">
        <f>+D3*E3</f>
        <v>61.6</v>
      </c>
      <c r="G3" s="22">
        <f>+F3*C3</f>
        <v>24.64</v>
      </c>
      <c r="H3" s="13">
        <v>275</v>
      </c>
      <c r="I3" s="13">
        <v>0</v>
      </c>
      <c r="J3" s="15">
        <v>0.08</v>
      </c>
      <c r="K3" s="13">
        <v>60</v>
      </c>
      <c r="L3" s="13">
        <v>0.8</v>
      </c>
      <c r="M3" s="18">
        <f>+L3*H3</f>
        <v>220</v>
      </c>
      <c r="N3" s="22">
        <f>+M3*G3/1000</f>
        <v>5.4207999999999998</v>
      </c>
      <c r="O3" s="18">
        <f>+ROUND(N3/22.4*16, 2)</f>
        <v>3.87</v>
      </c>
      <c r="P3" s="20">
        <f>+O3/G3</f>
        <v>0.15706168831168832</v>
      </c>
      <c r="Q3" s="13">
        <v>0.55000000000000004</v>
      </c>
      <c r="R3" s="18">
        <f>1-Q3</f>
        <v>0.44999999999999996</v>
      </c>
      <c r="S3" s="18">
        <v>0.42</v>
      </c>
      <c r="T3" s="19">
        <f>+O3/16*12</f>
        <v>2.9024999999999999</v>
      </c>
      <c r="U3" s="19">
        <f>+T3/Q3*R3</f>
        <v>2.3747727272727266</v>
      </c>
      <c r="V3" s="19">
        <f>+SUM(T3:U3)/S3</f>
        <v>12.564935064935064</v>
      </c>
      <c r="W3" s="19">
        <f>+V3/(G3)</f>
        <v>0.50994054646652043</v>
      </c>
      <c r="X3" s="19">
        <f>+W3*E3</f>
        <v>0.40795243717321639</v>
      </c>
    </row>
    <row r="4" spans="2:24">
      <c r="B4" t="s">
        <v>23</v>
      </c>
      <c r="C4" s="13">
        <v>0.4</v>
      </c>
      <c r="D4" s="14">
        <v>54</v>
      </c>
      <c r="E4" s="13">
        <v>0.8</v>
      </c>
      <c r="F4" s="18">
        <f t="shared" ref="F4:F6" si="0">+D4*E4</f>
        <v>43.2</v>
      </c>
      <c r="G4" s="22">
        <f t="shared" ref="G4:G6" si="1">+F4*C4</f>
        <v>17.28</v>
      </c>
      <c r="H4" s="13">
        <v>350</v>
      </c>
      <c r="I4" s="13">
        <v>0</v>
      </c>
      <c r="J4" s="15">
        <v>0.1</v>
      </c>
      <c r="K4" s="13">
        <v>60</v>
      </c>
      <c r="L4" s="13">
        <v>0.8</v>
      </c>
      <c r="M4" s="18">
        <f t="shared" ref="M4:M6" si="2">+L4*H4</f>
        <v>280</v>
      </c>
      <c r="N4" s="22">
        <f>+M4*G4/1000</f>
        <v>4.8384000000000009</v>
      </c>
      <c r="O4" s="18">
        <f t="shared" ref="O4:O6" si="3">+ROUND(N4/22.4*16, 2)</f>
        <v>3.46</v>
      </c>
      <c r="P4" s="20">
        <f>+O4/G4</f>
        <v>0.20023148148148145</v>
      </c>
      <c r="Q4" s="13">
        <v>0.55000000000000004</v>
      </c>
      <c r="R4" s="18">
        <f t="shared" ref="R4:R5" si="4">1-Q4</f>
        <v>0.44999999999999996</v>
      </c>
      <c r="S4" s="18">
        <v>0.42</v>
      </c>
      <c r="T4" s="19">
        <f>+O4/16*12</f>
        <v>2.5949999999999998</v>
      </c>
      <c r="U4" s="19">
        <f t="shared" ref="U4:U6" si="5">+T4/Q4*R4</f>
        <v>2.1231818181818176</v>
      </c>
      <c r="V4" s="19">
        <f>+SUM(T4:U4)/S4</f>
        <v>11.233766233766231</v>
      </c>
      <c r="W4" s="19">
        <f>+V4/(G4)</f>
        <v>0.65010221260221235</v>
      </c>
      <c r="X4" s="19">
        <f>+W4*E4</f>
        <v>0.52008177008176992</v>
      </c>
    </row>
    <row r="5" spans="2:24">
      <c r="B5" t="s">
        <v>24</v>
      </c>
      <c r="C5" s="13">
        <v>0.2</v>
      </c>
      <c r="D5" s="14">
        <v>300</v>
      </c>
      <c r="E5" s="13">
        <v>0.8</v>
      </c>
      <c r="F5" s="18">
        <f t="shared" si="0"/>
        <v>240</v>
      </c>
      <c r="G5" s="22">
        <f t="shared" si="1"/>
        <v>48</v>
      </c>
      <c r="H5" s="13">
        <v>275</v>
      </c>
      <c r="I5" s="13">
        <v>0</v>
      </c>
      <c r="J5" s="15">
        <v>7.0000000000000007E-2</v>
      </c>
      <c r="K5" s="13">
        <v>60</v>
      </c>
      <c r="L5" s="13">
        <v>0.8</v>
      </c>
      <c r="M5" s="18">
        <f t="shared" si="2"/>
        <v>220</v>
      </c>
      <c r="N5" s="22">
        <f>+M5*G5/1000</f>
        <v>10.56</v>
      </c>
      <c r="O5" s="18">
        <f t="shared" si="3"/>
        <v>7.54</v>
      </c>
      <c r="P5" s="20">
        <f>+O5/G5</f>
        <v>0.15708333333333332</v>
      </c>
      <c r="Q5" s="13">
        <v>0.55000000000000004</v>
      </c>
      <c r="R5" s="18">
        <f t="shared" si="4"/>
        <v>0.44999999999999996</v>
      </c>
      <c r="S5" s="18">
        <v>0.42</v>
      </c>
      <c r="T5" s="19">
        <f t="shared" ref="T4:T6" si="6">+O5/16*12</f>
        <v>5.6550000000000002</v>
      </c>
      <c r="U5" s="19">
        <f t="shared" si="5"/>
        <v>4.6268181818181811</v>
      </c>
      <c r="V5" s="19">
        <f t="shared" ref="V4:V6" si="7">+SUM(T5:U5)/S5</f>
        <v>24.480519480519479</v>
      </c>
      <c r="W5" s="19">
        <f>+V5/(G5)</f>
        <v>0.51001082251082253</v>
      </c>
      <c r="X5" s="19">
        <f>+W5*E5</f>
        <v>0.40800865800865804</v>
      </c>
    </row>
    <row r="6" spans="2:24">
      <c r="B6" t="s">
        <v>25</v>
      </c>
      <c r="C6" s="13">
        <v>0</v>
      </c>
      <c r="D6" s="14">
        <v>840</v>
      </c>
      <c r="E6" s="13">
        <v>0.95</v>
      </c>
      <c r="F6" s="18">
        <f t="shared" si="0"/>
        <v>798</v>
      </c>
      <c r="G6" s="22">
        <f t="shared" si="1"/>
        <v>0</v>
      </c>
      <c r="H6" s="13">
        <v>290</v>
      </c>
      <c r="I6" s="13">
        <v>0</v>
      </c>
      <c r="J6" s="15">
        <v>7.0000000000000007E-2</v>
      </c>
      <c r="K6" s="13">
        <v>60</v>
      </c>
      <c r="L6" s="13">
        <v>0.8</v>
      </c>
      <c r="M6" s="18">
        <f t="shared" si="2"/>
        <v>232</v>
      </c>
      <c r="N6" s="22">
        <f>+M6*G6/1000</f>
        <v>0</v>
      </c>
      <c r="O6" s="18">
        <f t="shared" si="3"/>
        <v>0</v>
      </c>
      <c r="P6" s="20" t="e">
        <f>+O6/G6</f>
        <v>#DIV/0!</v>
      </c>
      <c r="Q6" s="13">
        <v>0.5</v>
      </c>
      <c r="R6" s="18">
        <f>1-Q6</f>
        <v>0.5</v>
      </c>
      <c r="S6" s="18">
        <v>0.42</v>
      </c>
      <c r="T6" s="19">
        <f t="shared" si="6"/>
        <v>0</v>
      </c>
      <c r="U6" s="19">
        <f t="shared" si="5"/>
        <v>0</v>
      </c>
      <c r="V6" s="19">
        <f t="shared" si="7"/>
        <v>0</v>
      </c>
      <c r="W6" s="19" t="e">
        <f>+V6/(G6)</f>
        <v>#DIV/0!</v>
      </c>
      <c r="X6" s="19" t="e">
        <f>+W6*E6</f>
        <v>#DIV/0!</v>
      </c>
    </row>
    <row r="7" spans="2:24">
      <c r="B7" s="4"/>
      <c r="C7" s="4">
        <f>+SUM(C3:C6)</f>
        <v>1</v>
      </c>
      <c r="D7" s="4"/>
      <c r="E7" s="4"/>
      <c r="F7" s="4"/>
      <c r="G7" s="22">
        <f>+SUM(G3:G6)</f>
        <v>89.92</v>
      </c>
      <c r="H7" s="4"/>
      <c r="I7" s="4"/>
      <c r="J7" s="4"/>
      <c r="K7" s="4"/>
      <c r="L7" s="4"/>
      <c r="M7" s="22">
        <f>+SUM(O3:O6)</f>
        <v>14.870000000000001</v>
      </c>
      <c r="N7" s="3"/>
      <c r="O7" s="4"/>
      <c r="P7" s="4"/>
      <c r="Q7" s="4"/>
      <c r="R7" s="4"/>
      <c r="S7" s="4"/>
      <c r="T7" s="4"/>
      <c r="U7" s="4"/>
      <c r="V7" s="4"/>
      <c r="W7" s="4"/>
    </row>
    <row r="9" spans="2:24" s="6" customFormat="1" ht="30">
      <c r="B9" s="7"/>
      <c r="C9" s="7"/>
      <c r="D9" s="7"/>
      <c r="E9" s="7"/>
      <c r="F9" s="11" t="s">
        <v>26</v>
      </c>
      <c r="G9" s="11" t="s">
        <v>27</v>
      </c>
      <c r="H9" s="11" t="s">
        <v>28</v>
      </c>
      <c r="I9" s="11" t="s">
        <v>29</v>
      </c>
      <c r="J9" s="11" t="s">
        <v>30</v>
      </c>
      <c r="K9" s="11" t="s">
        <v>31</v>
      </c>
      <c r="L9" s="11" t="s">
        <v>32</v>
      </c>
      <c r="M9" s="11"/>
      <c r="N9" s="11" t="s">
        <v>33</v>
      </c>
    </row>
    <row r="10" spans="2:24">
      <c r="B10" t="s">
        <v>34</v>
      </c>
      <c r="F10" s="22">
        <f>+M7</f>
        <v>14.870000000000001</v>
      </c>
      <c r="G10" s="13">
        <v>50.4</v>
      </c>
      <c r="H10" s="21">
        <f>+F10*G10</f>
        <v>749.44799999999998</v>
      </c>
      <c r="K10" s="18"/>
      <c r="L10" s="18"/>
    </row>
    <row r="11" spans="2:24">
      <c r="B11" t="s">
        <v>35</v>
      </c>
      <c r="D11" s="13">
        <v>6.8000000000000005E-2</v>
      </c>
      <c r="E11" t="s">
        <v>36</v>
      </c>
      <c r="H11" s="21">
        <f>+H10</f>
        <v>749.44799999999998</v>
      </c>
      <c r="K11" s="21">
        <f>+H11*D11</f>
        <v>50.962464000000004</v>
      </c>
      <c r="L11" s="19">
        <f>+K11/F10</f>
        <v>3.4272</v>
      </c>
    </row>
    <row r="12" spans="2:24">
      <c r="F12" s="2"/>
      <c r="H12" s="5"/>
      <c r="K12" s="18"/>
      <c r="L12" s="18"/>
    </row>
    <row r="13" spans="2:24">
      <c r="B13" t="s">
        <v>37</v>
      </c>
      <c r="D13" s="16">
        <v>-2.9000000000000001E-2</v>
      </c>
      <c r="E13" t="s">
        <v>38</v>
      </c>
      <c r="F13" s="19">
        <f>+F10*D13</f>
        <v>-0.43123000000000006</v>
      </c>
      <c r="H13" s="5"/>
      <c r="I13" s="13">
        <v>28</v>
      </c>
      <c r="K13" s="21">
        <f>+F13*I13</f>
        <v>-12.074440000000001</v>
      </c>
      <c r="L13" s="18"/>
      <c r="N13" t="s">
        <v>39</v>
      </c>
    </row>
    <row r="14" spans="2:24">
      <c r="B14" t="s">
        <v>40</v>
      </c>
      <c r="D14" s="17">
        <v>-15.4</v>
      </c>
      <c r="E14" t="s">
        <v>41</v>
      </c>
      <c r="F14" s="2"/>
      <c r="H14" s="21">
        <f>+D14*3.6</f>
        <v>-55.440000000000005</v>
      </c>
      <c r="J14" s="23">
        <f>2.9/15.4</f>
        <v>0.18831168831168829</v>
      </c>
      <c r="K14" s="22">
        <f>+H14*J14/3.6</f>
        <v>-2.9</v>
      </c>
      <c r="L14" s="18"/>
      <c r="N14" t="s">
        <v>42</v>
      </c>
    </row>
    <row r="15" spans="2:24">
      <c r="B15" t="s">
        <v>43</v>
      </c>
      <c r="D15" s="17">
        <v>-6.5</v>
      </c>
      <c r="E15" t="s">
        <v>41</v>
      </c>
      <c r="F15" s="2"/>
      <c r="H15" s="21">
        <f>+D15*3.6</f>
        <v>-23.400000000000002</v>
      </c>
      <c r="J15" s="18">
        <v>4.1500000000000002E-2</v>
      </c>
      <c r="K15" s="22">
        <f>+H15*J15/3.6</f>
        <v>-0.26975000000000005</v>
      </c>
      <c r="L15" s="18"/>
      <c r="N15" t="s">
        <v>44</v>
      </c>
    </row>
    <row r="16" spans="2:24">
      <c r="B16" t="s">
        <v>45</v>
      </c>
      <c r="D16" s="13">
        <v>-1.2</v>
      </c>
      <c r="E16" t="s">
        <v>46</v>
      </c>
      <c r="F16" s="2"/>
      <c r="K16" s="18">
        <f>+D16</f>
        <v>-1.2</v>
      </c>
      <c r="L16" s="18"/>
      <c r="N16" t="s">
        <v>47</v>
      </c>
    </row>
    <row r="17" spans="2:14">
      <c r="K17" s="18"/>
      <c r="L17" s="18"/>
    </row>
    <row r="18" spans="2:14">
      <c r="B18" s="12" t="s">
        <v>48</v>
      </c>
      <c r="C18" s="12"/>
      <c r="D18" s="12"/>
      <c r="E18" s="12"/>
      <c r="F18" s="12"/>
      <c r="G18" s="12"/>
      <c r="H18" s="12"/>
      <c r="I18" s="12"/>
      <c r="J18" s="12"/>
      <c r="K18" s="21">
        <f>+SUM(K11:K16)</f>
        <v>34.518273999999998</v>
      </c>
      <c r="L18" s="19">
        <f>+K18/F10</f>
        <v>2.3213365164761259</v>
      </c>
      <c r="M18" s="12"/>
      <c r="N18" s="1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Aarhus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S. Adamsen</dc:creator>
  <cp:keywords/>
  <dc:description/>
  <cp:lastModifiedBy>Anders Peter S. Adamsen</cp:lastModifiedBy>
  <cp:revision/>
  <dcterms:created xsi:type="dcterms:W3CDTF">2024-02-12T07:48:39Z</dcterms:created>
  <dcterms:modified xsi:type="dcterms:W3CDTF">2024-02-27T08:09:46Z</dcterms:modified>
  <cp:category/>
  <cp:contentStatus/>
</cp:coreProperties>
</file>