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SurfResp-Paper/data/"/>
    </mc:Choice>
  </mc:AlternateContent>
  <xr:revisionPtr revIDLastSave="2045" documentId="13_ncr:1_{93F424B0-673A-4CB7-BE42-153A15111E2B}" xr6:coauthVersionLast="47" xr6:coauthVersionMax="47" xr10:uidLastSave="{3DBA4CDA-7DA0-40A1-B67A-2064BC2C79BF}"/>
  <bookViews>
    <workbookView xWindow="-120" yWindow="-120" windowWidth="29040" windowHeight="15720" tabRatio="960" firstSheet="15" activeTab="23" xr2:uid="{00000000-000D-0000-FFFF-FFFF00000000}"/>
  </bookViews>
  <sheets>
    <sheet name="08-06-2022" sheetId="3" r:id="rId1"/>
    <sheet name="15-06-2022" sheetId="1" r:id="rId2"/>
    <sheet name="21-06-2022" sheetId="4" r:id="rId3"/>
    <sheet name="28-06-2022" sheetId="5" r:id="rId4"/>
    <sheet name="05-07-2022" sheetId="6" r:id="rId5"/>
    <sheet name="12-07-2022" sheetId="9" r:id="rId6"/>
    <sheet name="19-07-2022" sheetId="10" r:id="rId7"/>
    <sheet name="02-08-2022" sheetId="11" r:id="rId8"/>
    <sheet name="16-08-2022" sheetId="12" r:id="rId9"/>
    <sheet name="30-08-2022" sheetId="13" r:id="rId10"/>
    <sheet name="26-09-2022" sheetId="14" r:id="rId11"/>
    <sheet name="04-10-2022" sheetId="15" r:id="rId12"/>
    <sheet name="24-10-2022" sheetId="16" r:id="rId13"/>
    <sheet name="07-11-2022" sheetId="17" r:id="rId14"/>
    <sheet name="21-11-2022" sheetId="18" r:id="rId15"/>
    <sheet name="05-12-2022" sheetId="19" r:id="rId16"/>
    <sheet name="20-12-2022" sheetId="21" r:id="rId17"/>
    <sheet name="09-01-2023" sheetId="22" r:id="rId18"/>
    <sheet name="23-01-2023" sheetId="23" r:id="rId19"/>
    <sheet name="06-02-2023" sheetId="24" r:id="rId20"/>
    <sheet name="27-02-2023" sheetId="25" r:id="rId21"/>
    <sheet name="13-03-2023" sheetId="26" r:id="rId22"/>
    <sheet name="all" sheetId="7" r:id="rId23"/>
    <sheet name="info" sheetId="2" r:id="rId24"/>
    <sheet name="VSash" sheetId="28" r:id="rId25"/>
    <sheet name="tveskaeg" sheetId="29" r:id="rId26"/>
    <sheet name="vfa" sheetId="30" r:id="rId27"/>
    <sheet name="dilution" sheetId="27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2" i="2" l="1"/>
  <c r="AK22" i="2"/>
  <c r="AJ23" i="2"/>
  <c r="AK23" i="2"/>
  <c r="AJ24" i="2"/>
  <c r="AK24" i="2"/>
  <c r="AJ25" i="2"/>
  <c r="AK25" i="2"/>
  <c r="AJ26" i="2"/>
  <c r="AK26" i="2"/>
  <c r="AJ27" i="2"/>
  <c r="AK27" i="2"/>
  <c r="AJ28" i="2"/>
  <c r="AK28" i="2"/>
  <c r="AJ29" i="2"/>
  <c r="AK29" i="2"/>
  <c r="AJ30" i="2"/>
  <c r="AK30" i="2"/>
  <c r="AJ31" i="2"/>
  <c r="AK31" i="2"/>
  <c r="AJ32" i="2"/>
  <c r="AK32" i="2"/>
  <c r="AJ33" i="2"/>
  <c r="AK33" i="2"/>
  <c r="AJ34" i="2"/>
  <c r="AK34" i="2"/>
  <c r="AJ35" i="2"/>
  <c r="AK35" i="2"/>
  <c r="AJ36" i="2"/>
  <c r="AK36" i="2"/>
  <c r="AJ37" i="2"/>
  <c r="AK37" i="2"/>
  <c r="AJ38" i="2"/>
  <c r="AK38" i="2"/>
  <c r="AJ39" i="2"/>
  <c r="AK39" i="2"/>
  <c r="AJ40" i="2"/>
  <c r="AK40" i="2"/>
  <c r="AJ41" i="2"/>
  <c r="AK41" i="2"/>
  <c r="AJ42" i="2"/>
  <c r="AK42" i="2"/>
  <c r="AJ43" i="2"/>
  <c r="AK43" i="2"/>
  <c r="AJ44" i="2"/>
  <c r="AK44" i="2"/>
  <c r="AJ45" i="2"/>
  <c r="AK45" i="2"/>
  <c r="AJ46" i="2"/>
  <c r="AK46" i="2"/>
  <c r="AJ47" i="2"/>
  <c r="AK47" i="2"/>
  <c r="AJ48" i="2"/>
  <c r="AK48" i="2"/>
  <c r="AJ49" i="2"/>
  <c r="AK49" i="2"/>
  <c r="AJ50" i="2"/>
  <c r="AK50" i="2"/>
  <c r="AJ51" i="2"/>
  <c r="AK51" i="2"/>
  <c r="AJ52" i="2"/>
  <c r="AK52" i="2"/>
  <c r="AJ53" i="2"/>
  <c r="AK53" i="2"/>
  <c r="AJ54" i="2"/>
  <c r="AK54" i="2"/>
  <c r="AJ55" i="2"/>
  <c r="AK55" i="2"/>
  <c r="AJ56" i="2"/>
  <c r="AK56" i="2"/>
  <c r="AJ57" i="2"/>
  <c r="AK57" i="2"/>
  <c r="AJ58" i="2"/>
  <c r="AK58" i="2"/>
  <c r="AJ59" i="2"/>
  <c r="AK59" i="2"/>
  <c r="AJ60" i="2"/>
  <c r="AK60" i="2"/>
  <c r="AJ61" i="2"/>
  <c r="AK61" i="2"/>
  <c r="AJ62" i="2"/>
  <c r="AK62" i="2"/>
  <c r="AJ63" i="2"/>
  <c r="AK63" i="2"/>
  <c r="AJ64" i="2"/>
  <c r="AK64" i="2"/>
  <c r="AJ65" i="2"/>
  <c r="AK65" i="2"/>
  <c r="AJ66" i="2"/>
  <c r="AK66" i="2"/>
  <c r="AJ67" i="2"/>
  <c r="AK67" i="2"/>
  <c r="AJ68" i="2"/>
  <c r="AK68" i="2"/>
  <c r="AJ69" i="2"/>
  <c r="AK69" i="2"/>
  <c r="AJ70" i="2"/>
  <c r="AK70" i="2"/>
  <c r="AJ71" i="2"/>
  <c r="AK71" i="2"/>
  <c r="AJ72" i="2"/>
  <c r="AK72" i="2"/>
  <c r="AJ73" i="2"/>
  <c r="AK73" i="2"/>
  <c r="AJ74" i="2"/>
  <c r="AK74" i="2"/>
  <c r="AJ75" i="2"/>
  <c r="AK75" i="2"/>
  <c r="AJ76" i="2"/>
  <c r="AK76" i="2"/>
  <c r="AJ77" i="2"/>
  <c r="AK77" i="2"/>
  <c r="AJ78" i="2"/>
  <c r="AK78" i="2"/>
  <c r="AJ79" i="2"/>
  <c r="AK79" i="2"/>
  <c r="AJ80" i="2"/>
  <c r="AK80" i="2"/>
  <c r="AJ81" i="2"/>
  <c r="AK81" i="2"/>
  <c r="AJ82" i="2"/>
  <c r="AK82" i="2"/>
  <c r="AJ83" i="2"/>
  <c r="AK83" i="2"/>
  <c r="AJ84" i="2"/>
  <c r="AK84" i="2"/>
  <c r="AK21" i="2"/>
  <c r="AJ21" i="2"/>
  <c r="F374" i="7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09" i="2"/>
  <c r="J36" i="30"/>
  <c r="K36" i="30" s="1"/>
  <c r="J35" i="30"/>
  <c r="K35" i="30" s="1"/>
  <c r="J34" i="30"/>
  <c r="K34" i="30" s="1"/>
  <c r="J33" i="30"/>
  <c r="K33" i="30" s="1"/>
  <c r="J32" i="30"/>
  <c r="K32" i="30" s="1"/>
  <c r="J31" i="30"/>
  <c r="K31" i="30" s="1"/>
  <c r="J30" i="30"/>
  <c r="K30" i="30" s="1"/>
  <c r="J29" i="30"/>
  <c r="K29" i="30" s="1"/>
  <c r="J28" i="30"/>
  <c r="K28" i="30" s="1"/>
  <c r="J27" i="30"/>
  <c r="K27" i="30" s="1"/>
  <c r="J26" i="30"/>
  <c r="K26" i="30"/>
  <c r="J25" i="30"/>
  <c r="K25" i="30" s="1"/>
  <c r="J24" i="30"/>
  <c r="K24" i="30"/>
  <c r="J23" i="30"/>
  <c r="K23" i="30" s="1"/>
  <c r="J22" i="30"/>
  <c r="K22" i="30" s="1"/>
  <c r="J21" i="30"/>
  <c r="K21" i="30" s="1"/>
  <c r="AT709" i="2"/>
  <c r="AU709" i="2"/>
  <c r="AW709" i="2" s="1"/>
  <c r="AT710" i="2"/>
  <c r="AU710" i="2"/>
  <c r="AW710" i="2" s="1"/>
  <c r="AT711" i="2"/>
  <c r="AU711" i="2"/>
  <c r="AW711" i="2" s="1"/>
  <c r="AT712" i="2"/>
  <c r="AU712" i="2"/>
  <c r="AW712" i="2" s="1"/>
  <c r="AT713" i="2"/>
  <c r="AU713" i="2"/>
  <c r="AW713" i="2" s="1"/>
  <c r="AT714" i="2"/>
  <c r="AU714" i="2"/>
  <c r="AW714" i="2" s="1"/>
  <c r="AT715" i="2"/>
  <c r="AU715" i="2"/>
  <c r="AW715" i="2" s="1"/>
  <c r="AT716" i="2"/>
  <c r="AU716" i="2"/>
  <c r="AW716" i="2" s="1"/>
  <c r="AT717" i="2"/>
  <c r="AU717" i="2"/>
  <c r="AW717" i="2" s="1"/>
  <c r="AT718" i="2"/>
  <c r="AU718" i="2"/>
  <c r="AW718" i="2" s="1"/>
  <c r="AT719" i="2"/>
  <c r="AU719" i="2"/>
  <c r="AW719" i="2" s="1"/>
  <c r="AT720" i="2"/>
  <c r="AU720" i="2"/>
  <c r="AW720" i="2" s="1"/>
  <c r="AT721" i="2"/>
  <c r="AU721" i="2"/>
  <c r="AW721" i="2" s="1"/>
  <c r="AT722" i="2"/>
  <c r="AU722" i="2"/>
  <c r="AW722" i="2" s="1"/>
  <c r="AT723" i="2"/>
  <c r="AU723" i="2"/>
  <c r="AW723" i="2" s="1"/>
  <c r="AT724" i="2"/>
  <c r="AU724" i="2"/>
  <c r="AW724" i="2" s="1"/>
  <c r="AN708" i="2"/>
  <c r="AN709" i="2"/>
  <c r="AN710" i="2"/>
  <c r="AN711" i="2"/>
  <c r="AN712" i="2"/>
  <c r="AN713" i="2"/>
  <c r="AN714" i="2"/>
  <c r="AN715" i="2"/>
  <c r="AN716" i="2"/>
  <c r="AN717" i="2"/>
  <c r="AN718" i="2"/>
  <c r="AN719" i="2"/>
  <c r="AN720" i="2"/>
  <c r="AN721" i="2"/>
  <c r="AN722" i="2"/>
  <c r="AN723" i="2"/>
  <c r="AN724" i="2"/>
  <c r="AO724" i="2"/>
  <c r="AO723" i="2"/>
  <c r="AO722" i="2"/>
  <c r="AO721" i="2"/>
  <c r="AO720" i="2"/>
  <c r="AO719" i="2"/>
  <c r="AO718" i="2"/>
  <c r="AO717" i="2"/>
  <c r="AO716" i="2"/>
  <c r="AO715" i="2"/>
  <c r="AO714" i="2"/>
  <c r="AO713" i="2"/>
  <c r="AO712" i="2"/>
  <c r="AO711" i="2"/>
  <c r="AO710" i="2"/>
  <c r="AO709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AT693" i="2"/>
  <c r="AU693" i="2"/>
  <c r="AT694" i="2"/>
  <c r="AU694" i="2"/>
  <c r="AT695" i="2"/>
  <c r="AU695" i="2"/>
  <c r="AT696" i="2"/>
  <c r="AU696" i="2"/>
  <c r="AT697" i="2"/>
  <c r="AU697" i="2"/>
  <c r="AT698" i="2"/>
  <c r="AU698" i="2"/>
  <c r="AT699" i="2"/>
  <c r="AU699" i="2"/>
  <c r="AW699" i="2" s="1"/>
  <c r="AT700" i="2"/>
  <c r="AU700" i="2"/>
  <c r="AT701" i="2"/>
  <c r="AU701" i="2"/>
  <c r="AT702" i="2"/>
  <c r="AU702" i="2"/>
  <c r="AT703" i="2"/>
  <c r="AU703" i="2"/>
  <c r="AT704" i="2"/>
  <c r="AU704" i="2"/>
  <c r="AT705" i="2"/>
  <c r="AU705" i="2"/>
  <c r="AW705" i="2" s="1"/>
  <c r="AT706" i="2"/>
  <c r="AU706" i="2"/>
  <c r="AW706" i="2" s="1"/>
  <c r="AT707" i="2"/>
  <c r="AU707" i="2"/>
  <c r="AW707" i="2" s="1"/>
  <c r="AT708" i="2"/>
  <c r="AU708" i="2"/>
  <c r="AW708" i="2" s="1"/>
  <c r="AP704" i="2"/>
  <c r="AP703" i="2"/>
  <c r="AP702" i="2"/>
  <c r="AP701" i="2"/>
  <c r="AP700" i="2"/>
  <c r="AP698" i="2"/>
  <c r="AP697" i="2"/>
  <c r="AW697" i="2" s="1"/>
  <c r="AP696" i="2"/>
  <c r="AP695" i="2"/>
  <c r="AP694" i="2"/>
  <c r="AP693" i="2"/>
  <c r="AN693" i="2"/>
  <c r="AN694" i="2"/>
  <c r="AN695" i="2"/>
  <c r="AN696" i="2"/>
  <c r="AN697" i="2"/>
  <c r="AN698" i="2"/>
  <c r="AN699" i="2"/>
  <c r="AN700" i="2"/>
  <c r="AN701" i="2"/>
  <c r="AN702" i="2"/>
  <c r="AN703" i="2"/>
  <c r="AN704" i="2"/>
  <c r="AN705" i="2"/>
  <c r="AN706" i="2"/>
  <c r="AN707" i="2"/>
  <c r="AO708" i="2"/>
  <c r="AO707" i="2"/>
  <c r="AO706" i="2"/>
  <c r="AO705" i="2"/>
  <c r="AO704" i="2"/>
  <c r="AO703" i="2"/>
  <c r="AO702" i="2"/>
  <c r="AO701" i="2"/>
  <c r="AO700" i="2"/>
  <c r="AO699" i="2"/>
  <c r="AO698" i="2"/>
  <c r="AO697" i="2"/>
  <c r="AO696" i="2"/>
  <c r="AO695" i="2"/>
  <c r="AO694" i="2"/>
  <c r="AO693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AT677" i="2"/>
  <c r="AU677" i="2"/>
  <c r="AT678" i="2"/>
  <c r="AU678" i="2"/>
  <c r="AT679" i="2"/>
  <c r="AU679" i="2"/>
  <c r="AT680" i="2"/>
  <c r="AU680" i="2"/>
  <c r="AT681" i="2"/>
  <c r="AU681" i="2"/>
  <c r="AT682" i="2"/>
  <c r="AU682" i="2"/>
  <c r="AT683" i="2"/>
  <c r="AU683" i="2"/>
  <c r="AW683" i="2" s="1"/>
  <c r="AT684" i="2"/>
  <c r="AU684" i="2"/>
  <c r="AT685" i="2"/>
  <c r="AU685" i="2"/>
  <c r="AT686" i="2"/>
  <c r="AU686" i="2"/>
  <c r="AT687" i="2"/>
  <c r="AU687" i="2"/>
  <c r="AT688" i="2"/>
  <c r="AU688" i="2"/>
  <c r="AT689" i="2"/>
  <c r="AU689" i="2"/>
  <c r="AW689" i="2" s="1"/>
  <c r="AT690" i="2"/>
  <c r="AU690" i="2"/>
  <c r="AW690" i="2" s="1"/>
  <c r="AT691" i="2"/>
  <c r="AU691" i="2"/>
  <c r="AW691" i="2" s="1"/>
  <c r="AT692" i="2"/>
  <c r="AU692" i="2"/>
  <c r="AW692" i="2" s="1"/>
  <c r="AN677" i="2"/>
  <c r="AN678" i="2"/>
  <c r="AN679" i="2"/>
  <c r="AN680" i="2"/>
  <c r="AN681" i="2"/>
  <c r="AN682" i="2"/>
  <c r="AN683" i="2"/>
  <c r="AN684" i="2"/>
  <c r="AN685" i="2"/>
  <c r="AN686" i="2"/>
  <c r="AN687" i="2"/>
  <c r="AN688" i="2"/>
  <c r="AN689" i="2"/>
  <c r="AN690" i="2"/>
  <c r="AN691" i="2"/>
  <c r="AN692" i="2"/>
  <c r="AN676" i="2"/>
  <c r="AP688" i="2"/>
  <c r="AP687" i="2"/>
  <c r="AP686" i="2"/>
  <c r="AW686" i="2" s="1"/>
  <c r="AP685" i="2"/>
  <c r="AP684" i="2"/>
  <c r="AP682" i="2"/>
  <c r="AP681" i="2"/>
  <c r="AP680" i="2"/>
  <c r="AP679" i="2"/>
  <c r="AP678" i="2"/>
  <c r="AP677" i="2"/>
  <c r="AO692" i="2"/>
  <c r="AO691" i="2"/>
  <c r="AO690" i="2"/>
  <c r="AO689" i="2"/>
  <c r="AO688" i="2"/>
  <c r="AO687" i="2"/>
  <c r="AO686" i="2"/>
  <c r="AO685" i="2"/>
  <c r="AO684" i="2"/>
  <c r="AO683" i="2"/>
  <c r="AO682" i="2"/>
  <c r="AO681" i="2"/>
  <c r="AO680" i="2"/>
  <c r="AO679" i="2"/>
  <c r="AO678" i="2"/>
  <c r="AO677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AN661" i="2"/>
  <c r="AN662" i="2"/>
  <c r="AN663" i="2"/>
  <c r="AN664" i="2"/>
  <c r="AN665" i="2"/>
  <c r="AN666" i="2"/>
  <c r="AN667" i="2"/>
  <c r="AN668" i="2"/>
  <c r="AN669" i="2"/>
  <c r="AN670" i="2"/>
  <c r="AN671" i="2"/>
  <c r="AN672" i="2"/>
  <c r="AN673" i="2"/>
  <c r="AN674" i="2"/>
  <c r="AN675" i="2"/>
  <c r="AT661" i="2"/>
  <c r="AU661" i="2"/>
  <c r="AT662" i="2"/>
  <c r="AU662" i="2"/>
  <c r="AT663" i="2"/>
  <c r="AU663" i="2"/>
  <c r="AT664" i="2"/>
  <c r="AU664" i="2"/>
  <c r="AT665" i="2"/>
  <c r="AU665" i="2"/>
  <c r="AW665" i="2" s="1"/>
  <c r="AT666" i="2"/>
  <c r="AU666" i="2"/>
  <c r="AT667" i="2"/>
  <c r="AU667" i="2"/>
  <c r="AT668" i="2"/>
  <c r="AU668" i="2"/>
  <c r="AT669" i="2"/>
  <c r="AU669" i="2"/>
  <c r="AT670" i="2"/>
  <c r="AU670" i="2"/>
  <c r="AT671" i="2"/>
  <c r="AU671" i="2"/>
  <c r="AT672" i="2"/>
  <c r="AU672" i="2"/>
  <c r="AT673" i="2"/>
  <c r="AU673" i="2"/>
  <c r="AT674" i="2"/>
  <c r="AU674" i="2"/>
  <c r="AW674" i="2" s="1"/>
  <c r="AT675" i="2"/>
  <c r="AU675" i="2"/>
  <c r="AW675" i="2" s="1"/>
  <c r="AT676" i="2"/>
  <c r="AU676" i="2"/>
  <c r="AW676" i="2" s="1"/>
  <c r="AP673" i="2"/>
  <c r="AW673" i="2" s="1"/>
  <c r="AP672" i="2"/>
  <c r="AP671" i="2"/>
  <c r="AP670" i="2"/>
  <c r="AP669" i="2"/>
  <c r="AP668" i="2"/>
  <c r="AP667" i="2"/>
  <c r="AP666" i="2"/>
  <c r="AP664" i="2"/>
  <c r="AP663" i="2"/>
  <c r="AP662" i="2"/>
  <c r="AP661" i="2"/>
  <c r="AO676" i="2"/>
  <c r="AO675" i="2"/>
  <c r="AO674" i="2"/>
  <c r="AO673" i="2"/>
  <c r="AO672" i="2"/>
  <c r="AO671" i="2"/>
  <c r="AO670" i="2"/>
  <c r="AO669" i="2"/>
  <c r="AO668" i="2"/>
  <c r="AO667" i="2"/>
  <c r="AO666" i="2"/>
  <c r="AO665" i="2"/>
  <c r="AO664" i="2"/>
  <c r="AO663" i="2"/>
  <c r="AO662" i="2"/>
  <c r="AO661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AT629" i="2"/>
  <c r="AU629" i="2"/>
  <c r="AT630" i="2"/>
  <c r="AU630" i="2"/>
  <c r="AT631" i="2"/>
  <c r="AU631" i="2"/>
  <c r="AT632" i="2"/>
  <c r="AU632" i="2"/>
  <c r="AT633" i="2"/>
  <c r="AU633" i="2"/>
  <c r="AT634" i="2"/>
  <c r="AU634" i="2"/>
  <c r="AW634" i="2" s="1"/>
  <c r="AT635" i="2"/>
  <c r="AU635" i="2"/>
  <c r="AW635" i="2" s="1"/>
  <c r="AT636" i="2"/>
  <c r="AU636" i="2"/>
  <c r="AT637" i="2"/>
  <c r="AU637" i="2"/>
  <c r="AT638" i="2"/>
  <c r="AU638" i="2"/>
  <c r="AT639" i="2"/>
  <c r="AU639" i="2"/>
  <c r="AT640" i="2"/>
  <c r="AU640" i="2"/>
  <c r="AT641" i="2"/>
  <c r="AU641" i="2"/>
  <c r="AW641" i="2" s="1"/>
  <c r="AT642" i="2"/>
  <c r="AU642" i="2"/>
  <c r="AW642" i="2" s="1"/>
  <c r="AT643" i="2"/>
  <c r="AU643" i="2"/>
  <c r="AW643" i="2" s="1"/>
  <c r="AT644" i="2"/>
  <c r="AU644" i="2"/>
  <c r="AW644" i="2" s="1"/>
  <c r="AP640" i="2"/>
  <c r="AP639" i="2"/>
  <c r="AP638" i="2"/>
  <c r="AP637" i="2"/>
  <c r="AP636" i="2"/>
  <c r="AP633" i="2"/>
  <c r="AP632" i="2"/>
  <c r="AP631" i="2"/>
  <c r="AP630" i="2"/>
  <c r="AP629" i="2"/>
  <c r="AN646" i="2"/>
  <c r="AN647" i="2"/>
  <c r="AN648" i="2"/>
  <c r="AN649" i="2"/>
  <c r="AN650" i="2"/>
  <c r="AN651" i="2"/>
  <c r="AN652" i="2"/>
  <c r="AN653" i="2"/>
  <c r="AN654" i="2"/>
  <c r="AN655" i="2"/>
  <c r="AN656" i="2"/>
  <c r="AN657" i="2"/>
  <c r="AN658" i="2"/>
  <c r="AN659" i="2"/>
  <c r="AN660" i="2"/>
  <c r="AN645" i="2"/>
  <c r="AN629" i="2"/>
  <c r="AN630" i="2"/>
  <c r="AN631" i="2"/>
  <c r="AN632" i="2"/>
  <c r="AN633" i="2"/>
  <c r="AN634" i="2"/>
  <c r="AN635" i="2"/>
  <c r="AN636" i="2"/>
  <c r="AN637" i="2"/>
  <c r="AN638" i="2"/>
  <c r="AN639" i="2"/>
  <c r="AN640" i="2"/>
  <c r="AN641" i="2"/>
  <c r="AN642" i="2"/>
  <c r="AN643" i="2"/>
  <c r="AN644" i="2"/>
  <c r="AO644" i="2"/>
  <c r="AO643" i="2"/>
  <c r="AO642" i="2"/>
  <c r="AO641" i="2"/>
  <c r="AO640" i="2"/>
  <c r="AO639" i="2"/>
  <c r="AO638" i="2"/>
  <c r="AO637" i="2"/>
  <c r="AO636" i="2"/>
  <c r="AO635" i="2"/>
  <c r="AO634" i="2"/>
  <c r="AO633" i="2"/>
  <c r="AO632" i="2"/>
  <c r="AO631" i="2"/>
  <c r="AO630" i="2"/>
  <c r="AO629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AU645" i="2"/>
  <c r="AU646" i="2"/>
  <c r="AU647" i="2"/>
  <c r="AU648" i="2"/>
  <c r="AU649" i="2"/>
  <c r="AW649" i="2" s="1"/>
  <c r="AU650" i="2"/>
  <c r="AW650" i="2" s="1"/>
  <c r="AU651" i="2"/>
  <c r="AW651" i="2" s="1"/>
  <c r="AU652" i="2"/>
  <c r="AU653" i="2"/>
  <c r="AU654" i="2"/>
  <c r="AU655" i="2"/>
  <c r="AW655" i="2" s="1"/>
  <c r="AU656" i="2"/>
  <c r="AU657" i="2"/>
  <c r="AW657" i="2" s="1"/>
  <c r="AU658" i="2"/>
  <c r="AW658" i="2" s="1"/>
  <c r="AU659" i="2"/>
  <c r="AW659" i="2" s="1"/>
  <c r="AU660" i="2"/>
  <c r="AW660" i="2" s="1"/>
  <c r="AT653" i="2"/>
  <c r="AT654" i="2"/>
  <c r="AT655" i="2"/>
  <c r="AT656" i="2"/>
  <c r="AT657" i="2"/>
  <c r="AT658" i="2"/>
  <c r="AT659" i="2"/>
  <c r="AT660" i="2"/>
  <c r="AN628" i="2"/>
  <c r="AT652" i="2"/>
  <c r="AT651" i="2"/>
  <c r="AT650" i="2"/>
  <c r="AT649" i="2"/>
  <c r="AT648" i="2"/>
  <c r="AT647" i="2"/>
  <c r="AT646" i="2"/>
  <c r="AT645" i="2"/>
  <c r="AP656" i="2"/>
  <c r="AP654" i="2"/>
  <c r="AP653" i="2"/>
  <c r="AP652" i="2"/>
  <c r="AP648" i="2"/>
  <c r="AP647" i="2"/>
  <c r="AP646" i="2"/>
  <c r="AP645" i="2"/>
  <c r="AO660" i="2"/>
  <c r="AO659" i="2"/>
  <c r="AO658" i="2"/>
  <c r="AO657" i="2"/>
  <c r="AO656" i="2"/>
  <c r="AO655" i="2"/>
  <c r="AO654" i="2"/>
  <c r="AO653" i="2"/>
  <c r="AO652" i="2"/>
  <c r="AO651" i="2"/>
  <c r="AO650" i="2"/>
  <c r="AO649" i="2"/>
  <c r="AO648" i="2"/>
  <c r="AO647" i="2"/>
  <c r="AO646" i="2"/>
  <c r="AO645" i="2"/>
  <c r="G628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R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Q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5" i="2"/>
  <c r="O5" i="2"/>
  <c r="P5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AT613" i="2"/>
  <c r="AU613" i="2"/>
  <c r="AT614" i="2"/>
  <c r="AU614" i="2"/>
  <c r="AT615" i="2"/>
  <c r="AU615" i="2"/>
  <c r="AT616" i="2"/>
  <c r="AU616" i="2"/>
  <c r="AT617" i="2"/>
  <c r="AU617" i="2"/>
  <c r="AT618" i="2"/>
  <c r="AU618" i="2"/>
  <c r="AW618" i="2" s="1"/>
  <c r="AT619" i="2"/>
  <c r="AU619" i="2"/>
  <c r="AW619" i="2" s="1"/>
  <c r="AT620" i="2"/>
  <c r="AU620" i="2"/>
  <c r="AT621" i="2"/>
  <c r="AU621" i="2"/>
  <c r="AT622" i="2"/>
  <c r="AU622" i="2"/>
  <c r="AT623" i="2"/>
  <c r="AU623" i="2"/>
  <c r="AT624" i="2"/>
  <c r="AU624" i="2"/>
  <c r="AT625" i="2"/>
  <c r="AU625" i="2"/>
  <c r="AW625" i="2" s="1"/>
  <c r="AT626" i="2"/>
  <c r="AU626" i="2"/>
  <c r="AW626" i="2" s="1"/>
  <c r="AT627" i="2"/>
  <c r="AU627" i="2"/>
  <c r="AW627" i="2" s="1"/>
  <c r="AT628" i="2"/>
  <c r="AU628" i="2"/>
  <c r="AW628" i="2" s="1"/>
  <c r="AN612" i="2"/>
  <c r="AN613" i="2"/>
  <c r="AN614" i="2"/>
  <c r="AN615" i="2"/>
  <c r="AN616" i="2"/>
  <c r="AN617" i="2"/>
  <c r="AN618" i="2"/>
  <c r="AN619" i="2"/>
  <c r="AN620" i="2"/>
  <c r="AN621" i="2"/>
  <c r="AN622" i="2"/>
  <c r="AN623" i="2"/>
  <c r="AN624" i="2"/>
  <c r="AN625" i="2"/>
  <c r="AN626" i="2"/>
  <c r="AN627" i="2"/>
  <c r="AO628" i="2"/>
  <c r="AO627" i="2"/>
  <c r="AO626" i="2"/>
  <c r="AO625" i="2"/>
  <c r="AO624" i="2"/>
  <c r="AP624" i="2"/>
  <c r="AO623" i="2"/>
  <c r="AP623" i="2"/>
  <c r="AO622" i="2"/>
  <c r="AP622" i="2"/>
  <c r="AO621" i="2"/>
  <c r="AP621" i="2"/>
  <c r="AO620" i="2"/>
  <c r="AP620" i="2"/>
  <c r="AO619" i="2"/>
  <c r="AO618" i="2"/>
  <c r="AO617" i="2"/>
  <c r="AP617" i="2"/>
  <c r="AO616" i="2"/>
  <c r="AP616" i="2"/>
  <c r="AO615" i="2"/>
  <c r="AP615" i="2"/>
  <c r="AW615" i="2" s="1"/>
  <c r="AO614" i="2"/>
  <c r="AP614" i="2"/>
  <c r="AO613" i="2"/>
  <c r="AP613" i="2"/>
  <c r="AT597" i="2"/>
  <c r="AU597" i="2"/>
  <c r="AT598" i="2"/>
  <c r="AU598" i="2"/>
  <c r="AT599" i="2"/>
  <c r="AU599" i="2"/>
  <c r="AT600" i="2"/>
  <c r="AU600" i="2"/>
  <c r="AT601" i="2"/>
  <c r="AU601" i="2"/>
  <c r="AW601" i="2" s="1"/>
  <c r="AT602" i="2"/>
  <c r="AU602" i="2"/>
  <c r="AT603" i="2"/>
  <c r="AU603" i="2"/>
  <c r="AW603" i="2" s="1"/>
  <c r="AT604" i="2"/>
  <c r="AU604" i="2"/>
  <c r="AT605" i="2"/>
  <c r="AU605" i="2"/>
  <c r="AW605" i="2" s="1"/>
  <c r="AT606" i="2"/>
  <c r="AU606" i="2"/>
  <c r="AW606" i="2" s="1"/>
  <c r="AT607" i="2"/>
  <c r="AU607" i="2"/>
  <c r="AW607" i="2" s="1"/>
  <c r="AT608" i="2"/>
  <c r="AU608" i="2"/>
  <c r="AW608" i="2" s="1"/>
  <c r="AT609" i="2"/>
  <c r="AU609" i="2"/>
  <c r="AW609" i="2" s="1"/>
  <c r="AT610" i="2"/>
  <c r="AU610" i="2"/>
  <c r="AW610" i="2" s="1"/>
  <c r="AT611" i="2"/>
  <c r="AU611" i="2"/>
  <c r="AW611" i="2" s="1"/>
  <c r="AT612" i="2"/>
  <c r="AU612" i="2"/>
  <c r="AW612" i="2" s="1"/>
  <c r="AP604" i="2"/>
  <c r="AP602" i="2"/>
  <c r="AP600" i="2"/>
  <c r="AP599" i="2"/>
  <c r="AP598" i="2"/>
  <c r="AP597" i="2"/>
  <c r="AN597" i="2"/>
  <c r="AN598" i="2"/>
  <c r="AN599" i="2"/>
  <c r="AN600" i="2"/>
  <c r="AN601" i="2"/>
  <c r="AN602" i="2"/>
  <c r="AN603" i="2"/>
  <c r="AN604" i="2"/>
  <c r="AN605" i="2"/>
  <c r="AN606" i="2"/>
  <c r="AN607" i="2"/>
  <c r="AN608" i="2"/>
  <c r="AN609" i="2"/>
  <c r="AN610" i="2"/>
  <c r="AN611" i="2"/>
  <c r="AO612" i="2"/>
  <c r="AO611" i="2"/>
  <c r="AO610" i="2"/>
  <c r="AO609" i="2"/>
  <c r="AO608" i="2"/>
  <c r="AO607" i="2"/>
  <c r="AO606" i="2"/>
  <c r="AO605" i="2"/>
  <c r="AO604" i="2"/>
  <c r="AO603" i="2"/>
  <c r="AO602" i="2"/>
  <c r="AO601" i="2"/>
  <c r="AO600" i="2"/>
  <c r="AO599" i="2"/>
  <c r="AO598" i="2"/>
  <c r="AO597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AT581" i="2"/>
  <c r="AU581" i="2"/>
  <c r="AT582" i="2"/>
  <c r="AU582" i="2"/>
  <c r="AT583" i="2"/>
  <c r="AU583" i="2"/>
  <c r="AT584" i="2"/>
  <c r="AU584" i="2"/>
  <c r="AT585" i="2"/>
  <c r="AU585" i="2"/>
  <c r="AW585" i="2" s="1"/>
  <c r="AT586" i="2"/>
  <c r="AU586" i="2"/>
  <c r="AW586" i="2" s="1"/>
  <c r="AT587" i="2"/>
  <c r="AU587" i="2"/>
  <c r="AW587" i="2" s="1"/>
  <c r="AT588" i="2"/>
  <c r="AU588" i="2"/>
  <c r="AW588" i="2" s="1"/>
  <c r="AT589" i="2"/>
  <c r="AU589" i="2"/>
  <c r="AW589" i="2" s="1"/>
  <c r="AT590" i="2"/>
  <c r="AU590" i="2"/>
  <c r="AW590" i="2" s="1"/>
  <c r="AT591" i="2"/>
  <c r="AU591" i="2"/>
  <c r="AW591" i="2" s="1"/>
  <c r="AT592" i="2"/>
  <c r="AU592" i="2"/>
  <c r="AW592" i="2" s="1"/>
  <c r="AT593" i="2"/>
  <c r="AU593" i="2"/>
  <c r="AW593" i="2" s="1"/>
  <c r="AT594" i="2"/>
  <c r="AU594" i="2"/>
  <c r="AW594" i="2" s="1"/>
  <c r="AT595" i="2"/>
  <c r="AU595" i="2"/>
  <c r="AW595" i="2" s="1"/>
  <c r="AT596" i="2"/>
  <c r="AU596" i="2"/>
  <c r="AW596" i="2" s="1"/>
  <c r="AO593" i="2"/>
  <c r="AO594" i="2"/>
  <c r="AO595" i="2"/>
  <c r="AO596" i="2"/>
  <c r="AO585" i="2"/>
  <c r="AO586" i="2"/>
  <c r="AO587" i="2"/>
  <c r="AO588" i="2"/>
  <c r="AO589" i="2"/>
  <c r="AO590" i="2"/>
  <c r="AO591" i="2"/>
  <c r="AO592" i="2"/>
  <c r="AP584" i="2"/>
  <c r="AP583" i="2"/>
  <c r="AP582" i="2"/>
  <c r="AP581" i="2"/>
  <c r="AN581" i="2"/>
  <c r="AN582" i="2"/>
  <c r="AN583" i="2"/>
  <c r="AN584" i="2"/>
  <c r="AN585" i="2"/>
  <c r="AN586" i="2"/>
  <c r="AN587" i="2"/>
  <c r="AN588" i="2"/>
  <c r="AN589" i="2"/>
  <c r="AN590" i="2"/>
  <c r="AN591" i="2"/>
  <c r="AN592" i="2"/>
  <c r="AN593" i="2"/>
  <c r="AN594" i="2"/>
  <c r="AN595" i="2"/>
  <c r="AN596" i="2"/>
  <c r="AO584" i="2"/>
  <c r="AO583" i="2"/>
  <c r="AO582" i="2"/>
  <c r="AO581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AT565" i="2"/>
  <c r="AU565" i="2"/>
  <c r="AT566" i="2"/>
  <c r="AU566" i="2"/>
  <c r="AT567" i="2"/>
  <c r="AU567" i="2"/>
  <c r="AT568" i="2"/>
  <c r="AU568" i="2"/>
  <c r="AT569" i="2"/>
  <c r="AU569" i="2"/>
  <c r="AW569" i="2" s="1"/>
  <c r="AT570" i="2"/>
  <c r="AU570" i="2"/>
  <c r="AW570" i="2" s="1"/>
  <c r="AT571" i="2"/>
  <c r="AU571" i="2"/>
  <c r="AW571" i="2" s="1"/>
  <c r="AT572" i="2"/>
  <c r="AU572" i="2"/>
  <c r="AW572" i="2" s="1"/>
  <c r="AT573" i="2"/>
  <c r="AU573" i="2"/>
  <c r="AW573" i="2" s="1"/>
  <c r="AT574" i="2"/>
  <c r="AU574" i="2"/>
  <c r="AW574" i="2" s="1"/>
  <c r="AT575" i="2"/>
  <c r="AU575" i="2"/>
  <c r="AW575" i="2" s="1"/>
  <c r="AT576" i="2"/>
  <c r="AU576" i="2"/>
  <c r="AW576" i="2" s="1"/>
  <c r="AT577" i="2"/>
  <c r="AU577" i="2"/>
  <c r="AW577" i="2" s="1"/>
  <c r="AT578" i="2"/>
  <c r="AU578" i="2"/>
  <c r="AW578" i="2" s="1"/>
  <c r="AT579" i="2"/>
  <c r="AU579" i="2"/>
  <c r="AW579" i="2" s="1"/>
  <c r="AT580" i="2"/>
  <c r="AU580" i="2"/>
  <c r="AW580" i="2" s="1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578" i="2"/>
  <c r="AN579" i="2"/>
  <c r="AN580" i="2"/>
  <c r="AP568" i="2"/>
  <c r="AP567" i="2"/>
  <c r="AP566" i="2"/>
  <c r="AP565" i="2"/>
  <c r="AO568" i="2"/>
  <c r="AO567" i="2"/>
  <c r="AO566" i="2"/>
  <c r="AO565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AT549" i="2"/>
  <c r="AU549" i="2"/>
  <c r="AT550" i="2"/>
  <c r="AU550" i="2"/>
  <c r="AT551" i="2"/>
  <c r="AU551" i="2"/>
  <c r="AT552" i="2"/>
  <c r="AU552" i="2"/>
  <c r="AT553" i="2"/>
  <c r="AU553" i="2"/>
  <c r="AW553" i="2" s="1"/>
  <c r="AT554" i="2"/>
  <c r="AU554" i="2"/>
  <c r="AW554" i="2" s="1"/>
  <c r="AT555" i="2"/>
  <c r="AU555" i="2"/>
  <c r="AW555" i="2" s="1"/>
  <c r="AT556" i="2"/>
  <c r="AU556" i="2"/>
  <c r="AW556" i="2" s="1"/>
  <c r="AT557" i="2"/>
  <c r="AU557" i="2"/>
  <c r="AW557" i="2" s="1"/>
  <c r="AT558" i="2"/>
  <c r="AU558" i="2"/>
  <c r="AW558" i="2" s="1"/>
  <c r="AT559" i="2"/>
  <c r="AU559" i="2"/>
  <c r="AW559" i="2" s="1"/>
  <c r="AT560" i="2"/>
  <c r="AU560" i="2"/>
  <c r="AT561" i="2"/>
  <c r="AU561" i="2"/>
  <c r="AW561" i="2" s="1"/>
  <c r="AT562" i="2"/>
  <c r="AU562" i="2"/>
  <c r="AW562" i="2" s="1"/>
  <c r="AT563" i="2"/>
  <c r="AU563" i="2"/>
  <c r="AW563" i="2" s="1"/>
  <c r="AT564" i="2"/>
  <c r="AU564" i="2"/>
  <c r="AW564" i="2" s="1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O564" i="2"/>
  <c r="AO563" i="2"/>
  <c r="AO562" i="2"/>
  <c r="AO561" i="2"/>
  <c r="AO560" i="2"/>
  <c r="AP560" i="2"/>
  <c r="AO559" i="2"/>
  <c r="AO558" i="2"/>
  <c r="AO557" i="2"/>
  <c r="AO556" i="2"/>
  <c r="AO555" i="2"/>
  <c r="AO554" i="2"/>
  <c r="AO553" i="2"/>
  <c r="AO552" i="2"/>
  <c r="AP552" i="2"/>
  <c r="AO551" i="2"/>
  <c r="AP551" i="2"/>
  <c r="AO550" i="2"/>
  <c r="AP550" i="2"/>
  <c r="AO549" i="2"/>
  <c r="AP549" i="2"/>
  <c r="AN533" i="2"/>
  <c r="AO533" i="2"/>
  <c r="AN534" i="2"/>
  <c r="AO534" i="2"/>
  <c r="AN535" i="2"/>
  <c r="AO535" i="2"/>
  <c r="AN536" i="2"/>
  <c r="AO536" i="2"/>
  <c r="AN537" i="2"/>
  <c r="AO537" i="2"/>
  <c r="AN538" i="2"/>
  <c r="AO538" i="2"/>
  <c r="AN539" i="2"/>
  <c r="AO539" i="2"/>
  <c r="AN540" i="2"/>
  <c r="AO540" i="2"/>
  <c r="AN541" i="2"/>
  <c r="AO541" i="2"/>
  <c r="AN542" i="2"/>
  <c r="AO542" i="2"/>
  <c r="AN543" i="2"/>
  <c r="AO543" i="2"/>
  <c r="AN544" i="2"/>
  <c r="AO544" i="2"/>
  <c r="AN545" i="2"/>
  <c r="AO545" i="2"/>
  <c r="AN546" i="2"/>
  <c r="AO546" i="2"/>
  <c r="AN547" i="2"/>
  <c r="AO547" i="2"/>
  <c r="AN548" i="2"/>
  <c r="AO548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AT533" i="2"/>
  <c r="AU533" i="2"/>
  <c r="AT534" i="2"/>
  <c r="AU534" i="2"/>
  <c r="AT535" i="2"/>
  <c r="AU535" i="2"/>
  <c r="AT536" i="2"/>
  <c r="AU536" i="2"/>
  <c r="AT537" i="2"/>
  <c r="AU537" i="2"/>
  <c r="AT538" i="2"/>
  <c r="AU538" i="2"/>
  <c r="AW538" i="2" s="1"/>
  <c r="AT539" i="2"/>
  <c r="AU539" i="2"/>
  <c r="AW539" i="2" s="1"/>
  <c r="AT540" i="2"/>
  <c r="AU540" i="2"/>
  <c r="AW540" i="2" s="1"/>
  <c r="AT541" i="2"/>
  <c r="AU541" i="2"/>
  <c r="AT542" i="2"/>
  <c r="AU542" i="2"/>
  <c r="AT543" i="2"/>
  <c r="AU543" i="2"/>
  <c r="AT544" i="2"/>
  <c r="AU544" i="2"/>
  <c r="AT545" i="2"/>
  <c r="AU545" i="2"/>
  <c r="AW545" i="2" s="1"/>
  <c r="AT546" i="2"/>
  <c r="AU546" i="2"/>
  <c r="AW546" i="2" s="1"/>
  <c r="AT547" i="2"/>
  <c r="AU547" i="2"/>
  <c r="AW547" i="2" s="1"/>
  <c r="AT548" i="2"/>
  <c r="AU548" i="2"/>
  <c r="AW548" i="2" s="1"/>
  <c r="AP544" i="2"/>
  <c r="AP543" i="2"/>
  <c r="AP542" i="2"/>
  <c r="AP541" i="2"/>
  <c r="AP537" i="2"/>
  <c r="AP536" i="2"/>
  <c r="AP535" i="2"/>
  <c r="AP534" i="2"/>
  <c r="AP533" i="2"/>
  <c r="AT517" i="2"/>
  <c r="AU517" i="2"/>
  <c r="AT518" i="2"/>
  <c r="AU518" i="2"/>
  <c r="AT519" i="2"/>
  <c r="AU519" i="2"/>
  <c r="AT520" i="2"/>
  <c r="AU520" i="2"/>
  <c r="AT521" i="2"/>
  <c r="AU521" i="2"/>
  <c r="AW521" i="2" s="1"/>
  <c r="AT522" i="2"/>
  <c r="AU522" i="2"/>
  <c r="AW522" i="2" s="1"/>
  <c r="AT523" i="2"/>
  <c r="AU523" i="2"/>
  <c r="AW523" i="2" s="1"/>
  <c r="AT524" i="2"/>
  <c r="AU524" i="2"/>
  <c r="AW524" i="2" s="1"/>
  <c r="AT525" i="2"/>
  <c r="AU525" i="2"/>
  <c r="AT526" i="2"/>
  <c r="AU526" i="2"/>
  <c r="AT527" i="2"/>
  <c r="AU527" i="2"/>
  <c r="AT528" i="2"/>
  <c r="AU528" i="2"/>
  <c r="AT529" i="2"/>
  <c r="AU529" i="2"/>
  <c r="AW529" i="2" s="1"/>
  <c r="AT530" i="2"/>
  <c r="AU530" i="2"/>
  <c r="AW530" i="2" s="1"/>
  <c r="AT531" i="2"/>
  <c r="AU531" i="2"/>
  <c r="AW531" i="2" s="1"/>
  <c r="AT532" i="2"/>
  <c r="AU532" i="2"/>
  <c r="AW532" i="2" s="1"/>
  <c r="AP528" i="2"/>
  <c r="AP527" i="2"/>
  <c r="AP526" i="2"/>
  <c r="AP525" i="2"/>
  <c r="AP520" i="2"/>
  <c r="AP519" i="2"/>
  <c r="AW519" i="2" s="1"/>
  <c r="AP518" i="2"/>
  <c r="AP517" i="2"/>
  <c r="AO532" i="2"/>
  <c r="AO531" i="2"/>
  <c r="AO530" i="2"/>
  <c r="AO529" i="2"/>
  <c r="AO528" i="2"/>
  <c r="AO527" i="2"/>
  <c r="AO526" i="2"/>
  <c r="AO525" i="2"/>
  <c r="AO524" i="2"/>
  <c r="AO523" i="2"/>
  <c r="AO522" i="2"/>
  <c r="AO521" i="2"/>
  <c r="AO520" i="2"/>
  <c r="AO519" i="2"/>
  <c r="AO518" i="2"/>
  <c r="AO517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AT469" i="2"/>
  <c r="AU469" i="2"/>
  <c r="AT470" i="2"/>
  <c r="AU470" i="2"/>
  <c r="AT471" i="2"/>
  <c r="AU471" i="2"/>
  <c r="AT472" i="2"/>
  <c r="AU472" i="2"/>
  <c r="AT473" i="2"/>
  <c r="AU473" i="2"/>
  <c r="AW473" i="2" s="1"/>
  <c r="AT474" i="2"/>
  <c r="AU474" i="2"/>
  <c r="AW474" i="2" s="1"/>
  <c r="AT475" i="2"/>
  <c r="AU475" i="2"/>
  <c r="AW475" i="2" s="1"/>
  <c r="AT476" i="2"/>
  <c r="AU476" i="2"/>
  <c r="AW476" i="2" s="1"/>
  <c r="AT477" i="2"/>
  <c r="AU477" i="2"/>
  <c r="AT478" i="2"/>
  <c r="AU478" i="2"/>
  <c r="AW478" i="2" s="1"/>
  <c r="AT479" i="2"/>
  <c r="AU479" i="2"/>
  <c r="AT480" i="2"/>
  <c r="AU480" i="2"/>
  <c r="AT481" i="2"/>
  <c r="AU481" i="2"/>
  <c r="AW481" i="2" s="1"/>
  <c r="AT482" i="2"/>
  <c r="AU482" i="2"/>
  <c r="AW482" i="2" s="1"/>
  <c r="AT483" i="2"/>
  <c r="AU483" i="2"/>
  <c r="AW483" i="2" s="1"/>
  <c r="AT484" i="2"/>
  <c r="AU484" i="2"/>
  <c r="AW484" i="2" s="1"/>
  <c r="AT485" i="2"/>
  <c r="AU485" i="2"/>
  <c r="AT486" i="2"/>
  <c r="AU486" i="2"/>
  <c r="AT487" i="2"/>
  <c r="AU487" i="2"/>
  <c r="AT488" i="2"/>
  <c r="AU488" i="2"/>
  <c r="AT489" i="2"/>
  <c r="AU489" i="2"/>
  <c r="AW489" i="2" s="1"/>
  <c r="AT490" i="2"/>
  <c r="AU490" i="2"/>
  <c r="AW490" i="2" s="1"/>
  <c r="AT491" i="2"/>
  <c r="AU491" i="2"/>
  <c r="AW491" i="2" s="1"/>
  <c r="AT492" i="2"/>
  <c r="AU492" i="2"/>
  <c r="AW492" i="2" s="1"/>
  <c r="AT493" i="2"/>
  <c r="AU493" i="2"/>
  <c r="AW493" i="2" s="1"/>
  <c r="AT494" i="2"/>
  <c r="AU494" i="2"/>
  <c r="AW494" i="2" s="1"/>
  <c r="AT495" i="2"/>
  <c r="AU495" i="2"/>
  <c r="AW495" i="2" s="1"/>
  <c r="AT496" i="2"/>
  <c r="AU496" i="2"/>
  <c r="AW496" i="2" s="1"/>
  <c r="AT497" i="2"/>
  <c r="AU497" i="2"/>
  <c r="AW497" i="2" s="1"/>
  <c r="AT498" i="2"/>
  <c r="AU498" i="2"/>
  <c r="AW498" i="2" s="1"/>
  <c r="AT499" i="2"/>
  <c r="AU499" i="2"/>
  <c r="AW499" i="2" s="1"/>
  <c r="AT500" i="2"/>
  <c r="AU500" i="2"/>
  <c r="AW500" i="2" s="1"/>
  <c r="AT501" i="2"/>
  <c r="AU501" i="2"/>
  <c r="AT502" i="2"/>
  <c r="AU502" i="2"/>
  <c r="AT503" i="2"/>
  <c r="AU503" i="2"/>
  <c r="AT504" i="2"/>
  <c r="AU504" i="2"/>
  <c r="AT505" i="2"/>
  <c r="AU505" i="2"/>
  <c r="AW505" i="2" s="1"/>
  <c r="AT506" i="2"/>
  <c r="AU506" i="2"/>
  <c r="AW506" i="2" s="1"/>
  <c r="AT507" i="2"/>
  <c r="AU507" i="2"/>
  <c r="AT508" i="2"/>
  <c r="AU508" i="2"/>
  <c r="AW508" i="2" s="1"/>
  <c r="AT509" i="2"/>
  <c r="AU509" i="2"/>
  <c r="AT510" i="2"/>
  <c r="AU510" i="2"/>
  <c r="AT511" i="2"/>
  <c r="AU511" i="2"/>
  <c r="AT512" i="2"/>
  <c r="AU512" i="2"/>
  <c r="AT513" i="2"/>
  <c r="AU513" i="2"/>
  <c r="AW513" i="2" s="1"/>
  <c r="AT514" i="2"/>
  <c r="AU514" i="2"/>
  <c r="AW514" i="2" s="1"/>
  <c r="AT515" i="2"/>
  <c r="AU515" i="2"/>
  <c r="AW515" i="2" s="1"/>
  <c r="AT516" i="2"/>
  <c r="AU516" i="2"/>
  <c r="AW516" i="2" s="1"/>
  <c r="AN501" i="2"/>
  <c r="AO501" i="2"/>
  <c r="AN502" i="2"/>
  <c r="AO502" i="2"/>
  <c r="AN503" i="2"/>
  <c r="AO503" i="2"/>
  <c r="AN504" i="2"/>
  <c r="AO504" i="2"/>
  <c r="AN505" i="2"/>
  <c r="AO505" i="2"/>
  <c r="AN506" i="2"/>
  <c r="AO506" i="2"/>
  <c r="AN507" i="2"/>
  <c r="AO507" i="2"/>
  <c r="AN508" i="2"/>
  <c r="AO508" i="2"/>
  <c r="AN509" i="2"/>
  <c r="AO509" i="2"/>
  <c r="AN510" i="2"/>
  <c r="AO510" i="2"/>
  <c r="AN511" i="2"/>
  <c r="AO511" i="2"/>
  <c r="AN512" i="2"/>
  <c r="AO512" i="2"/>
  <c r="AN513" i="2"/>
  <c r="AO513" i="2"/>
  <c r="AN514" i="2"/>
  <c r="AO514" i="2"/>
  <c r="AN515" i="2"/>
  <c r="AO515" i="2"/>
  <c r="AN516" i="2"/>
  <c r="AO516" i="2"/>
  <c r="AP512" i="2"/>
  <c r="AP511" i="2"/>
  <c r="AP510" i="2"/>
  <c r="AP509" i="2"/>
  <c r="AP507" i="2"/>
  <c r="AP504" i="2"/>
  <c r="AP503" i="2"/>
  <c r="AP502" i="2"/>
  <c r="AP501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P488" i="2"/>
  <c r="AP487" i="2"/>
  <c r="AP486" i="2"/>
  <c r="AP485" i="2"/>
  <c r="AO488" i="2"/>
  <c r="AO487" i="2"/>
  <c r="AO486" i="2"/>
  <c r="AO485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AP480" i="2"/>
  <c r="AP479" i="2"/>
  <c r="AP477" i="2"/>
  <c r="AP472" i="2"/>
  <c r="AP471" i="2"/>
  <c r="AP470" i="2"/>
  <c r="AP469" i="2"/>
  <c r="AO484" i="2"/>
  <c r="AO483" i="2"/>
  <c r="AO482" i="2"/>
  <c r="AO481" i="2"/>
  <c r="AO480" i="2"/>
  <c r="AO479" i="2"/>
  <c r="AO478" i="2"/>
  <c r="AO477" i="2"/>
  <c r="AO476" i="2"/>
  <c r="AO475" i="2"/>
  <c r="AO474" i="2"/>
  <c r="AO473" i="2"/>
  <c r="AO472" i="2"/>
  <c r="AO471" i="2"/>
  <c r="AO470" i="2"/>
  <c r="AO469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AT453" i="2"/>
  <c r="AU453" i="2"/>
  <c r="AT454" i="2"/>
  <c r="AU454" i="2"/>
  <c r="AT455" i="2"/>
  <c r="AU455" i="2"/>
  <c r="AT456" i="2"/>
  <c r="AU456" i="2"/>
  <c r="AT457" i="2"/>
  <c r="AU457" i="2"/>
  <c r="AW457" i="2" s="1"/>
  <c r="AT458" i="2"/>
  <c r="AU458" i="2"/>
  <c r="AW458" i="2" s="1"/>
  <c r="AT459" i="2"/>
  <c r="AU459" i="2"/>
  <c r="AW459" i="2" s="1"/>
  <c r="AT460" i="2"/>
  <c r="AU460" i="2"/>
  <c r="AW460" i="2" s="1"/>
  <c r="AT461" i="2"/>
  <c r="AU461" i="2"/>
  <c r="AT462" i="2"/>
  <c r="AU462" i="2"/>
  <c r="AT463" i="2"/>
  <c r="AU463" i="2"/>
  <c r="AT464" i="2"/>
  <c r="AU464" i="2"/>
  <c r="AT465" i="2"/>
  <c r="AU465" i="2"/>
  <c r="AW465" i="2" s="1"/>
  <c r="AT466" i="2"/>
  <c r="AU466" i="2"/>
  <c r="AW466" i="2" s="1"/>
  <c r="AT467" i="2"/>
  <c r="AU467" i="2"/>
  <c r="AW467" i="2" s="1"/>
  <c r="AT468" i="2"/>
  <c r="AU468" i="2"/>
  <c r="AW468" i="2" s="1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P464" i="2"/>
  <c r="AP463" i="2"/>
  <c r="AP462" i="2"/>
  <c r="AP461" i="2"/>
  <c r="AP456" i="2"/>
  <c r="AP455" i="2"/>
  <c r="AP454" i="2"/>
  <c r="AP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53" i="2"/>
  <c r="AU437" i="2"/>
  <c r="AW437" i="2" s="1"/>
  <c r="AU438" i="2"/>
  <c r="AU439" i="2"/>
  <c r="AU440" i="2"/>
  <c r="AU441" i="2"/>
  <c r="AW441" i="2" s="1"/>
  <c r="AU442" i="2"/>
  <c r="AW442" i="2" s="1"/>
  <c r="AU443" i="2"/>
  <c r="AW443" i="2" s="1"/>
  <c r="AU444" i="2"/>
  <c r="AW444" i="2" s="1"/>
  <c r="AU445" i="2"/>
  <c r="AU446" i="2"/>
  <c r="AU447" i="2"/>
  <c r="AW447" i="2" s="1"/>
  <c r="AU448" i="2"/>
  <c r="AU449" i="2"/>
  <c r="AW449" i="2" s="1"/>
  <c r="AU450" i="2"/>
  <c r="AW450" i="2" s="1"/>
  <c r="AU451" i="2"/>
  <c r="AW451" i="2" s="1"/>
  <c r="AU452" i="2"/>
  <c r="AW452" i="2" s="1"/>
  <c r="AO449" i="2"/>
  <c r="AO450" i="2"/>
  <c r="AO451" i="2"/>
  <c r="AO452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T437" i="2"/>
  <c r="AT438" i="2"/>
  <c r="AT439" i="2"/>
  <c r="AT440" i="2"/>
  <c r="AT441" i="2"/>
  <c r="AT442" i="2"/>
  <c r="AT443" i="2"/>
  <c r="AT444" i="2"/>
  <c r="AT445" i="2"/>
  <c r="AT446" i="2"/>
  <c r="AT447" i="2"/>
  <c r="AT448" i="2"/>
  <c r="AT449" i="2"/>
  <c r="AT450" i="2"/>
  <c r="AT451" i="2"/>
  <c r="AT452" i="2"/>
  <c r="AP448" i="2"/>
  <c r="AP446" i="2"/>
  <c r="AP445" i="2"/>
  <c r="AP440" i="2"/>
  <c r="AP439" i="2"/>
  <c r="AP438" i="2"/>
  <c r="AW438" i="2" s="1"/>
  <c r="AO448" i="2"/>
  <c r="AO447" i="2"/>
  <c r="AO446" i="2"/>
  <c r="AO445" i="2"/>
  <c r="AO444" i="2"/>
  <c r="AO443" i="2"/>
  <c r="AO442" i="2"/>
  <c r="AO441" i="2"/>
  <c r="AO440" i="2"/>
  <c r="AO439" i="2"/>
  <c r="AO438" i="2"/>
  <c r="AO437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AU421" i="2"/>
  <c r="AU422" i="2"/>
  <c r="AU423" i="2"/>
  <c r="AU424" i="2"/>
  <c r="AU425" i="2"/>
  <c r="AW425" i="2" s="1"/>
  <c r="AU426" i="2"/>
  <c r="AW426" i="2" s="1"/>
  <c r="AU427" i="2"/>
  <c r="AW427" i="2" s="1"/>
  <c r="AU428" i="2"/>
  <c r="AW428" i="2" s="1"/>
  <c r="AU429" i="2"/>
  <c r="AU430" i="2"/>
  <c r="AU431" i="2"/>
  <c r="AU432" i="2"/>
  <c r="AU433" i="2"/>
  <c r="AW433" i="2" s="1"/>
  <c r="AU434" i="2"/>
  <c r="AW434" i="2" s="1"/>
  <c r="AU435" i="2"/>
  <c r="AW435" i="2" s="1"/>
  <c r="AU436" i="2"/>
  <c r="AW436" i="2" s="1"/>
  <c r="AT421" i="2"/>
  <c r="AT422" i="2"/>
  <c r="AT423" i="2"/>
  <c r="AT424" i="2"/>
  <c r="AT425" i="2"/>
  <c r="AT426" i="2"/>
  <c r="AT427" i="2"/>
  <c r="AT428" i="2"/>
  <c r="AT429" i="2"/>
  <c r="AT430" i="2"/>
  <c r="AT431" i="2"/>
  <c r="AT432" i="2"/>
  <c r="AT433" i="2"/>
  <c r="AT434" i="2"/>
  <c r="AT435" i="2"/>
  <c r="AT436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P432" i="2"/>
  <c r="AP431" i="2"/>
  <c r="AP430" i="2"/>
  <c r="AP429" i="2"/>
  <c r="AP424" i="2"/>
  <c r="AP423" i="2"/>
  <c r="AP422" i="2"/>
  <c r="AP421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24" i="2"/>
  <c r="AO423" i="2"/>
  <c r="AO422" i="2"/>
  <c r="AO421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AT389" i="2"/>
  <c r="AT390" i="2"/>
  <c r="AT391" i="2"/>
  <c r="AT392" i="2"/>
  <c r="AT393" i="2"/>
  <c r="AT394" i="2"/>
  <c r="AT395" i="2"/>
  <c r="AT396" i="2"/>
  <c r="AT397" i="2"/>
  <c r="AT398" i="2"/>
  <c r="AT399" i="2"/>
  <c r="AT400" i="2"/>
  <c r="AT401" i="2"/>
  <c r="AT402" i="2"/>
  <c r="AT403" i="2"/>
  <c r="AT404" i="2"/>
  <c r="AT405" i="2"/>
  <c r="AT406" i="2"/>
  <c r="AT407" i="2"/>
  <c r="AT408" i="2"/>
  <c r="AT409" i="2"/>
  <c r="AT410" i="2"/>
  <c r="AT411" i="2"/>
  <c r="AT412" i="2"/>
  <c r="AT413" i="2"/>
  <c r="AT414" i="2"/>
  <c r="AT415" i="2"/>
  <c r="AT416" i="2"/>
  <c r="AT417" i="2"/>
  <c r="AT418" i="2"/>
  <c r="AT419" i="2"/>
  <c r="AT420" i="2"/>
  <c r="AU389" i="2"/>
  <c r="AU390" i="2"/>
  <c r="AU391" i="2"/>
  <c r="AU392" i="2"/>
  <c r="AW392" i="2" s="1"/>
  <c r="AU393" i="2"/>
  <c r="AW393" i="2" s="1"/>
  <c r="AX393" i="2" s="1"/>
  <c r="AY393" i="2" s="1"/>
  <c r="AZ393" i="2" s="1"/>
  <c r="BA393" i="2" s="1"/>
  <c r="AU394" i="2"/>
  <c r="AW394" i="2" s="1"/>
  <c r="AU395" i="2"/>
  <c r="AW395" i="2" s="1"/>
  <c r="AU396" i="2"/>
  <c r="AW396" i="2" s="1"/>
  <c r="AU397" i="2"/>
  <c r="AU398" i="2"/>
  <c r="AU399" i="2"/>
  <c r="AU400" i="2"/>
  <c r="AU401" i="2"/>
  <c r="AW401" i="2" s="1"/>
  <c r="AX401" i="2" s="1"/>
  <c r="AY401" i="2" s="1"/>
  <c r="AZ401" i="2" s="1"/>
  <c r="BA401" i="2" s="1"/>
  <c r="AU402" i="2"/>
  <c r="AW402" i="2" s="1"/>
  <c r="AX402" i="2" s="1"/>
  <c r="AY402" i="2" s="1"/>
  <c r="AZ402" i="2" s="1"/>
  <c r="BA402" i="2" s="1"/>
  <c r="AU403" i="2"/>
  <c r="AW403" i="2" s="1"/>
  <c r="AU404" i="2"/>
  <c r="AW404" i="2" s="1"/>
  <c r="AU405" i="2"/>
  <c r="AU406" i="2"/>
  <c r="AU407" i="2"/>
  <c r="AU408" i="2"/>
  <c r="AU409" i="2"/>
  <c r="AW409" i="2" s="1"/>
  <c r="AU410" i="2"/>
  <c r="AW410" i="2" s="1"/>
  <c r="AX410" i="2" s="1"/>
  <c r="AY410" i="2" s="1"/>
  <c r="AZ410" i="2" s="1"/>
  <c r="BA410" i="2" s="1"/>
  <c r="AU411" i="2"/>
  <c r="AW411" i="2" s="1"/>
  <c r="AU412" i="2"/>
  <c r="AW412" i="2" s="1"/>
  <c r="AU413" i="2"/>
  <c r="AU414" i="2"/>
  <c r="AU415" i="2"/>
  <c r="AU416" i="2"/>
  <c r="AU417" i="2"/>
  <c r="AU418" i="2"/>
  <c r="AW418" i="2" s="1"/>
  <c r="AU419" i="2"/>
  <c r="AW419" i="2" s="1"/>
  <c r="AU420" i="2"/>
  <c r="AW420" i="2" s="1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389" i="2"/>
  <c r="AN389" i="2"/>
  <c r="AO389" i="2"/>
  <c r="AN390" i="2"/>
  <c r="AO390" i="2"/>
  <c r="AN391" i="2"/>
  <c r="AO391" i="2"/>
  <c r="AN392" i="2"/>
  <c r="AO392" i="2"/>
  <c r="AN393" i="2"/>
  <c r="AO393" i="2"/>
  <c r="AN394" i="2"/>
  <c r="AO394" i="2"/>
  <c r="AN395" i="2"/>
  <c r="AO395" i="2"/>
  <c r="AN396" i="2"/>
  <c r="AO396" i="2"/>
  <c r="AN397" i="2"/>
  <c r="AO397" i="2"/>
  <c r="AN398" i="2"/>
  <c r="AO398" i="2"/>
  <c r="AN399" i="2"/>
  <c r="AO399" i="2"/>
  <c r="AN400" i="2"/>
  <c r="AO400" i="2"/>
  <c r="AN401" i="2"/>
  <c r="AO401" i="2"/>
  <c r="AN402" i="2"/>
  <c r="AO402" i="2"/>
  <c r="AN403" i="2"/>
  <c r="AO403" i="2"/>
  <c r="AN404" i="2"/>
  <c r="AO404" i="2"/>
  <c r="AN405" i="2"/>
  <c r="AO405" i="2"/>
  <c r="AN406" i="2"/>
  <c r="AO406" i="2"/>
  <c r="AN407" i="2"/>
  <c r="AO407" i="2"/>
  <c r="AN408" i="2"/>
  <c r="AO408" i="2"/>
  <c r="AN409" i="2"/>
  <c r="AO409" i="2"/>
  <c r="AN410" i="2"/>
  <c r="AO410" i="2"/>
  <c r="AN411" i="2"/>
  <c r="AO411" i="2"/>
  <c r="AN412" i="2"/>
  <c r="AO412" i="2"/>
  <c r="AN413" i="2"/>
  <c r="AO413" i="2"/>
  <c r="AN414" i="2"/>
  <c r="AO414" i="2"/>
  <c r="AN415" i="2"/>
  <c r="AO415" i="2"/>
  <c r="AN416" i="2"/>
  <c r="AO416" i="2"/>
  <c r="AN417" i="2"/>
  <c r="AO417" i="2"/>
  <c r="AN418" i="2"/>
  <c r="AO418" i="2"/>
  <c r="AN419" i="2"/>
  <c r="AO419" i="2"/>
  <c r="AN420" i="2"/>
  <c r="AO420" i="2"/>
  <c r="AN373" i="2"/>
  <c r="AO373" i="2"/>
  <c r="AN374" i="2"/>
  <c r="AO374" i="2"/>
  <c r="AN375" i="2"/>
  <c r="AO375" i="2"/>
  <c r="AN376" i="2"/>
  <c r="AO376" i="2"/>
  <c r="AN377" i="2"/>
  <c r="AO377" i="2"/>
  <c r="AN378" i="2"/>
  <c r="AO378" i="2"/>
  <c r="AN379" i="2"/>
  <c r="AO379" i="2"/>
  <c r="AN380" i="2"/>
  <c r="AO380" i="2"/>
  <c r="AN381" i="2"/>
  <c r="AO381" i="2"/>
  <c r="AN382" i="2"/>
  <c r="AO382" i="2"/>
  <c r="AN383" i="2"/>
  <c r="AO383" i="2"/>
  <c r="AN384" i="2"/>
  <c r="AO384" i="2"/>
  <c r="AN385" i="2"/>
  <c r="AO385" i="2"/>
  <c r="AN386" i="2"/>
  <c r="AO386" i="2"/>
  <c r="AN387" i="2"/>
  <c r="AO387" i="2"/>
  <c r="AN388" i="2"/>
  <c r="AO388" i="2"/>
  <c r="AT373" i="2"/>
  <c r="AT374" i="2"/>
  <c r="AT375" i="2"/>
  <c r="AT376" i="2"/>
  <c r="AT377" i="2"/>
  <c r="AT378" i="2"/>
  <c r="AT379" i="2"/>
  <c r="AT380" i="2"/>
  <c r="AT381" i="2"/>
  <c r="AT382" i="2"/>
  <c r="AT383" i="2"/>
  <c r="AT384" i="2"/>
  <c r="AT385" i="2"/>
  <c r="AT386" i="2"/>
  <c r="AT387" i="2"/>
  <c r="AT388" i="2"/>
  <c r="AP417" i="2"/>
  <c r="AP416" i="2"/>
  <c r="AP415" i="2"/>
  <c r="AW415" i="2" s="1"/>
  <c r="AX415" i="2" s="1"/>
  <c r="AY415" i="2" s="1"/>
  <c r="AZ415" i="2" s="1"/>
  <c r="BA415" i="2" s="1"/>
  <c r="AP414" i="2"/>
  <c r="AP413" i="2"/>
  <c r="AP408" i="2"/>
  <c r="AP407" i="2"/>
  <c r="AP406" i="2"/>
  <c r="AP405" i="2"/>
  <c r="AP400" i="2"/>
  <c r="AP399" i="2"/>
  <c r="AP398" i="2"/>
  <c r="AP397" i="2"/>
  <c r="AP391" i="2"/>
  <c r="AP390" i="2"/>
  <c r="AP389" i="2"/>
  <c r="AP384" i="2"/>
  <c r="AP383" i="2"/>
  <c r="AP382" i="2"/>
  <c r="AP381" i="2"/>
  <c r="AP375" i="2"/>
  <c r="AP374" i="2"/>
  <c r="AP373" i="2"/>
  <c r="AU357" i="2"/>
  <c r="AW357" i="2" s="1"/>
  <c r="AU358" i="2"/>
  <c r="AU359" i="2"/>
  <c r="AW359" i="2" s="1"/>
  <c r="AU360" i="2"/>
  <c r="AW360" i="2" s="1"/>
  <c r="AU361" i="2"/>
  <c r="AU362" i="2"/>
  <c r="AU363" i="2"/>
  <c r="AU364" i="2"/>
  <c r="AW364" i="2" s="1"/>
  <c r="AU365" i="2"/>
  <c r="AU366" i="2"/>
  <c r="AU367" i="2"/>
  <c r="AU368" i="2"/>
  <c r="AU369" i="2"/>
  <c r="AW369" i="2" s="1"/>
  <c r="AU370" i="2"/>
  <c r="AW370" i="2" s="1"/>
  <c r="AU371" i="2"/>
  <c r="AW371" i="2" s="1"/>
  <c r="AU372" i="2"/>
  <c r="AW372" i="2" s="1"/>
  <c r="AU373" i="2"/>
  <c r="AU374" i="2"/>
  <c r="AU375" i="2"/>
  <c r="AU376" i="2"/>
  <c r="AW376" i="2" s="1"/>
  <c r="AU377" i="2"/>
  <c r="AW377" i="2" s="1"/>
  <c r="AU378" i="2"/>
  <c r="AW378" i="2" s="1"/>
  <c r="AU379" i="2"/>
  <c r="AW379" i="2" s="1"/>
  <c r="AU380" i="2"/>
  <c r="AW380" i="2" s="1"/>
  <c r="AU381" i="2"/>
  <c r="AU382" i="2"/>
  <c r="AU383" i="2"/>
  <c r="AW383" i="2" s="1"/>
  <c r="AU384" i="2"/>
  <c r="AU385" i="2"/>
  <c r="AW385" i="2" s="1"/>
  <c r="AU386" i="2"/>
  <c r="AW386" i="2" s="1"/>
  <c r="AU387" i="2"/>
  <c r="AW387" i="2" s="1"/>
  <c r="AU388" i="2"/>
  <c r="AW388" i="2" s="1"/>
  <c r="AT357" i="2"/>
  <c r="AT358" i="2"/>
  <c r="AT359" i="2"/>
  <c r="AT360" i="2"/>
  <c r="AT361" i="2"/>
  <c r="AT362" i="2"/>
  <c r="AT363" i="2"/>
  <c r="AT364" i="2"/>
  <c r="AT365" i="2"/>
  <c r="AT366" i="2"/>
  <c r="AT367" i="2"/>
  <c r="AT368" i="2"/>
  <c r="AT369" i="2"/>
  <c r="AT370" i="2"/>
  <c r="AT371" i="2"/>
  <c r="AT372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73" i="2"/>
  <c r="AN357" i="2"/>
  <c r="AO357" i="2"/>
  <c r="AN358" i="2"/>
  <c r="AO358" i="2"/>
  <c r="AN359" i="2"/>
  <c r="AO359" i="2"/>
  <c r="AN360" i="2"/>
  <c r="AO360" i="2"/>
  <c r="AN361" i="2"/>
  <c r="AO361" i="2"/>
  <c r="AN362" i="2"/>
  <c r="AO362" i="2"/>
  <c r="AN363" i="2"/>
  <c r="AO363" i="2"/>
  <c r="AN364" i="2"/>
  <c r="AO364" i="2"/>
  <c r="AN365" i="2"/>
  <c r="AO365" i="2"/>
  <c r="AN366" i="2"/>
  <c r="AO366" i="2"/>
  <c r="AN367" i="2"/>
  <c r="AO367" i="2"/>
  <c r="AN368" i="2"/>
  <c r="AO368" i="2"/>
  <c r="AN369" i="2"/>
  <c r="AO369" i="2"/>
  <c r="AN370" i="2"/>
  <c r="AO370" i="2"/>
  <c r="AN371" i="2"/>
  <c r="AO371" i="2"/>
  <c r="AN372" i="2"/>
  <c r="AO372" i="2"/>
  <c r="AP368" i="2"/>
  <c r="AP367" i="2"/>
  <c r="AP366" i="2"/>
  <c r="AP365" i="2"/>
  <c r="AP363" i="2"/>
  <c r="AP362" i="2"/>
  <c r="AP361" i="2"/>
  <c r="AP358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57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T341" i="2"/>
  <c r="AU341" i="2"/>
  <c r="AW341" i="2" s="1"/>
  <c r="AT342" i="2"/>
  <c r="AU342" i="2"/>
  <c r="AW342" i="2" s="1"/>
  <c r="AT343" i="2"/>
  <c r="AU343" i="2"/>
  <c r="AW343" i="2" s="1"/>
  <c r="AT344" i="2"/>
  <c r="AU344" i="2"/>
  <c r="AW344" i="2" s="1"/>
  <c r="AT345" i="2"/>
  <c r="AU345" i="2"/>
  <c r="AW345" i="2" s="1"/>
  <c r="AT346" i="2"/>
  <c r="AU346" i="2"/>
  <c r="AW346" i="2" s="1"/>
  <c r="AT347" i="2"/>
  <c r="AU347" i="2"/>
  <c r="AW347" i="2" s="1"/>
  <c r="AT348" i="2"/>
  <c r="AU348" i="2"/>
  <c r="AW348" i="2" s="1"/>
  <c r="AT349" i="2"/>
  <c r="AU349" i="2"/>
  <c r="AT350" i="2"/>
  <c r="AU350" i="2"/>
  <c r="AT351" i="2"/>
  <c r="AU351" i="2"/>
  <c r="AT352" i="2"/>
  <c r="AU352" i="2"/>
  <c r="AT353" i="2"/>
  <c r="AU353" i="2"/>
  <c r="AW353" i="2" s="1"/>
  <c r="AT354" i="2"/>
  <c r="AU354" i="2"/>
  <c r="AW354" i="2" s="1"/>
  <c r="AT355" i="2"/>
  <c r="AU355" i="2"/>
  <c r="AW355" i="2" s="1"/>
  <c r="AT356" i="2"/>
  <c r="AU356" i="2"/>
  <c r="AW356" i="2" s="1"/>
  <c r="AP352" i="2"/>
  <c r="AP351" i="2"/>
  <c r="AP350" i="2"/>
  <c r="AP349" i="2"/>
  <c r="AO356" i="2"/>
  <c r="AO355" i="2"/>
  <c r="AO354" i="2"/>
  <c r="AO353" i="2"/>
  <c r="AO352" i="2"/>
  <c r="AO351" i="2"/>
  <c r="AO350" i="2"/>
  <c r="AO349" i="2"/>
  <c r="AO348" i="2"/>
  <c r="AO347" i="2"/>
  <c r="AO346" i="2"/>
  <c r="AO345" i="2"/>
  <c r="AO344" i="2"/>
  <c r="AO343" i="2"/>
  <c r="AO342" i="2"/>
  <c r="AO341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AT325" i="2"/>
  <c r="AU325" i="2"/>
  <c r="AW325" i="2" s="1"/>
  <c r="AT326" i="2"/>
  <c r="AU326" i="2"/>
  <c r="AW326" i="2" s="1"/>
  <c r="AT327" i="2"/>
  <c r="AU327" i="2"/>
  <c r="AW327" i="2" s="1"/>
  <c r="AT328" i="2"/>
  <c r="AU328" i="2"/>
  <c r="AW328" i="2" s="1"/>
  <c r="AT329" i="2"/>
  <c r="AU329" i="2"/>
  <c r="AT330" i="2"/>
  <c r="AU330" i="2"/>
  <c r="AT331" i="2"/>
  <c r="AU331" i="2"/>
  <c r="AT332" i="2"/>
  <c r="AU332" i="2"/>
  <c r="AW332" i="2" s="1"/>
  <c r="AT333" i="2"/>
  <c r="AU333" i="2"/>
  <c r="AT334" i="2"/>
  <c r="AU334" i="2"/>
  <c r="AT335" i="2"/>
  <c r="AU335" i="2"/>
  <c r="AT336" i="2"/>
  <c r="AU336" i="2"/>
  <c r="AT337" i="2"/>
  <c r="AU337" i="2"/>
  <c r="AW337" i="2" s="1"/>
  <c r="AT338" i="2"/>
  <c r="AU338" i="2"/>
  <c r="AW338" i="2" s="1"/>
  <c r="AT339" i="2"/>
  <c r="AU339" i="2"/>
  <c r="AW339" i="2" s="1"/>
  <c r="AT340" i="2"/>
  <c r="AU340" i="2"/>
  <c r="AW340" i="2" s="1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P335" i="2"/>
  <c r="AP334" i="2"/>
  <c r="AP333" i="2"/>
  <c r="AP331" i="2"/>
  <c r="AP330" i="2"/>
  <c r="AP329" i="2"/>
  <c r="AP336" i="2"/>
  <c r="AO340" i="2"/>
  <c r="AO339" i="2"/>
  <c r="AO338" i="2"/>
  <c r="AO337" i="2"/>
  <c r="AO336" i="2"/>
  <c r="AO335" i="2"/>
  <c r="AO334" i="2"/>
  <c r="AO333" i="2"/>
  <c r="AO332" i="2"/>
  <c r="AO331" i="2"/>
  <c r="AO330" i="2"/>
  <c r="AO329" i="2"/>
  <c r="AO328" i="2"/>
  <c r="AO327" i="2"/>
  <c r="AO326" i="2"/>
  <c r="AO325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T309" i="2"/>
  <c r="AU309" i="2"/>
  <c r="AW309" i="2" s="1"/>
  <c r="AT310" i="2"/>
  <c r="AU310" i="2"/>
  <c r="AW310" i="2" s="1"/>
  <c r="AT311" i="2"/>
  <c r="AU311" i="2"/>
  <c r="AW311" i="2" s="1"/>
  <c r="AT312" i="2"/>
  <c r="AU312" i="2"/>
  <c r="AW312" i="2" s="1"/>
  <c r="AT313" i="2"/>
  <c r="AU313" i="2"/>
  <c r="AW313" i="2" s="1"/>
  <c r="AT314" i="2"/>
  <c r="AU314" i="2"/>
  <c r="AW314" i="2" s="1"/>
  <c r="AT315" i="2"/>
  <c r="AU315" i="2"/>
  <c r="AW315" i="2" s="1"/>
  <c r="AT316" i="2"/>
  <c r="AU316" i="2"/>
  <c r="AW316" i="2" s="1"/>
  <c r="AT317" i="2"/>
  <c r="AU317" i="2"/>
  <c r="AW317" i="2" s="1"/>
  <c r="AT318" i="2"/>
  <c r="AU318" i="2"/>
  <c r="AW318" i="2" s="1"/>
  <c r="AT319" i="2"/>
  <c r="AU319" i="2"/>
  <c r="AW319" i="2" s="1"/>
  <c r="AT320" i="2"/>
  <c r="AU320" i="2"/>
  <c r="AW320" i="2" s="1"/>
  <c r="AT321" i="2"/>
  <c r="AU321" i="2"/>
  <c r="AW321" i="2" s="1"/>
  <c r="AT322" i="2"/>
  <c r="AU322" i="2"/>
  <c r="AW322" i="2" s="1"/>
  <c r="AT323" i="2"/>
  <c r="AU323" i="2"/>
  <c r="AW323" i="2" s="1"/>
  <c r="AT324" i="2"/>
  <c r="AU324" i="2"/>
  <c r="AW324" i="2" s="1"/>
  <c r="AO324" i="2"/>
  <c r="AO323" i="2"/>
  <c r="AO322" i="2"/>
  <c r="AO321" i="2"/>
  <c r="AO320" i="2"/>
  <c r="AO319" i="2"/>
  <c r="AO318" i="2"/>
  <c r="AO317" i="2"/>
  <c r="AO316" i="2"/>
  <c r="AO315" i="2"/>
  <c r="AO314" i="2"/>
  <c r="AO313" i="2"/>
  <c r="AO312" i="2"/>
  <c r="AO311" i="2"/>
  <c r="AO310" i="2"/>
  <c r="AO309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AT277" i="2"/>
  <c r="AU277" i="2"/>
  <c r="AW277" i="2" s="1"/>
  <c r="AT278" i="2"/>
  <c r="AU278" i="2"/>
  <c r="AW278" i="2" s="1"/>
  <c r="AT279" i="2"/>
  <c r="AU279" i="2"/>
  <c r="AW279" i="2" s="1"/>
  <c r="AT280" i="2"/>
  <c r="AU280" i="2"/>
  <c r="AW280" i="2" s="1"/>
  <c r="AT281" i="2"/>
  <c r="AU281" i="2"/>
  <c r="AT282" i="2"/>
  <c r="AU282" i="2"/>
  <c r="AW282" i="2" s="1"/>
  <c r="AT283" i="2"/>
  <c r="AU283" i="2"/>
  <c r="AT284" i="2"/>
  <c r="AU284" i="2"/>
  <c r="AW284" i="2" s="1"/>
  <c r="AT285" i="2"/>
  <c r="AU285" i="2"/>
  <c r="AW285" i="2" s="1"/>
  <c r="AT286" i="2"/>
  <c r="AU286" i="2"/>
  <c r="AW286" i="2" s="1"/>
  <c r="AT287" i="2"/>
  <c r="AU287" i="2"/>
  <c r="AW287" i="2" s="1"/>
  <c r="AT288" i="2"/>
  <c r="AU288" i="2"/>
  <c r="AW288" i="2" s="1"/>
  <c r="AT289" i="2"/>
  <c r="AU289" i="2"/>
  <c r="AW289" i="2" s="1"/>
  <c r="AT290" i="2"/>
  <c r="AU290" i="2"/>
  <c r="AW290" i="2" s="1"/>
  <c r="AT291" i="2"/>
  <c r="AU291" i="2"/>
  <c r="AW291" i="2" s="1"/>
  <c r="AT292" i="2"/>
  <c r="AU292" i="2"/>
  <c r="AW292" i="2" s="1"/>
  <c r="AT293" i="2"/>
  <c r="AU293" i="2"/>
  <c r="AW293" i="2" s="1"/>
  <c r="AT294" i="2"/>
  <c r="AU294" i="2"/>
  <c r="AW294" i="2" s="1"/>
  <c r="AT295" i="2"/>
  <c r="AU295" i="2"/>
  <c r="AW295" i="2" s="1"/>
  <c r="AT296" i="2"/>
  <c r="AU296" i="2"/>
  <c r="AW296" i="2" s="1"/>
  <c r="AT297" i="2"/>
  <c r="AU297" i="2"/>
  <c r="AT298" i="2"/>
  <c r="AU298" i="2"/>
  <c r="AW298" i="2" s="1"/>
  <c r="AT299" i="2"/>
  <c r="AU299" i="2"/>
  <c r="AW299" i="2" s="1"/>
  <c r="AT300" i="2"/>
  <c r="AU300" i="2"/>
  <c r="AW300" i="2" s="1"/>
  <c r="AT301" i="2"/>
  <c r="AU301" i="2"/>
  <c r="AT302" i="2"/>
  <c r="AU302" i="2"/>
  <c r="AT303" i="2"/>
  <c r="AU303" i="2"/>
  <c r="AW303" i="2" s="1"/>
  <c r="AT304" i="2"/>
  <c r="AU304" i="2"/>
  <c r="AT305" i="2"/>
  <c r="AU305" i="2"/>
  <c r="AW305" i="2" s="1"/>
  <c r="AT306" i="2"/>
  <c r="AU306" i="2"/>
  <c r="AW306" i="2" s="1"/>
  <c r="AT307" i="2"/>
  <c r="AU307" i="2"/>
  <c r="AW307" i="2" s="1"/>
  <c r="AT308" i="2"/>
  <c r="AU308" i="2"/>
  <c r="AW308" i="2" s="1"/>
  <c r="AN294" i="2"/>
  <c r="AO294" i="2"/>
  <c r="AN295" i="2"/>
  <c r="AO295" i="2"/>
  <c r="AN296" i="2"/>
  <c r="AO296" i="2"/>
  <c r="AN297" i="2"/>
  <c r="AO297" i="2"/>
  <c r="AN298" i="2"/>
  <c r="AO298" i="2"/>
  <c r="AN299" i="2"/>
  <c r="AO299" i="2"/>
  <c r="AN300" i="2"/>
  <c r="AO300" i="2"/>
  <c r="AN301" i="2"/>
  <c r="AO301" i="2"/>
  <c r="AN302" i="2"/>
  <c r="AO302" i="2"/>
  <c r="AN303" i="2"/>
  <c r="AO303" i="2"/>
  <c r="AN304" i="2"/>
  <c r="AO304" i="2"/>
  <c r="AN305" i="2"/>
  <c r="AO305" i="2"/>
  <c r="AN306" i="2"/>
  <c r="AO306" i="2"/>
  <c r="AN307" i="2"/>
  <c r="AO307" i="2"/>
  <c r="AN308" i="2"/>
  <c r="AO308" i="2"/>
  <c r="AO293" i="2"/>
  <c r="AN293" i="2"/>
  <c r="AN282" i="2"/>
  <c r="AO282" i="2"/>
  <c r="AN283" i="2"/>
  <c r="AO283" i="2"/>
  <c r="AN284" i="2"/>
  <c r="AO284" i="2"/>
  <c r="AO281" i="2"/>
  <c r="AN281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AP304" i="2"/>
  <c r="AP302" i="2"/>
  <c r="AP301" i="2"/>
  <c r="AP297" i="2"/>
  <c r="AP283" i="2"/>
  <c r="AP281" i="2"/>
  <c r="AW632" i="2" l="1"/>
  <c r="AW684" i="2"/>
  <c r="AX689" i="2"/>
  <c r="AY689" i="2" s="1"/>
  <c r="AZ689" i="2" s="1"/>
  <c r="BA689" i="2" s="1"/>
  <c r="AX724" i="2"/>
  <c r="AY724" i="2" s="1"/>
  <c r="AZ724" i="2" s="1"/>
  <c r="BA724" i="2" s="1"/>
  <c r="AW688" i="2"/>
  <c r="AX688" i="2" s="1"/>
  <c r="AY688" i="2" s="1"/>
  <c r="AZ688" i="2" s="1"/>
  <c r="BA688" i="2" s="1"/>
  <c r="AW647" i="2"/>
  <c r="AX647" i="2" s="1"/>
  <c r="AY647" i="2" s="1"/>
  <c r="AZ647" i="2" s="1"/>
  <c r="BA647" i="2" s="1"/>
  <c r="AW669" i="2"/>
  <c r="AX669" i="2" s="1"/>
  <c r="AY669" i="2" s="1"/>
  <c r="AZ669" i="2" s="1"/>
  <c r="BA669" i="2" s="1"/>
  <c r="AW680" i="2"/>
  <c r="AX680" i="2" s="1"/>
  <c r="AY680" i="2" s="1"/>
  <c r="AZ680" i="2" s="1"/>
  <c r="BA680" i="2" s="1"/>
  <c r="AW682" i="2"/>
  <c r="AX682" i="2" s="1"/>
  <c r="AY682" i="2" s="1"/>
  <c r="AZ682" i="2" s="1"/>
  <c r="BA682" i="2" s="1"/>
  <c r="AX684" i="2"/>
  <c r="AY684" i="2" s="1"/>
  <c r="AZ684" i="2" s="1"/>
  <c r="BA684" i="2" s="1"/>
  <c r="AX717" i="2"/>
  <c r="AY717" i="2" s="1"/>
  <c r="AZ717" i="2" s="1"/>
  <c r="BA717" i="2" s="1"/>
  <c r="AX651" i="2"/>
  <c r="AY651" i="2" s="1"/>
  <c r="AZ651" i="2" s="1"/>
  <c r="BA651" i="2" s="1"/>
  <c r="AW668" i="2"/>
  <c r="AX668" i="2" s="1"/>
  <c r="AY668" i="2" s="1"/>
  <c r="AZ668" i="2" s="1"/>
  <c r="BA668" i="2" s="1"/>
  <c r="AX706" i="2"/>
  <c r="AY706" i="2" s="1"/>
  <c r="AZ706" i="2" s="1"/>
  <c r="BA706" i="2" s="1"/>
  <c r="AW636" i="2"/>
  <c r="AX636" i="2" s="1"/>
  <c r="AY636" i="2" s="1"/>
  <c r="AZ636" i="2" s="1"/>
  <c r="BA636" i="2" s="1"/>
  <c r="AX603" i="2"/>
  <c r="AY603" i="2" s="1"/>
  <c r="AZ603" i="2" s="1"/>
  <c r="BA603" i="2" s="1"/>
  <c r="AX632" i="2"/>
  <c r="AY632" i="2" s="1"/>
  <c r="AZ632" i="2" s="1"/>
  <c r="BA632" i="2" s="1"/>
  <c r="AX692" i="2"/>
  <c r="AY692" i="2" s="1"/>
  <c r="AZ692" i="2" s="1"/>
  <c r="BA692" i="2" s="1"/>
  <c r="AX714" i="2"/>
  <c r="AY714" i="2" s="1"/>
  <c r="AZ714" i="2" s="1"/>
  <c r="BA714" i="2" s="1"/>
  <c r="AW633" i="2"/>
  <c r="AX633" i="2" s="1"/>
  <c r="AY633" i="2" s="1"/>
  <c r="AZ633" i="2" s="1"/>
  <c r="BA633" i="2" s="1"/>
  <c r="AX721" i="2"/>
  <c r="AY721" i="2" s="1"/>
  <c r="AZ721" i="2" s="1"/>
  <c r="BA721" i="2" s="1"/>
  <c r="AX709" i="2"/>
  <c r="AY709" i="2" s="1"/>
  <c r="AZ709" i="2" s="1"/>
  <c r="BA709" i="2" s="1"/>
  <c r="AW630" i="2"/>
  <c r="AX630" i="2" s="1"/>
  <c r="AY630" i="2" s="1"/>
  <c r="AZ630" i="2" s="1"/>
  <c r="BA630" i="2" s="1"/>
  <c r="AX676" i="2"/>
  <c r="AY676" i="2" s="1"/>
  <c r="AZ676" i="2" s="1"/>
  <c r="BA676" i="2" s="1"/>
  <c r="AW677" i="2"/>
  <c r="AX677" i="2" s="1"/>
  <c r="AY677" i="2" s="1"/>
  <c r="AZ677" i="2" s="1"/>
  <c r="BA677" i="2" s="1"/>
  <c r="AX686" i="2"/>
  <c r="AY686" i="2" s="1"/>
  <c r="AZ686" i="2" s="1"/>
  <c r="BA686" i="2" s="1"/>
  <c r="AX712" i="2"/>
  <c r="AY712" i="2" s="1"/>
  <c r="AZ712" i="2" s="1"/>
  <c r="BA712" i="2" s="1"/>
  <c r="AX545" i="2"/>
  <c r="AY545" i="2" s="1"/>
  <c r="AZ545" i="2" s="1"/>
  <c r="BA545" i="2" s="1"/>
  <c r="AW629" i="2"/>
  <c r="AX629" i="2" s="1"/>
  <c r="AY629" i="2" s="1"/>
  <c r="AZ629" i="2" s="1"/>
  <c r="BA629" i="2" s="1"/>
  <c r="AX641" i="2"/>
  <c r="AY641" i="2" s="1"/>
  <c r="AZ641" i="2" s="1"/>
  <c r="BA641" i="2" s="1"/>
  <c r="AW640" i="2"/>
  <c r="AX640" i="2" s="1"/>
  <c r="AY640" i="2" s="1"/>
  <c r="AZ640" i="2" s="1"/>
  <c r="BA640" i="2" s="1"/>
  <c r="AW667" i="2"/>
  <c r="AX667" i="2" s="1"/>
  <c r="AY667" i="2" s="1"/>
  <c r="AZ667" i="2" s="1"/>
  <c r="BA667" i="2" s="1"/>
  <c r="AX665" i="2"/>
  <c r="AY665" i="2" s="1"/>
  <c r="AZ665" i="2" s="1"/>
  <c r="BA665" i="2" s="1"/>
  <c r="AW701" i="2"/>
  <c r="AX701" i="2" s="1"/>
  <c r="AY701" i="2" s="1"/>
  <c r="AZ701" i="2" s="1"/>
  <c r="BA701" i="2" s="1"/>
  <c r="AW693" i="2"/>
  <c r="AX693" i="2" s="1"/>
  <c r="AY693" i="2" s="1"/>
  <c r="AZ693" i="2" s="1"/>
  <c r="BA693" i="2" s="1"/>
  <c r="AW678" i="2"/>
  <c r="AX678" i="2" s="1"/>
  <c r="AY678" i="2" s="1"/>
  <c r="AZ678" i="2" s="1"/>
  <c r="BA678" i="2" s="1"/>
  <c r="AW687" i="2"/>
  <c r="AX687" i="2" s="1"/>
  <c r="AY687" i="2" s="1"/>
  <c r="AZ687" i="2" s="1"/>
  <c r="BA687" i="2" s="1"/>
  <c r="AX690" i="2"/>
  <c r="AY690" i="2" s="1"/>
  <c r="AZ690" i="2" s="1"/>
  <c r="BA690" i="2" s="1"/>
  <c r="AX697" i="2"/>
  <c r="AY697" i="2" s="1"/>
  <c r="AZ697" i="2" s="1"/>
  <c r="BA697" i="2" s="1"/>
  <c r="AX705" i="2"/>
  <c r="AY705" i="2" s="1"/>
  <c r="AZ705" i="2" s="1"/>
  <c r="BA705" i="2" s="1"/>
  <c r="AW639" i="2"/>
  <c r="AX639" i="2" s="1"/>
  <c r="AY639" i="2" s="1"/>
  <c r="AZ639" i="2" s="1"/>
  <c r="BA639" i="2" s="1"/>
  <c r="AW679" i="2"/>
  <c r="AX679" i="2" s="1"/>
  <c r="AY679" i="2" s="1"/>
  <c r="AZ679" i="2" s="1"/>
  <c r="BA679" i="2" s="1"/>
  <c r="AW685" i="2"/>
  <c r="AX685" i="2" s="1"/>
  <c r="AY685" i="2" s="1"/>
  <c r="AZ685" i="2" s="1"/>
  <c r="BA685" i="2" s="1"/>
  <c r="AW681" i="2"/>
  <c r="AX681" i="2" s="1"/>
  <c r="AY681" i="2" s="1"/>
  <c r="AZ681" i="2" s="1"/>
  <c r="BA681" i="2" s="1"/>
  <c r="AX720" i="2"/>
  <c r="AY720" i="2" s="1"/>
  <c r="AZ720" i="2" s="1"/>
  <c r="BA720" i="2" s="1"/>
  <c r="AW671" i="2"/>
  <c r="AX671" i="2" s="1"/>
  <c r="AY671" i="2" s="1"/>
  <c r="AZ671" i="2" s="1"/>
  <c r="BA671" i="2" s="1"/>
  <c r="AW663" i="2"/>
  <c r="AX663" i="2" s="1"/>
  <c r="AY663" i="2" s="1"/>
  <c r="AZ663" i="2" s="1"/>
  <c r="BA663" i="2" s="1"/>
  <c r="AW703" i="2"/>
  <c r="AX703" i="2" s="1"/>
  <c r="AY703" i="2" s="1"/>
  <c r="AZ703" i="2" s="1"/>
  <c r="BA703" i="2" s="1"/>
  <c r="AW637" i="2"/>
  <c r="AX637" i="2" s="1"/>
  <c r="AY637" i="2" s="1"/>
  <c r="AZ637" i="2" s="1"/>
  <c r="BA637" i="2" s="1"/>
  <c r="AX642" i="2"/>
  <c r="AY642" i="2" s="1"/>
  <c r="AZ642" i="2" s="1"/>
  <c r="BA642" i="2" s="1"/>
  <c r="AW672" i="2"/>
  <c r="AX672" i="2" s="1"/>
  <c r="AY672" i="2" s="1"/>
  <c r="AZ672" i="2" s="1"/>
  <c r="BA672" i="2" s="1"/>
  <c r="AX719" i="2"/>
  <c r="AY719" i="2" s="1"/>
  <c r="AZ719" i="2" s="1"/>
  <c r="BA719" i="2" s="1"/>
  <c r="AX715" i="2"/>
  <c r="AY715" i="2" s="1"/>
  <c r="AZ715" i="2" s="1"/>
  <c r="BA715" i="2" s="1"/>
  <c r="AX711" i="2"/>
  <c r="AY711" i="2" s="1"/>
  <c r="AZ711" i="2" s="1"/>
  <c r="BA711" i="2" s="1"/>
  <c r="AX634" i="2"/>
  <c r="AY634" i="2" s="1"/>
  <c r="AZ634" i="2" s="1"/>
  <c r="BA634" i="2" s="1"/>
  <c r="AW664" i="2"/>
  <c r="AX664" i="2" s="1"/>
  <c r="AY664" i="2" s="1"/>
  <c r="AZ664" i="2" s="1"/>
  <c r="BA664" i="2" s="1"/>
  <c r="AX673" i="2"/>
  <c r="AY673" i="2" s="1"/>
  <c r="AZ673" i="2" s="1"/>
  <c r="BA673" i="2" s="1"/>
  <c r="AW666" i="2"/>
  <c r="AX666" i="2" s="1"/>
  <c r="AY666" i="2" s="1"/>
  <c r="AZ666" i="2" s="1"/>
  <c r="BA666" i="2" s="1"/>
  <c r="AW702" i="2"/>
  <c r="AX702" i="2" s="1"/>
  <c r="AY702" i="2" s="1"/>
  <c r="AZ702" i="2" s="1"/>
  <c r="BA702" i="2" s="1"/>
  <c r="AW698" i="2"/>
  <c r="AX698" i="2" s="1"/>
  <c r="AY698" i="2" s="1"/>
  <c r="AZ698" i="2" s="1"/>
  <c r="BA698" i="2" s="1"/>
  <c r="AW694" i="2"/>
  <c r="AX694" i="2" s="1"/>
  <c r="AY694" i="2" s="1"/>
  <c r="AZ694" i="2" s="1"/>
  <c r="BA694" i="2" s="1"/>
  <c r="AX691" i="2"/>
  <c r="AY691" i="2" s="1"/>
  <c r="AZ691" i="2" s="1"/>
  <c r="BA691" i="2" s="1"/>
  <c r="AX683" i="2"/>
  <c r="AY683" i="2" s="1"/>
  <c r="AZ683" i="2" s="1"/>
  <c r="BA683" i="2" s="1"/>
  <c r="AX722" i="2"/>
  <c r="AY722" i="2" s="1"/>
  <c r="AZ722" i="2" s="1"/>
  <c r="BA722" i="2" s="1"/>
  <c r="AX718" i="2"/>
  <c r="AY718" i="2" s="1"/>
  <c r="AZ718" i="2" s="1"/>
  <c r="BA718" i="2" s="1"/>
  <c r="AX710" i="2"/>
  <c r="AY710" i="2" s="1"/>
  <c r="AZ710" i="2" s="1"/>
  <c r="BA710" i="2" s="1"/>
  <c r="AX713" i="2"/>
  <c r="AY713" i="2" s="1"/>
  <c r="AZ713" i="2" s="1"/>
  <c r="BA713" i="2" s="1"/>
  <c r="AX716" i="2"/>
  <c r="AY716" i="2" s="1"/>
  <c r="AZ716" i="2" s="1"/>
  <c r="BA716" i="2" s="1"/>
  <c r="AX723" i="2"/>
  <c r="AY723" i="2" s="1"/>
  <c r="AZ723" i="2" s="1"/>
  <c r="BA723" i="2" s="1"/>
  <c r="AW283" i="2"/>
  <c r="AX283" i="2" s="1"/>
  <c r="AY283" i="2" s="1"/>
  <c r="AZ283" i="2" s="1"/>
  <c r="BA283" i="2" s="1"/>
  <c r="AW501" i="2"/>
  <c r="AX501" i="2" s="1"/>
  <c r="AY501" i="2" s="1"/>
  <c r="AZ501" i="2" s="1"/>
  <c r="BA501" i="2" s="1"/>
  <c r="AW638" i="2"/>
  <c r="AX638" i="2" s="1"/>
  <c r="AY638" i="2" s="1"/>
  <c r="AZ638" i="2" s="1"/>
  <c r="BA638" i="2" s="1"/>
  <c r="AW670" i="2"/>
  <c r="AX670" i="2" s="1"/>
  <c r="AY670" i="2" s="1"/>
  <c r="AZ670" i="2" s="1"/>
  <c r="BA670" i="2" s="1"/>
  <c r="AW704" i="2"/>
  <c r="AX704" i="2" s="1"/>
  <c r="AY704" i="2" s="1"/>
  <c r="AZ704" i="2" s="1"/>
  <c r="BA704" i="2" s="1"/>
  <c r="AX644" i="2"/>
  <c r="AY644" i="2" s="1"/>
  <c r="AZ644" i="2" s="1"/>
  <c r="BA644" i="2" s="1"/>
  <c r="AX635" i="2"/>
  <c r="AY635" i="2" s="1"/>
  <c r="AZ635" i="2" s="1"/>
  <c r="BA635" i="2" s="1"/>
  <c r="AW662" i="2"/>
  <c r="AX662" i="2" s="1"/>
  <c r="AY662" i="2" s="1"/>
  <c r="AZ662" i="2" s="1"/>
  <c r="BA662" i="2" s="1"/>
  <c r="AW700" i="2"/>
  <c r="AX700" i="2" s="1"/>
  <c r="AY700" i="2" s="1"/>
  <c r="AZ700" i="2" s="1"/>
  <c r="BA700" i="2" s="1"/>
  <c r="AX438" i="2"/>
  <c r="AY438" i="2" s="1"/>
  <c r="AZ438" i="2" s="1"/>
  <c r="BA438" i="2" s="1"/>
  <c r="AW696" i="2"/>
  <c r="AX696" i="2" s="1"/>
  <c r="AY696" i="2" s="1"/>
  <c r="AZ696" i="2" s="1"/>
  <c r="BA696" i="2" s="1"/>
  <c r="AW631" i="2"/>
  <c r="AX631" i="2" s="1"/>
  <c r="AY631" i="2" s="1"/>
  <c r="AZ631" i="2" s="1"/>
  <c r="BA631" i="2" s="1"/>
  <c r="AW661" i="2"/>
  <c r="AX661" i="2" s="1"/>
  <c r="AY661" i="2" s="1"/>
  <c r="AZ661" i="2" s="1"/>
  <c r="BA661" i="2" s="1"/>
  <c r="AX675" i="2"/>
  <c r="AY675" i="2" s="1"/>
  <c r="AZ675" i="2" s="1"/>
  <c r="BA675" i="2" s="1"/>
  <c r="AW695" i="2"/>
  <c r="AX695" i="2" s="1"/>
  <c r="AY695" i="2" s="1"/>
  <c r="AZ695" i="2" s="1"/>
  <c r="BA695" i="2" s="1"/>
  <c r="AX707" i="2"/>
  <c r="AY707" i="2" s="1"/>
  <c r="AZ707" i="2" s="1"/>
  <c r="BA707" i="2" s="1"/>
  <c r="AX699" i="2"/>
  <c r="AY699" i="2" s="1"/>
  <c r="AZ699" i="2" s="1"/>
  <c r="BA699" i="2" s="1"/>
  <c r="AX708" i="2"/>
  <c r="AY708" i="2" s="1"/>
  <c r="AZ708" i="2" s="1"/>
  <c r="BA708" i="2" s="1"/>
  <c r="AX674" i="2"/>
  <c r="AY674" i="2" s="1"/>
  <c r="AZ674" i="2" s="1"/>
  <c r="BA674" i="2" s="1"/>
  <c r="AX643" i="2"/>
  <c r="AY643" i="2" s="1"/>
  <c r="AZ643" i="2" s="1"/>
  <c r="BA643" i="2" s="1"/>
  <c r="AW520" i="2"/>
  <c r="AX520" i="2" s="1"/>
  <c r="AY520" i="2" s="1"/>
  <c r="AZ520" i="2" s="1"/>
  <c r="BA520" i="2" s="1"/>
  <c r="AX409" i="2"/>
  <c r="AY409" i="2" s="1"/>
  <c r="AZ409" i="2" s="1"/>
  <c r="BA409" i="2" s="1"/>
  <c r="AW462" i="2"/>
  <c r="AW417" i="2"/>
  <c r="AX417" i="2" s="1"/>
  <c r="AY417" i="2" s="1"/>
  <c r="AZ417" i="2" s="1"/>
  <c r="BA417" i="2" s="1"/>
  <c r="AX601" i="2"/>
  <c r="AY601" i="2" s="1"/>
  <c r="AZ601" i="2" s="1"/>
  <c r="BA601" i="2" s="1"/>
  <c r="AX376" i="2"/>
  <c r="AY376" i="2" s="1"/>
  <c r="AZ376" i="2" s="1"/>
  <c r="BA376" i="2" s="1"/>
  <c r="AW416" i="2"/>
  <c r="AX416" i="2" s="1"/>
  <c r="AY416" i="2" s="1"/>
  <c r="AZ416" i="2" s="1"/>
  <c r="BA416" i="2" s="1"/>
  <c r="AW509" i="2"/>
  <c r="AX509" i="2" s="1"/>
  <c r="AY509" i="2" s="1"/>
  <c r="AZ509" i="2" s="1"/>
  <c r="BA509" i="2" s="1"/>
  <c r="AW568" i="2"/>
  <c r="AX568" i="2" s="1"/>
  <c r="AY568" i="2" s="1"/>
  <c r="AZ568" i="2" s="1"/>
  <c r="BA568" i="2" s="1"/>
  <c r="AW527" i="2"/>
  <c r="AX527" i="2" s="1"/>
  <c r="AY527" i="2" s="1"/>
  <c r="AZ527" i="2" s="1"/>
  <c r="BA527" i="2" s="1"/>
  <c r="AX476" i="2"/>
  <c r="AY476" i="2" s="1"/>
  <c r="AZ476" i="2" s="1"/>
  <c r="BA476" i="2" s="1"/>
  <c r="AW536" i="2"/>
  <c r="AX536" i="2" s="1"/>
  <c r="AY536" i="2" s="1"/>
  <c r="AZ536" i="2" s="1"/>
  <c r="BA536" i="2" s="1"/>
  <c r="AX553" i="2"/>
  <c r="AY553" i="2" s="1"/>
  <c r="AZ553" i="2" s="1"/>
  <c r="BA553" i="2" s="1"/>
  <c r="AW567" i="2"/>
  <c r="AX567" i="2" s="1"/>
  <c r="AY567" i="2" s="1"/>
  <c r="AZ567" i="2" s="1"/>
  <c r="BA567" i="2" s="1"/>
  <c r="AX625" i="2"/>
  <c r="AY625" i="2" s="1"/>
  <c r="AZ625" i="2" s="1"/>
  <c r="BA625" i="2" s="1"/>
  <c r="AW654" i="2"/>
  <c r="AX654" i="2" s="1"/>
  <c r="AY654" i="2" s="1"/>
  <c r="AZ654" i="2" s="1"/>
  <c r="BA654" i="2" s="1"/>
  <c r="AW391" i="2"/>
  <c r="AX391" i="2" s="1"/>
  <c r="AY391" i="2" s="1"/>
  <c r="AZ391" i="2" s="1"/>
  <c r="BA391" i="2" s="1"/>
  <c r="AX610" i="2"/>
  <c r="AY610" i="2" s="1"/>
  <c r="AZ610" i="2" s="1"/>
  <c r="BA610" i="2" s="1"/>
  <c r="AX658" i="2"/>
  <c r="AY658" i="2" s="1"/>
  <c r="AZ658" i="2" s="1"/>
  <c r="BA658" i="2" s="1"/>
  <c r="AX337" i="2"/>
  <c r="AY337" i="2" s="1"/>
  <c r="AZ337" i="2" s="1"/>
  <c r="BA337" i="2" s="1"/>
  <c r="AW584" i="2"/>
  <c r="AX584" i="2" s="1"/>
  <c r="AY584" i="2" s="1"/>
  <c r="AZ584" i="2" s="1"/>
  <c r="BA584" i="2" s="1"/>
  <c r="AW653" i="2"/>
  <c r="AX653" i="2" s="1"/>
  <c r="AY653" i="2" s="1"/>
  <c r="AZ653" i="2" s="1"/>
  <c r="BA653" i="2" s="1"/>
  <c r="AW431" i="2"/>
  <c r="AX431" i="2" s="1"/>
  <c r="AY431" i="2" s="1"/>
  <c r="AZ431" i="2" s="1"/>
  <c r="BA431" i="2" s="1"/>
  <c r="AX593" i="2"/>
  <c r="AY593" i="2" s="1"/>
  <c r="AZ593" i="2" s="1"/>
  <c r="BA593" i="2" s="1"/>
  <c r="AW623" i="2"/>
  <c r="AX623" i="2" s="1"/>
  <c r="AY623" i="2" s="1"/>
  <c r="AZ623" i="2" s="1"/>
  <c r="BA623" i="2" s="1"/>
  <c r="AW331" i="2"/>
  <c r="AX331" i="2" s="1"/>
  <c r="AY331" i="2" s="1"/>
  <c r="AZ331" i="2" s="1"/>
  <c r="BA331" i="2" s="1"/>
  <c r="AW389" i="2"/>
  <c r="AX389" i="2" s="1"/>
  <c r="AY389" i="2" s="1"/>
  <c r="AZ389" i="2" s="1"/>
  <c r="BA389" i="2" s="1"/>
  <c r="AX473" i="2"/>
  <c r="AY473" i="2" s="1"/>
  <c r="AZ473" i="2" s="1"/>
  <c r="BA473" i="2" s="1"/>
  <c r="AX529" i="2"/>
  <c r="AY529" i="2" s="1"/>
  <c r="AZ529" i="2" s="1"/>
  <c r="BA529" i="2" s="1"/>
  <c r="AX521" i="2"/>
  <c r="AY521" i="2" s="1"/>
  <c r="AZ521" i="2" s="1"/>
  <c r="BA521" i="2" s="1"/>
  <c r="AX596" i="2"/>
  <c r="AY596" i="2" s="1"/>
  <c r="AZ596" i="2" s="1"/>
  <c r="BA596" i="2" s="1"/>
  <c r="AW646" i="2"/>
  <c r="AX646" i="2" s="1"/>
  <c r="AY646" i="2" s="1"/>
  <c r="AZ646" i="2" s="1"/>
  <c r="BA646" i="2" s="1"/>
  <c r="AX481" i="2"/>
  <c r="AY481" i="2" s="1"/>
  <c r="AZ481" i="2" s="1"/>
  <c r="BA481" i="2" s="1"/>
  <c r="AX657" i="2"/>
  <c r="AY657" i="2" s="1"/>
  <c r="AZ657" i="2" s="1"/>
  <c r="BA657" i="2" s="1"/>
  <c r="AW656" i="2"/>
  <c r="AX656" i="2" s="1"/>
  <c r="AY656" i="2" s="1"/>
  <c r="AZ656" i="2" s="1"/>
  <c r="BA656" i="2" s="1"/>
  <c r="AX650" i="2"/>
  <c r="AY650" i="2" s="1"/>
  <c r="AZ650" i="2" s="1"/>
  <c r="BA650" i="2" s="1"/>
  <c r="AX578" i="2"/>
  <c r="AY578" i="2" s="1"/>
  <c r="AZ578" i="2" s="1"/>
  <c r="BA578" i="2" s="1"/>
  <c r="AX574" i="2"/>
  <c r="AY574" i="2" s="1"/>
  <c r="AZ574" i="2" s="1"/>
  <c r="BA574" i="2" s="1"/>
  <c r="AX570" i="2"/>
  <c r="AY570" i="2" s="1"/>
  <c r="AZ570" i="2" s="1"/>
  <c r="BA570" i="2" s="1"/>
  <c r="AX655" i="2"/>
  <c r="AY655" i="2" s="1"/>
  <c r="AZ655" i="2" s="1"/>
  <c r="BA655" i="2" s="1"/>
  <c r="AX649" i="2"/>
  <c r="AY649" i="2" s="1"/>
  <c r="AZ649" i="2" s="1"/>
  <c r="BA649" i="2" s="1"/>
  <c r="AW543" i="2"/>
  <c r="AX543" i="2" s="1"/>
  <c r="AY543" i="2" s="1"/>
  <c r="AZ543" i="2" s="1"/>
  <c r="BA543" i="2" s="1"/>
  <c r="AW541" i="2"/>
  <c r="AX541" i="2" s="1"/>
  <c r="AY541" i="2" s="1"/>
  <c r="AZ541" i="2" s="1"/>
  <c r="BA541" i="2" s="1"/>
  <c r="AW597" i="2"/>
  <c r="AX597" i="2" s="1"/>
  <c r="AY597" i="2" s="1"/>
  <c r="AZ597" i="2" s="1"/>
  <c r="BA597" i="2" s="1"/>
  <c r="AW382" i="2"/>
  <c r="AX382" i="2" s="1"/>
  <c r="AY382" i="2" s="1"/>
  <c r="AZ382" i="2" s="1"/>
  <c r="BA382" i="2" s="1"/>
  <c r="AW544" i="2"/>
  <c r="AX544" i="2" s="1"/>
  <c r="AY544" i="2" s="1"/>
  <c r="AZ544" i="2" s="1"/>
  <c r="BA544" i="2" s="1"/>
  <c r="AX606" i="2"/>
  <c r="AY606" i="2" s="1"/>
  <c r="AZ606" i="2" s="1"/>
  <c r="BA606" i="2" s="1"/>
  <c r="AX659" i="2"/>
  <c r="AY659" i="2" s="1"/>
  <c r="AZ659" i="2" s="1"/>
  <c r="BA659" i="2" s="1"/>
  <c r="AW645" i="2"/>
  <c r="AX645" i="2" s="1"/>
  <c r="AY645" i="2" s="1"/>
  <c r="AZ645" i="2" s="1"/>
  <c r="BA645" i="2" s="1"/>
  <c r="AX323" i="2"/>
  <c r="AY323" i="2" s="1"/>
  <c r="AZ323" i="2" s="1"/>
  <c r="BA323" i="2" s="1"/>
  <c r="AX319" i="2"/>
  <c r="AY319" i="2" s="1"/>
  <c r="AZ319" i="2" s="1"/>
  <c r="BA319" i="2" s="1"/>
  <c r="AX315" i="2"/>
  <c r="AY315" i="2" s="1"/>
  <c r="AZ315" i="2" s="1"/>
  <c r="BA315" i="2" s="1"/>
  <c r="AX339" i="2"/>
  <c r="AY339" i="2" s="1"/>
  <c r="AZ339" i="2" s="1"/>
  <c r="BA339" i="2" s="1"/>
  <c r="AW488" i="2"/>
  <c r="AX488" i="2" s="1"/>
  <c r="AY488" i="2" s="1"/>
  <c r="AZ488" i="2" s="1"/>
  <c r="BA488" i="2" s="1"/>
  <c r="AW504" i="2"/>
  <c r="AX504" i="2" s="1"/>
  <c r="AY504" i="2" s="1"/>
  <c r="AZ504" i="2" s="1"/>
  <c r="BA504" i="2" s="1"/>
  <c r="AX489" i="2"/>
  <c r="AY489" i="2" s="1"/>
  <c r="AZ489" i="2" s="1"/>
  <c r="BA489" i="2" s="1"/>
  <c r="AW526" i="2"/>
  <c r="AX526" i="2" s="1"/>
  <c r="AY526" i="2" s="1"/>
  <c r="AZ526" i="2" s="1"/>
  <c r="BA526" i="2" s="1"/>
  <c r="AX522" i="2"/>
  <c r="AY522" i="2" s="1"/>
  <c r="AZ522" i="2" s="1"/>
  <c r="BA522" i="2" s="1"/>
  <c r="AX585" i="2"/>
  <c r="AY585" i="2" s="1"/>
  <c r="AZ585" i="2" s="1"/>
  <c r="BA585" i="2" s="1"/>
  <c r="AW622" i="2"/>
  <c r="AX622" i="2" s="1"/>
  <c r="AY622" i="2" s="1"/>
  <c r="AZ622" i="2" s="1"/>
  <c r="BA622" i="2" s="1"/>
  <c r="AW368" i="2"/>
  <c r="AX368" i="2" s="1"/>
  <c r="AY368" i="2" s="1"/>
  <c r="AZ368" i="2" s="1"/>
  <c r="BA368" i="2" s="1"/>
  <c r="AW535" i="2"/>
  <c r="AX535" i="2" s="1"/>
  <c r="AY535" i="2" s="1"/>
  <c r="AZ535" i="2" s="1"/>
  <c r="BA535" i="2" s="1"/>
  <c r="AW565" i="2"/>
  <c r="AX565" i="2" s="1"/>
  <c r="AY565" i="2" s="1"/>
  <c r="AZ565" i="2" s="1"/>
  <c r="BA565" i="2" s="1"/>
  <c r="AW648" i="2"/>
  <c r="AX648" i="2" s="1"/>
  <c r="AY648" i="2" s="1"/>
  <c r="AZ648" i="2" s="1"/>
  <c r="BA648" i="2" s="1"/>
  <c r="AW390" i="2"/>
  <c r="AX390" i="2" s="1"/>
  <c r="AY390" i="2" s="1"/>
  <c r="AZ390" i="2" s="1"/>
  <c r="BA390" i="2" s="1"/>
  <c r="AW407" i="2"/>
  <c r="AX407" i="2" s="1"/>
  <c r="AY407" i="2" s="1"/>
  <c r="AZ407" i="2" s="1"/>
  <c r="BA407" i="2" s="1"/>
  <c r="AX419" i="2"/>
  <c r="AY419" i="2" s="1"/>
  <c r="AZ419" i="2" s="1"/>
  <c r="BA419" i="2" s="1"/>
  <c r="AX411" i="2"/>
  <c r="AY411" i="2" s="1"/>
  <c r="AZ411" i="2" s="1"/>
  <c r="BA411" i="2" s="1"/>
  <c r="AX403" i="2"/>
  <c r="AY403" i="2" s="1"/>
  <c r="AZ403" i="2" s="1"/>
  <c r="BA403" i="2" s="1"/>
  <c r="AX395" i="2"/>
  <c r="AY395" i="2" s="1"/>
  <c r="AZ395" i="2" s="1"/>
  <c r="BA395" i="2" s="1"/>
  <c r="AW446" i="2"/>
  <c r="AX446" i="2" s="1"/>
  <c r="AY446" i="2" s="1"/>
  <c r="AZ446" i="2" s="1"/>
  <c r="BA446" i="2" s="1"/>
  <c r="AX498" i="2"/>
  <c r="AY498" i="2" s="1"/>
  <c r="AZ498" i="2" s="1"/>
  <c r="BA498" i="2" s="1"/>
  <c r="AX483" i="2"/>
  <c r="AY483" i="2" s="1"/>
  <c r="AZ483" i="2" s="1"/>
  <c r="BA483" i="2" s="1"/>
  <c r="AW517" i="2"/>
  <c r="AX517" i="2" s="1"/>
  <c r="AY517" i="2" s="1"/>
  <c r="AZ517" i="2" s="1"/>
  <c r="BA517" i="2" s="1"/>
  <c r="AW566" i="2"/>
  <c r="AX566" i="2" s="1"/>
  <c r="AY566" i="2" s="1"/>
  <c r="AZ566" i="2" s="1"/>
  <c r="BA566" i="2" s="1"/>
  <c r="AW599" i="2"/>
  <c r="AX599" i="2" s="1"/>
  <c r="AY599" i="2" s="1"/>
  <c r="AZ599" i="2" s="1"/>
  <c r="BA599" i="2" s="1"/>
  <c r="AW598" i="2"/>
  <c r="AX598" i="2" s="1"/>
  <c r="AY598" i="2" s="1"/>
  <c r="AZ598" i="2" s="1"/>
  <c r="BA598" i="2" s="1"/>
  <c r="AW652" i="2"/>
  <c r="AX652" i="2" s="1"/>
  <c r="AY652" i="2" s="1"/>
  <c r="AZ652" i="2" s="1"/>
  <c r="BA652" i="2" s="1"/>
  <c r="AW518" i="2"/>
  <c r="AX518" i="2" s="1"/>
  <c r="AY518" i="2" s="1"/>
  <c r="AZ518" i="2" s="1"/>
  <c r="BA518" i="2" s="1"/>
  <c r="AW600" i="2"/>
  <c r="AX600" i="2" s="1"/>
  <c r="AY600" i="2" s="1"/>
  <c r="AZ600" i="2" s="1"/>
  <c r="BA600" i="2" s="1"/>
  <c r="AW616" i="2"/>
  <c r="AX616" i="2" s="1"/>
  <c r="AY616" i="2" s="1"/>
  <c r="AZ616" i="2" s="1"/>
  <c r="BA616" i="2" s="1"/>
  <c r="AX378" i="2"/>
  <c r="AY378" i="2" s="1"/>
  <c r="AZ378" i="2" s="1"/>
  <c r="BA378" i="2" s="1"/>
  <c r="AW397" i="2"/>
  <c r="AX397" i="2" s="1"/>
  <c r="AY397" i="2" s="1"/>
  <c r="AZ397" i="2" s="1"/>
  <c r="BA397" i="2" s="1"/>
  <c r="AW423" i="2"/>
  <c r="AX423" i="2" s="1"/>
  <c r="AY423" i="2" s="1"/>
  <c r="AZ423" i="2" s="1"/>
  <c r="BA423" i="2" s="1"/>
  <c r="AW485" i="2"/>
  <c r="AX485" i="2" s="1"/>
  <c r="AY485" i="2" s="1"/>
  <c r="AZ485" i="2" s="1"/>
  <c r="BA485" i="2" s="1"/>
  <c r="AX513" i="2"/>
  <c r="AY513" i="2" s="1"/>
  <c r="AZ513" i="2" s="1"/>
  <c r="BA513" i="2" s="1"/>
  <c r="AX505" i="2"/>
  <c r="AY505" i="2" s="1"/>
  <c r="AZ505" i="2" s="1"/>
  <c r="BA505" i="2" s="1"/>
  <c r="AX482" i="2"/>
  <c r="AY482" i="2" s="1"/>
  <c r="AZ482" i="2" s="1"/>
  <c r="BA482" i="2" s="1"/>
  <c r="AX628" i="2"/>
  <c r="AY628" i="2" s="1"/>
  <c r="AZ628" i="2" s="1"/>
  <c r="BA628" i="2" s="1"/>
  <c r="AX660" i="2"/>
  <c r="AY660" i="2" s="1"/>
  <c r="AZ660" i="2" s="1"/>
  <c r="BA660" i="2" s="1"/>
  <c r="AW398" i="2"/>
  <c r="AX398" i="2" s="1"/>
  <c r="AY398" i="2" s="1"/>
  <c r="AZ398" i="2" s="1"/>
  <c r="BA398" i="2" s="1"/>
  <c r="AW414" i="2"/>
  <c r="AX414" i="2" s="1"/>
  <c r="AY414" i="2" s="1"/>
  <c r="AZ414" i="2" s="1"/>
  <c r="BA414" i="2" s="1"/>
  <c r="AX523" i="2"/>
  <c r="AY523" i="2" s="1"/>
  <c r="AZ523" i="2" s="1"/>
  <c r="BA523" i="2" s="1"/>
  <c r="AX575" i="2"/>
  <c r="AY575" i="2" s="1"/>
  <c r="AZ575" i="2" s="1"/>
  <c r="BA575" i="2" s="1"/>
  <c r="AX571" i="2"/>
  <c r="AY571" i="2" s="1"/>
  <c r="AZ571" i="2" s="1"/>
  <c r="BA571" i="2" s="1"/>
  <c r="AW604" i="2"/>
  <c r="AX604" i="2" s="1"/>
  <c r="AY604" i="2" s="1"/>
  <c r="AZ604" i="2" s="1"/>
  <c r="BA604" i="2" s="1"/>
  <c r="AW525" i="2"/>
  <c r="AX525" i="2" s="1"/>
  <c r="AY525" i="2" s="1"/>
  <c r="AZ525" i="2" s="1"/>
  <c r="BA525" i="2" s="1"/>
  <c r="AW329" i="2"/>
  <c r="AX329" i="2" s="1"/>
  <c r="AY329" i="2" s="1"/>
  <c r="AZ329" i="2" s="1"/>
  <c r="BA329" i="2" s="1"/>
  <c r="AX344" i="2"/>
  <c r="AY344" i="2" s="1"/>
  <c r="AZ344" i="2" s="1"/>
  <c r="BA344" i="2" s="1"/>
  <c r="AW358" i="2"/>
  <c r="AX358" i="2" s="1"/>
  <c r="AY358" i="2" s="1"/>
  <c r="AZ358" i="2" s="1"/>
  <c r="BA358" i="2" s="1"/>
  <c r="AW406" i="2"/>
  <c r="AX406" i="2" s="1"/>
  <c r="AY406" i="2" s="1"/>
  <c r="AZ406" i="2" s="1"/>
  <c r="BA406" i="2" s="1"/>
  <c r="AW512" i="2"/>
  <c r="AX512" i="2" s="1"/>
  <c r="AY512" i="2" s="1"/>
  <c r="AZ512" i="2" s="1"/>
  <c r="BA512" i="2" s="1"/>
  <c r="AX490" i="2"/>
  <c r="AY490" i="2" s="1"/>
  <c r="AZ490" i="2" s="1"/>
  <c r="BA490" i="2" s="1"/>
  <c r="AX611" i="2"/>
  <c r="AY611" i="2" s="1"/>
  <c r="AZ611" i="2" s="1"/>
  <c r="BA611" i="2" s="1"/>
  <c r="AW621" i="2"/>
  <c r="AX621" i="2" s="1"/>
  <c r="AY621" i="2" s="1"/>
  <c r="AZ621" i="2" s="1"/>
  <c r="BA621" i="2" s="1"/>
  <c r="AX364" i="2"/>
  <c r="AY364" i="2" s="1"/>
  <c r="AZ364" i="2" s="1"/>
  <c r="BA364" i="2" s="1"/>
  <c r="AX452" i="2"/>
  <c r="AY452" i="2" s="1"/>
  <c r="AZ452" i="2" s="1"/>
  <c r="BA452" i="2" s="1"/>
  <c r="AW477" i="2"/>
  <c r="AX477" i="2" s="1"/>
  <c r="AY477" i="2" s="1"/>
  <c r="AZ477" i="2" s="1"/>
  <c r="BA477" i="2" s="1"/>
  <c r="AW528" i="2"/>
  <c r="AX528" i="2" s="1"/>
  <c r="AY528" i="2" s="1"/>
  <c r="AZ528" i="2" s="1"/>
  <c r="BA528" i="2" s="1"/>
  <c r="AW533" i="2"/>
  <c r="AX533" i="2" s="1"/>
  <c r="AY533" i="2" s="1"/>
  <c r="AZ533" i="2" s="1"/>
  <c r="BA533" i="2" s="1"/>
  <c r="AX563" i="2"/>
  <c r="AY563" i="2" s="1"/>
  <c r="AZ563" i="2" s="1"/>
  <c r="BA563" i="2" s="1"/>
  <c r="AX559" i="2"/>
  <c r="AY559" i="2" s="1"/>
  <c r="AZ559" i="2" s="1"/>
  <c r="BA559" i="2" s="1"/>
  <c r="AX555" i="2"/>
  <c r="AY555" i="2" s="1"/>
  <c r="AZ555" i="2" s="1"/>
  <c r="BA555" i="2" s="1"/>
  <c r="AX594" i="2"/>
  <c r="AY594" i="2" s="1"/>
  <c r="AZ594" i="2" s="1"/>
  <c r="BA594" i="2" s="1"/>
  <c r="AX607" i="2"/>
  <c r="AY607" i="2" s="1"/>
  <c r="AZ607" i="2" s="1"/>
  <c r="BA607" i="2" s="1"/>
  <c r="AX287" i="2"/>
  <c r="AY287" i="2" s="1"/>
  <c r="AZ287" i="2" s="1"/>
  <c r="BA287" i="2" s="1"/>
  <c r="AX340" i="2"/>
  <c r="AY340" i="2" s="1"/>
  <c r="AZ340" i="2" s="1"/>
  <c r="BA340" i="2" s="1"/>
  <c r="AX328" i="2"/>
  <c r="AY328" i="2" s="1"/>
  <c r="AZ328" i="2" s="1"/>
  <c r="BA328" i="2" s="1"/>
  <c r="AX354" i="2"/>
  <c r="AY354" i="2" s="1"/>
  <c r="AZ354" i="2" s="1"/>
  <c r="BA354" i="2" s="1"/>
  <c r="AW362" i="2"/>
  <c r="AX362" i="2" s="1"/>
  <c r="AY362" i="2" s="1"/>
  <c r="AZ362" i="2" s="1"/>
  <c r="BA362" i="2" s="1"/>
  <c r="AX371" i="2"/>
  <c r="AY371" i="2" s="1"/>
  <c r="AZ371" i="2" s="1"/>
  <c r="BA371" i="2" s="1"/>
  <c r="AW408" i="2"/>
  <c r="AX408" i="2" s="1"/>
  <c r="AY408" i="2" s="1"/>
  <c r="AZ408" i="2" s="1"/>
  <c r="BA408" i="2" s="1"/>
  <c r="AX418" i="2"/>
  <c r="AY418" i="2" s="1"/>
  <c r="AZ418" i="2" s="1"/>
  <c r="BA418" i="2" s="1"/>
  <c r="AX493" i="2"/>
  <c r="AY493" i="2" s="1"/>
  <c r="AZ493" i="2" s="1"/>
  <c r="BA493" i="2" s="1"/>
  <c r="AX532" i="2"/>
  <c r="AY532" i="2" s="1"/>
  <c r="AZ532" i="2" s="1"/>
  <c r="BA532" i="2" s="1"/>
  <c r="AX524" i="2"/>
  <c r="AY524" i="2" s="1"/>
  <c r="AZ524" i="2" s="1"/>
  <c r="BA524" i="2" s="1"/>
  <c r="AW560" i="2"/>
  <c r="AX560" i="2" s="1"/>
  <c r="AY560" i="2" s="1"/>
  <c r="AZ560" i="2" s="1"/>
  <c r="BA560" i="2" s="1"/>
  <c r="AW617" i="2"/>
  <c r="AX617" i="2" s="1"/>
  <c r="AY617" i="2" s="1"/>
  <c r="AZ617" i="2" s="1"/>
  <c r="BA617" i="2" s="1"/>
  <c r="AW350" i="2"/>
  <c r="AX350" i="2" s="1"/>
  <c r="AY350" i="2" s="1"/>
  <c r="AZ350" i="2" s="1"/>
  <c r="BA350" i="2" s="1"/>
  <c r="AW480" i="2"/>
  <c r="AX480" i="2" s="1"/>
  <c r="AY480" i="2" s="1"/>
  <c r="AZ480" i="2" s="1"/>
  <c r="BA480" i="2" s="1"/>
  <c r="AW550" i="2"/>
  <c r="AX550" i="2" s="1"/>
  <c r="AY550" i="2" s="1"/>
  <c r="AZ550" i="2" s="1"/>
  <c r="BA550" i="2" s="1"/>
  <c r="AX573" i="2"/>
  <c r="AY573" i="2" s="1"/>
  <c r="AZ573" i="2" s="1"/>
  <c r="BA573" i="2" s="1"/>
  <c r="AW583" i="2"/>
  <c r="AX583" i="2" s="1"/>
  <c r="AY583" i="2" s="1"/>
  <c r="AZ583" i="2" s="1"/>
  <c r="BA583" i="2" s="1"/>
  <c r="AX294" i="2"/>
  <c r="AY294" i="2" s="1"/>
  <c r="AZ294" i="2" s="1"/>
  <c r="BA294" i="2" s="1"/>
  <c r="AX286" i="2"/>
  <c r="AY286" i="2" s="1"/>
  <c r="AZ286" i="2" s="1"/>
  <c r="BA286" i="2" s="1"/>
  <c r="AX394" i="2"/>
  <c r="AY394" i="2" s="1"/>
  <c r="AZ394" i="2" s="1"/>
  <c r="BA394" i="2" s="1"/>
  <c r="AW507" i="2"/>
  <c r="AX507" i="2" s="1"/>
  <c r="AY507" i="2" s="1"/>
  <c r="AZ507" i="2" s="1"/>
  <c r="BA507" i="2" s="1"/>
  <c r="AX580" i="2"/>
  <c r="AY580" i="2" s="1"/>
  <c r="AZ580" i="2" s="1"/>
  <c r="BA580" i="2" s="1"/>
  <c r="AX576" i="2"/>
  <c r="AY576" i="2" s="1"/>
  <c r="AZ576" i="2" s="1"/>
  <c r="BA576" i="2" s="1"/>
  <c r="AX572" i="2"/>
  <c r="AY572" i="2" s="1"/>
  <c r="AZ572" i="2" s="1"/>
  <c r="BA572" i="2" s="1"/>
  <c r="AW602" i="2"/>
  <c r="AX602" i="2" s="1"/>
  <c r="AY602" i="2" s="1"/>
  <c r="AZ602" i="2" s="1"/>
  <c r="BA602" i="2" s="1"/>
  <c r="AX605" i="2"/>
  <c r="AY605" i="2" s="1"/>
  <c r="AZ605" i="2" s="1"/>
  <c r="BA605" i="2" s="1"/>
  <c r="AW333" i="2"/>
  <c r="AX333" i="2" s="1"/>
  <c r="AY333" i="2" s="1"/>
  <c r="AZ333" i="2" s="1"/>
  <c r="BA333" i="2" s="1"/>
  <c r="AW352" i="2"/>
  <c r="AX352" i="2" s="1"/>
  <c r="AY352" i="2" s="1"/>
  <c r="AZ352" i="2" s="1"/>
  <c r="BA352" i="2" s="1"/>
  <c r="AW366" i="2"/>
  <c r="AX366" i="2" s="1"/>
  <c r="AY366" i="2" s="1"/>
  <c r="AZ366" i="2" s="1"/>
  <c r="BA366" i="2" s="1"/>
  <c r="AW399" i="2"/>
  <c r="AX399" i="2" s="1"/>
  <c r="AY399" i="2" s="1"/>
  <c r="AZ399" i="2" s="1"/>
  <c r="BA399" i="2" s="1"/>
  <c r="AX426" i="2"/>
  <c r="AY426" i="2" s="1"/>
  <c r="AZ426" i="2" s="1"/>
  <c r="BA426" i="2" s="1"/>
  <c r="AW549" i="2"/>
  <c r="AX549" i="2" s="1"/>
  <c r="AY549" i="2" s="1"/>
  <c r="AZ549" i="2" s="1"/>
  <c r="BA549" i="2" s="1"/>
  <c r="AW581" i="2"/>
  <c r="AX581" i="2" s="1"/>
  <c r="AY581" i="2" s="1"/>
  <c r="AZ581" i="2" s="1"/>
  <c r="BA581" i="2" s="1"/>
  <c r="AX592" i="2"/>
  <c r="AY592" i="2" s="1"/>
  <c r="AZ592" i="2" s="1"/>
  <c r="BA592" i="2" s="1"/>
  <c r="AW304" i="2"/>
  <c r="AX304" i="2" s="1"/>
  <c r="AY304" i="2" s="1"/>
  <c r="AZ304" i="2" s="1"/>
  <c r="BA304" i="2" s="1"/>
  <c r="AX353" i="2"/>
  <c r="AY353" i="2" s="1"/>
  <c r="AZ353" i="2" s="1"/>
  <c r="BA353" i="2" s="1"/>
  <c r="AX468" i="2"/>
  <c r="AY468" i="2" s="1"/>
  <c r="AZ468" i="2" s="1"/>
  <c r="BA468" i="2" s="1"/>
  <c r="AX506" i="2"/>
  <c r="AY506" i="2" s="1"/>
  <c r="AZ506" i="2" s="1"/>
  <c r="BA506" i="2" s="1"/>
  <c r="AX484" i="2"/>
  <c r="AY484" i="2" s="1"/>
  <c r="AZ484" i="2" s="1"/>
  <c r="BA484" i="2" s="1"/>
  <c r="AX474" i="2"/>
  <c r="AY474" i="2" s="1"/>
  <c r="AZ474" i="2" s="1"/>
  <c r="BA474" i="2" s="1"/>
  <c r="AX530" i="2"/>
  <c r="AY530" i="2" s="1"/>
  <c r="AZ530" i="2" s="1"/>
  <c r="BA530" i="2" s="1"/>
  <c r="AX579" i="2"/>
  <c r="AY579" i="2" s="1"/>
  <c r="AZ579" i="2" s="1"/>
  <c r="BA579" i="2" s="1"/>
  <c r="AX588" i="2"/>
  <c r="AY588" i="2" s="1"/>
  <c r="AZ588" i="2" s="1"/>
  <c r="BA588" i="2" s="1"/>
  <c r="AX612" i="2"/>
  <c r="AY612" i="2" s="1"/>
  <c r="AZ612" i="2" s="1"/>
  <c r="BA612" i="2" s="1"/>
  <c r="AX608" i="2"/>
  <c r="AY608" i="2" s="1"/>
  <c r="AZ608" i="2" s="1"/>
  <c r="BA608" i="2" s="1"/>
  <c r="AX609" i="2"/>
  <c r="AY609" i="2" s="1"/>
  <c r="AZ609" i="2" s="1"/>
  <c r="BA609" i="2" s="1"/>
  <c r="AW620" i="2"/>
  <c r="AX620" i="2" s="1"/>
  <c r="AY620" i="2" s="1"/>
  <c r="AZ620" i="2" s="1"/>
  <c r="BA620" i="2" s="1"/>
  <c r="AX531" i="2"/>
  <c r="AY531" i="2" s="1"/>
  <c r="AZ531" i="2" s="1"/>
  <c r="BA531" i="2" s="1"/>
  <c r="AX385" i="2"/>
  <c r="AY385" i="2" s="1"/>
  <c r="AZ385" i="2" s="1"/>
  <c r="BA385" i="2" s="1"/>
  <c r="AW363" i="2"/>
  <c r="AX363" i="2" s="1"/>
  <c r="AY363" i="2" s="1"/>
  <c r="AZ363" i="2" s="1"/>
  <c r="BA363" i="2" s="1"/>
  <c r="AX428" i="2"/>
  <c r="AY428" i="2" s="1"/>
  <c r="AZ428" i="2" s="1"/>
  <c r="BA428" i="2" s="1"/>
  <c r="AW421" i="2"/>
  <c r="AX421" i="2" s="1"/>
  <c r="AY421" i="2" s="1"/>
  <c r="AZ421" i="2" s="1"/>
  <c r="BA421" i="2" s="1"/>
  <c r="AX451" i="2"/>
  <c r="AY451" i="2" s="1"/>
  <c r="AZ451" i="2" s="1"/>
  <c r="BA451" i="2" s="1"/>
  <c r="AW510" i="2"/>
  <c r="AX510" i="2" s="1"/>
  <c r="AY510" i="2" s="1"/>
  <c r="AZ510" i="2" s="1"/>
  <c r="BA510" i="2" s="1"/>
  <c r="AX508" i="2"/>
  <c r="AY508" i="2" s="1"/>
  <c r="AZ508" i="2" s="1"/>
  <c r="BA508" i="2" s="1"/>
  <c r="AW502" i="2"/>
  <c r="AX502" i="2" s="1"/>
  <c r="AY502" i="2" s="1"/>
  <c r="AZ502" i="2" s="1"/>
  <c r="BA502" i="2" s="1"/>
  <c r="AW479" i="2"/>
  <c r="AX479" i="2" s="1"/>
  <c r="AY479" i="2" s="1"/>
  <c r="AZ479" i="2" s="1"/>
  <c r="BA479" i="2" s="1"/>
  <c r="AW470" i="2"/>
  <c r="AX470" i="2" s="1"/>
  <c r="AY470" i="2" s="1"/>
  <c r="AZ470" i="2" s="1"/>
  <c r="BA470" i="2" s="1"/>
  <c r="AX561" i="2"/>
  <c r="AY561" i="2" s="1"/>
  <c r="AZ561" i="2" s="1"/>
  <c r="BA561" i="2" s="1"/>
  <c r="AX370" i="2"/>
  <c r="AY370" i="2" s="1"/>
  <c r="AZ370" i="2" s="1"/>
  <c r="BA370" i="2" s="1"/>
  <c r="AW413" i="2"/>
  <c r="AX413" i="2" s="1"/>
  <c r="AY413" i="2" s="1"/>
  <c r="AZ413" i="2" s="1"/>
  <c r="BA413" i="2" s="1"/>
  <c r="AW422" i="2"/>
  <c r="AX422" i="2" s="1"/>
  <c r="AY422" i="2" s="1"/>
  <c r="AZ422" i="2" s="1"/>
  <c r="BA422" i="2" s="1"/>
  <c r="AX435" i="2"/>
  <c r="AY435" i="2" s="1"/>
  <c r="AZ435" i="2" s="1"/>
  <c r="BA435" i="2" s="1"/>
  <c r="AX427" i="2"/>
  <c r="AY427" i="2" s="1"/>
  <c r="AZ427" i="2" s="1"/>
  <c r="BA427" i="2" s="1"/>
  <c r="AX519" i="2"/>
  <c r="AY519" i="2" s="1"/>
  <c r="AZ519" i="2" s="1"/>
  <c r="BA519" i="2" s="1"/>
  <c r="AX569" i="2"/>
  <c r="AY569" i="2" s="1"/>
  <c r="AZ569" i="2" s="1"/>
  <c r="BA569" i="2" s="1"/>
  <c r="AW582" i="2"/>
  <c r="AX582" i="2" s="1"/>
  <c r="AY582" i="2" s="1"/>
  <c r="AZ582" i="2" s="1"/>
  <c r="BA582" i="2" s="1"/>
  <c r="AW335" i="2"/>
  <c r="AX335" i="2" s="1"/>
  <c r="AY335" i="2" s="1"/>
  <c r="AZ335" i="2" s="1"/>
  <c r="BA335" i="2" s="1"/>
  <c r="AX348" i="2"/>
  <c r="AY348" i="2" s="1"/>
  <c r="AZ348" i="2" s="1"/>
  <c r="BA348" i="2" s="1"/>
  <c r="AX369" i="2"/>
  <c r="AY369" i="2" s="1"/>
  <c r="AZ369" i="2" s="1"/>
  <c r="BA369" i="2" s="1"/>
  <c r="AW361" i="2"/>
  <c r="AX361" i="2" s="1"/>
  <c r="AY361" i="2" s="1"/>
  <c r="AZ361" i="2" s="1"/>
  <c r="BA361" i="2" s="1"/>
  <c r="AX434" i="2"/>
  <c r="AY434" i="2" s="1"/>
  <c r="AZ434" i="2" s="1"/>
  <c r="BA434" i="2" s="1"/>
  <c r="AX465" i="2"/>
  <c r="AY465" i="2" s="1"/>
  <c r="AZ465" i="2" s="1"/>
  <c r="BA465" i="2" s="1"/>
  <c r="AX457" i="2"/>
  <c r="AY457" i="2" s="1"/>
  <c r="AZ457" i="2" s="1"/>
  <c r="BA457" i="2" s="1"/>
  <c r="AX516" i="2"/>
  <c r="AY516" i="2" s="1"/>
  <c r="AZ516" i="2" s="1"/>
  <c r="BA516" i="2" s="1"/>
  <c r="AX496" i="2"/>
  <c r="AY496" i="2" s="1"/>
  <c r="AZ496" i="2" s="1"/>
  <c r="BA496" i="2" s="1"/>
  <c r="AX475" i="2"/>
  <c r="AY475" i="2" s="1"/>
  <c r="AZ475" i="2" s="1"/>
  <c r="BA475" i="2" s="1"/>
  <c r="AW469" i="2"/>
  <c r="AX469" i="2" s="1"/>
  <c r="AY469" i="2" s="1"/>
  <c r="AZ469" i="2" s="1"/>
  <c r="BA469" i="2" s="1"/>
  <c r="AW537" i="2"/>
  <c r="AX537" i="2" s="1"/>
  <c r="AY537" i="2" s="1"/>
  <c r="AZ537" i="2" s="1"/>
  <c r="BA537" i="2" s="1"/>
  <c r="AW534" i="2"/>
  <c r="AX534" i="2" s="1"/>
  <c r="AY534" i="2" s="1"/>
  <c r="AZ534" i="2" s="1"/>
  <c r="BA534" i="2" s="1"/>
  <c r="AW302" i="2"/>
  <c r="AX302" i="2" s="1"/>
  <c r="AY302" i="2" s="1"/>
  <c r="AZ302" i="2" s="1"/>
  <c r="BA302" i="2" s="1"/>
  <c r="AX345" i="2"/>
  <c r="AY345" i="2" s="1"/>
  <c r="AZ345" i="2" s="1"/>
  <c r="BA345" i="2" s="1"/>
  <c r="AX449" i="2"/>
  <c r="AY449" i="2" s="1"/>
  <c r="AZ449" i="2" s="1"/>
  <c r="BA449" i="2" s="1"/>
  <c r="AW454" i="2"/>
  <c r="AX454" i="2" s="1"/>
  <c r="AY454" i="2" s="1"/>
  <c r="AZ454" i="2" s="1"/>
  <c r="BA454" i="2" s="1"/>
  <c r="AW456" i="2"/>
  <c r="AX456" i="2" s="1"/>
  <c r="AY456" i="2" s="1"/>
  <c r="AZ456" i="2" s="1"/>
  <c r="BA456" i="2" s="1"/>
  <c r="AW487" i="2"/>
  <c r="AX487" i="2" s="1"/>
  <c r="AY487" i="2" s="1"/>
  <c r="AZ487" i="2" s="1"/>
  <c r="BA487" i="2" s="1"/>
  <c r="AW552" i="2"/>
  <c r="AX552" i="2" s="1"/>
  <c r="AY552" i="2" s="1"/>
  <c r="AZ552" i="2" s="1"/>
  <c r="BA552" i="2" s="1"/>
  <c r="AW624" i="2"/>
  <c r="AX624" i="2" s="1"/>
  <c r="AY624" i="2" s="1"/>
  <c r="AZ624" i="2" s="1"/>
  <c r="BA624" i="2" s="1"/>
  <c r="AX615" i="2"/>
  <c r="AY615" i="2" s="1"/>
  <c r="AZ615" i="2" s="1"/>
  <c r="BA615" i="2" s="1"/>
  <c r="AX309" i="2"/>
  <c r="AY309" i="2" s="1"/>
  <c r="AZ309" i="2" s="1"/>
  <c r="BA309" i="2" s="1"/>
  <c r="AW349" i="2"/>
  <c r="AX349" i="2" s="1"/>
  <c r="AY349" i="2" s="1"/>
  <c r="AZ349" i="2" s="1"/>
  <c r="BA349" i="2" s="1"/>
  <c r="AX341" i="2"/>
  <c r="AY341" i="2" s="1"/>
  <c r="AZ341" i="2" s="1"/>
  <c r="BA341" i="2" s="1"/>
  <c r="AW367" i="2"/>
  <c r="AX367" i="2" s="1"/>
  <c r="AY367" i="2" s="1"/>
  <c r="AZ367" i="2" s="1"/>
  <c r="BA367" i="2" s="1"/>
  <c r="AW400" i="2"/>
  <c r="AX400" i="2" s="1"/>
  <c r="AY400" i="2" s="1"/>
  <c r="AZ400" i="2" s="1"/>
  <c r="BA400" i="2" s="1"/>
  <c r="AW432" i="2"/>
  <c r="AX432" i="2" s="1"/>
  <c r="AY432" i="2" s="1"/>
  <c r="AZ432" i="2" s="1"/>
  <c r="BA432" i="2" s="1"/>
  <c r="AX425" i="2"/>
  <c r="AY425" i="2" s="1"/>
  <c r="AZ425" i="2" s="1"/>
  <c r="BA425" i="2" s="1"/>
  <c r="AX441" i="2"/>
  <c r="AY441" i="2" s="1"/>
  <c r="AZ441" i="2" s="1"/>
  <c r="BA441" i="2" s="1"/>
  <c r="AW472" i="2"/>
  <c r="AX472" i="2" s="1"/>
  <c r="AY472" i="2" s="1"/>
  <c r="AZ472" i="2" s="1"/>
  <c r="BA472" i="2" s="1"/>
  <c r="AX577" i="2"/>
  <c r="AY577" i="2" s="1"/>
  <c r="AZ577" i="2" s="1"/>
  <c r="BA577" i="2" s="1"/>
  <c r="AW614" i="2"/>
  <c r="AX614" i="2" s="1"/>
  <c r="AY614" i="2" s="1"/>
  <c r="AZ614" i="2" s="1"/>
  <c r="BA614" i="2" s="1"/>
  <c r="AW336" i="2"/>
  <c r="AX336" i="2" s="1"/>
  <c r="AY336" i="2" s="1"/>
  <c r="AZ336" i="2" s="1"/>
  <c r="BA336" i="2" s="1"/>
  <c r="AW381" i="2"/>
  <c r="AX381" i="2" s="1"/>
  <c r="AY381" i="2" s="1"/>
  <c r="AZ381" i="2" s="1"/>
  <c r="BA381" i="2" s="1"/>
  <c r="AW373" i="2"/>
  <c r="AX373" i="2" s="1"/>
  <c r="AY373" i="2" s="1"/>
  <c r="AZ373" i="2" s="1"/>
  <c r="BA373" i="2" s="1"/>
  <c r="AW384" i="2"/>
  <c r="AX384" i="2" s="1"/>
  <c r="AY384" i="2" s="1"/>
  <c r="AZ384" i="2" s="1"/>
  <c r="BA384" i="2" s="1"/>
  <c r="AW405" i="2"/>
  <c r="AX405" i="2" s="1"/>
  <c r="AY405" i="2" s="1"/>
  <c r="AZ405" i="2" s="1"/>
  <c r="BA405" i="2" s="1"/>
  <c r="AW424" i="2"/>
  <c r="AX424" i="2" s="1"/>
  <c r="AY424" i="2" s="1"/>
  <c r="AZ424" i="2" s="1"/>
  <c r="BA424" i="2" s="1"/>
  <c r="AX514" i="2"/>
  <c r="AY514" i="2" s="1"/>
  <c r="AZ514" i="2" s="1"/>
  <c r="BA514" i="2" s="1"/>
  <c r="AX497" i="2"/>
  <c r="AY497" i="2" s="1"/>
  <c r="AZ497" i="2" s="1"/>
  <c r="BA497" i="2" s="1"/>
  <c r="AX492" i="2"/>
  <c r="AY492" i="2" s="1"/>
  <c r="AZ492" i="2" s="1"/>
  <c r="BA492" i="2" s="1"/>
  <c r="AW486" i="2"/>
  <c r="AX486" i="2" s="1"/>
  <c r="AY486" i="2" s="1"/>
  <c r="AZ486" i="2" s="1"/>
  <c r="BA486" i="2" s="1"/>
  <c r="AW551" i="2"/>
  <c r="AX551" i="2" s="1"/>
  <c r="AY551" i="2" s="1"/>
  <c r="AZ551" i="2" s="1"/>
  <c r="BA551" i="2" s="1"/>
  <c r="AX590" i="2"/>
  <c r="AY590" i="2" s="1"/>
  <c r="AZ590" i="2" s="1"/>
  <c r="BA590" i="2" s="1"/>
  <c r="AX311" i="2"/>
  <c r="AY311" i="2" s="1"/>
  <c r="AZ311" i="2" s="1"/>
  <c r="BA311" i="2" s="1"/>
  <c r="AW330" i="2"/>
  <c r="AX330" i="2" s="1"/>
  <c r="AY330" i="2" s="1"/>
  <c r="AZ330" i="2" s="1"/>
  <c r="BA330" i="2" s="1"/>
  <c r="AW430" i="2"/>
  <c r="AX430" i="2" s="1"/>
  <c r="AY430" i="2" s="1"/>
  <c r="AZ430" i="2" s="1"/>
  <c r="BA430" i="2" s="1"/>
  <c r="AW439" i="2"/>
  <c r="AX439" i="2" s="1"/>
  <c r="AY439" i="2" s="1"/>
  <c r="AZ439" i="2" s="1"/>
  <c r="BA439" i="2" s="1"/>
  <c r="AW461" i="2"/>
  <c r="AX461" i="2" s="1"/>
  <c r="AY461" i="2" s="1"/>
  <c r="AZ461" i="2" s="1"/>
  <c r="BA461" i="2" s="1"/>
  <c r="AW511" i="2"/>
  <c r="AX511" i="2" s="1"/>
  <c r="AY511" i="2" s="1"/>
  <c r="AZ511" i="2" s="1"/>
  <c r="BA511" i="2" s="1"/>
  <c r="AW503" i="2"/>
  <c r="AX503" i="2" s="1"/>
  <c r="AY503" i="2" s="1"/>
  <c r="AZ503" i="2" s="1"/>
  <c r="BA503" i="2" s="1"/>
  <c r="AX491" i="2"/>
  <c r="AY491" i="2" s="1"/>
  <c r="AZ491" i="2" s="1"/>
  <c r="BA491" i="2" s="1"/>
  <c r="AW471" i="2"/>
  <c r="AX471" i="2" s="1"/>
  <c r="AY471" i="2" s="1"/>
  <c r="AZ471" i="2" s="1"/>
  <c r="BA471" i="2" s="1"/>
  <c r="AW542" i="2"/>
  <c r="AX542" i="2" s="1"/>
  <c r="AY542" i="2" s="1"/>
  <c r="AZ542" i="2" s="1"/>
  <c r="BA542" i="2" s="1"/>
  <c r="AX586" i="2"/>
  <c r="AY586" i="2" s="1"/>
  <c r="AZ586" i="2" s="1"/>
  <c r="BA586" i="2" s="1"/>
  <c r="AW613" i="2"/>
  <c r="AX613" i="2" s="1"/>
  <c r="AY613" i="2" s="1"/>
  <c r="AZ613" i="2" s="1"/>
  <c r="BA613" i="2" s="1"/>
  <c r="AX618" i="2"/>
  <c r="AY618" i="2" s="1"/>
  <c r="AZ618" i="2" s="1"/>
  <c r="BA618" i="2" s="1"/>
  <c r="AX627" i="2"/>
  <c r="AY627" i="2" s="1"/>
  <c r="AZ627" i="2" s="1"/>
  <c r="BA627" i="2" s="1"/>
  <c r="AX619" i="2"/>
  <c r="AY619" i="2" s="1"/>
  <c r="AZ619" i="2" s="1"/>
  <c r="BA619" i="2" s="1"/>
  <c r="AX626" i="2"/>
  <c r="AY626" i="2" s="1"/>
  <c r="AZ626" i="2" s="1"/>
  <c r="BA626" i="2" s="1"/>
  <c r="AX595" i="2"/>
  <c r="AY595" i="2" s="1"/>
  <c r="AZ595" i="2" s="1"/>
  <c r="BA595" i="2" s="1"/>
  <c r="AX589" i="2"/>
  <c r="AY589" i="2" s="1"/>
  <c r="AZ589" i="2" s="1"/>
  <c r="BA589" i="2" s="1"/>
  <c r="AX587" i="2"/>
  <c r="AY587" i="2" s="1"/>
  <c r="AZ587" i="2" s="1"/>
  <c r="BA587" i="2" s="1"/>
  <c r="AX591" i="2"/>
  <c r="AY591" i="2" s="1"/>
  <c r="AZ591" i="2" s="1"/>
  <c r="BA591" i="2" s="1"/>
  <c r="AX554" i="2"/>
  <c r="AY554" i="2" s="1"/>
  <c r="AZ554" i="2" s="1"/>
  <c r="BA554" i="2" s="1"/>
  <c r="AX558" i="2"/>
  <c r="AY558" i="2" s="1"/>
  <c r="AZ558" i="2" s="1"/>
  <c r="BA558" i="2" s="1"/>
  <c r="AX556" i="2"/>
  <c r="AY556" i="2" s="1"/>
  <c r="AZ556" i="2" s="1"/>
  <c r="BA556" i="2" s="1"/>
  <c r="AX564" i="2"/>
  <c r="AY564" i="2" s="1"/>
  <c r="AZ564" i="2" s="1"/>
  <c r="BA564" i="2" s="1"/>
  <c r="AX557" i="2"/>
  <c r="AY557" i="2" s="1"/>
  <c r="AZ557" i="2" s="1"/>
  <c r="BA557" i="2" s="1"/>
  <c r="AX562" i="2"/>
  <c r="AY562" i="2" s="1"/>
  <c r="AZ562" i="2" s="1"/>
  <c r="BA562" i="2" s="1"/>
  <c r="AX546" i="2"/>
  <c r="AY546" i="2" s="1"/>
  <c r="AZ546" i="2" s="1"/>
  <c r="BA546" i="2" s="1"/>
  <c r="AX539" i="2"/>
  <c r="AY539" i="2" s="1"/>
  <c r="AZ539" i="2" s="1"/>
  <c r="BA539" i="2" s="1"/>
  <c r="AX548" i="2"/>
  <c r="AY548" i="2" s="1"/>
  <c r="AZ548" i="2" s="1"/>
  <c r="BA548" i="2" s="1"/>
  <c r="AX538" i="2"/>
  <c r="AY538" i="2" s="1"/>
  <c r="AZ538" i="2" s="1"/>
  <c r="BA538" i="2" s="1"/>
  <c r="AX547" i="2"/>
  <c r="AY547" i="2" s="1"/>
  <c r="AZ547" i="2" s="1"/>
  <c r="BA547" i="2" s="1"/>
  <c r="AX540" i="2"/>
  <c r="AY540" i="2" s="1"/>
  <c r="AZ540" i="2" s="1"/>
  <c r="BA540" i="2" s="1"/>
  <c r="AX322" i="2"/>
  <c r="AY322" i="2" s="1"/>
  <c r="AZ322" i="2" s="1"/>
  <c r="BA322" i="2" s="1"/>
  <c r="AX500" i="2"/>
  <c r="AY500" i="2" s="1"/>
  <c r="AZ500" i="2" s="1"/>
  <c r="BA500" i="2" s="1"/>
  <c r="AX327" i="2"/>
  <c r="AY327" i="2" s="1"/>
  <c r="AZ327" i="2" s="1"/>
  <c r="BA327" i="2" s="1"/>
  <c r="AX467" i="2"/>
  <c r="AY467" i="2" s="1"/>
  <c r="AZ467" i="2" s="1"/>
  <c r="BA467" i="2" s="1"/>
  <c r="AX459" i="2"/>
  <c r="AY459" i="2" s="1"/>
  <c r="AZ459" i="2" s="1"/>
  <c r="BA459" i="2" s="1"/>
  <c r="AX346" i="2"/>
  <c r="AY346" i="2" s="1"/>
  <c r="AZ346" i="2" s="1"/>
  <c r="BA346" i="2" s="1"/>
  <c r="AX466" i="2"/>
  <c r="AY466" i="2" s="1"/>
  <c r="AZ466" i="2" s="1"/>
  <c r="BA466" i="2" s="1"/>
  <c r="AX462" i="2"/>
  <c r="AY462" i="2" s="1"/>
  <c r="AZ462" i="2" s="1"/>
  <c r="BA462" i="2" s="1"/>
  <c r="AX458" i="2"/>
  <c r="AY458" i="2" s="1"/>
  <c r="AZ458" i="2" s="1"/>
  <c r="BA458" i="2" s="1"/>
  <c r="AX478" i="2"/>
  <c r="AY478" i="2" s="1"/>
  <c r="AZ478" i="2" s="1"/>
  <c r="BA478" i="2" s="1"/>
  <c r="AX332" i="2"/>
  <c r="AY332" i="2" s="1"/>
  <c r="AZ332" i="2" s="1"/>
  <c r="BA332" i="2" s="1"/>
  <c r="AX295" i="2"/>
  <c r="AY295" i="2" s="1"/>
  <c r="AZ295" i="2" s="1"/>
  <c r="BA295" i="2" s="1"/>
  <c r="AX515" i="2"/>
  <c r="AY515" i="2" s="1"/>
  <c r="AZ515" i="2" s="1"/>
  <c r="BA515" i="2" s="1"/>
  <c r="AX495" i="2"/>
  <c r="AY495" i="2" s="1"/>
  <c r="AZ495" i="2" s="1"/>
  <c r="BA495" i="2" s="1"/>
  <c r="AX499" i="2"/>
  <c r="AY499" i="2" s="1"/>
  <c r="AZ499" i="2" s="1"/>
  <c r="BA499" i="2" s="1"/>
  <c r="AX494" i="2"/>
  <c r="AY494" i="2" s="1"/>
  <c r="AZ494" i="2" s="1"/>
  <c r="BA494" i="2" s="1"/>
  <c r="AX460" i="2"/>
  <c r="AY460" i="2" s="1"/>
  <c r="AZ460" i="2" s="1"/>
  <c r="BA460" i="2" s="1"/>
  <c r="AX347" i="2"/>
  <c r="AY347" i="2" s="1"/>
  <c r="AZ347" i="2" s="1"/>
  <c r="BA347" i="2" s="1"/>
  <c r="AX312" i="2"/>
  <c r="AY312" i="2" s="1"/>
  <c r="AZ312" i="2" s="1"/>
  <c r="BA312" i="2" s="1"/>
  <c r="AX357" i="2"/>
  <c r="AY357" i="2" s="1"/>
  <c r="AZ357" i="2" s="1"/>
  <c r="BA357" i="2" s="1"/>
  <c r="AW445" i="2"/>
  <c r="AX445" i="2" s="1"/>
  <c r="AY445" i="2" s="1"/>
  <c r="AZ445" i="2" s="1"/>
  <c r="BA445" i="2" s="1"/>
  <c r="AX280" i="2"/>
  <c r="AY280" i="2" s="1"/>
  <c r="AZ280" i="2" s="1"/>
  <c r="BA280" i="2" s="1"/>
  <c r="AX279" i="2"/>
  <c r="AY279" i="2" s="1"/>
  <c r="AZ279" i="2" s="1"/>
  <c r="BA279" i="2" s="1"/>
  <c r="AX318" i="2"/>
  <c r="AY318" i="2" s="1"/>
  <c r="AZ318" i="2" s="1"/>
  <c r="BA318" i="2" s="1"/>
  <c r="AW334" i="2"/>
  <c r="AX334" i="2" s="1"/>
  <c r="AY334" i="2" s="1"/>
  <c r="AZ334" i="2" s="1"/>
  <c r="BA334" i="2" s="1"/>
  <c r="AX404" i="2"/>
  <c r="AY404" i="2" s="1"/>
  <c r="AZ404" i="2" s="1"/>
  <c r="BA404" i="2" s="1"/>
  <c r="AX436" i="2"/>
  <c r="AY436" i="2" s="1"/>
  <c r="AZ436" i="2" s="1"/>
  <c r="BA436" i="2" s="1"/>
  <c r="AX450" i="2"/>
  <c r="AY450" i="2" s="1"/>
  <c r="AZ450" i="2" s="1"/>
  <c r="BA450" i="2" s="1"/>
  <c r="AX444" i="2"/>
  <c r="AY444" i="2" s="1"/>
  <c r="AZ444" i="2" s="1"/>
  <c r="BA444" i="2" s="1"/>
  <c r="AW455" i="2"/>
  <c r="AX455" i="2" s="1"/>
  <c r="AY455" i="2" s="1"/>
  <c r="AZ455" i="2" s="1"/>
  <c r="BA455" i="2" s="1"/>
  <c r="AX289" i="2"/>
  <c r="AY289" i="2" s="1"/>
  <c r="AZ289" i="2" s="1"/>
  <c r="BA289" i="2" s="1"/>
  <c r="AX324" i="2"/>
  <c r="AY324" i="2" s="1"/>
  <c r="AZ324" i="2" s="1"/>
  <c r="BA324" i="2" s="1"/>
  <c r="AX317" i="2"/>
  <c r="AY317" i="2" s="1"/>
  <c r="AZ317" i="2" s="1"/>
  <c r="BA317" i="2" s="1"/>
  <c r="AX314" i="2"/>
  <c r="AY314" i="2" s="1"/>
  <c r="AZ314" i="2" s="1"/>
  <c r="BA314" i="2" s="1"/>
  <c r="AX356" i="2"/>
  <c r="AY356" i="2" s="1"/>
  <c r="AZ356" i="2" s="1"/>
  <c r="BA356" i="2" s="1"/>
  <c r="AX392" i="2"/>
  <c r="AY392" i="2" s="1"/>
  <c r="AZ392" i="2" s="1"/>
  <c r="BA392" i="2" s="1"/>
  <c r="AX443" i="2"/>
  <c r="AY443" i="2" s="1"/>
  <c r="AZ443" i="2" s="1"/>
  <c r="BA443" i="2" s="1"/>
  <c r="AX437" i="2"/>
  <c r="AY437" i="2" s="1"/>
  <c r="AZ437" i="2" s="1"/>
  <c r="BA437" i="2" s="1"/>
  <c r="AX372" i="2"/>
  <c r="AY372" i="2" s="1"/>
  <c r="AZ372" i="2" s="1"/>
  <c r="BA372" i="2" s="1"/>
  <c r="AX442" i="2"/>
  <c r="AY442" i="2" s="1"/>
  <c r="AZ442" i="2" s="1"/>
  <c r="BA442" i="2" s="1"/>
  <c r="AX303" i="2"/>
  <c r="AY303" i="2" s="1"/>
  <c r="AZ303" i="2" s="1"/>
  <c r="BA303" i="2" s="1"/>
  <c r="AX278" i="2"/>
  <c r="AY278" i="2" s="1"/>
  <c r="AZ278" i="2" s="1"/>
  <c r="BA278" i="2" s="1"/>
  <c r="AX320" i="2"/>
  <c r="AY320" i="2" s="1"/>
  <c r="AZ320" i="2" s="1"/>
  <c r="BA320" i="2" s="1"/>
  <c r="AX355" i="2"/>
  <c r="AY355" i="2" s="1"/>
  <c r="AZ355" i="2" s="1"/>
  <c r="BA355" i="2" s="1"/>
  <c r="AX342" i="2"/>
  <c r="AY342" i="2" s="1"/>
  <c r="AZ342" i="2" s="1"/>
  <c r="BA342" i="2" s="1"/>
  <c r="AX360" i="2"/>
  <c r="AY360" i="2" s="1"/>
  <c r="AZ360" i="2" s="1"/>
  <c r="BA360" i="2" s="1"/>
  <c r="AW429" i="2"/>
  <c r="AX429" i="2" s="1"/>
  <c r="AY429" i="2" s="1"/>
  <c r="AZ429" i="2" s="1"/>
  <c r="BA429" i="2" s="1"/>
  <c r="AW448" i="2"/>
  <c r="AX448" i="2" s="1"/>
  <c r="AY448" i="2" s="1"/>
  <c r="AZ448" i="2" s="1"/>
  <c r="BA448" i="2" s="1"/>
  <c r="AW464" i="2"/>
  <c r="AX464" i="2" s="1"/>
  <c r="AY464" i="2" s="1"/>
  <c r="AZ464" i="2" s="1"/>
  <c r="BA464" i="2" s="1"/>
  <c r="AW281" i="2"/>
  <c r="AX281" i="2" s="1"/>
  <c r="AY281" i="2" s="1"/>
  <c r="AZ281" i="2" s="1"/>
  <c r="BA281" i="2" s="1"/>
  <c r="AX310" i="2"/>
  <c r="AY310" i="2" s="1"/>
  <c r="AZ310" i="2" s="1"/>
  <c r="BA310" i="2" s="1"/>
  <c r="AX359" i="2"/>
  <c r="AY359" i="2" s="1"/>
  <c r="AZ359" i="2" s="1"/>
  <c r="BA359" i="2" s="1"/>
  <c r="AX447" i="2"/>
  <c r="AY447" i="2" s="1"/>
  <c r="AZ447" i="2" s="1"/>
  <c r="BA447" i="2" s="1"/>
  <c r="AX288" i="2"/>
  <c r="AY288" i="2" s="1"/>
  <c r="AZ288" i="2" s="1"/>
  <c r="BA288" i="2" s="1"/>
  <c r="AX316" i="2"/>
  <c r="AY316" i="2" s="1"/>
  <c r="AZ316" i="2" s="1"/>
  <c r="BA316" i="2" s="1"/>
  <c r="AX338" i="2"/>
  <c r="AY338" i="2" s="1"/>
  <c r="AZ338" i="2" s="1"/>
  <c r="BA338" i="2" s="1"/>
  <c r="AW351" i="2"/>
  <c r="AX351" i="2" s="1"/>
  <c r="AY351" i="2" s="1"/>
  <c r="AZ351" i="2" s="1"/>
  <c r="BA351" i="2" s="1"/>
  <c r="AX383" i="2"/>
  <c r="AY383" i="2" s="1"/>
  <c r="AZ383" i="2" s="1"/>
  <c r="BA383" i="2" s="1"/>
  <c r="AX377" i="2"/>
  <c r="AY377" i="2" s="1"/>
  <c r="AZ377" i="2" s="1"/>
  <c r="BA377" i="2" s="1"/>
  <c r="AW365" i="2"/>
  <c r="AX365" i="2" s="1"/>
  <c r="AY365" i="2" s="1"/>
  <c r="AZ365" i="2" s="1"/>
  <c r="BA365" i="2" s="1"/>
  <c r="AX433" i="2"/>
  <c r="AY433" i="2" s="1"/>
  <c r="AZ433" i="2" s="1"/>
  <c r="BA433" i="2" s="1"/>
  <c r="AW440" i="2"/>
  <c r="AX440" i="2" s="1"/>
  <c r="AY440" i="2" s="1"/>
  <c r="AZ440" i="2" s="1"/>
  <c r="BA440" i="2" s="1"/>
  <c r="AW463" i="2"/>
  <c r="AX463" i="2" s="1"/>
  <c r="AY463" i="2" s="1"/>
  <c r="AZ463" i="2" s="1"/>
  <c r="BA463" i="2" s="1"/>
  <c r="AW453" i="2"/>
  <c r="AX453" i="2" s="1"/>
  <c r="AY453" i="2" s="1"/>
  <c r="AZ453" i="2" s="1"/>
  <c r="BA453" i="2" s="1"/>
  <c r="AX396" i="2"/>
  <c r="AY396" i="2" s="1"/>
  <c r="AZ396" i="2" s="1"/>
  <c r="BA396" i="2" s="1"/>
  <c r="AX420" i="2"/>
  <c r="AY420" i="2" s="1"/>
  <c r="AZ420" i="2" s="1"/>
  <c r="BA420" i="2" s="1"/>
  <c r="AX412" i="2"/>
  <c r="AY412" i="2" s="1"/>
  <c r="AZ412" i="2" s="1"/>
  <c r="BA412" i="2" s="1"/>
  <c r="AX388" i="2"/>
  <c r="AY388" i="2" s="1"/>
  <c r="AZ388" i="2" s="1"/>
  <c r="BA388" i="2" s="1"/>
  <c r="AX387" i="2"/>
  <c r="AY387" i="2" s="1"/>
  <c r="AZ387" i="2" s="1"/>
  <c r="BA387" i="2" s="1"/>
  <c r="AX386" i="2"/>
  <c r="AY386" i="2" s="1"/>
  <c r="AZ386" i="2" s="1"/>
  <c r="BA386" i="2" s="1"/>
  <c r="AX380" i="2"/>
  <c r="AY380" i="2" s="1"/>
  <c r="AZ380" i="2" s="1"/>
  <c r="BA380" i="2" s="1"/>
  <c r="AX379" i="2"/>
  <c r="AY379" i="2" s="1"/>
  <c r="AZ379" i="2" s="1"/>
  <c r="BA379" i="2" s="1"/>
  <c r="AW375" i="2"/>
  <c r="AX375" i="2" s="1"/>
  <c r="AY375" i="2" s="1"/>
  <c r="AZ375" i="2" s="1"/>
  <c r="BA375" i="2" s="1"/>
  <c r="AW374" i="2"/>
  <c r="AX374" i="2" s="1"/>
  <c r="AY374" i="2" s="1"/>
  <c r="AZ374" i="2" s="1"/>
  <c r="BA374" i="2" s="1"/>
  <c r="AX343" i="2"/>
  <c r="AY343" i="2" s="1"/>
  <c r="AZ343" i="2" s="1"/>
  <c r="BA343" i="2" s="1"/>
  <c r="AX325" i="2"/>
  <c r="AY325" i="2" s="1"/>
  <c r="AZ325" i="2" s="1"/>
  <c r="BA325" i="2" s="1"/>
  <c r="AX326" i="2"/>
  <c r="AY326" i="2" s="1"/>
  <c r="AZ326" i="2" s="1"/>
  <c r="BA326" i="2" s="1"/>
  <c r="AX321" i="2"/>
  <c r="AY321" i="2" s="1"/>
  <c r="AZ321" i="2" s="1"/>
  <c r="BA321" i="2" s="1"/>
  <c r="AX313" i="2"/>
  <c r="AY313" i="2" s="1"/>
  <c r="AZ313" i="2" s="1"/>
  <c r="BA313" i="2" s="1"/>
  <c r="AX296" i="2"/>
  <c r="AY296" i="2" s="1"/>
  <c r="AZ296" i="2" s="1"/>
  <c r="BA296" i="2" s="1"/>
  <c r="AX307" i="2"/>
  <c r="AY307" i="2" s="1"/>
  <c r="AZ307" i="2" s="1"/>
  <c r="BA307" i="2" s="1"/>
  <c r="AW301" i="2"/>
  <c r="AX301" i="2" s="1"/>
  <c r="AY301" i="2" s="1"/>
  <c r="AZ301" i="2" s="1"/>
  <c r="BA301" i="2" s="1"/>
  <c r="AW297" i="2"/>
  <c r="AX297" i="2" s="1"/>
  <c r="AY297" i="2" s="1"/>
  <c r="AZ297" i="2" s="1"/>
  <c r="BA297" i="2" s="1"/>
  <c r="AX293" i="2"/>
  <c r="AY293" i="2" s="1"/>
  <c r="AZ293" i="2" s="1"/>
  <c r="BA293" i="2" s="1"/>
  <c r="AX308" i="2"/>
  <c r="AY308" i="2" s="1"/>
  <c r="AZ308" i="2" s="1"/>
  <c r="BA308" i="2" s="1"/>
  <c r="AX291" i="2"/>
  <c r="AY291" i="2" s="1"/>
  <c r="AZ291" i="2" s="1"/>
  <c r="BA291" i="2" s="1"/>
  <c r="AX282" i="2"/>
  <c r="AY282" i="2" s="1"/>
  <c r="AZ282" i="2" s="1"/>
  <c r="BA282" i="2" s="1"/>
  <c r="AX298" i="2"/>
  <c r="AY298" i="2" s="1"/>
  <c r="AZ298" i="2" s="1"/>
  <c r="BA298" i="2" s="1"/>
  <c r="AX299" i="2"/>
  <c r="AY299" i="2" s="1"/>
  <c r="AZ299" i="2" s="1"/>
  <c r="BA299" i="2" s="1"/>
  <c r="AX277" i="2"/>
  <c r="AY277" i="2" s="1"/>
  <c r="AZ277" i="2" s="1"/>
  <c r="BA277" i="2" s="1"/>
  <c r="AX290" i="2"/>
  <c r="AY290" i="2" s="1"/>
  <c r="AZ290" i="2" s="1"/>
  <c r="BA290" i="2" s="1"/>
  <c r="AX285" i="2"/>
  <c r="AY285" i="2" s="1"/>
  <c r="AZ285" i="2" s="1"/>
  <c r="BA285" i="2" s="1"/>
  <c r="AX292" i="2"/>
  <c r="AY292" i="2" s="1"/>
  <c r="AZ292" i="2" s="1"/>
  <c r="BA292" i="2" s="1"/>
  <c r="AX306" i="2"/>
  <c r="AY306" i="2" s="1"/>
  <c r="AZ306" i="2" s="1"/>
  <c r="BA306" i="2" s="1"/>
  <c r="AX284" i="2"/>
  <c r="AY284" i="2" s="1"/>
  <c r="AZ284" i="2" s="1"/>
  <c r="BA284" i="2" s="1"/>
  <c r="AX305" i="2"/>
  <c r="AY305" i="2" s="1"/>
  <c r="AZ305" i="2" s="1"/>
  <c r="BA305" i="2" s="1"/>
  <c r="AX300" i="2"/>
  <c r="AY300" i="2" s="1"/>
  <c r="AZ300" i="2" s="1"/>
  <c r="BA300" i="2" s="1"/>
  <c r="AT261" i="2"/>
  <c r="AU261" i="2"/>
  <c r="AW261" i="2" s="1"/>
  <c r="AT262" i="2"/>
  <c r="AU262" i="2"/>
  <c r="AW262" i="2" s="1"/>
  <c r="AT263" i="2"/>
  <c r="AU263" i="2"/>
  <c r="AW263" i="2" s="1"/>
  <c r="AT264" i="2"/>
  <c r="AU264" i="2"/>
  <c r="AW264" i="2" s="1"/>
  <c r="AT265" i="2"/>
  <c r="AU265" i="2"/>
  <c r="AW265" i="2" s="1"/>
  <c r="AT266" i="2"/>
  <c r="AU266" i="2"/>
  <c r="AW266" i="2" s="1"/>
  <c r="AT267" i="2"/>
  <c r="AU267" i="2"/>
  <c r="AW267" i="2" s="1"/>
  <c r="AT268" i="2"/>
  <c r="AU268" i="2"/>
  <c r="AW268" i="2" s="1"/>
  <c r="AT269" i="2"/>
  <c r="AU269" i="2"/>
  <c r="AW269" i="2" s="1"/>
  <c r="AT270" i="2"/>
  <c r="AU270" i="2"/>
  <c r="AW270" i="2" s="1"/>
  <c r="AT271" i="2"/>
  <c r="AU271" i="2"/>
  <c r="AW271" i="2" s="1"/>
  <c r="AT272" i="2"/>
  <c r="AU272" i="2"/>
  <c r="AW272" i="2" s="1"/>
  <c r="AT273" i="2"/>
  <c r="AU273" i="2"/>
  <c r="AW273" i="2" s="1"/>
  <c r="AT274" i="2"/>
  <c r="AU274" i="2"/>
  <c r="AW274" i="2" s="1"/>
  <c r="AT275" i="2"/>
  <c r="AU275" i="2"/>
  <c r="AW275" i="2" s="1"/>
  <c r="AT276" i="2"/>
  <c r="AU276" i="2"/>
  <c r="AW276" i="2" s="1"/>
  <c r="AN266" i="2"/>
  <c r="AO266" i="2"/>
  <c r="AN267" i="2"/>
  <c r="AO267" i="2"/>
  <c r="AN268" i="2"/>
  <c r="AO268" i="2"/>
  <c r="AN269" i="2"/>
  <c r="AO269" i="2"/>
  <c r="AN270" i="2"/>
  <c r="AO270" i="2"/>
  <c r="AN271" i="2"/>
  <c r="AO271" i="2"/>
  <c r="AN272" i="2"/>
  <c r="AO272" i="2"/>
  <c r="AN273" i="2"/>
  <c r="AO273" i="2"/>
  <c r="AN274" i="2"/>
  <c r="AO274" i="2"/>
  <c r="AN275" i="2"/>
  <c r="AO275" i="2"/>
  <c r="AN276" i="2"/>
  <c r="AO276" i="2"/>
  <c r="AO265" i="2"/>
  <c r="AN265" i="2"/>
  <c r="AO261" i="2"/>
  <c r="AO262" i="2"/>
  <c r="AO263" i="2"/>
  <c r="AO264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AX272" i="2" l="1"/>
  <c r="AY272" i="2" s="1"/>
  <c r="AZ272" i="2" s="1"/>
  <c r="BA272" i="2" s="1"/>
  <c r="AX266" i="2"/>
  <c r="AY266" i="2" s="1"/>
  <c r="AZ266" i="2" s="1"/>
  <c r="BA266" i="2" s="1"/>
  <c r="AX265" i="2"/>
  <c r="AY265" i="2" s="1"/>
  <c r="AZ265" i="2" s="1"/>
  <c r="BA265" i="2" s="1"/>
  <c r="AX263" i="2"/>
  <c r="AY263" i="2" s="1"/>
  <c r="AZ263" i="2" s="1"/>
  <c r="BA263" i="2" s="1"/>
  <c r="AX275" i="2"/>
  <c r="AY275" i="2" s="1"/>
  <c r="AZ275" i="2" s="1"/>
  <c r="BA275" i="2" s="1"/>
  <c r="AX273" i="2"/>
  <c r="AY273" i="2" s="1"/>
  <c r="AZ273" i="2" s="1"/>
  <c r="BA273" i="2" s="1"/>
  <c r="AX271" i="2"/>
  <c r="AY271" i="2" s="1"/>
  <c r="AZ271" i="2" s="1"/>
  <c r="BA271" i="2" s="1"/>
  <c r="AX264" i="2"/>
  <c r="AY264" i="2" s="1"/>
  <c r="AZ264" i="2" s="1"/>
  <c r="BA264" i="2" s="1"/>
  <c r="AX261" i="2"/>
  <c r="AY261" i="2" s="1"/>
  <c r="AZ261" i="2" s="1"/>
  <c r="BA261" i="2" s="1"/>
  <c r="AX269" i="2"/>
  <c r="AY269" i="2" s="1"/>
  <c r="AZ269" i="2" s="1"/>
  <c r="BA269" i="2" s="1"/>
  <c r="AX267" i="2"/>
  <c r="AY267" i="2" s="1"/>
  <c r="AZ267" i="2" s="1"/>
  <c r="BA267" i="2" s="1"/>
  <c r="AX274" i="2"/>
  <c r="AY274" i="2" s="1"/>
  <c r="AZ274" i="2" s="1"/>
  <c r="BA274" i="2" s="1"/>
  <c r="AX268" i="2"/>
  <c r="AY268" i="2" s="1"/>
  <c r="AZ268" i="2" s="1"/>
  <c r="BA268" i="2" s="1"/>
  <c r="AX276" i="2"/>
  <c r="AY276" i="2" s="1"/>
  <c r="AZ276" i="2" s="1"/>
  <c r="BA276" i="2" s="1"/>
  <c r="AX270" i="2"/>
  <c r="AY270" i="2" s="1"/>
  <c r="AZ270" i="2" s="1"/>
  <c r="BA270" i="2" s="1"/>
  <c r="AX262" i="2"/>
  <c r="AY262" i="2" s="1"/>
  <c r="AZ262" i="2" s="1"/>
  <c r="BA262" i="2" s="1"/>
  <c r="AT197" i="2"/>
  <c r="AU197" i="2"/>
  <c r="AW197" i="2" s="1"/>
  <c r="AT198" i="2"/>
  <c r="AU198" i="2"/>
  <c r="AW198" i="2" s="1"/>
  <c r="AT199" i="2"/>
  <c r="AU199" i="2"/>
  <c r="AW199" i="2" s="1"/>
  <c r="AT200" i="2"/>
  <c r="AU200" i="2"/>
  <c r="AW200" i="2" s="1"/>
  <c r="AT201" i="2"/>
  <c r="AU201" i="2"/>
  <c r="AW201" i="2" s="1"/>
  <c r="AT202" i="2"/>
  <c r="AU202" i="2"/>
  <c r="AW202" i="2" s="1"/>
  <c r="AT203" i="2"/>
  <c r="AU203" i="2"/>
  <c r="AT204" i="2"/>
  <c r="AU204" i="2"/>
  <c r="AW204" i="2" s="1"/>
  <c r="AT205" i="2"/>
  <c r="AU205" i="2"/>
  <c r="AW205" i="2" s="1"/>
  <c r="AT206" i="2"/>
  <c r="AU206" i="2"/>
  <c r="AW206" i="2" s="1"/>
  <c r="AT207" i="2"/>
  <c r="AU207" i="2"/>
  <c r="AW207" i="2" s="1"/>
  <c r="AT208" i="2"/>
  <c r="AU208" i="2"/>
  <c r="AW208" i="2" s="1"/>
  <c r="AT209" i="2"/>
  <c r="AU209" i="2"/>
  <c r="AW209" i="2" s="1"/>
  <c r="AT210" i="2"/>
  <c r="AU210" i="2"/>
  <c r="AW210" i="2" s="1"/>
  <c r="AT211" i="2"/>
  <c r="AU211" i="2"/>
  <c r="AW211" i="2" s="1"/>
  <c r="AT212" i="2"/>
  <c r="AU212" i="2"/>
  <c r="AW212" i="2" s="1"/>
  <c r="AT213" i="2"/>
  <c r="AU213" i="2"/>
  <c r="AW213" i="2" s="1"/>
  <c r="AT214" i="2"/>
  <c r="AU214" i="2"/>
  <c r="AW214" i="2" s="1"/>
  <c r="AT215" i="2"/>
  <c r="AU215" i="2"/>
  <c r="AW215" i="2" s="1"/>
  <c r="AT216" i="2"/>
  <c r="AU216" i="2"/>
  <c r="AW216" i="2" s="1"/>
  <c r="AT217" i="2"/>
  <c r="AU217" i="2"/>
  <c r="AT218" i="2"/>
  <c r="AU218" i="2"/>
  <c r="AW218" i="2" s="1"/>
  <c r="AT219" i="2"/>
  <c r="AU219" i="2"/>
  <c r="AW219" i="2" s="1"/>
  <c r="AT220" i="2"/>
  <c r="AU220" i="2"/>
  <c r="AW220" i="2" s="1"/>
  <c r="AT221" i="2"/>
  <c r="AU221" i="2"/>
  <c r="AW221" i="2" s="1"/>
  <c r="AT222" i="2"/>
  <c r="AU222" i="2"/>
  <c r="AW222" i="2" s="1"/>
  <c r="AT223" i="2"/>
  <c r="AU223" i="2"/>
  <c r="AW223" i="2" s="1"/>
  <c r="AT224" i="2"/>
  <c r="AU224" i="2"/>
  <c r="AW224" i="2" s="1"/>
  <c r="AT225" i="2"/>
  <c r="AU225" i="2"/>
  <c r="AW225" i="2" s="1"/>
  <c r="AT226" i="2"/>
  <c r="AU226" i="2"/>
  <c r="AW226" i="2" s="1"/>
  <c r="AT227" i="2"/>
  <c r="AU227" i="2"/>
  <c r="AW227" i="2" s="1"/>
  <c r="AT228" i="2"/>
  <c r="AU228" i="2"/>
  <c r="AT229" i="2"/>
  <c r="AU229" i="2"/>
  <c r="AW229" i="2" s="1"/>
  <c r="AT230" i="2"/>
  <c r="AU230" i="2"/>
  <c r="AW230" i="2" s="1"/>
  <c r="AT231" i="2"/>
  <c r="AU231" i="2"/>
  <c r="AW231" i="2" s="1"/>
  <c r="AT232" i="2"/>
  <c r="AU232" i="2"/>
  <c r="AW232" i="2" s="1"/>
  <c r="AT233" i="2"/>
  <c r="AU233" i="2"/>
  <c r="AT234" i="2"/>
  <c r="AU234" i="2"/>
  <c r="AT235" i="2"/>
  <c r="AU235" i="2"/>
  <c r="AT236" i="2"/>
  <c r="AU236" i="2"/>
  <c r="AT237" i="2"/>
  <c r="AU237" i="2"/>
  <c r="AW237" i="2" s="1"/>
  <c r="AT238" i="2"/>
  <c r="AU238" i="2"/>
  <c r="AW238" i="2" s="1"/>
  <c r="AT239" i="2"/>
  <c r="AU239" i="2"/>
  <c r="AW239" i="2" s="1"/>
  <c r="AT240" i="2"/>
  <c r="AU240" i="2"/>
  <c r="AW240" i="2" s="1"/>
  <c r="AT241" i="2"/>
  <c r="AU241" i="2"/>
  <c r="AW241" i="2" s="1"/>
  <c r="AT242" i="2"/>
  <c r="AU242" i="2"/>
  <c r="AW242" i="2" s="1"/>
  <c r="AT243" i="2"/>
  <c r="AU243" i="2"/>
  <c r="AW243" i="2" s="1"/>
  <c r="AT244" i="2"/>
  <c r="AU244" i="2"/>
  <c r="AW244" i="2" s="1"/>
  <c r="AT245" i="2"/>
  <c r="AU245" i="2"/>
  <c r="AW245" i="2" s="1"/>
  <c r="AT246" i="2"/>
  <c r="AU246" i="2"/>
  <c r="AW246" i="2" s="1"/>
  <c r="AT247" i="2"/>
  <c r="AU247" i="2"/>
  <c r="AW247" i="2" s="1"/>
  <c r="AT248" i="2"/>
  <c r="AU248" i="2"/>
  <c r="AW248" i="2" s="1"/>
  <c r="AT249" i="2"/>
  <c r="AU249" i="2"/>
  <c r="AW249" i="2" s="1"/>
  <c r="AT250" i="2"/>
  <c r="AU250" i="2"/>
  <c r="AW250" i="2" s="1"/>
  <c r="AT251" i="2"/>
  <c r="AU251" i="2"/>
  <c r="AW251" i="2" s="1"/>
  <c r="AT252" i="2"/>
  <c r="AU252" i="2"/>
  <c r="AW252" i="2" s="1"/>
  <c r="AT253" i="2"/>
  <c r="AU253" i="2"/>
  <c r="AW253" i="2" s="1"/>
  <c r="AT254" i="2"/>
  <c r="AU254" i="2"/>
  <c r="AW254" i="2" s="1"/>
  <c r="AT255" i="2"/>
  <c r="AU255" i="2"/>
  <c r="AW255" i="2" s="1"/>
  <c r="AT256" i="2"/>
  <c r="AU256" i="2"/>
  <c r="AW256" i="2" s="1"/>
  <c r="AT257" i="2"/>
  <c r="AU257" i="2"/>
  <c r="AW257" i="2" s="1"/>
  <c r="AT258" i="2"/>
  <c r="AU258" i="2"/>
  <c r="AW258" i="2" s="1"/>
  <c r="AT259" i="2"/>
  <c r="AU259" i="2"/>
  <c r="AW259" i="2" s="1"/>
  <c r="AT260" i="2"/>
  <c r="AU260" i="2"/>
  <c r="AW260" i="2" s="1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N250" i="2"/>
  <c r="AN251" i="2"/>
  <c r="AN252" i="2"/>
  <c r="AN249" i="2"/>
  <c r="AO245" i="2"/>
  <c r="AO246" i="2"/>
  <c r="AO247" i="2"/>
  <c r="AO248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01" i="2"/>
  <c r="AO200" i="2"/>
  <c r="AN200" i="2"/>
  <c r="AO199" i="2"/>
  <c r="AN199" i="2"/>
  <c r="AO198" i="2"/>
  <c r="AN198" i="2"/>
  <c r="AO197" i="2"/>
  <c r="AN197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AP236" i="2"/>
  <c r="AP235" i="2"/>
  <c r="AP234" i="2"/>
  <c r="AP233" i="2"/>
  <c r="AP228" i="2"/>
  <c r="AP217" i="2"/>
  <c r="AW234" i="2" l="1"/>
  <c r="AX234" i="2" s="1"/>
  <c r="AY234" i="2" s="1"/>
  <c r="AZ234" i="2" s="1"/>
  <c r="BA234" i="2" s="1"/>
  <c r="AX215" i="2"/>
  <c r="AY215" i="2" s="1"/>
  <c r="AZ215" i="2" s="1"/>
  <c r="BA215" i="2" s="1"/>
  <c r="AX211" i="2"/>
  <c r="AY211" i="2" s="1"/>
  <c r="AZ211" i="2" s="1"/>
  <c r="BA211" i="2" s="1"/>
  <c r="AX259" i="2"/>
  <c r="AY259" i="2" s="1"/>
  <c r="AZ259" i="2" s="1"/>
  <c r="BA259" i="2" s="1"/>
  <c r="AX239" i="2"/>
  <c r="AY239" i="2" s="1"/>
  <c r="AZ239" i="2" s="1"/>
  <c r="BA239" i="2" s="1"/>
  <c r="AX258" i="2"/>
  <c r="AY258" i="2" s="1"/>
  <c r="AZ258" i="2" s="1"/>
  <c r="BA258" i="2" s="1"/>
  <c r="AX242" i="2"/>
  <c r="AY242" i="2" s="1"/>
  <c r="AZ242" i="2" s="1"/>
  <c r="BA242" i="2" s="1"/>
  <c r="AX257" i="2"/>
  <c r="AY257" i="2" s="1"/>
  <c r="AZ257" i="2" s="1"/>
  <c r="BA257" i="2" s="1"/>
  <c r="AX250" i="2"/>
  <c r="AY250" i="2" s="1"/>
  <c r="AZ250" i="2" s="1"/>
  <c r="BA250" i="2" s="1"/>
  <c r="AX231" i="2"/>
  <c r="AY231" i="2" s="1"/>
  <c r="AZ231" i="2" s="1"/>
  <c r="BA231" i="2" s="1"/>
  <c r="AX227" i="2"/>
  <c r="AY227" i="2" s="1"/>
  <c r="AZ227" i="2" s="1"/>
  <c r="BA227" i="2" s="1"/>
  <c r="AX223" i="2"/>
  <c r="AY223" i="2" s="1"/>
  <c r="AZ223" i="2" s="1"/>
  <c r="BA223" i="2" s="1"/>
  <c r="AX202" i="2"/>
  <c r="AY202" i="2" s="1"/>
  <c r="AZ202" i="2" s="1"/>
  <c r="BA202" i="2" s="1"/>
  <c r="AX247" i="2"/>
  <c r="AY247" i="2" s="1"/>
  <c r="AZ247" i="2" s="1"/>
  <c r="BA247" i="2" s="1"/>
  <c r="AX243" i="2"/>
  <c r="AY243" i="2" s="1"/>
  <c r="AZ243" i="2" s="1"/>
  <c r="BA243" i="2" s="1"/>
  <c r="AW228" i="2"/>
  <c r="AX228" i="2" s="1"/>
  <c r="AY228" i="2" s="1"/>
  <c r="AZ228" i="2" s="1"/>
  <c r="BA228" i="2" s="1"/>
  <c r="AX249" i="2"/>
  <c r="AY249" i="2" s="1"/>
  <c r="AZ249" i="2" s="1"/>
  <c r="BA249" i="2" s="1"/>
  <c r="AX226" i="2"/>
  <c r="AY226" i="2" s="1"/>
  <c r="AZ226" i="2" s="1"/>
  <c r="BA226" i="2" s="1"/>
  <c r="AX207" i="2"/>
  <c r="AY207" i="2" s="1"/>
  <c r="AZ207" i="2" s="1"/>
  <c r="BA207" i="2" s="1"/>
  <c r="AX210" i="2"/>
  <c r="AY210" i="2" s="1"/>
  <c r="AZ210" i="2" s="1"/>
  <c r="BA210" i="2" s="1"/>
  <c r="AW235" i="2"/>
  <c r="AX235" i="2" s="1"/>
  <c r="AY235" i="2" s="1"/>
  <c r="AZ235" i="2" s="1"/>
  <c r="BA235" i="2" s="1"/>
  <c r="AX225" i="2"/>
  <c r="AY225" i="2" s="1"/>
  <c r="AZ225" i="2" s="1"/>
  <c r="BA225" i="2" s="1"/>
  <c r="AX255" i="2"/>
  <c r="AY255" i="2" s="1"/>
  <c r="AZ255" i="2" s="1"/>
  <c r="BA255" i="2" s="1"/>
  <c r="AX251" i="2"/>
  <c r="AY251" i="2" s="1"/>
  <c r="AZ251" i="2" s="1"/>
  <c r="BA251" i="2" s="1"/>
  <c r="AX241" i="2"/>
  <c r="AY241" i="2" s="1"/>
  <c r="AZ241" i="2" s="1"/>
  <c r="BA241" i="2" s="1"/>
  <c r="AX218" i="2"/>
  <c r="AY218" i="2" s="1"/>
  <c r="AZ218" i="2" s="1"/>
  <c r="BA218" i="2" s="1"/>
  <c r="AX201" i="2"/>
  <c r="AY201" i="2" s="1"/>
  <c r="AZ201" i="2" s="1"/>
  <c r="BA201" i="2" s="1"/>
  <c r="AW217" i="2"/>
  <c r="AX217" i="2" s="1"/>
  <c r="AY217" i="2" s="1"/>
  <c r="AZ217" i="2" s="1"/>
  <c r="BA217" i="2" s="1"/>
  <c r="AX199" i="2"/>
  <c r="AY199" i="2" s="1"/>
  <c r="AZ199" i="2" s="1"/>
  <c r="BA199" i="2" s="1"/>
  <c r="AX208" i="2"/>
  <c r="AY208" i="2" s="1"/>
  <c r="AZ208" i="2" s="1"/>
  <c r="BA208" i="2" s="1"/>
  <c r="AX206" i="2"/>
  <c r="AY206" i="2" s="1"/>
  <c r="AZ206" i="2" s="1"/>
  <c r="BA206" i="2" s="1"/>
  <c r="AX200" i="2"/>
  <c r="AY200" i="2" s="1"/>
  <c r="AZ200" i="2" s="1"/>
  <c r="BA200" i="2" s="1"/>
  <c r="AX232" i="2"/>
  <c r="AY232" i="2" s="1"/>
  <c r="AZ232" i="2" s="1"/>
  <c r="BA232" i="2" s="1"/>
  <c r="AX238" i="2"/>
  <c r="AY238" i="2" s="1"/>
  <c r="AZ238" i="2" s="1"/>
  <c r="BA238" i="2" s="1"/>
  <c r="AX204" i="2"/>
  <c r="AY204" i="2" s="1"/>
  <c r="AZ204" i="2" s="1"/>
  <c r="BA204" i="2" s="1"/>
  <c r="AX252" i="2"/>
  <c r="AY252" i="2" s="1"/>
  <c r="AZ252" i="2" s="1"/>
  <c r="BA252" i="2" s="1"/>
  <c r="AX219" i="2"/>
  <c r="AY219" i="2" s="1"/>
  <c r="AZ219" i="2" s="1"/>
  <c r="BA219" i="2" s="1"/>
  <c r="AX198" i="2"/>
  <c r="AY198" i="2" s="1"/>
  <c r="AZ198" i="2" s="1"/>
  <c r="BA198" i="2" s="1"/>
  <c r="AX245" i="2"/>
  <c r="AY245" i="2" s="1"/>
  <c r="AZ245" i="2" s="1"/>
  <c r="BA245" i="2" s="1"/>
  <c r="AX222" i="2"/>
  <c r="AY222" i="2" s="1"/>
  <c r="AZ222" i="2" s="1"/>
  <c r="BA222" i="2" s="1"/>
  <c r="AX260" i="2"/>
  <c r="AY260" i="2" s="1"/>
  <c r="AZ260" i="2" s="1"/>
  <c r="BA260" i="2" s="1"/>
  <c r="AW236" i="2"/>
  <c r="AX236" i="2" s="1"/>
  <c r="AY236" i="2" s="1"/>
  <c r="AZ236" i="2" s="1"/>
  <c r="BA236" i="2" s="1"/>
  <c r="AW233" i="2"/>
  <c r="AX233" i="2" s="1"/>
  <c r="AY233" i="2" s="1"/>
  <c r="AZ233" i="2" s="1"/>
  <c r="BA233" i="2" s="1"/>
  <c r="AX216" i="2"/>
  <c r="AY216" i="2" s="1"/>
  <c r="AZ216" i="2" s="1"/>
  <c r="BA216" i="2" s="1"/>
  <c r="AX209" i="2"/>
  <c r="AY209" i="2" s="1"/>
  <c r="AZ209" i="2" s="1"/>
  <c r="BA209" i="2" s="1"/>
  <c r="AX254" i="2"/>
  <c r="AY254" i="2" s="1"/>
  <c r="AZ254" i="2" s="1"/>
  <c r="BA254" i="2" s="1"/>
  <c r="AX248" i="2"/>
  <c r="AY248" i="2" s="1"/>
  <c r="AZ248" i="2" s="1"/>
  <c r="BA248" i="2" s="1"/>
  <c r="AX256" i="2"/>
  <c r="AY256" i="2" s="1"/>
  <c r="AZ256" i="2" s="1"/>
  <c r="BA256" i="2" s="1"/>
  <c r="AX246" i="2"/>
  <c r="AY246" i="2" s="1"/>
  <c r="AZ246" i="2" s="1"/>
  <c r="BA246" i="2" s="1"/>
  <c r="AX237" i="2"/>
  <c r="AY237" i="2" s="1"/>
  <c r="AZ237" i="2" s="1"/>
  <c r="BA237" i="2" s="1"/>
  <c r="AX240" i="2"/>
  <c r="AY240" i="2" s="1"/>
  <c r="AZ240" i="2" s="1"/>
  <c r="BA240" i="2" s="1"/>
  <c r="AX230" i="2"/>
  <c r="AY230" i="2" s="1"/>
  <c r="AZ230" i="2" s="1"/>
  <c r="BA230" i="2" s="1"/>
  <c r="AX224" i="2"/>
  <c r="AY224" i="2" s="1"/>
  <c r="AZ224" i="2" s="1"/>
  <c r="BA224" i="2" s="1"/>
  <c r="AX214" i="2"/>
  <c r="AY214" i="2" s="1"/>
  <c r="AZ214" i="2" s="1"/>
  <c r="BA214" i="2" s="1"/>
  <c r="AX213" i="2"/>
  <c r="AY213" i="2" s="1"/>
  <c r="AZ213" i="2" s="1"/>
  <c r="BA213" i="2" s="1"/>
  <c r="AX220" i="2"/>
  <c r="AY220" i="2" s="1"/>
  <c r="AZ220" i="2" s="1"/>
  <c r="BA220" i="2" s="1"/>
  <c r="AX205" i="2"/>
  <c r="AY205" i="2" s="1"/>
  <c r="AZ205" i="2" s="1"/>
  <c r="BA205" i="2" s="1"/>
  <c r="AX244" i="2"/>
  <c r="AY244" i="2" s="1"/>
  <c r="AZ244" i="2" s="1"/>
  <c r="BA244" i="2" s="1"/>
  <c r="AX229" i="2"/>
  <c r="AY229" i="2" s="1"/>
  <c r="AZ229" i="2" s="1"/>
  <c r="BA229" i="2" s="1"/>
  <c r="AX253" i="2"/>
  <c r="AY253" i="2" s="1"/>
  <c r="AZ253" i="2" s="1"/>
  <c r="BA253" i="2" s="1"/>
  <c r="AX212" i="2"/>
  <c r="AY212" i="2" s="1"/>
  <c r="AZ212" i="2" s="1"/>
  <c r="BA212" i="2" s="1"/>
  <c r="AX221" i="2"/>
  <c r="AY221" i="2" s="1"/>
  <c r="AZ221" i="2" s="1"/>
  <c r="BA221" i="2" s="1"/>
  <c r="AX197" i="2"/>
  <c r="AY197" i="2" s="1"/>
  <c r="AZ197" i="2" s="1"/>
  <c r="BA197" i="2" s="1"/>
  <c r="AP203" i="2"/>
  <c r="AW203" i="2" s="1"/>
  <c r="AX203" i="2" s="1"/>
  <c r="AY203" i="2" s="1"/>
  <c r="AZ203" i="2" s="1"/>
  <c r="BA203" i="2" s="1"/>
  <c r="G181" i="2" l="1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AT181" i="2"/>
  <c r="AU181" i="2"/>
  <c r="AW181" i="2" s="1"/>
  <c r="AT182" i="2"/>
  <c r="AU182" i="2"/>
  <c r="AW182" i="2" s="1"/>
  <c r="AT183" i="2"/>
  <c r="AU183" i="2"/>
  <c r="AW183" i="2" s="1"/>
  <c r="AT184" i="2"/>
  <c r="AU184" i="2"/>
  <c r="AW184" i="2" s="1"/>
  <c r="AT185" i="2"/>
  <c r="AU185" i="2"/>
  <c r="AT186" i="2"/>
  <c r="AU186" i="2"/>
  <c r="AW186" i="2" s="1"/>
  <c r="AT187" i="2"/>
  <c r="AU187" i="2"/>
  <c r="AW187" i="2" s="1"/>
  <c r="AT188" i="2"/>
  <c r="AU188" i="2"/>
  <c r="AW188" i="2" s="1"/>
  <c r="AT189" i="2"/>
  <c r="AU189" i="2"/>
  <c r="AW189" i="2" s="1"/>
  <c r="AT190" i="2"/>
  <c r="AU190" i="2"/>
  <c r="AW190" i="2" s="1"/>
  <c r="AT191" i="2"/>
  <c r="AU191" i="2"/>
  <c r="AW191" i="2" s="1"/>
  <c r="AT192" i="2"/>
  <c r="AU192" i="2"/>
  <c r="AW192" i="2" s="1"/>
  <c r="AT193" i="2"/>
  <c r="AU193" i="2"/>
  <c r="AW193" i="2" s="1"/>
  <c r="AT194" i="2"/>
  <c r="AU194" i="2"/>
  <c r="AW194" i="2" s="1"/>
  <c r="AT195" i="2"/>
  <c r="AU195" i="2"/>
  <c r="AW195" i="2" s="1"/>
  <c r="AT196" i="2"/>
  <c r="AU196" i="2"/>
  <c r="AW196" i="2" s="1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P185" i="2"/>
  <c r="AO181" i="2"/>
  <c r="AW185" i="2" l="1"/>
  <c r="AX185" i="2" s="1"/>
  <c r="AY185" i="2" s="1"/>
  <c r="AZ185" i="2" s="1"/>
  <c r="BA185" i="2" s="1"/>
  <c r="AX190" i="2"/>
  <c r="AY190" i="2" s="1"/>
  <c r="AZ190" i="2" s="1"/>
  <c r="BA190" i="2" s="1"/>
  <c r="AX182" i="2"/>
  <c r="AY182" i="2" s="1"/>
  <c r="AZ182" i="2" s="1"/>
  <c r="BA182" i="2" s="1"/>
  <c r="AX189" i="2"/>
  <c r="AY189" i="2" s="1"/>
  <c r="AZ189" i="2" s="1"/>
  <c r="BA189" i="2" s="1"/>
  <c r="AX181" i="2"/>
  <c r="AY181" i="2" s="1"/>
  <c r="AZ181" i="2" s="1"/>
  <c r="BA181" i="2" s="1"/>
  <c r="AX194" i="2"/>
  <c r="AY194" i="2" s="1"/>
  <c r="AZ194" i="2" s="1"/>
  <c r="BA194" i="2" s="1"/>
  <c r="AX186" i="2"/>
  <c r="AY186" i="2" s="1"/>
  <c r="AZ186" i="2" s="1"/>
  <c r="BA186" i="2" s="1"/>
  <c r="AX183" i="2"/>
  <c r="AY183" i="2" s="1"/>
  <c r="AZ183" i="2" s="1"/>
  <c r="BA183" i="2" s="1"/>
  <c r="AX196" i="2"/>
  <c r="AY196" i="2" s="1"/>
  <c r="AZ196" i="2" s="1"/>
  <c r="BA196" i="2" s="1"/>
  <c r="AX188" i="2"/>
  <c r="AY188" i="2" s="1"/>
  <c r="AZ188" i="2" s="1"/>
  <c r="BA188" i="2" s="1"/>
  <c r="AX191" i="2"/>
  <c r="AY191" i="2" s="1"/>
  <c r="AZ191" i="2" s="1"/>
  <c r="BA191" i="2" s="1"/>
  <c r="AX193" i="2"/>
  <c r="AY193" i="2" s="1"/>
  <c r="AZ193" i="2" s="1"/>
  <c r="BA193" i="2" s="1"/>
  <c r="AX187" i="2"/>
  <c r="AY187" i="2" s="1"/>
  <c r="AZ187" i="2" s="1"/>
  <c r="BA187" i="2" s="1"/>
  <c r="AX195" i="2"/>
  <c r="AY195" i="2" s="1"/>
  <c r="AZ195" i="2" s="1"/>
  <c r="BA195" i="2" s="1"/>
  <c r="AX192" i="2"/>
  <c r="AY192" i="2" s="1"/>
  <c r="AZ192" i="2" s="1"/>
  <c r="BA192" i="2" s="1"/>
  <c r="AX184" i="2"/>
  <c r="AY184" i="2" s="1"/>
  <c r="AZ184" i="2" s="1"/>
  <c r="BA184" i="2" s="1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65" i="2"/>
  <c r="AO166" i="2"/>
  <c r="AO167" i="2"/>
  <c r="AO168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T165" i="2"/>
  <c r="AU165" i="2"/>
  <c r="AW165" i="2" s="1"/>
  <c r="AT166" i="2"/>
  <c r="AU166" i="2"/>
  <c r="AW166" i="2" s="1"/>
  <c r="AT167" i="2"/>
  <c r="AU167" i="2"/>
  <c r="AW167" i="2" s="1"/>
  <c r="AT168" i="2"/>
  <c r="AU168" i="2"/>
  <c r="AW168" i="2" s="1"/>
  <c r="AT169" i="2"/>
  <c r="AU169" i="2"/>
  <c r="AW169" i="2" s="1"/>
  <c r="AT170" i="2"/>
  <c r="AU170" i="2"/>
  <c r="AW170" i="2" s="1"/>
  <c r="AT171" i="2"/>
  <c r="AU171" i="2"/>
  <c r="AW171" i="2" s="1"/>
  <c r="AT172" i="2"/>
  <c r="AU172" i="2"/>
  <c r="AW172" i="2" s="1"/>
  <c r="AT173" i="2"/>
  <c r="AU173" i="2"/>
  <c r="AW173" i="2" s="1"/>
  <c r="AT174" i="2"/>
  <c r="AU174" i="2"/>
  <c r="AW174" i="2" s="1"/>
  <c r="AT175" i="2"/>
  <c r="AU175" i="2"/>
  <c r="AW175" i="2" s="1"/>
  <c r="AT176" i="2"/>
  <c r="AU176" i="2"/>
  <c r="AW176" i="2" s="1"/>
  <c r="AT177" i="2"/>
  <c r="AU177" i="2"/>
  <c r="AW177" i="2" s="1"/>
  <c r="AT178" i="2"/>
  <c r="AU178" i="2"/>
  <c r="AT179" i="2"/>
  <c r="AU179" i="2"/>
  <c r="AW179" i="2" s="1"/>
  <c r="AT180" i="2"/>
  <c r="AU180" i="2"/>
  <c r="AW180" i="2" s="1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65" i="2"/>
  <c r="AX179" i="2" l="1"/>
  <c r="AY179" i="2" s="1"/>
  <c r="AZ179" i="2" s="1"/>
  <c r="BA179" i="2" s="1"/>
  <c r="AX175" i="2"/>
  <c r="AY175" i="2" s="1"/>
  <c r="AZ175" i="2" s="1"/>
  <c r="BA175" i="2" s="1"/>
  <c r="AX171" i="2"/>
  <c r="AY171" i="2" s="1"/>
  <c r="AZ171" i="2" s="1"/>
  <c r="BA171" i="2" s="1"/>
  <c r="AX167" i="2"/>
  <c r="AY167" i="2" s="1"/>
  <c r="AZ167" i="2" s="1"/>
  <c r="BA167" i="2" s="1"/>
  <c r="AX177" i="2"/>
  <c r="AY177" i="2" s="1"/>
  <c r="AZ177" i="2" s="1"/>
  <c r="BA177" i="2" s="1"/>
  <c r="AX173" i="2"/>
  <c r="AY173" i="2" s="1"/>
  <c r="AZ173" i="2" s="1"/>
  <c r="BA173" i="2" s="1"/>
  <c r="AX169" i="2"/>
  <c r="AY169" i="2" s="1"/>
  <c r="AZ169" i="2" s="1"/>
  <c r="BA169" i="2" s="1"/>
  <c r="AX165" i="2"/>
  <c r="AY165" i="2" s="1"/>
  <c r="AZ165" i="2" s="1"/>
  <c r="BA165" i="2" s="1"/>
  <c r="AX180" i="2"/>
  <c r="AY180" i="2" s="1"/>
  <c r="AZ180" i="2" s="1"/>
  <c r="BA180" i="2" s="1"/>
  <c r="AX176" i="2"/>
  <c r="AY176" i="2" s="1"/>
  <c r="AZ176" i="2" s="1"/>
  <c r="BA176" i="2" s="1"/>
  <c r="AX172" i="2"/>
  <c r="AY172" i="2" s="1"/>
  <c r="AZ172" i="2" s="1"/>
  <c r="BA172" i="2" s="1"/>
  <c r="AX168" i="2"/>
  <c r="AY168" i="2" s="1"/>
  <c r="AZ168" i="2" s="1"/>
  <c r="BA168" i="2" s="1"/>
  <c r="AX170" i="2"/>
  <c r="AY170" i="2" s="1"/>
  <c r="AZ170" i="2" s="1"/>
  <c r="BA170" i="2" s="1"/>
  <c r="AX174" i="2"/>
  <c r="AY174" i="2" s="1"/>
  <c r="AZ174" i="2" s="1"/>
  <c r="BA174" i="2" s="1"/>
  <c r="AX166" i="2"/>
  <c r="AY166" i="2" s="1"/>
  <c r="AZ166" i="2" s="1"/>
  <c r="BA166" i="2" s="1"/>
  <c r="AW178" i="2"/>
  <c r="AX178" i="2" s="1"/>
  <c r="AY178" i="2" s="1"/>
  <c r="AZ178" i="2" s="1"/>
  <c r="BA178" i="2" s="1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21" i="2"/>
  <c r="AN62" i="2" l="1"/>
  <c r="AN63" i="2"/>
  <c r="AN64" i="2"/>
  <c r="AN54" i="2"/>
  <c r="AN55" i="2"/>
  <c r="AN5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74" i="2"/>
  <c r="AN75" i="2"/>
  <c r="AN76" i="2"/>
  <c r="AN72" i="2"/>
  <c r="AN73" i="2"/>
  <c r="AN71" i="2"/>
  <c r="AN70" i="2"/>
  <c r="AN69" i="2"/>
  <c r="AN68" i="2"/>
  <c r="AN67" i="2"/>
  <c r="AN66" i="2"/>
  <c r="AN65" i="2"/>
  <c r="AN61" i="2"/>
  <c r="AN60" i="2"/>
  <c r="AN59" i="2"/>
  <c r="AN58" i="2"/>
  <c r="AN5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37" i="2"/>
  <c r="AT149" i="2"/>
  <c r="AU149" i="2"/>
  <c r="AT150" i="2"/>
  <c r="AU150" i="2"/>
  <c r="AT151" i="2"/>
  <c r="AU151" i="2"/>
  <c r="AT152" i="2"/>
  <c r="AU152" i="2"/>
  <c r="AT153" i="2"/>
  <c r="AU153" i="2"/>
  <c r="AT154" i="2"/>
  <c r="AU154" i="2"/>
  <c r="AT155" i="2"/>
  <c r="AU155" i="2"/>
  <c r="AT156" i="2"/>
  <c r="AU156" i="2"/>
  <c r="AT157" i="2"/>
  <c r="AU157" i="2"/>
  <c r="AT158" i="2"/>
  <c r="AU158" i="2"/>
  <c r="AT159" i="2"/>
  <c r="AU159" i="2"/>
  <c r="AT160" i="2"/>
  <c r="AU160" i="2"/>
  <c r="AT161" i="2"/>
  <c r="AU161" i="2"/>
  <c r="AT162" i="2"/>
  <c r="AU162" i="2"/>
  <c r="AT163" i="2"/>
  <c r="AU163" i="2"/>
  <c r="AT164" i="2"/>
  <c r="AU164" i="2"/>
  <c r="W7" i="2" l="1"/>
  <c r="X7" i="2"/>
  <c r="Y7" i="2"/>
  <c r="Z7" i="2"/>
  <c r="AA7" i="2"/>
  <c r="AB7" i="2"/>
  <c r="AC7" i="2"/>
  <c r="AD7" i="2"/>
  <c r="W8" i="2"/>
  <c r="X8" i="2"/>
  <c r="Y8" i="2"/>
  <c r="Z8" i="2"/>
  <c r="AA8" i="2"/>
  <c r="AB8" i="2"/>
  <c r="AC8" i="2"/>
  <c r="AD8" i="2"/>
  <c r="W9" i="2"/>
  <c r="X9" i="2"/>
  <c r="Y9" i="2"/>
  <c r="Z9" i="2"/>
  <c r="AA9" i="2"/>
  <c r="AB9" i="2"/>
  <c r="AC9" i="2"/>
  <c r="AD9" i="2"/>
  <c r="W10" i="2"/>
  <c r="X10" i="2"/>
  <c r="Y10" i="2"/>
  <c r="Z10" i="2"/>
  <c r="AA10" i="2"/>
  <c r="AB10" i="2"/>
  <c r="AC10" i="2"/>
  <c r="AD10" i="2"/>
  <c r="W11" i="2"/>
  <c r="X11" i="2"/>
  <c r="Y11" i="2"/>
  <c r="Z11" i="2"/>
  <c r="AA11" i="2"/>
  <c r="AB11" i="2"/>
  <c r="AC11" i="2"/>
  <c r="AD11" i="2"/>
  <c r="W12" i="2"/>
  <c r="X12" i="2"/>
  <c r="Y12" i="2"/>
  <c r="Z12" i="2"/>
  <c r="AA12" i="2"/>
  <c r="AB12" i="2"/>
  <c r="AC12" i="2"/>
  <c r="AD12" i="2"/>
  <c r="W13" i="2"/>
  <c r="X13" i="2"/>
  <c r="Y13" i="2"/>
  <c r="Z13" i="2"/>
  <c r="AA13" i="2"/>
  <c r="AB13" i="2"/>
  <c r="AC13" i="2"/>
  <c r="AD13" i="2"/>
  <c r="W14" i="2"/>
  <c r="X14" i="2"/>
  <c r="Y14" i="2"/>
  <c r="Z14" i="2"/>
  <c r="AA14" i="2"/>
  <c r="AB14" i="2"/>
  <c r="AC14" i="2"/>
  <c r="AD14" i="2"/>
  <c r="W15" i="2"/>
  <c r="X15" i="2"/>
  <c r="Y15" i="2"/>
  <c r="Z15" i="2"/>
  <c r="AA15" i="2"/>
  <c r="AB15" i="2"/>
  <c r="AC15" i="2"/>
  <c r="AD15" i="2"/>
  <c r="W16" i="2"/>
  <c r="X16" i="2"/>
  <c r="Y16" i="2"/>
  <c r="Z16" i="2"/>
  <c r="AA16" i="2"/>
  <c r="AB16" i="2"/>
  <c r="AC16" i="2"/>
  <c r="AD16" i="2"/>
  <c r="W17" i="2"/>
  <c r="X17" i="2"/>
  <c r="Y17" i="2"/>
  <c r="Z17" i="2"/>
  <c r="AA17" i="2"/>
  <c r="AB17" i="2"/>
  <c r="AC17" i="2"/>
  <c r="AD17" i="2"/>
  <c r="W18" i="2"/>
  <c r="X18" i="2"/>
  <c r="Y18" i="2"/>
  <c r="Z18" i="2"/>
  <c r="AA18" i="2"/>
  <c r="AB18" i="2"/>
  <c r="AC18" i="2"/>
  <c r="AD18" i="2"/>
  <c r="W19" i="2"/>
  <c r="X19" i="2"/>
  <c r="Y19" i="2"/>
  <c r="Z19" i="2"/>
  <c r="AA19" i="2"/>
  <c r="AB19" i="2"/>
  <c r="AC19" i="2"/>
  <c r="AD19" i="2"/>
  <c r="W20" i="2"/>
  <c r="X20" i="2"/>
  <c r="Y20" i="2"/>
  <c r="Z20" i="2"/>
  <c r="AA20" i="2"/>
  <c r="AB20" i="2"/>
  <c r="AC20" i="2"/>
  <c r="AD20" i="2"/>
  <c r="W6" i="2"/>
  <c r="X6" i="2"/>
  <c r="Y6" i="2"/>
  <c r="Z6" i="2"/>
  <c r="AA6" i="2"/>
  <c r="AB6" i="2"/>
  <c r="AC6" i="2"/>
  <c r="AD6" i="2"/>
  <c r="Z5" i="2"/>
  <c r="AA5" i="2"/>
  <c r="AB5" i="2"/>
  <c r="AC5" i="2"/>
  <c r="AD5" i="2"/>
  <c r="X5" i="2"/>
  <c r="Y5" i="2"/>
  <c r="W5" i="2"/>
  <c r="AT133" i="2"/>
  <c r="AU133" i="2"/>
  <c r="AT134" i="2"/>
  <c r="AU134" i="2"/>
  <c r="AT135" i="2"/>
  <c r="AU135" i="2"/>
  <c r="AT136" i="2"/>
  <c r="AU136" i="2"/>
  <c r="AT137" i="2"/>
  <c r="AU137" i="2"/>
  <c r="AT138" i="2"/>
  <c r="AU138" i="2"/>
  <c r="AT139" i="2"/>
  <c r="AU139" i="2"/>
  <c r="AT140" i="2"/>
  <c r="AU140" i="2"/>
  <c r="AT141" i="2"/>
  <c r="AU141" i="2"/>
  <c r="AT142" i="2"/>
  <c r="AU142" i="2"/>
  <c r="AT143" i="2"/>
  <c r="AU143" i="2"/>
  <c r="AT144" i="2"/>
  <c r="AU144" i="2"/>
  <c r="AT145" i="2"/>
  <c r="AU145" i="2"/>
  <c r="AT146" i="2"/>
  <c r="AU146" i="2"/>
  <c r="AT147" i="2"/>
  <c r="AU147" i="2"/>
  <c r="AT148" i="2"/>
  <c r="AU148" i="2"/>
  <c r="T6" i="2" l="1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U5" i="2"/>
  <c r="V5" i="2"/>
  <c r="T5" i="2"/>
  <c r="K8" i="30"/>
  <c r="K9" i="30"/>
  <c r="K10" i="30"/>
  <c r="K16" i="30"/>
  <c r="K17" i="30"/>
  <c r="K18" i="30"/>
  <c r="J3" i="30"/>
  <c r="K3" i="30" s="1"/>
  <c r="J4" i="30"/>
  <c r="K4" i="30" s="1"/>
  <c r="J5" i="30"/>
  <c r="K5" i="30" s="1"/>
  <c r="J6" i="30"/>
  <c r="K6" i="30" s="1"/>
  <c r="J7" i="30"/>
  <c r="K7" i="30" s="1"/>
  <c r="J8" i="30"/>
  <c r="J9" i="30"/>
  <c r="J10" i="30"/>
  <c r="J11" i="30"/>
  <c r="K11" i="30" s="1"/>
  <c r="J12" i="30"/>
  <c r="K12" i="30" s="1"/>
  <c r="J13" i="30"/>
  <c r="K13" i="30" s="1"/>
  <c r="J14" i="30"/>
  <c r="K14" i="30" s="1"/>
  <c r="J15" i="30"/>
  <c r="K15" i="30" s="1"/>
  <c r="J16" i="30"/>
  <c r="J17" i="30"/>
  <c r="J18" i="30"/>
  <c r="J19" i="30"/>
  <c r="K19" i="30" s="1"/>
  <c r="J20" i="30"/>
  <c r="K20" i="30" s="1"/>
  <c r="J2" i="30"/>
  <c r="K2" i="30" s="1"/>
  <c r="AT117" i="2" l="1"/>
  <c r="AU117" i="2"/>
  <c r="AT118" i="2"/>
  <c r="AU118" i="2"/>
  <c r="AT119" i="2"/>
  <c r="AU119" i="2"/>
  <c r="AT120" i="2"/>
  <c r="AU120" i="2"/>
  <c r="AT121" i="2"/>
  <c r="AU121" i="2"/>
  <c r="AT122" i="2"/>
  <c r="AU122" i="2"/>
  <c r="AT123" i="2"/>
  <c r="AU123" i="2"/>
  <c r="AT124" i="2"/>
  <c r="AU124" i="2"/>
  <c r="AT125" i="2"/>
  <c r="AU125" i="2"/>
  <c r="AT126" i="2"/>
  <c r="AU126" i="2"/>
  <c r="AT127" i="2"/>
  <c r="AU127" i="2"/>
  <c r="AT128" i="2"/>
  <c r="AU128" i="2"/>
  <c r="AT129" i="2"/>
  <c r="AU129" i="2"/>
  <c r="AT130" i="2"/>
  <c r="AU130" i="2"/>
  <c r="AT131" i="2"/>
  <c r="AU131" i="2"/>
  <c r="AT132" i="2"/>
  <c r="AU132" i="2"/>
  <c r="AT101" i="2" l="1"/>
  <c r="AU101" i="2"/>
  <c r="AT102" i="2"/>
  <c r="AU102" i="2"/>
  <c r="AT103" i="2"/>
  <c r="AU103" i="2"/>
  <c r="AT104" i="2"/>
  <c r="AU104" i="2"/>
  <c r="AT105" i="2"/>
  <c r="AU105" i="2"/>
  <c r="AT106" i="2"/>
  <c r="AU106" i="2"/>
  <c r="AT107" i="2"/>
  <c r="AU107" i="2"/>
  <c r="AT108" i="2"/>
  <c r="AU108" i="2"/>
  <c r="AT109" i="2"/>
  <c r="AU109" i="2"/>
  <c r="AT110" i="2"/>
  <c r="AU110" i="2"/>
  <c r="AT111" i="2"/>
  <c r="AU111" i="2"/>
  <c r="AT112" i="2"/>
  <c r="AU112" i="2"/>
  <c r="AT113" i="2"/>
  <c r="AU113" i="2"/>
  <c r="AT114" i="2"/>
  <c r="AU114" i="2"/>
  <c r="AT115" i="2"/>
  <c r="AU115" i="2"/>
  <c r="AT116" i="2"/>
  <c r="AU116" i="2"/>
  <c r="AP107" i="2"/>
  <c r="AP106" i="2"/>
  <c r="AT85" i="2" l="1"/>
  <c r="AU85" i="2"/>
  <c r="AT86" i="2"/>
  <c r="AU86" i="2"/>
  <c r="AT87" i="2"/>
  <c r="AU87" i="2"/>
  <c r="AT88" i="2"/>
  <c r="AU88" i="2"/>
  <c r="AT89" i="2"/>
  <c r="AU89" i="2"/>
  <c r="AT90" i="2"/>
  <c r="AU90" i="2"/>
  <c r="AT91" i="2"/>
  <c r="AU91" i="2"/>
  <c r="AT92" i="2"/>
  <c r="AU92" i="2"/>
  <c r="AT93" i="2"/>
  <c r="AU93" i="2"/>
  <c r="AT94" i="2"/>
  <c r="AU94" i="2"/>
  <c r="AT95" i="2"/>
  <c r="AU95" i="2"/>
  <c r="AT96" i="2"/>
  <c r="AU96" i="2"/>
  <c r="AT97" i="2"/>
  <c r="AU97" i="2"/>
  <c r="AT98" i="2"/>
  <c r="AU98" i="2"/>
  <c r="AT99" i="2"/>
  <c r="AU99" i="2"/>
  <c r="AT100" i="2"/>
  <c r="AU100" i="2"/>
  <c r="F5" i="28"/>
  <c r="F6" i="28"/>
  <c r="F7" i="28"/>
  <c r="F8" i="28"/>
  <c r="F9" i="28"/>
  <c r="F10" i="28"/>
  <c r="F13" i="28"/>
  <c r="F14" i="28"/>
  <c r="F15" i="28"/>
  <c r="F16" i="28"/>
  <c r="F17" i="28"/>
  <c r="E5" i="28"/>
  <c r="E6" i="28"/>
  <c r="E7" i="28"/>
  <c r="E8" i="28"/>
  <c r="E9" i="28"/>
  <c r="E10" i="28"/>
  <c r="E11" i="28"/>
  <c r="F11" i="28" s="1"/>
  <c r="E12" i="28"/>
  <c r="F12" i="28" s="1"/>
  <c r="E13" i="28"/>
  <c r="E14" i="28"/>
  <c r="E15" i="28"/>
  <c r="E16" i="28"/>
  <c r="E17" i="28"/>
  <c r="E3" i="28"/>
  <c r="F3" i="28" s="1"/>
  <c r="E4" i="28"/>
  <c r="F4" i="28" s="1"/>
  <c r="E2" i="28"/>
  <c r="F2" i="28" s="1"/>
  <c r="L36" i="2" l="1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37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21" i="2"/>
  <c r="AT69" i="2" l="1"/>
  <c r="AU69" i="2"/>
  <c r="AT70" i="2"/>
  <c r="AU70" i="2"/>
  <c r="AT71" i="2"/>
  <c r="AU71" i="2"/>
  <c r="AT72" i="2"/>
  <c r="AU72" i="2"/>
  <c r="AT73" i="2"/>
  <c r="AU73" i="2"/>
  <c r="AT74" i="2"/>
  <c r="AU74" i="2"/>
  <c r="AT75" i="2"/>
  <c r="AU75" i="2"/>
  <c r="AT76" i="2"/>
  <c r="AU76" i="2"/>
  <c r="AT77" i="2"/>
  <c r="AU77" i="2"/>
  <c r="AT78" i="2"/>
  <c r="AU78" i="2"/>
  <c r="AT79" i="2"/>
  <c r="AU79" i="2"/>
  <c r="AT80" i="2"/>
  <c r="AU80" i="2"/>
  <c r="AT81" i="2"/>
  <c r="AU81" i="2"/>
  <c r="AT82" i="2"/>
  <c r="AU82" i="2"/>
  <c r="AT83" i="2"/>
  <c r="AU83" i="2"/>
  <c r="AT84" i="2"/>
  <c r="AU84" i="2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2" i="7"/>
  <c r="AU53" i="2" l="1"/>
  <c r="AU54" i="2"/>
  <c r="AW54" i="2" s="1"/>
  <c r="AU55" i="2"/>
  <c r="AW55" i="2" s="1"/>
  <c r="AU56" i="2"/>
  <c r="AU57" i="2"/>
  <c r="AU58" i="2"/>
  <c r="AU59" i="2"/>
  <c r="AU60" i="2"/>
  <c r="AU61" i="2"/>
  <c r="AU62" i="2"/>
  <c r="AW62" i="2" s="1"/>
  <c r="AU63" i="2"/>
  <c r="AW63" i="2" s="1"/>
  <c r="AU64" i="2"/>
  <c r="AW64" i="2" s="1"/>
  <c r="AU65" i="2"/>
  <c r="AU66" i="2"/>
  <c r="AU67" i="2"/>
  <c r="AU68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53" i="2"/>
  <c r="AW69" i="2"/>
  <c r="AX69" i="2" s="1"/>
  <c r="AY69" i="2" s="1"/>
  <c r="AZ69" i="2" s="1"/>
  <c r="BA69" i="2" s="1"/>
  <c r="AW70" i="2"/>
  <c r="AX70" i="2" s="1"/>
  <c r="AY70" i="2" s="1"/>
  <c r="AZ70" i="2" s="1"/>
  <c r="BA70" i="2" s="1"/>
  <c r="AW71" i="2"/>
  <c r="AX71" i="2" s="1"/>
  <c r="AY71" i="2" s="1"/>
  <c r="AZ71" i="2" s="1"/>
  <c r="BA71" i="2" s="1"/>
  <c r="AW72" i="2"/>
  <c r="AX72" i="2" s="1"/>
  <c r="AY72" i="2" s="1"/>
  <c r="AZ72" i="2" s="1"/>
  <c r="BA72" i="2" s="1"/>
  <c r="AW73" i="2"/>
  <c r="AX73" i="2" s="1"/>
  <c r="AY73" i="2" s="1"/>
  <c r="AZ73" i="2" s="1"/>
  <c r="BA73" i="2" s="1"/>
  <c r="AW74" i="2"/>
  <c r="AX74" i="2" s="1"/>
  <c r="AY74" i="2" s="1"/>
  <c r="AZ74" i="2" s="1"/>
  <c r="BA74" i="2" s="1"/>
  <c r="AW75" i="2"/>
  <c r="AX75" i="2" s="1"/>
  <c r="AY75" i="2" s="1"/>
  <c r="AZ75" i="2" s="1"/>
  <c r="BA75" i="2" s="1"/>
  <c r="AW76" i="2"/>
  <c r="AX76" i="2" s="1"/>
  <c r="AY76" i="2" s="1"/>
  <c r="AZ76" i="2" s="1"/>
  <c r="BA76" i="2" s="1"/>
  <c r="AW77" i="2"/>
  <c r="AX77" i="2" s="1"/>
  <c r="AY77" i="2" s="1"/>
  <c r="AZ77" i="2" s="1"/>
  <c r="BA77" i="2" s="1"/>
  <c r="AW78" i="2"/>
  <c r="AX78" i="2" s="1"/>
  <c r="AY78" i="2" s="1"/>
  <c r="AZ78" i="2" s="1"/>
  <c r="BA78" i="2" s="1"/>
  <c r="AW79" i="2"/>
  <c r="AX79" i="2" s="1"/>
  <c r="AY79" i="2" s="1"/>
  <c r="AZ79" i="2" s="1"/>
  <c r="BA79" i="2" s="1"/>
  <c r="AW80" i="2"/>
  <c r="AX80" i="2" s="1"/>
  <c r="AY80" i="2" s="1"/>
  <c r="AZ80" i="2" s="1"/>
  <c r="BA80" i="2" s="1"/>
  <c r="AW81" i="2"/>
  <c r="AX81" i="2" s="1"/>
  <c r="AY81" i="2" s="1"/>
  <c r="AZ81" i="2" s="1"/>
  <c r="BA81" i="2" s="1"/>
  <c r="AW82" i="2"/>
  <c r="AX82" i="2" s="1"/>
  <c r="AY82" i="2" s="1"/>
  <c r="AZ82" i="2" s="1"/>
  <c r="BA82" i="2" s="1"/>
  <c r="AW83" i="2"/>
  <c r="AX83" i="2" s="1"/>
  <c r="AY83" i="2" s="1"/>
  <c r="AZ83" i="2" s="1"/>
  <c r="BA83" i="2" s="1"/>
  <c r="AW84" i="2"/>
  <c r="AX84" i="2" s="1"/>
  <c r="AY84" i="2" s="1"/>
  <c r="AZ84" i="2" s="1"/>
  <c r="BA84" i="2" s="1"/>
  <c r="AW85" i="2"/>
  <c r="AX85" i="2" s="1"/>
  <c r="AY85" i="2" s="1"/>
  <c r="AZ85" i="2" s="1"/>
  <c r="BA85" i="2" s="1"/>
  <c r="AW86" i="2"/>
  <c r="AX86" i="2" s="1"/>
  <c r="AY86" i="2" s="1"/>
  <c r="AZ86" i="2" s="1"/>
  <c r="BA86" i="2" s="1"/>
  <c r="AW87" i="2"/>
  <c r="AX87" i="2" s="1"/>
  <c r="AY87" i="2" s="1"/>
  <c r="AZ87" i="2" s="1"/>
  <c r="BA87" i="2" s="1"/>
  <c r="AW88" i="2"/>
  <c r="AX88" i="2" s="1"/>
  <c r="AY88" i="2" s="1"/>
  <c r="AZ88" i="2" s="1"/>
  <c r="BA88" i="2" s="1"/>
  <c r="AW89" i="2"/>
  <c r="AX89" i="2" s="1"/>
  <c r="AY89" i="2" s="1"/>
  <c r="AZ89" i="2" s="1"/>
  <c r="BA89" i="2" s="1"/>
  <c r="AW90" i="2"/>
  <c r="AX90" i="2" s="1"/>
  <c r="AY90" i="2" s="1"/>
  <c r="AZ90" i="2" s="1"/>
  <c r="BA90" i="2" s="1"/>
  <c r="AW91" i="2"/>
  <c r="AX91" i="2" s="1"/>
  <c r="AY91" i="2" s="1"/>
  <c r="AZ91" i="2" s="1"/>
  <c r="BA91" i="2" s="1"/>
  <c r="AW92" i="2"/>
  <c r="AX92" i="2" s="1"/>
  <c r="AY92" i="2" s="1"/>
  <c r="AZ92" i="2" s="1"/>
  <c r="BA92" i="2" s="1"/>
  <c r="AW93" i="2"/>
  <c r="AX93" i="2" s="1"/>
  <c r="AY93" i="2" s="1"/>
  <c r="AZ93" i="2" s="1"/>
  <c r="BA93" i="2" s="1"/>
  <c r="AW94" i="2"/>
  <c r="AX94" i="2" s="1"/>
  <c r="AY94" i="2" s="1"/>
  <c r="AZ94" i="2" s="1"/>
  <c r="BA94" i="2" s="1"/>
  <c r="AW95" i="2"/>
  <c r="AX95" i="2" s="1"/>
  <c r="AY95" i="2" s="1"/>
  <c r="AZ95" i="2" s="1"/>
  <c r="BA95" i="2" s="1"/>
  <c r="AW96" i="2"/>
  <c r="AX96" i="2" s="1"/>
  <c r="AY96" i="2" s="1"/>
  <c r="AZ96" i="2" s="1"/>
  <c r="BA96" i="2" s="1"/>
  <c r="AW97" i="2"/>
  <c r="AX97" i="2" s="1"/>
  <c r="AY97" i="2" s="1"/>
  <c r="AZ97" i="2" s="1"/>
  <c r="BA97" i="2" s="1"/>
  <c r="AW98" i="2"/>
  <c r="AX98" i="2" s="1"/>
  <c r="AY98" i="2" s="1"/>
  <c r="AZ98" i="2" s="1"/>
  <c r="BA98" i="2" s="1"/>
  <c r="AW99" i="2"/>
  <c r="AX99" i="2" s="1"/>
  <c r="AY99" i="2" s="1"/>
  <c r="AZ99" i="2" s="1"/>
  <c r="BA99" i="2" s="1"/>
  <c r="AW100" i="2"/>
  <c r="AX100" i="2" s="1"/>
  <c r="AY100" i="2" s="1"/>
  <c r="AZ100" i="2" s="1"/>
  <c r="BA100" i="2" s="1"/>
  <c r="AW101" i="2"/>
  <c r="AX101" i="2" s="1"/>
  <c r="AY101" i="2" s="1"/>
  <c r="AZ101" i="2" s="1"/>
  <c r="BA101" i="2" s="1"/>
  <c r="AW102" i="2"/>
  <c r="AX102" i="2" s="1"/>
  <c r="AY102" i="2" s="1"/>
  <c r="AZ102" i="2" s="1"/>
  <c r="BA102" i="2" s="1"/>
  <c r="AW103" i="2"/>
  <c r="AX103" i="2" s="1"/>
  <c r="AY103" i="2" s="1"/>
  <c r="AZ103" i="2" s="1"/>
  <c r="BA103" i="2" s="1"/>
  <c r="AW104" i="2"/>
  <c r="AX104" i="2" s="1"/>
  <c r="AY104" i="2" s="1"/>
  <c r="AZ104" i="2" s="1"/>
  <c r="BA104" i="2" s="1"/>
  <c r="AW105" i="2"/>
  <c r="AX105" i="2" s="1"/>
  <c r="AY105" i="2" s="1"/>
  <c r="AZ105" i="2" s="1"/>
  <c r="BA105" i="2" s="1"/>
  <c r="AW106" i="2"/>
  <c r="AX106" i="2" s="1"/>
  <c r="AY106" i="2" s="1"/>
  <c r="AZ106" i="2" s="1"/>
  <c r="BA106" i="2" s="1"/>
  <c r="AW107" i="2"/>
  <c r="AX107" i="2" s="1"/>
  <c r="AY107" i="2" s="1"/>
  <c r="AZ107" i="2" s="1"/>
  <c r="BA107" i="2" s="1"/>
  <c r="AW108" i="2"/>
  <c r="AX108" i="2" s="1"/>
  <c r="AY108" i="2" s="1"/>
  <c r="AZ108" i="2" s="1"/>
  <c r="BA108" i="2" s="1"/>
  <c r="AW109" i="2"/>
  <c r="AX109" i="2" s="1"/>
  <c r="AY109" i="2" s="1"/>
  <c r="AZ109" i="2" s="1"/>
  <c r="BA109" i="2" s="1"/>
  <c r="AW110" i="2"/>
  <c r="AX110" i="2" s="1"/>
  <c r="AY110" i="2" s="1"/>
  <c r="AZ110" i="2" s="1"/>
  <c r="BA110" i="2" s="1"/>
  <c r="AW111" i="2"/>
  <c r="AX111" i="2" s="1"/>
  <c r="AY111" i="2" s="1"/>
  <c r="AZ111" i="2" s="1"/>
  <c r="BA111" i="2" s="1"/>
  <c r="AW112" i="2"/>
  <c r="AX112" i="2" s="1"/>
  <c r="AY112" i="2" s="1"/>
  <c r="AZ112" i="2" s="1"/>
  <c r="BA112" i="2" s="1"/>
  <c r="AW113" i="2"/>
  <c r="AX113" i="2" s="1"/>
  <c r="AY113" i="2" s="1"/>
  <c r="AZ113" i="2" s="1"/>
  <c r="BA113" i="2" s="1"/>
  <c r="AW114" i="2"/>
  <c r="AX114" i="2" s="1"/>
  <c r="AY114" i="2" s="1"/>
  <c r="AZ114" i="2" s="1"/>
  <c r="BA114" i="2" s="1"/>
  <c r="AW115" i="2"/>
  <c r="AX115" i="2" s="1"/>
  <c r="AY115" i="2" s="1"/>
  <c r="AZ115" i="2" s="1"/>
  <c r="BA115" i="2" s="1"/>
  <c r="AW116" i="2"/>
  <c r="AX116" i="2" s="1"/>
  <c r="AY116" i="2" s="1"/>
  <c r="AZ116" i="2" s="1"/>
  <c r="BA116" i="2" s="1"/>
  <c r="AW117" i="2"/>
  <c r="AX117" i="2" s="1"/>
  <c r="AY117" i="2" s="1"/>
  <c r="AZ117" i="2" s="1"/>
  <c r="BA117" i="2" s="1"/>
  <c r="AW118" i="2"/>
  <c r="AX118" i="2" s="1"/>
  <c r="AY118" i="2" s="1"/>
  <c r="AZ118" i="2" s="1"/>
  <c r="BA118" i="2" s="1"/>
  <c r="AW119" i="2"/>
  <c r="AX119" i="2" s="1"/>
  <c r="AY119" i="2" s="1"/>
  <c r="AZ119" i="2" s="1"/>
  <c r="BA119" i="2" s="1"/>
  <c r="AW120" i="2"/>
  <c r="AX120" i="2" s="1"/>
  <c r="AY120" i="2" s="1"/>
  <c r="AZ120" i="2" s="1"/>
  <c r="BA120" i="2" s="1"/>
  <c r="AW121" i="2"/>
  <c r="AX121" i="2" s="1"/>
  <c r="AY121" i="2" s="1"/>
  <c r="AZ121" i="2" s="1"/>
  <c r="BA121" i="2" s="1"/>
  <c r="AW122" i="2"/>
  <c r="AX122" i="2" s="1"/>
  <c r="AY122" i="2" s="1"/>
  <c r="AZ122" i="2" s="1"/>
  <c r="BA122" i="2" s="1"/>
  <c r="AW123" i="2"/>
  <c r="AX123" i="2" s="1"/>
  <c r="AY123" i="2" s="1"/>
  <c r="AZ123" i="2" s="1"/>
  <c r="BA123" i="2" s="1"/>
  <c r="AW124" i="2"/>
  <c r="AX124" i="2" s="1"/>
  <c r="AY124" i="2" s="1"/>
  <c r="AZ124" i="2" s="1"/>
  <c r="BA124" i="2" s="1"/>
  <c r="AW125" i="2"/>
  <c r="AX125" i="2" s="1"/>
  <c r="AY125" i="2" s="1"/>
  <c r="AZ125" i="2" s="1"/>
  <c r="BA125" i="2" s="1"/>
  <c r="AW126" i="2"/>
  <c r="AX126" i="2" s="1"/>
  <c r="AY126" i="2" s="1"/>
  <c r="AZ126" i="2" s="1"/>
  <c r="BA126" i="2" s="1"/>
  <c r="AW127" i="2"/>
  <c r="AX127" i="2" s="1"/>
  <c r="AY127" i="2" s="1"/>
  <c r="AZ127" i="2" s="1"/>
  <c r="BA127" i="2" s="1"/>
  <c r="AW128" i="2"/>
  <c r="AX128" i="2" s="1"/>
  <c r="AY128" i="2" s="1"/>
  <c r="AZ128" i="2" s="1"/>
  <c r="BA128" i="2" s="1"/>
  <c r="AW129" i="2"/>
  <c r="AX129" i="2" s="1"/>
  <c r="AY129" i="2" s="1"/>
  <c r="AZ129" i="2" s="1"/>
  <c r="BA129" i="2" s="1"/>
  <c r="AW130" i="2"/>
  <c r="AX130" i="2" s="1"/>
  <c r="AY130" i="2" s="1"/>
  <c r="AZ130" i="2" s="1"/>
  <c r="BA130" i="2" s="1"/>
  <c r="AW131" i="2"/>
  <c r="AX131" i="2" s="1"/>
  <c r="AY131" i="2" s="1"/>
  <c r="AZ131" i="2" s="1"/>
  <c r="BA131" i="2" s="1"/>
  <c r="AW132" i="2"/>
  <c r="AX132" i="2" s="1"/>
  <c r="AY132" i="2" s="1"/>
  <c r="AZ132" i="2" s="1"/>
  <c r="BA132" i="2" s="1"/>
  <c r="AW133" i="2"/>
  <c r="AX133" i="2" s="1"/>
  <c r="AY133" i="2" s="1"/>
  <c r="AZ133" i="2" s="1"/>
  <c r="BA133" i="2" s="1"/>
  <c r="AW134" i="2"/>
  <c r="AX134" i="2" s="1"/>
  <c r="AY134" i="2" s="1"/>
  <c r="AZ134" i="2" s="1"/>
  <c r="BA134" i="2" s="1"/>
  <c r="AW135" i="2"/>
  <c r="AX135" i="2" s="1"/>
  <c r="AY135" i="2" s="1"/>
  <c r="AZ135" i="2" s="1"/>
  <c r="BA135" i="2" s="1"/>
  <c r="AW136" i="2"/>
  <c r="AX136" i="2" s="1"/>
  <c r="AY136" i="2" s="1"/>
  <c r="AZ136" i="2" s="1"/>
  <c r="BA136" i="2" s="1"/>
  <c r="AW137" i="2"/>
  <c r="AX137" i="2" s="1"/>
  <c r="AY137" i="2" s="1"/>
  <c r="AZ137" i="2" s="1"/>
  <c r="BA137" i="2" s="1"/>
  <c r="AW138" i="2"/>
  <c r="AX138" i="2" s="1"/>
  <c r="AY138" i="2" s="1"/>
  <c r="AZ138" i="2" s="1"/>
  <c r="BA138" i="2" s="1"/>
  <c r="AW139" i="2"/>
  <c r="AX139" i="2" s="1"/>
  <c r="AY139" i="2" s="1"/>
  <c r="AZ139" i="2" s="1"/>
  <c r="BA139" i="2" s="1"/>
  <c r="AW140" i="2"/>
  <c r="AX140" i="2" s="1"/>
  <c r="AY140" i="2" s="1"/>
  <c r="AZ140" i="2" s="1"/>
  <c r="BA140" i="2" s="1"/>
  <c r="AW141" i="2"/>
  <c r="AX141" i="2" s="1"/>
  <c r="AY141" i="2" s="1"/>
  <c r="AZ141" i="2" s="1"/>
  <c r="BA141" i="2" s="1"/>
  <c r="AW142" i="2"/>
  <c r="AX142" i="2" s="1"/>
  <c r="AY142" i="2" s="1"/>
  <c r="AZ142" i="2" s="1"/>
  <c r="BA142" i="2" s="1"/>
  <c r="AW143" i="2"/>
  <c r="AX143" i="2" s="1"/>
  <c r="AY143" i="2" s="1"/>
  <c r="AZ143" i="2" s="1"/>
  <c r="BA143" i="2" s="1"/>
  <c r="AW144" i="2"/>
  <c r="AX144" i="2" s="1"/>
  <c r="AY144" i="2" s="1"/>
  <c r="AZ144" i="2" s="1"/>
  <c r="BA144" i="2" s="1"/>
  <c r="AW145" i="2"/>
  <c r="AX145" i="2" s="1"/>
  <c r="AY145" i="2" s="1"/>
  <c r="AZ145" i="2" s="1"/>
  <c r="BA145" i="2" s="1"/>
  <c r="AW146" i="2"/>
  <c r="AX146" i="2" s="1"/>
  <c r="AY146" i="2" s="1"/>
  <c r="AZ146" i="2" s="1"/>
  <c r="BA146" i="2" s="1"/>
  <c r="AW147" i="2"/>
  <c r="AX147" i="2" s="1"/>
  <c r="AY147" i="2" s="1"/>
  <c r="AZ147" i="2" s="1"/>
  <c r="BA147" i="2" s="1"/>
  <c r="AW148" i="2"/>
  <c r="AX148" i="2" s="1"/>
  <c r="AY148" i="2" s="1"/>
  <c r="AZ148" i="2" s="1"/>
  <c r="BA148" i="2" s="1"/>
  <c r="AW149" i="2"/>
  <c r="AX149" i="2" s="1"/>
  <c r="AY149" i="2" s="1"/>
  <c r="AZ149" i="2" s="1"/>
  <c r="BA149" i="2" s="1"/>
  <c r="AW150" i="2"/>
  <c r="AX150" i="2" s="1"/>
  <c r="AY150" i="2" s="1"/>
  <c r="AZ150" i="2" s="1"/>
  <c r="BA150" i="2" s="1"/>
  <c r="AW151" i="2"/>
  <c r="AX151" i="2" s="1"/>
  <c r="AY151" i="2" s="1"/>
  <c r="AZ151" i="2" s="1"/>
  <c r="BA151" i="2" s="1"/>
  <c r="AW152" i="2"/>
  <c r="AX152" i="2" s="1"/>
  <c r="AY152" i="2" s="1"/>
  <c r="AZ152" i="2" s="1"/>
  <c r="BA152" i="2" s="1"/>
  <c r="AW153" i="2"/>
  <c r="AX153" i="2" s="1"/>
  <c r="AY153" i="2" s="1"/>
  <c r="AZ153" i="2" s="1"/>
  <c r="BA153" i="2" s="1"/>
  <c r="AW154" i="2"/>
  <c r="AX154" i="2" s="1"/>
  <c r="AY154" i="2" s="1"/>
  <c r="AZ154" i="2" s="1"/>
  <c r="BA154" i="2" s="1"/>
  <c r="AW155" i="2"/>
  <c r="AX155" i="2" s="1"/>
  <c r="AY155" i="2" s="1"/>
  <c r="AZ155" i="2" s="1"/>
  <c r="BA155" i="2" s="1"/>
  <c r="AW156" i="2"/>
  <c r="AX156" i="2" s="1"/>
  <c r="AY156" i="2" s="1"/>
  <c r="AZ156" i="2" s="1"/>
  <c r="BA156" i="2" s="1"/>
  <c r="AW157" i="2"/>
  <c r="AX157" i="2" s="1"/>
  <c r="AY157" i="2" s="1"/>
  <c r="AZ157" i="2" s="1"/>
  <c r="BA157" i="2" s="1"/>
  <c r="AW158" i="2"/>
  <c r="AX158" i="2" s="1"/>
  <c r="AY158" i="2" s="1"/>
  <c r="AZ158" i="2" s="1"/>
  <c r="BA158" i="2" s="1"/>
  <c r="AW159" i="2"/>
  <c r="AX159" i="2" s="1"/>
  <c r="AY159" i="2" s="1"/>
  <c r="AZ159" i="2" s="1"/>
  <c r="BA159" i="2" s="1"/>
  <c r="AW160" i="2"/>
  <c r="AX160" i="2" s="1"/>
  <c r="AY160" i="2" s="1"/>
  <c r="AZ160" i="2" s="1"/>
  <c r="BA160" i="2" s="1"/>
  <c r="AW161" i="2"/>
  <c r="AX161" i="2" s="1"/>
  <c r="AY161" i="2" s="1"/>
  <c r="AZ161" i="2" s="1"/>
  <c r="BA161" i="2" s="1"/>
  <c r="AW162" i="2"/>
  <c r="AX162" i="2" s="1"/>
  <c r="AY162" i="2" s="1"/>
  <c r="AZ162" i="2" s="1"/>
  <c r="BA162" i="2" s="1"/>
  <c r="AW163" i="2"/>
  <c r="AX163" i="2" s="1"/>
  <c r="AY163" i="2" s="1"/>
  <c r="AZ163" i="2" s="1"/>
  <c r="BA163" i="2" s="1"/>
  <c r="AW164" i="2"/>
  <c r="AX164" i="2" s="1"/>
  <c r="AY164" i="2" s="1"/>
  <c r="AZ164" i="2" s="1"/>
  <c r="BA164" i="2" s="1"/>
  <c r="AU48" i="2"/>
  <c r="AW48" i="2" s="1"/>
  <c r="AU47" i="2"/>
  <c r="AW47" i="2" s="1"/>
  <c r="AU46" i="2"/>
  <c r="AU45" i="2"/>
  <c r="AU40" i="2"/>
  <c r="AW40" i="2" s="1"/>
  <c r="AU39" i="2"/>
  <c r="AW39" i="2" s="1"/>
  <c r="AU38" i="2"/>
  <c r="AU37" i="2"/>
  <c r="AW37" i="2" s="1"/>
  <c r="AU41" i="2"/>
  <c r="AW41" i="2" s="1"/>
  <c r="AU42" i="2"/>
  <c r="AU43" i="2"/>
  <c r="AU44" i="2"/>
  <c r="AU49" i="2"/>
  <c r="AW49" i="2" s="1"/>
  <c r="AU50" i="2"/>
  <c r="AU51" i="2"/>
  <c r="AU52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21" i="2"/>
  <c r="F3" i="27"/>
  <c r="G3" i="27" s="1"/>
  <c r="H3" i="27" s="1"/>
  <c r="F4" i="27"/>
  <c r="G4" i="27" s="1"/>
  <c r="H4" i="27" s="1"/>
  <c r="F5" i="27"/>
  <c r="G5" i="27" s="1"/>
  <c r="H5" i="27" s="1"/>
  <c r="F6" i="27"/>
  <c r="G6" i="27" s="1"/>
  <c r="H6" i="27" s="1"/>
  <c r="F7" i="27"/>
  <c r="G7" i="27" s="1"/>
  <c r="H7" i="27" s="1"/>
  <c r="F8" i="27"/>
  <c r="G8" i="27" s="1"/>
  <c r="H8" i="27" s="1"/>
  <c r="F9" i="27"/>
  <c r="G9" i="27" s="1"/>
  <c r="H9" i="27" s="1"/>
  <c r="F2" i="27"/>
  <c r="G2" i="27" s="1"/>
  <c r="H2" i="27" s="1"/>
  <c r="AX63" i="2" l="1"/>
  <c r="AY63" i="2" s="1"/>
  <c r="AZ63" i="2" s="1"/>
  <c r="BA63" i="2" s="1"/>
  <c r="AX55" i="2"/>
  <c r="AY55" i="2" s="1"/>
  <c r="AZ55" i="2" s="1"/>
  <c r="BA55" i="2" s="1"/>
  <c r="AX62" i="2"/>
  <c r="AY62" i="2" s="1"/>
  <c r="AZ62" i="2" s="1"/>
  <c r="BA62" i="2" s="1"/>
  <c r="AX54" i="2"/>
  <c r="AY54" i="2" s="1"/>
  <c r="AZ54" i="2" s="1"/>
  <c r="BA54" i="2" s="1"/>
  <c r="AX48" i="2"/>
  <c r="AY48" i="2" s="1"/>
  <c r="AZ48" i="2" s="1"/>
  <c r="BA48" i="2" s="1"/>
  <c r="AW61" i="2"/>
  <c r="AX61" i="2" s="1"/>
  <c r="AY61" i="2" s="1"/>
  <c r="AZ61" i="2" s="1"/>
  <c r="BA61" i="2" s="1"/>
  <c r="AW53" i="2"/>
  <c r="AX53" i="2" s="1"/>
  <c r="AY53" i="2" s="1"/>
  <c r="AZ53" i="2" s="1"/>
  <c r="BA53" i="2" s="1"/>
  <c r="AW50" i="2"/>
  <c r="AX50" i="2" s="1"/>
  <c r="AY50" i="2" s="1"/>
  <c r="AZ50" i="2" s="1"/>
  <c r="BA50" i="2" s="1"/>
  <c r="AW65" i="2"/>
  <c r="AX65" i="2" s="1"/>
  <c r="AY65" i="2" s="1"/>
  <c r="AZ65" i="2" s="1"/>
  <c r="BA65" i="2" s="1"/>
  <c r="AW42" i="2"/>
  <c r="AX42" i="2" s="1"/>
  <c r="AY42" i="2" s="1"/>
  <c r="AZ42" i="2" s="1"/>
  <c r="BA42" i="2" s="1"/>
  <c r="AW56" i="2"/>
  <c r="AX56" i="2" s="1"/>
  <c r="AY56" i="2" s="1"/>
  <c r="AZ56" i="2" s="1"/>
  <c r="BA56" i="2" s="1"/>
  <c r="AW57" i="2"/>
  <c r="AX57" i="2" s="1"/>
  <c r="AY57" i="2" s="1"/>
  <c r="AZ57" i="2" s="1"/>
  <c r="BA57" i="2" s="1"/>
  <c r="AW46" i="2"/>
  <c r="AX46" i="2" s="1"/>
  <c r="AY46" i="2" s="1"/>
  <c r="AZ46" i="2" s="1"/>
  <c r="BA46" i="2" s="1"/>
  <c r="AX40" i="2"/>
  <c r="AY40" i="2" s="1"/>
  <c r="AZ40" i="2" s="1"/>
  <c r="BA40" i="2" s="1"/>
  <c r="AW66" i="2"/>
  <c r="AX66" i="2" s="1"/>
  <c r="AY66" i="2" s="1"/>
  <c r="AZ66" i="2" s="1"/>
  <c r="BA66" i="2" s="1"/>
  <c r="AW58" i="2"/>
  <c r="AX58" i="2" s="1"/>
  <c r="AY58" i="2" s="1"/>
  <c r="AZ58" i="2" s="1"/>
  <c r="BA58" i="2" s="1"/>
  <c r="AW51" i="2"/>
  <c r="AX51" i="2" s="1"/>
  <c r="AY51" i="2" s="1"/>
  <c r="AZ51" i="2" s="1"/>
  <c r="BA51" i="2" s="1"/>
  <c r="AW43" i="2"/>
  <c r="AX43" i="2" s="1"/>
  <c r="AY43" i="2" s="1"/>
  <c r="AZ43" i="2" s="1"/>
  <c r="BA43" i="2" s="1"/>
  <c r="AW44" i="2"/>
  <c r="AX44" i="2" s="1"/>
  <c r="AY44" i="2" s="1"/>
  <c r="AZ44" i="2" s="1"/>
  <c r="BA44" i="2" s="1"/>
  <c r="AX64" i="2"/>
  <c r="AY64" i="2" s="1"/>
  <c r="AZ64" i="2" s="1"/>
  <c r="BA64" i="2" s="1"/>
  <c r="AW38" i="2"/>
  <c r="AX38" i="2" s="1"/>
  <c r="AY38" i="2" s="1"/>
  <c r="AZ38" i="2" s="1"/>
  <c r="BA38" i="2" s="1"/>
  <c r="AW52" i="2"/>
  <c r="AX52" i="2" s="1"/>
  <c r="AY52" i="2" s="1"/>
  <c r="AZ52" i="2" s="1"/>
  <c r="BA52" i="2" s="1"/>
  <c r="AW45" i="2"/>
  <c r="AX45" i="2" s="1"/>
  <c r="AY45" i="2" s="1"/>
  <c r="AZ45" i="2" s="1"/>
  <c r="BA45" i="2" s="1"/>
  <c r="AW67" i="2"/>
  <c r="AX67" i="2" s="1"/>
  <c r="AY67" i="2" s="1"/>
  <c r="AZ67" i="2" s="1"/>
  <c r="BA67" i="2" s="1"/>
  <c r="AW59" i="2"/>
  <c r="AX59" i="2" s="1"/>
  <c r="AY59" i="2" s="1"/>
  <c r="AZ59" i="2" s="1"/>
  <c r="BA59" i="2" s="1"/>
  <c r="AW68" i="2"/>
  <c r="AX68" i="2" s="1"/>
  <c r="AY68" i="2" s="1"/>
  <c r="AZ68" i="2" s="1"/>
  <c r="BA68" i="2" s="1"/>
  <c r="AW60" i="2"/>
  <c r="AX60" i="2" s="1"/>
  <c r="AY60" i="2" s="1"/>
  <c r="AZ60" i="2" s="1"/>
  <c r="BA60" i="2" s="1"/>
  <c r="AX37" i="2"/>
  <c r="AY37" i="2" s="1"/>
  <c r="AZ37" i="2" s="1"/>
  <c r="BA37" i="2" s="1"/>
  <c r="AX41" i="2"/>
  <c r="AY41" i="2" s="1"/>
  <c r="AZ41" i="2" s="1"/>
  <c r="BA41" i="2" s="1"/>
  <c r="AX47" i="2"/>
  <c r="AY47" i="2" s="1"/>
  <c r="AZ47" i="2" s="1"/>
  <c r="BA47" i="2" s="1"/>
  <c r="AX39" i="2"/>
  <c r="AY39" i="2" s="1"/>
  <c r="AZ39" i="2" s="1"/>
  <c r="BA39" i="2" s="1"/>
  <c r="AX49" i="2"/>
  <c r="AY49" i="2" s="1"/>
  <c r="AZ49" i="2" s="1"/>
  <c r="BA49" i="2" s="1"/>
  <c r="AF22" i="2"/>
  <c r="AU22" i="2" s="1"/>
  <c r="AW22" i="2" s="1"/>
  <c r="AX22" i="2" s="1"/>
  <c r="AY22" i="2" s="1"/>
  <c r="AZ22" i="2" s="1"/>
  <c r="BA22" i="2" s="1"/>
  <c r="AF23" i="2"/>
  <c r="AU23" i="2" s="1"/>
  <c r="AW23" i="2" s="1"/>
  <c r="AX23" i="2" s="1"/>
  <c r="AY23" i="2" s="1"/>
  <c r="AZ23" i="2" s="1"/>
  <c r="BA23" i="2" s="1"/>
  <c r="AF24" i="2"/>
  <c r="AU24" i="2" s="1"/>
  <c r="AW24" i="2" s="1"/>
  <c r="AX24" i="2" s="1"/>
  <c r="AY24" i="2" s="1"/>
  <c r="AZ24" i="2" s="1"/>
  <c r="BA24" i="2" s="1"/>
  <c r="AF25" i="2"/>
  <c r="AU25" i="2" s="1"/>
  <c r="AW25" i="2" s="1"/>
  <c r="AX25" i="2" s="1"/>
  <c r="AY25" i="2" s="1"/>
  <c r="AZ25" i="2" s="1"/>
  <c r="BA25" i="2" s="1"/>
  <c r="AF26" i="2"/>
  <c r="AU26" i="2" s="1"/>
  <c r="AW26" i="2" s="1"/>
  <c r="AX26" i="2" s="1"/>
  <c r="AY26" i="2" s="1"/>
  <c r="AZ26" i="2" s="1"/>
  <c r="BA26" i="2" s="1"/>
  <c r="AF27" i="2"/>
  <c r="AU27" i="2" s="1"/>
  <c r="AW27" i="2" s="1"/>
  <c r="AX27" i="2" s="1"/>
  <c r="AY27" i="2" s="1"/>
  <c r="AZ27" i="2" s="1"/>
  <c r="BA27" i="2" s="1"/>
  <c r="AF28" i="2"/>
  <c r="AU28" i="2" s="1"/>
  <c r="AW28" i="2" s="1"/>
  <c r="AX28" i="2" s="1"/>
  <c r="AY28" i="2" s="1"/>
  <c r="AZ28" i="2" s="1"/>
  <c r="BA28" i="2" s="1"/>
  <c r="AF29" i="2"/>
  <c r="AU29" i="2" s="1"/>
  <c r="AW29" i="2" s="1"/>
  <c r="AX29" i="2" s="1"/>
  <c r="AY29" i="2" s="1"/>
  <c r="AZ29" i="2" s="1"/>
  <c r="BA29" i="2" s="1"/>
  <c r="AF30" i="2"/>
  <c r="AU30" i="2" s="1"/>
  <c r="AW30" i="2" s="1"/>
  <c r="AX30" i="2" s="1"/>
  <c r="AY30" i="2" s="1"/>
  <c r="AZ30" i="2" s="1"/>
  <c r="BA30" i="2" s="1"/>
  <c r="AF31" i="2"/>
  <c r="AU31" i="2" s="1"/>
  <c r="AW31" i="2" s="1"/>
  <c r="AX31" i="2" s="1"/>
  <c r="AY31" i="2" s="1"/>
  <c r="AZ31" i="2" s="1"/>
  <c r="BA31" i="2" s="1"/>
  <c r="AF32" i="2"/>
  <c r="AU32" i="2" s="1"/>
  <c r="AW32" i="2" s="1"/>
  <c r="AX32" i="2" s="1"/>
  <c r="AY32" i="2" s="1"/>
  <c r="AZ32" i="2" s="1"/>
  <c r="BA32" i="2" s="1"/>
  <c r="AF33" i="2"/>
  <c r="AU33" i="2" s="1"/>
  <c r="AW33" i="2" s="1"/>
  <c r="AX33" i="2" s="1"/>
  <c r="AY33" i="2" s="1"/>
  <c r="AZ33" i="2" s="1"/>
  <c r="BA33" i="2" s="1"/>
  <c r="AF34" i="2"/>
  <c r="AU34" i="2" s="1"/>
  <c r="AW34" i="2" s="1"/>
  <c r="AX34" i="2" s="1"/>
  <c r="AY34" i="2" s="1"/>
  <c r="AZ34" i="2" s="1"/>
  <c r="BA34" i="2" s="1"/>
  <c r="AF35" i="2"/>
  <c r="AU35" i="2" s="1"/>
  <c r="AW35" i="2" s="1"/>
  <c r="AX35" i="2" s="1"/>
  <c r="AY35" i="2" s="1"/>
  <c r="AZ35" i="2" s="1"/>
  <c r="BA35" i="2" s="1"/>
  <c r="AF36" i="2"/>
  <c r="AU36" i="2" s="1"/>
  <c r="AW36" i="2" s="1"/>
  <c r="AX36" i="2" s="1"/>
  <c r="AY36" i="2" s="1"/>
  <c r="AZ36" i="2" s="1"/>
  <c r="BA36" i="2" s="1"/>
  <c r="AF21" i="2"/>
  <c r="AU21" i="2" s="1"/>
  <c r="AW21" i="2" s="1"/>
  <c r="AX21" i="2" s="1"/>
  <c r="AY21" i="2" s="1"/>
  <c r="AZ21" i="2" s="1"/>
  <c r="BA21" i="2" s="1"/>
  <c r="M4" i="2"/>
  <c r="L4" i="2"/>
  <c r="M3" i="2"/>
  <c r="L3" i="2"/>
  <c r="M2" i="2"/>
  <c r="L2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1" i="2"/>
  <c r="D709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5" i="2"/>
  <c r="F375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D719" i="2" l="1"/>
  <c r="D717" i="2"/>
  <c r="D718" i="2"/>
  <c r="D724" i="2"/>
  <c r="D716" i="2"/>
  <c r="D712" i="2"/>
  <c r="D711" i="2"/>
  <c r="D710" i="2"/>
  <c r="D723" i="2"/>
  <c r="D715" i="2"/>
  <c r="D720" i="2"/>
  <c r="D722" i="2"/>
  <c r="D714" i="2"/>
  <c r="D721" i="2"/>
  <c r="D713" i="2"/>
  <c r="L9" i="2"/>
  <c r="L8" i="2"/>
  <c r="L12" i="2"/>
  <c r="L16" i="2"/>
  <c r="L20" i="2"/>
  <c r="L17" i="2"/>
  <c r="L13" i="2"/>
  <c r="L5" i="2"/>
  <c r="L6" i="2"/>
  <c r="L10" i="2"/>
  <c r="L14" i="2"/>
  <c r="L18" i="2"/>
  <c r="L15" i="2"/>
  <c r="L7" i="2"/>
  <c r="L11" i="2"/>
  <c r="L19" i="2"/>
  <c r="M7" i="2"/>
  <c r="M11" i="2"/>
  <c r="M15" i="2"/>
  <c r="M19" i="2"/>
  <c r="M17" i="2"/>
  <c r="M9" i="2"/>
  <c r="M8" i="2"/>
  <c r="M12" i="2"/>
  <c r="M16" i="2"/>
  <c r="M20" i="2"/>
  <c r="M13" i="2"/>
  <c r="M5" i="2"/>
  <c r="M6" i="2"/>
  <c r="M10" i="2"/>
  <c r="M14" i="2"/>
  <c r="M18" i="2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F3" i="26"/>
  <c r="F2" i="26"/>
  <c r="F3" i="25" l="1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2" i="25"/>
  <c r="F340" i="7" l="1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17" i="24" l="1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F2" i="24"/>
  <c r="F323" i="7" l="1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9" i="23" l="1"/>
  <c r="F8" i="23"/>
  <c r="F7" i="23"/>
  <c r="F6" i="23"/>
  <c r="F5" i="23"/>
  <c r="F4" i="23"/>
  <c r="F3" i="23"/>
  <c r="F2" i="23"/>
  <c r="F17" i="23"/>
  <c r="F16" i="23"/>
  <c r="F15" i="23"/>
  <c r="F14" i="23"/>
  <c r="F13" i="23"/>
  <c r="F12" i="23"/>
  <c r="F11" i="23"/>
  <c r="F10" i="23"/>
  <c r="F17" i="22" l="1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F2" i="22"/>
  <c r="F17" i="21" l="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2" i="21"/>
  <c r="F272" i="7" l="1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17" i="19" l="1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F255" i="7" l="1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17" i="18" l="1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F238" i="7" l="1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17" i="17" l="1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206" i="7" l="1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04" i="7" l="1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F171" i="7" l="1"/>
  <c r="F156" i="7" s="1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5" i="7"/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2" i="14"/>
  <c r="F17" i="13" l="1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154" i="7" l="1"/>
  <c r="F139" i="7" s="1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8" i="7"/>
  <c r="F137" i="7" l="1"/>
  <c r="F122" i="7" s="1"/>
  <c r="F120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1" i="7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19" i="7" l="1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7" i="10" l="1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103" i="7" l="1"/>
  <c r="F88" i="7" s="1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7" i="7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N2" i="9"/>
  <c r="L2" i="9"/>
  <c r="K2" i="9"/>
  <c r="F85" i="7" l="1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18" i="7" l="1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1" i="7"/>
  <c r="F50" i="7"/>
  <c r="F49" i="7"/>
  <c r="F48" i="7"/>
  <c r="F47" i="7"/>
  <c r="F46" i="7"/>
  <c r="F45" i="7"/>
  <c r="F44" i="7"/>
  <c r="F43" i="7"/>
  <c r="F42" i="7"/>
  <c r="F41" i="7"/>
  <c r="F39" i="7"/>
  <c r="F38" i="7"/>
  <c r="F37" i="7"/>
  <c r="F36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3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18" i="5" l="1"/>
  <c r="F6" i="5" l="1"/>
  <c r="F17" i="5" l="1"/>
  <c r="F16" i="5"/>
  <c r="F15" i="5"/>
  <c r="F14" i="5"/>
  <c r="F13" i="5"/>
  <c r="F12" i="5"/>
  <c r="F11" i="5"/>
  <c r="F10" i="5"/>
  <c r="F9" i="5"/>
  <c r="F8" i="5"/>
  <c r="F7" i="5"/>
  <c r="F5" i="5"/>
  <c r="F4" i="5"/>
  <c r="F3" i="5"/>
  <c r="F2" i="5"/>
  <c r="F17" i="4" l="1"/>
  <c r="F16" i="4"/>
  <c r="F15" i="4"/>
  <c r="F14" i="4"/>
  <c r="F13" i="4"/>
  <c r="F12" i="4"/>
  <c r="F11" i="4"/>
  <c r="F10" i="4"/>
  <c r="F9" i="4"/>
  <c r="F8" i="4"/>
  <c r="F7" i="4"/>
  <c r="F5" i="4"/>
  <c r="F4" i="4"/>
  <c r="F3" i="4"/>
  <c r="F2" i="4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Frederik Rask Dalby</author>
  </authors>
  <commentList>
    <comment ref="O13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 xml:space="preserve">The bag was blocked so no air in the bag at measuring day. Therefore it was filled ower 30 min the 20th of marts instead 
</t>
        </r>
      </text>
    </comment>
  </commentList>
</comments>
</file>

<file path=xl/sharedStrings.xml><?xml version="1.0" encoding="utf-8"?>
<sst xmlns="http://schemas.openxmlformats.org/spreadsheetml/2006/main" count="2903" uniqueCount="151">
  <si>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</si>
  <si>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</si>
  <si>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</si>
  <si>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</si>
  <si>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</si>
  <si>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</si>
  <si>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</si>
  <si>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</si>
  <si>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</si>
  <si>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</si>
  <si>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</si>
  <si>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</si>
  <si>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</si>
  <si>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</si>
  <si>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</si>
  <si>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</si>
  <si>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gas</t>
  </si>
  <si>
    <t>temp</t>
  </si>
  <si>
    <t>n2</t>
  </si>
  <si>
    <t>air</t>
  </si>
  <si>
    <t>flow</t>
  </si>
  <si>
    <t>bg</t>
  </si>
  <si>
    <t>time</t>
  </si>
  <si>
    <t>ch4</t>
  </si>
  <si>
    <t>co2</t>
  </si>
  <si>
    <t>corr flow</t>
  </si>
  <si>
    <t>delta CH4</t>
  </si>
  <si>
    <t>time (real time)</t>
  </si>
  <si>
    <t>date</t>
  </si>
  <si>
    <t>reactor</t>
  </si>
  <si>
    <t>R2 rep from last week check loss of ch4 and co2</t>
  </si>
  <si>
    <t>ch4 05-07</t>
  </si>
  <si>
    <t>co2 05-07</t>
  </si>
  <si>
    <t>loss co2</t>
  </si>
  <si>
    <t>loss ch4</t>
  </si>
  <si>
    <t>delta 05-07</t>
  </si>
  <si>
    <t>delta loss</t>
  </si>
  <si>
    <t>delta CO2</t>
  </si>
  <si>
    <t>measured on scouter</t>
  </si>
  <si>
    <t>measured on isotope</t>
  </si>
  <si>
    <t>corrected to isotope calibration</t>
  </si>
  <si>
    <t>measured with gas scouter</t>
  </si>
  <si>
    <t>7.02 (picarro time)</t>
  </si>
  <si>
    <t>very high</t>
  </si>
  <si>
    <t>cor_flow</t>
  </si>
  <si>
    <t>meas_flow</t>
  </si>
  <si>
    <t>na</t>
  </si>
  <si>
    <t>tare</t>
  </si>
  <si>
    <t>wet_weight</t>
  </si>
  <si>
    <t>NA</t>
  </si>
  <si>
    <t>start1</t>
  </si>
  <si>
    <t>start2</t>
  </si>
  <si>
    <t>start3</t>
  </si>
  <si>
    <t>dm</t>
  </si>
  <si>
    <t>vs</t>
  </si>
  <si>
    <t>pH</t>
  </si>
  <si>
    <t>day</t>
  </si>
  <si>
    <t>tot_weight</t>
  </si>
  <si>
    <t>bio_wet_weight</t>
  </si>
  <si>
    <t>bio_tare</t>
  </si>
  <si>
    <t>bio_tot_weight</t>
  </si>
  <si>
    <t>vol_vented</t>
  </si>
  <si>
    <t>room_pres</t>
  </si>
  <si>
    <t>room_temp</t>
  </si>
  <si>
    <t>delta_ch4</t>
  </si>
  <si>
    <t>delta_co2</t>
  </si>
  <si>
    <t>GD_weight_before</t>
  </si>
  <si>
    <t>R</t>
  </si>
  <si>
    <t>tot_weight_water</t>
  </si>
  <si>
    <t>manure_weight</t>
  </si>
  <si>
    <t>water_weight</t>
  </si>
  <si>
    <t>dilution</t>
  </si>
  <si>
    <t>tare_weight</t>
  </si>
  <si>
    <t>temp_HS</t>
  </si>
  <si>
    <t>HS_vol</t>
  </si>
  <si>
    <t>p_amb</t>
  </si>
  <si>
    <t>p_HS</t>
  </si>
  <si>
    <t>p_H2O</t>
  </si>
  <si>
    <t>cH2O</t>
  </si>
  <si>
    <t>rho_b</t>
  </si>
  <si>
    <t>M_b</t>
  </si>
  <si>
    <t>x_CH4</t>
  </si>
  <si>
    <t>lig</t>
  </si>
  <si>
    <t>cel</t>
  </si>
  <si>
    <t>hem</t>
  </si>
  <si>
    <t>lip</t>
  </si>
  <si>
    <t>tan</t>
  </si>
  <si>
    <t>tn</t>
  </si>
  <si>
    <t>vfa</t>
  </si>
  <si>
    <t>none</t>
  </si>
  <si>
    <t>room</t>
  </si>
  <si>
    <t>mass_leaked</t>
  </si>
  <si>
    <t>mass_vented</t>
  </si>
  <si>
    <t>datetime</t>
  </si>
  <si>
    <t>andmanure</t>
  </si>
  <si>
    <t>afterdry</t>
  </si>
  <si>
    <t>and manure</t>
  </si>
  <si>
    <t>afterburn</t>
  </si>
  <si>
    <t>ash</t>
  </si>
  <si>
    <t>ch4 conc</t>
  </si>
  <si>
    <t>co2 conc</t>
  </si>
  <si>
    <t>dch4</t>
  </si>
  <si>
    <t>dco2</t>
  </si>
  <si>
    <t>temp.org</t>
  </si>
  <si>
    <t>gas.org</t>
  </si>
  <si>
    <t>NHx-N_mean</t>
  </si>
  <si>
    <t>NHx-N_sd</t>
  </si>
  <si>
    <t>TN_mean</t>
  </si>
  <si>
    <t>TN_sd</t>
  </si>
  <si>
    <t>TS_mean</t>
  </si>
  <si>
    <t>TS_sd</t>
  </si>
  <si>
    <t>TP-P_mean</t>
  </si>
  <si>
    <t>TP-P_sd</t>
  </si>
  <si>
    <t>Na+_mean</t>
  </si>
  <si>
    <t>Na+_sd</t>
  </si>
  <si>
    <t>1</t>
  </si>
  <si>
    <t>10</t>
  </si>
  <si>
    <t>11</t>
  </si>
  <si>
    <t>12</t>
  </si>
  <si>
    <t>13</t>
  </si>
  <si>
    <t>14</t>
  </si>
  <si>
    <t>15</t>
  </si>
  <si>
    <t>16</t>
  </si>
  <si>
    <t>2</t>
  </si>
  <si>
    <t>3</t>
  </si>
  <si>
    <t>4</t>
  </si>
  <si>
    <t>5</t>
  </si>
  <si>
    <t>6</t>
  </si>
  <si>
    <t>7</t>
  </si>
  <si>
    <t>8</t>
  </si>
  <si>
    <t>9</t>
  </si>
  <si>
    <t>P0 A</t>
  </si>
  <si>
    <t>P0 B</t>
  </si>
  <si>
    <t>P0 C</t>
  </si>
  <si>
    <t>acetic</t>
  </si>
  <si>
    <t>iso-butanoic</t>
  </si>
  <si>
    <t>butanoic</t>
  </si>
  <si>
    <t>meth-butyric</t>
  </si>
  <si>
    <t>pentanoic</t>
  </si>
  <si>
    <t>isocaproic</t>
  </si>
  <si>
    <t>hexanoic</t>
  </si>
  <si>
    <t>sum</t>
  </si>
  <si>
    <t>propanoic</t>
  </si>
  <si>
    <t>GD_weight_after</t>
  </si>
  <si>
    <t>GC_CH4</t>
  </si>
  <si>
    <t>GC_CO2</t>
  </si>
  <si>
    <t>x_CH4_GC</t>
  </si>
  <si>
    <t>ndf</t>
  </si>
  <si>
    <t>adf</t>
  </si>
  <si>
    <t>days</t>
  </si>
  <si>
    <t>iso-caproic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</si>
</sst>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workbookViewId="0">
      <selection activeCell="B22" sqref="B22"/>
    </sheetView>
  </sheetViews>
  <sheetFormatPr defaultRowHeight="15" x14ac:dyDescent="0.25"/>
  <sheetData>
    <row r="1" spans="1:6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5">
      <c r="A2" t="s">
        <v>0</v>
      </c>
      <c r="B2">
        <v>7.1999999999999995E-2</v>
      </c>
      <c r="C2" s="1">
        <v>0.29791666666666666</v>
      </c>
      <c r="D2">
        <v>11.374000000000001</v>
      </c>
      <c r="E2">
        <v>338.3</v>
      </c>
      <c r="F2">
        <f>(B2-$B$18)</f>
        <v>6.3E-2</v>
      </c>
    </row>
    <row r="3" spans="1:6" x14ac:dyDescent="0.25">
      <c r="A3" t="s">
        <v>1</v>
      </c>
      <c r="B3">
        <v>8.2000000000000003E-2</v>
      </c>
      <c r="C3" s="1">
        <v>0.3125</v>
      </c>
      <c r="D3">
        <v>9.6379999999999999</v>
      </c>
      <c r="E3">
        <v>348.23500000000001</v>
      </c>
      <c r="F3">
        <f t="shared" ref="F3:F17" si="0">(B3-$B$18)</f>
        <v>7.3000000000000009E-2</v>
      </c>
    </row>
    <row r="4" spans="1:6" x14ac:dyDescent="0.25">
      <c r="A4" t="s">
        <v>2</v>
      </c>
      <c r="B4">
        <v>9.0999999999999998E-2</v>
      </c>
      <c r="C4" s="1">
        <v>0.32847222222222222</v>
      </c>
      <c r="D4">
        <v>5.2210000000000001</v>
      </c>
      <c r="E4">
        <v>320.18</v>
      </c>
      <c r="F4">
        <f t="shared" si="0"/>
        <v>8.2000000000000003E-2</v>
      </c>
    </row>
    <row r="5" spans="1:6" x14ac:dyDescent="0.25">
      <c r="A5" t="s">
        <v>3</v>
      </c>
      <c r="B5">
        <v>0.09</v>
      </c>
      <c r="C5" s="1">
        <v>0.35069444444444442</v>
      </c>
      <c r="D5">
        <v>7.2</v>
      </c>
      <c r="E5">
        <v>313.69</v>
      </c>
      <c r="F5">
        <f t="shared" si="0"/>
        <v>8.1000000000000003E-2</v>
      </c>
    </row>
    <row r="6" spans="1:6" x14ac:dyDescent="0.25">
      <c r="A6" t="s">
        <v>4</v>
      </c>
      <c r="B6">
        <v>9.2999999999999999E-2</v>
      </c>
      <c r="C6" s="1">
        <v>0.37222222222222223</v>
      </c>
      <c r="D6">
        <v>16</v>
      </c>
      <c r="E6">
        <v>371.5</v>
      </c>
      <c r="F6">
        <f t="shared" si="0"/>
        <v>8.4000000000000005E-2</v>
      </c>
    </row>
    <row r="7" spans="1:6" x14ac:dyDescent="0.25">
      <c r="A7" t="s">
        <v>5</v>
      </c>
      <c r="B7">
        <v>8.3000000000000004E-2</v>
      </c>
      <c r="C7" s="1">
        <v>0.38472222222222219</v>
      </c>
      <c r="D7">
        <v>13</v>
      </c>
      <c r="E7">
        <v>373.96</v>
      </c>
      <c r="F7">
        <f t="shared" si="0"/>
        <v>7.400000000000001E-2</v>
      </c>
    </row>
    <row r="8" spans="1:6" x14ac:dyDescent="0.25">
      <c r="A8" t="s">
        <v>6</v>
      </c>
      <c r="B8">
        <v>8.3000000000000004E-2</v>
      </c>
      <c r="C8" s="1">
        <v>0.40069444444444446</v>
      </c>
      <c r="D8">
        <v>14.186</v>
      </c>
      <c r="E8">
        <v>393.4</v>
      </c>
      <c r="F8">
        <f t="shared" si="0"/>
        <v>7.400000000000001E-2</v>
      </c>
    </row>
    <row r="9" spans="1:6" x14ac:dyDescent="0.25">
      <c r="A9" t="s">
        <v>7</v>
      </c>
      <c r="B9">
        <v>9.0999999999999998E-2</v>
      </c>
      <c r="C9" s="1">
        <v>0.42152777777777778</v>
      </c>
      <c r="D9">
        <v>9.81</v>
      </c>
      <c r="E9">
        <v>371</v>
      </c>
      <c r="F9">
        <f t="shared" si="0"/>
        <v>8.2000000000000003E-2</v>
      </c>
    </row>
    <row r="10" spans="1:6" x14ac:dyDescent="0.25">
      <c r="A10" t="s">
        <v>8</v>
      </c>
      <c r="B10">
        <v>7.3999999999999996E-2</v>
      </c>
      <c r="D10">
        <v>13.54</v>
      </c>
      <c r="E10">
        <v>1077</v>
      </c>
      <c r="F10">
        <f t="shared" si="0"/>
        <v>6.5000000000000002E-2</v>
      </c>
    </row>
    <row r="11" spans="1:6" x14ac:dyDescent="0.25">
      <c r="A11" t="s">
        <v>9</v>
      </c>
      <c r="B11">
        <v>7.3999999999999996E-2</v>
      </c>
      <c r="C11" s="1">
        <v>0.45347222222222222</v>
      </c>
      <c r="D11">
        <v>13.6</v>
      </c>
      <c r="E11">
        <v>1120.2070000000001</v>
      </c>
      <c r="F11">
        <f t="shared" si="0"/>
        <v>6.5000000000000002E-2</v>
      </c>
    </row>
    <row r="12" spans="1:6" x14ac:dyDescent="0.25">
      <c r="A12" t="s">
        <v>10</v>
      </c>
      <c r="B12">
        <v>6.3E-2</v>
      </c>
      <c r="C12" s="1">
        <v>0.46180555555555558</v>
      </c>
      <c r="D12">
        <v>14.045</v>
      </c>
      <c r="E12">
        <v>1130.56</v>
      </c>
      <c r="F12">
        <f t="shared" si="0"/>
        <v>5.3999999999999999E-2</v>
      </c>
    </row>
    <row r="13" spans="1:6" x14ac:dyDescent="0.25">
      <c r="A13" t="s">
        <v>11</v>
      </c>
      <c r="B13">
        <v>0.06</v>
      </c>
      <c r="C13" s="1">
        <v>0.47222222222222227</v>
      </c>
      <c r="D13">
        <v>26.7</v>
      </c>
      <c r="E13">
        <v>1240</v>
      </c>
      <c r="F13">
        <f t="shared" si="0"/>
        <v>5.0999999999999997E-2</v>
      </c>
    </row>
    <row r="14" spans="1:6" x14ac:dyDescent="0.25">
      <c r="A14" t="s">
        <v>12</v>
      </c>
      <c r="B14">
        <v>7.2999999999999995E-2</v>
      </c>
      <c r="C14" s="1">
        <v>0.48541666666666666</v>
      </c>
      <c r="D14">
        <v>81.3</v>
      </c>
      <c r="E14">
        <v>2022</v>
      </c>
      <c r="F14">
        <f t="shared" si="0"/>
        <v>6.4000000000000001E-2</v>
      </c>
    </row>
    <row r="15" spans="1:6" x14ac:dyDescent="0.25">
      <c r="A15" t="s">
        <v>13</v>
      </c>
      <c r="B15">
        <v>7.2999999999999995E-2</v>
      </c>
      <c r="C15" s="1">
        <v>0.50277777777777777</v>
      </c>
      <c r="D15">
        <v>98.2</v>
      </c>
      <c r="E15">
        <v>2004</v>
      </c>
      <c r="F15">
        <f t="shared" si="0"/>
        <v>6.4000000000000001E-2</v>
      </c>
    </row>
    <row r="16" spans="1:6" x14ac:dyDescent="0.25">
      <c r="A16" t="s">
        <v>14</v>
      </c>
      <c r="B16">
        <v>6.0999999999999999E-2</v>
      </c>
      <c r="C16" s="1">
        <v>0.51388888888888895</v>
      </c>
      <c r="D16">
        <v>145.5</v>
      </c>
      <c r="E16">
        <v>2394</v>
      </c>
      <c r="F16">
        <f t="shared" si="0"/>
        <v>5.1999999999999998E-2</v>
      </c>
    </row>
    <row r="17" spans="1:6" x14ac:dyDescent="0.25">
      <c r="A17" t="s">
        <v>15</v>
      </c>
      <c r="B17">
        <v>6.6000000000000003E-2</v>
      </c>
      <c r="C17" s="1">
        <v>0.52430555555555558</v>
      </c>
      <c r="D17">
        <v>60.8</v>
      </c>
      <c r="E17">
        <v>2250</v>
      </c>
      <c r="F17">
        <f t="shared" si="0"/>
        <v>5.7000000000000002E-2</v>
      </c>
    </row>
    <row r="18" spans="1:6" x14ac:dyDescent="0.25">
      <c r="A18" t="s">
        <v>21</v>
      </c>
      <c r="B18">
        <v>8.9999999999999993E-3</v>
      </c>
      <c r="D18">
        <v>2.0299999999999998</v>
      </c>
      <c r="E18">
        <v>464.59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workbookViewId="0">
      <selection activeCell="F21" sqref="F21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5.0999999999999997E-2</v>
      </c>
      <c r="C2" s="1">
        <v>7.03</v>
      </c>
      <c r="D2">
        <v>12.77</v>
      </c>
      <c r="E2">
        <v>122.1</v>
      </c>
      <c r="F2">
        <f>B2*1.15</f>
        <v>5.8649999999999994E-2</v>
      </c>
      <c r="G2">
        <v>-73</v>
      </c>
    </row>
    <row r="3" spans="1:8" x14ac:dyDescent="0.25">
      <c r="A3" t="s">
        <v>1</v>
      </c>
      <c r="B3">
        <v>0.05</v>
      </c>
      <c r="C3" s="1"/>
      <c r="D3">
        <v>13.52</v>
      </c>
      <c r="E3">
        <v>129.19999999999999</v>
      </c>
      <c r="F3">
        <f>B3*1.15-F18</f>
        <v>5.7499999999999996E-2</v>
      </c>
      <c r="G3">
        <v>-73.34</v>
      </c>
    </row>
    <row r="4" spans="1:8" x14ac:dyDescent="0.25">
      <c r="A4" t="s">
        <v>2</v>
      </c>
      <c r="B4">
        <v>5.1999999999999998E-2</v>
      </c>
      <c r="C4" s="1"/>
      <c r="D4">
        <v>14.99</v>
      </c>
      <c r="E4">
        <v>117.2</v>
      </c>
      <c r="F4">
        <f t="shared" ref="F4:F17" si="0">B4*1.15</f>
        <v>5.9799999999999992E-2</v>
      </c>
      <c r="G4">
        <v>-71.709999999999994</v>
      </c>
    </row>
    <row r="5" spans="1:8" x14ac:dyDescent="0.25">
      <c r="A5" t="s">
        <v>3</v>
      </c>
      <c r="B5">
        <v>5.1999999999999998E-2</v>
      </c>
      <c r="C5" s="1"/>
      <c r="D5">
        <v>15.05</v>
      </c>
      <c r="E5">
        <v>120.2</v>
      </c>
      <c r="F5">
        <f t="shared" si="0"/>
        <v>5.9799999999999992E-2</v>
      </c>
      <c r="G5">
        <v>-72.319999999999993</v>
      </c>
    </row>
    <row r="6" spans="1:8" x14ac:dyDescent="0.25">
      <c r="A6" t="s">
        <v>4</v>
      </c>
      <c r="B6">
        <v>5.3999999999999999E-2</v>
      </c>
      <c r="C6" s="1"/>
      <c r="D6">
        <v>88.77</v>
      </c>
      <c r="E6">
        <v>181</v>
      </c>
      <c r="F6">
        <f t="shared" si="0"/>
        <v>6.2099999999999995E-2</v>
      </c>
      <c r="G6">
        <v>-86.2</v>
      </c>
    </row>
    <row r="7" spans="1:8" x14ac:dyDescent="0.25">
      <c r="A7" t="s">
        <v>5</v>
      </c>
      <c r="B7">
        <v>5.2999999999999999E-2</v>
      </c>
      <c r="C7" s="1"/>
      <c r="D7">
        <v>67.87</v>
      </c>
      <c r="E7">
        <v>166</v>
      </c>
      <c r="F7">
        <f t="shared" si="0"/>
        <v>6.094999999999999E-2</v>
      </c>
      <c r="G7">
        <v>-84.57</v>
      </c>
    </row>
    <row r="8" spans="1:8" x14ac:dyDescent="0.25">
      <c r="A8" t="s">
        <v>6</v>
      </c>
      <c r="B8">
        <v>5.6000000000000001E-2</v>
      </c>
      <c r="C8" s="1"/>
      <c r="D8">
        <v>80.64</v>
      </c>
      <c r="E8">
        <v>159.5</v>
      </c>
      <c r="F8">
        <f t="shared" si="0"/>
        <v>6.4399999999999999E-2</v>
      </c>
      <c r="G8">
        <v>-85.77</v>
      </c>
    </row>
    <row r="9" spans="1:8" x14ac:dyDescent="0.25">
      <c r="A9" t="s">
        <v>7</v>
      </c>
      <c r="B9">
        <v>5.6000000000000001E-2</v>
      </c>
      <c r="C9" s="1"/>
      <c r="D9">
        <v>71.540000000000006</v>
      </c>
      <c r="E9">
        <v>177.8</v>
      </c>
      <c r="F9">
        <f t="shared" si="0"/>
        <v>6.4399999999999999E-2</v>
      </c>
      <c r="G9">
        <v>-83.82</v>
      </c>
    </row>
    <row r="10" spans="1:8" x14ac:dyDescent="0.25">
      <c r="A10" t="s">
        <v>8</v>
      </c>
      <c r="B10">
        <v>5.0999999999999997E-2</v>
      </c>
      <c r="C10" s="1"/>
      <c r="D10">
        <v>34</v>
      </c>
      <c r="E10">
        <v>1054.7</v>
      </c>
      <c r="F10">
        <f t="shared" si="0"/>
        <v>5.8649999999999994E-2</v>
      </c>
      <c r="G10">
        <v>-84.05</v>
      </c>
    </row>
    <row r="11" spans="1:8" x14ac:dyDescent="0.25">
      <c r="A11" t="s">
        <v>9</v>
      </c>
      <c r="B11">
        <v>4.8000000000000001E-2</v>
      </c>
      <c r="C11" s="1"/>
      <c r="D11">
        <v>37.04</v>
      </c>
      <c r="E11">
        <v>1028</v>
      </c>
      <c r="F11">
        <f t="shared" si="0"/>
        <v>5.5199999999999999E-2</v>
      </c>
      <c r="G11">
        <v>-84.65</v>
      </c>
    </row>
    <row r="12" spans="1:8" x14ac:dyDescent="0.25">
      <c r="A12" t="s">
        <v>10</v>
      </c>
      <c r="B12">
        <v>4.9000000000000002E-2</v>
      </c>
      <c r="C12" s="1"/>
      <c r="D12">
        <v>30.8</v>
      </c>
      <c r="E12">
        <v>1010</v>
      </c>
      <c r="F12">
        <f t="shared" si="0"/>
        <v>5.6349999999999997E-2</v>
      </c>
      <c r="G12">
        <v>-82.72</v>
      </c>
    </row>
    <row r="13" spans="1:8" x14ac:dyDescent="0.25">
      <c r="A13" t="s">
        <v>11</v>
      </c>
      <c r="B13">
        <v>4.7E-2</v>
      </c>
      <c r="C13" s="1"/>
      <c r="D13">
        <v>30.62</v>
      </c>
      <c r="E13">
        <v>1053</v>
      </c>
      <c r="F13">
        <f t="shared" si="0"/>
        <v>5.4049999999999994E-2</v>
      </c>
      <c r="G13">
        <v>-81.41</v>
      </c>
    </row>
    <row r="14" spans="1:8" x14ac:dyDescent="0.25">
      <c r="A14" t="s">
        <v>12</v>
      </c>
      <c r="B14">
        <v>4.8000000000000001E-2</v>
      </c>
      <c r="C14" s="1"/>
      <c r="D14">
        <v>375.04199999999997</v>
      </c>
      <c r="E14">
        <v>1984</v>
      </c>
      <c r="F14">
        <f t="shared" si="0"/>
        <v>5.5199999999999999E-2</v>
      </c>
      <c r="G14">
        <v>-95.52</v>
      </c>
    </row>
    <row r="15" spans="1:8" x14ac:dyDescent="0.25">
      <c r="A15" t="s">
        <v>13</v>
      </c>
      <c r="B15">
        <v>4.9000000000000002E-2</v>
      </c>
      <c r="C15" s="1"/>
      <c r="D15">
        <v>385</v>
      </c>
      <c r="E15">
        <v>1959</v>
      </c>
      <c r="F15">
        <f t="shared" si="0"/>
        <v>5.6349999999999997E-2</v>
      </c>
      <c r="G15">
        <v>-96.79</v>
      </c>
    </row>
    <row r="16" spans="1:8" x14ac:dyDescent="0.25">
      <c r="A16" t="s">
        <v>14</v>
      </c>
      <c r="B16">
        <v>0.05</v>
      </c>
      <c r="C16" s="1"/>
      <c r="D16">
        <v>391.6</v>
      </c>
      <c r="E16">
        <v>2016</v>
      </c>
      <c r="F16">
        <f t="shared" si="0"/>
        <v>5.7499999999999996E-2</v>
      </c>
      <c r="G16">
        <v>-96.86</v>
      </c>
    </row>
    <row r="17" spans="1:7" x14ac:dyDescent="0.25">
      <c r="A17" t="s">
        <v>15</v>
      </c>
      <c r="B17">
        <v>4.7E-2</v>
      </c>
      <c r="C17" s="1"/>
      <c r="D17" s="4">
        <v>247.9</v>
      </c>
      <c r="E17" s="4">
        <v>1530</v>
      </c>
      <c r="F17">
        <f t="shared" si="0"/>
        <v>5.4049999999999994E-2</v>
      </c>
      <c r="G17" s="4">
        <v>-89.78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7"/>
  <sheetViews>
    <sheetView workbookViewId="0">
      <selection activeCell="H15" sqref="H15:H17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7.9000000000000001E-2</v>
      </c>
      <c r="C2" s="1">
        <v>0.35069444444444442</v>
      </c>
      <c r="D2">
        <v>14.15</v>
      </c>
      <c r="E2">
        <v>110</v>
      </c>
      <c r="F2">
        <f>(B2-0.009)/0.9475</f>
        <v>7.3878627968337732E-2</v>
      </c>
      <c r="G2">
        <v>-76.86</v>
      </c>
    </row>
    <row r="3" spans="1:8" x14ac:dyDescent="0.25">
      <c r="A3" t="s">
        <v>1</v>
      </c>
      <c r="B3">
        <v>7.5999999999999998E-2</v>
      </c>
      <c r="C3" s="1"/>
      <c r="D3">
        <v>15.63</v>
      </c>
      <c r="E3">
        <v>125.4</v>
      </c>
      <c r="F3">
        <f t="shared" ref="F3:F17" si="0">(B3-0.009)/0.9475</f>
        <v>7.0712401055408977E-2</v>
      </c>
      <c r="G3">
        <v>-77</v>
      </c>
    </row>
    <row r="4" spans="1:8" x14ac:dyDescent="0.25">
      <c r="A4" t="s">
        <v>2</v>
      </c>
      <c r="B4">
        <v>7.8E-2</v>
      </c>
      <c r="C4" s="1"/>
      <c r="D4">
        <v>13.9</v>
      </c>
      <c r="E4">
        <v>125</v>
      </c>
      <c r="F4">
        <f t="shared" si="0"/>
        <v>7.282321899736148E-2</v>
      </c>
      <c r="G4">
        <v>73.7</v>
      </c>
    </row>
    <row r="5" spans="1:8" x14ac:dyDescent="0.25">
      <c r="A5" t="s">
        <v>3</v>
      </c>
      <c r="B5">
        <v>7.5999999999999998E-2</v>
      </c>
      <c r="C5" s="1"/>
      <c r="D5">
        <v>14.75</v>
      </c>
      <c r="E5">
        <v>110</v>
      </c>
      <c r="F5">
        <f t="shared" si="0"/>
        <v>7.0712401055408977E-2</v>
      </c>
      <c r="G5">
        <v>-76.13</v>
      </c>
    </row>
    <row r="6" spans="1:8" x14ac:dyDescent="0.25">
      <c r="A6" t="s">
        <v>4</v>
      </c>
      <c r="B6">
        <v>7.5999999999999998E-2</v>
      </c>
      <c r="C6" s="1"/>
      <c r="D6">
        <v>260</v>
      </c>
      <c r="E6">
        <v>246</v>
      </c>
      <c r="F6">
        <f t="shared" si="0"/>
        <v>7.0712401055408977E-2</v>
      </c>
      <c r="G6">
        <v>-88.5</v>
      </c>
    </row>
    <row r="7" spans="1:8" x14ac:dyDescent="0.25">
      <c r="A7" t="s">
        <v>5</v>
      </c>
      <c r="B7">
        <v>7.6999999999999999E-2</v>
      </c>
      <c r="C7" s="1"/>
      <c r="D7">
        <v>197</v>
      </c>
      <c r="E7">
        <v>220</v>
      </c>
      <c r="F7">
        <f t="shared" si="0"/>
        <v>7.1767810026385229E-2</v>
      </c>
      <c r="G7">
        <v>-87.27</v>
      </c>
    </row>
    <row r="8" spans="1:8" x14ac:dyDescent="0.25">
      <c r="A8" t="s">
        <v>6</v>
      </c>
      <c r="B8">
        <v>7.6999999999999999E-2</v>
      </c>
      <c r="C8" s="1"/>
      <c r="D8">
        <v>258</v>
      </c>
      <c r="E8">
        <v>232</v>
      </c>
      <c r="F8">
        <f t="shared" si="0"/>
        <v>7.1767810026385229E-2</v>
      </c>
      <c r="G8">
        <v>-88.65</v>
      </c>
    </row>
    <row r="9" spans="1:8" x14ac:dyDescent="0.25">
      <c r="A9" t="s">
        <v>7</v>
      </c>
      <c r="B9">
        <v>7.1999999999999995E-2</v>
      </c>
      <c r="C9" s="1"/>
      <c r="D9">
        <v>212.9</v>
      </c>
      <c r="E9">
        <v>249.6</v>
      </c>
      <c r="F9">
        <f t="shared" si="0"/>
        <v>6.6490765171503957E-2</v>
      </c>
      <c r="G9">
        <v>-87.19</v>
      </c>
    </row>
    <row r="10" spans="1:8" x14ac:dyDescent="0.25">
      <c r="A10" t="s">
        <v>8</v>
      </c>
      <c r="B10">
        <v>7.6999999999999999E-2</v>
      </c>
      <c r="C10" s="1"/>
      <c r="D10">
        <v>38</v>
      </c>
      <c r="E10">
        <v>1130</v>
      </c>
      <c r="F10">
        <f t="shared" si="0"/>
        <v>7.1767810026385229E-2</v>
      </c>
      <c r="G10">
        <v>-88.75</v>
      </c>
    </row>
    <row r="11" spans="1:8" x14ac:dyDescent="0.25">
      <c r="A11" t="s">
        <v>9</v>
      </c>
      <c r="B11">
        <v>7.1999999999999995E-2</v>
      </c>
      <c r="C11" s="1"/>
      <c r="D11">
        <v>39</v>
      </c>
      <c r="E11">
        <v>1186</v>
      </c>
      <c r="F11">
        <f t="shared" si="0"/>
        <v>6.6490765171503957E-2</v>
      </c>
      <c r="G11">
        <v>-88.71</v>
      </c>
    </row>
    <row r="12" spans="1:8" x14ac:dyDescent="0.25">
      <c r="A12" t="s">
        <v>10</v>
      </c>
      <c r="B12">
        <v>7.0999999999999994E-2</v>
      </c>
      <c r="C12" s="1"/>
      <c r="D12">
        <v>35.29</v>
      </c>
      <c r="E12">
        <v>1080</v>
      </c>
      <c r="F12">
        <f t="shared" si="0"/>
        <v>6.5435356200527692E-2</v>
      </c>
      <c r="G12">
        <v>-88</v>
      </c>
    </row>
    <row r="13" spans="1:8" x14ac:dyDescent="0.25">
      <c r="A13" t="s">
        <v>11</v>
      </c>
      <c r="B13">
        <v>6.8999999999999992E-2</v>
      </c>
      <c r="C13" s="1"/>
      <c r="D13">
        <v>34.58</v>
      </c>
      <c r="E13">
        <v>1150</v>
      </c>
      <c r="F13">
        <f t="shared" si="0"/>
        <v>6.3324538258575189E-2</v>
      </c>
      <c r="G13">
        <v>-85.92</v>
      </c>
    </row>
    <row r="14" spans="1:8" x14ac:dyDescent="0.25">
      <c r="A14" t="s">
        <v>12</v>
      </c>
      <c r="B14">
        <v>6.9999999999999993E-2</v>
      </c>
      <c r="C14" s="1"/>
      <c r="D14">
        <v>936</v>
      </c>
      <c r="E14">
        <v>1465</v>
      </c>
      <c r="F14">
        <f t="shared" si="0"/>
        <v>6.437994722955144E-2</v>
      </c>
      <c r="G14">
        <v>-85.4</v>
      </c>
    </row>
    <row r="15" spans="1:8" x14ac:dyDescent="0.25">
      <c r="A15" t="s">
        <v>13</v>
      </c>
      <c r="B15">
        <v>7.0999999999999994E-2</v>
      </c>
      <c r="C15" s="1"/>
      <c r="D15">
        <v>826</v>
      </c>
      <c r="E15">
        <v>1403</v>
      </c>
      <c r="F15">
        <f t="shared" si="0"/>
        <v>6.5435356200527692E-2</v>
      </c>
      <c r="G15">
        <v>-82.98</v>
      </c>
      <c r="H15">
        <v>-8.7899999999999991</v>
      </c>
    </row>
    <row r="16" spans="1:8" x14ac:dyDescent="0.25">
      <c r="A16" t="s">
        <v>14</v>
      </c>
      <c r="B16">
        <v>7.0999999999999994E-2</v>
      </c>
      <c r="C16" s="1"/>
      <c r="D16">
        <v>712</v>
      </c>
      <c r="E16">
        <v>1784</v>
      </c>
      <c r="F16">
        <f t="shared" si="0"/>
        <v>6.5435356200527692E-2</v>
      </c>
      <c r="G16">
        <v>-90.34</v>
      </c>
      <c r="H16">
        <v>-13.46</v>
      </c>
    </row>
    <row r="17" spans="1:8" x14ac:dyDescent="0.25">
      <c r="A17" t="s">
        <v>15</v>
      </c>
      <c r="B17">
        <v>6.4000000000000001E-2</v>
      </c>
      <c r="C17" s="1"/>
      <c r="D17">
        <v>848</v>
      </c>
      <c r="E17" s="4">
        <v>1520</v>
      </c>
      <c r="F17">
        <f t="shared" si="0"/>
        <v>5.8047493403693931E-2</v>
      </c>
      <c r="G17" s="4">
        <v>-79</v>
      </c>
      <c r="H17">
        <v>-7.63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7"/>
  <sheetViews>
    <sheetView workbookViewId="0">
      <selection activeCell="H10" sqref="H10:H17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7.2999999999999995E-2</v>
      </c>
      <c r="C2" s="1"/>
      <c r="D2">
        <v>13.78</v>
      </c>
      <c r="E2">
        <v>112.3</v>
      </c>
      <c r="F2">
        <f>(B2-0.009)/0.9475</f>
        <v>6.7546174142480209E-2</v>
      </c>
      <c r="G2">
        <v>-78.11</v>
      </c>
    </row>
    <row r="3" spans="1:8" x14ac:dyDescent="0.25">
      <c r="A3" t="s">
        <v>1</v>
      </c>
      <c r="B3">
        <v>7.2999999999999995E-2</v>
      </c>
      <c r="C3" s="1"/>
      <c r="D3">
        <v>14.12</v>
      </c>
      <c r="E3">
        <v>119.8</v>
      </c>
      <c r="F3">
        <f t="shared" ref="F3:F17" si="0">(B3-0.009)/0.9475</f>
        <v>6.7546174142480209E-2</v>
      </c>
      <c r="G3">
        <v>-78.760000000000005</v>
      </c>
    </row>
    <row r="4" spans="1:8" x14ac:dyDescent="0.25">
      <c r="A4" t="s">
        <v>2</v>
      </c>
      <c r="B4">
        <v>7.4999999999999997E-2</v>
      </c>
      <c r="C4" s="1"/>
      <c r="D4">
        <v>13.19</v>
      </c>
      <c r="E4">
        <v>105.2</v>
      </c>
      <c r="F4">
        <f t="shared" si="0"/>
        <v>6.9656992084432726E-2</v>
      </c>
      <c r="G4">
        <v>-76.8</v>
      </c>
    </row>
    <row r="5" spans="1:8" x14ac:dyDescent="0.25">
      <c r="A5" t="s">
        <v>3</v>
      </c>
      <c r="B5">
        <v>7.2999999999999995E-2</v>
      </c>
      <c r="C5" s="1"/>
      <c r="D5">
        <v>13.58</v>
      </c>
      <c r="E5">
        <v>106.2</v>
      </c>
      <c r="F5">
        <f t="shared" si="0"/>
        <v>6.7546174142480209E-2</v>
      </c>
      <c r="G5">
        <v>-77.27</v>
      </c>
    </row>
    <row r="6" spans="1:8" x14ac:dyDescent="0.25">
      <c r="A6" t="s">
        <v>4</v>
      </c>
      <c r="B6">
        <v>7.4999999999999997E-2</v>
      </c>
      <c r="C6" s="1"/>
      <c r="D6">
        <v>386.3</v>
      </c>
      <c r="E6">
        <v>288.89999999999998</v>
      </c>
      <c r="F6">
        <f t="shared" si="0"/>
        <v>6.9656992084432726E-2</v>
      </c>
      <c r="G6">
        <v>-87.86</v>
      </c>
    </row>
    <row r="7" spans="1:8" x14ac:dyDescent="0.25">
      <c r="A7" t="s">
        <v>5</v>
      </c>
      <c r="B7">
        <v>7.1999999999999995E-2</v>
      </c>
      <c r="C7" s="1"/>
      <c r="D7">
        <v>294</v>
      </c>
      <c r="E7">
        <v>263.5</v>
      </c>
      <c r="F7">
        <f t="shared" si="0"/>
        <v>6.6490765171503957E-2</v>
      </c>
      <c r="G7">
        <v>-86.54</v>
      </c>
    </row>
    <row r="8" spans="1:8" x14ac:dyDescent="0.25">
      <c r="A8" t="s">
        <v>6</v>
      </c>
      <c r="B8">
        <v>7.6999999999999999E-2</v>
      </c>
      <c r="C8" s="1"/>
      <c r="D8">
        <v>348.2</v>
      </c>
      <c r="E8">
        <v>258.89999999999998</v>
      </c>
      <c r="F8">
        <f t="shared" si="0"/>
        <v>7.1767810026385229E-2</v>
      </c>
      <c r="G8">
        <v>-87.21</v>
      </c>
    </row>
    <row r="9" spans="1:8" x14ac:dyDescent="0.25">
      <c r="A9" t="s">
        <v>7</v>
      </c>
      <c r="B9">
        <v>7.6999999999999999E-2</v>
      </c>
      <c r="C9" s="1"/>
      <c r="D9">
        <v>314.7</v>
      </c>
      <c r="E9">
        <v>296.60000000000002</v>
      </c>
      <c r="F9">
        <f t="shared" si="0"/>
        <v>7.1767810026385229E-2</v>
      </c>
      <c r="G9">
        <v>-86.47</v>
      </c>
    </row>
    <row r="10" spans="1:8" x14ac:dyDescent="0.25">
      <c r="A10" t="s">
        <v>8</v>
      </c>
      <c r="B10">
        <v>7.8E-2</v>
      </c>
      <c r="C10" s="1"/>
      <c r="D10">
        <v>33.21</v>
      </c>
      <c r="E10">
        <v>1083</v>
      </c>
      <c r="F10">
        <f t="shared" si="0"/>
        <v>7.282321899736148E-2</v>
      </c>
      <c r="G10">
        <v>-89.56</v>
      </c>
      <c r="H10">
        <v>-20.98</v>
      </c>
    </row>
    <row r="11" spans="1:8" x14ac:dyDescent="0.25">
      <c r="A11" t="s">
        <v>9</v>
      </c>
      <c r="B11">
        <v>7.2999999999999995E-2</v>
      </c>
      <c r="C11" s="1"/>
      <c r="D11">
        <v>35.67</v>
      </c>
      <c r="E11">
        <v>1110</v>
      </c>
      <c r="F11">
        <f t="shared" si="0"/>
        <v>6.7546174142480209E-2</v>
      </c>
      <c r="G11">
        <v>-90.33</v>
      </c>
      <c r="H11">
        <v>-21.42</v>
      </c>
    </row>
    <row r="12" spans="1:8" x14ac:dyDescent="0.25">
      <c r="A12" t="s">
        <v>10</v>
      </c>
      <c r="B12">
        <v>7.3999999999999996E-2</v>
      </c>
      <c r="C12" s="1"/>
      <c r="D12">
        <v>27.73</v>
      </c>
      <c r="E12">
        <v>1008</v>
      </c>
      <c r="F12">
        <f t="shared" si="0"/>
        <v>6.860158311345646E-2</v>
      </c>
      <c r="G12">
        <v>-89.62</v>
      </c>
      <c r="H12">
        <v>-20.5</v>
      </c>
    </row>
    <row r="13" spans="1:8" x14ac:dyDescent="0.25">
      <c r="A13" t="s">
        <v>11</v>
      </c>
      <c r="B13">
        <v>7.0999999999999994E-2</v>
      </c>
      <c r="C13" s="1"/>
      <c r="D13" t="s">
        <v>43</v>
      </c>
      <c r="F13">
        <f t="shared" si="0"/>
        <v>6.5435356200527692E-2</v>
      </c>
    </row>
    <row r="14" spans="1:8" x14ac:dyDescent="0.25">
      <c r="A14" t="s">
        <v>12</v>
      </c>
      <c r="B14">
        <v>7.1999999999999995E-2</v>
      </c>
      <c r="C14" s="1"/>
      <c r="D14" t="s">
        <v>43</v>
      </c>
      <c r="F14">
        <f t="shared" si="0"/>
        <v>6.6490765171503957E-2</v>
      </c>
    </row>
    <row r="15" spans="1:8" x14ac:dyDescent="0.25">
      <c r="A15" t="s">
        <v>13</v>
      </c>
      <c r="B15">
        <v>7.3999999999999996E-2</v>
      </c>
      <c r="C15" s="1"/>
      <c r="D15">
        <v>954.3</v>
      </c>
      <c r="E15">
        <v>1855</v>
      </c>
      <c r="F15">
        <f t="shared" si="0"/>
        <v>6.860158311345646E-2</v>
      </c>
      <c r="G15">
        <v>-76.28</v>
      </c>
      <c r="H15">
        <v>-6.7539999999999996</v>
      </c>
    </row>
    <row r="16" spans="1:8" x14ac:dyDescent="0.25">
      <c r="A16" t="s">
        <v>14</v>
      </c>
      <c r="B16">
        <v>7.3999999999999996E-2</v>
      </c>
      <c r="C16" s="1"/>
      <c r="D16">
        <v>816.3</v>
      </c>
      <c r="E16">
        <v>1655</v>
      </c>
      <c r="F16">
        <f t="shared" si="0"/>
        <v>6.860158311345646E-2</v>
      </c>
      <c r="G16">
        <v>-78.94</v>
      </c>
      <c r="H16">
        <v>-8.2219999999999995</v>
      </c>
    </row>
    <row r="17" spans="1:8" x14ac:dyDescent="0.25">
      <c r="A17" t="s">
        <v>15</v>
      </c>
      <c r="B17">
        <v>6.9000000000000006E-2</v>
      </c>
      <c r="C17" s="1"/>
      <c r="D17">
        <v>899.1</v>
      </c>
      <c r="E17">
        <v>1850</v>
      </c>
      <c r="F17">
        <f t="shared" si="0"/>
        <v>6.3324538258575203E-2</v>
      </c>
      <c r="G17">
        <v>-73.23</v>
      </c>
      <c r="H17">
        <v>-5.8540000000000001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8"/>
  <sheetViews>
    <sheetView workbookViewId="0">
      <selection activeCell="H6" sqref="H6:H17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7.2999999999999995E-2</v>
      </c>
      <c r="C2" s="1">
        <v>0.29166666666666669</v>
      </c>
      <c r="D2">
        <v>13.94</v>
      </c>
      <c r="E2">
        <v>102</v>
      </c>
      <c r="F2">
        <f t="shared" ref="F2:F17" si="0">(B2-0.009)/0.9475</f>
        <v>6.7546174142480209E-2</v>
      </c>
      <c r="G2">
        <v>-80.95</v>
      </c>
    </row>
    <row r="3" spans="1:8" x14ac:dyDescent="0.25">
      <c r="A3" t="s">
        <v>1</v>
      </c>
      <c r="B3">
        <v>7.1999999999999995E-2</v>
      </c>
      <c r="C3" s="1"/>
      <c r="D3">
        <v>13.59</v>
      </c>
      <c r="E3">
        <v>113</v>
      </c>
      <c r="F3">
        <f t="shared" si="0"/>
        <v>6.6490765171503957E-2</v>
      </c>
      <c r="G3">
        <v>-81.55</v>
      </c>
    </row>
    <row r="4" spans="1:8" x14ac:dyDescent="0.25">
      <c r="A4" t="s">
        <v>2</v>
      </c>
      <c r="B4">
        <v>7.2999999999999995E-2</v>
      </c>
      <c r="C4" s="1"/>
      <c r="D4">
        <v>14.42</v>
      </c>
      <c r="E4">
        <v>100</v>
      </c>
      <c r="F4">
        <f t="shared" si="0"/>
        <v>6.7546174142480209E-2</v>
      </c>
      <c r="G4">
        <v>-79.349999999999994</v>
      </c>
    </row>
    <row r="5" spans="1:8" x14ac:dyDescent="0.25">
      <c r="A5" t="s">
        <v>3</v>
      </c>
      <c r="B5">
        <v>7.1999999999999995E-2</v>
      </c>
      <c r="C5" s="1"/>
      <c r="D5">
        <v>14.04</v>
      </c>
      <c r="E5">
        <v>98.9</v>
      </c>
      <c r="F5">
        <f t="shared" si="0"/>
        <v>6.6490765171503957E-2</v>
      </c>
      <c r="G5">
        <v>-79.45</v>
      </c>
    </row>
    <row r="6" spans="1:8" x14ac:dyDescent="0.25">
      <c r="A6" t="s">
        <v>4</v>
      </c>
      <c r="B6">
        <v>7.2999999999999995E-2</v>
      </c>
      <c r="C6" s="1"/>
      <c r="D6">
        <v>712.5</v>
      </c>
      <c r="E6">
        <v>423.3</v>
      </c>
      <c r="F6">
        <f t="shared" si="0"/>
        <v>6.7546174142480209E-2</v>
      </c>
      <c r="G6">
        <v>-80.510000000000005</v>
      </c>
      <c r="H6">
        <v>-17.809999999999999</v>
      </c>
    </row>
    <row r="7" spans="1:8" x14ac:dyDescent="0.25">
      <c r="A7" t="s">
        <v>5</v>
      </c>
      <c r="B7">
        <v>7.4999999999999997E-2</v>
      </c>
      <c r="C7" s="1"/>
      <c r="D7">
        <v>555.1</v>
      </c>
      <c r="E7">
        <v>380.1</v>
      </c>
      <c r="F7">
        <f t="shared" si="0"/>
        <v>6.9656992084432726E-2</v>
      </c>
      <c r="G7">
        <v>-80</v>
      </c>
      <c r="H7">
        <v>-19.8</v>
      </c>
    </row>
    <row r="8" spans="1:8" x14ac:dyDescent="0.25">
      <c r="A8" t="s">
        <v>6</v>
      </c>
      <c r="B8">
        <v>7.5999999999999998E-2</v>
      </c>
      <c r="C8" s="1"/>
      <c r="D8">
        <v>677.6</v>
      </c>
      <c r="E8">
        <v>400.5</v>
      </c>
      <c r="F8">
        <f t="shared" si="0"/>
        <v>7.0712401055408977E-2</v>
      </c>
      <c r="G8">
        <v>-80.03</v>
      </c>
      <c r="H8">
        <v>-18.940000000000001</v>
      </c>
    </row>
    <row r="9" spans="1:8" x14ac:dyDescent="0.25">
      <c r="A9" t="s">
        <v>7</v>
      </c>
      <c r="B9">
        <v>7.4999999999999997E-2</v>
      </c>
      <c r="C9" s="1"/>
      <c r="D9">
        <v>574.1</v>
      </c>
      <c r="E9">
        <v>406</v>
      </c>
      <c r="F9">
        <f t="shared" si="0"/>
        <v>6.9656992084432726E-2</v>
      </c>
      <c r="G9">
        <v>-80.53</v>
      </c>
      <c r="H9">
        <v>-18.86</v>
      </c>
    </row>
    <row r="10" spans="1:8" x14ac:dyDescent="0.25">
      <c r="A10" t="s">
        <v>8</v>
      </c>
      <c r="B10">
        <v>7.5999999999999998E-2</v>
      </c>
      <c r="C10" s="1"/>
      <c r="D10">
        <v>39.47</v>
      </c>
      <c r="E10">
        <v>1195</v>
      </c>
      <c r="F10">
        <f t="shared" si="0"/>
        <v>7.0712401055408977E-2</v>
      </c>
      <c r="G10">
        <v>-92.83</v>
      </c>
      <c r="H10">
        <v>-22.23</v>
      </c>
    </row>
    <row r="11" spans="1:8" x14ac:dyDescent="0.25">
      <c r="A11" t="s">
        <v>9</v>
      </c>
      <c r="B11">
        <v>7.0999999999999994E-2</v>
      </c>
      <c r="C11" s="1"/>
      <c r="D11">
        <v>41.89</v>
      </c>
      <c r="E11">
        <v>1178</v>
      </c>
      <c r="F11">
        <f t="shared" si="0"/>
        <v>6.5435356200527692E-2</v>
      </c>
      <c r="G11">
        <v>-93.46</v>
      </c>
      <c r="H11">
        <v>-22.26</v>
      </c>
    </row>
    <row r="12" spans="1:8" x14ac:dyDescent="0.25">
      <c r="A12" t="s">
        <v>10</v>
      </c>
      <c r="B12">
        <v>7.1999999999999995E-2</v>
      </c>
      <c r="C12" s="1"/>
      <c r="D12">
        <v>36.659999999999997</v>
      </c>
      <c r="E12">
        <v>1127</v>
      </c>
      <c r="F12">
        <f t="shared" si="0"/>
        <v>6.6490765171503957E-2</v>
      </c>
      <c r="G12">
        <v>-91.5</v>
      </c>
      <c r="H12">
        <v>-21.75</v>
      </c>
    </row>
    <row r="13" spans="1:8" x14ac:dyDescent="0.25">
      <c r="A13" t="s">
        <v>11</v>
      </c>
      <c r="B13">
        <v>6.9000000000000006E-2</v>
      </c>
      <c r="C13" s="1"/>
      <c r="D13">
        <v>37.5</v>
      </c>
      <c r="E13">
        <v>1296</v>
      </c>
      <c r="F13">
        <f t="shared" si="0"/>
        <v>6.3324538258575203E-2</v>
      </c>
      <c r="G13">
        <v>-87.94</v>
      </c>
      <c r="H13">
        <v>-22.7</v>
      </c>
    </row>
    <row r="14" spans="1:8" x14ac:dyDescent="0.25">
      <c r="A14" t="s">
        <v>12</v>
      </c>
      <c r="B14">
        <v>7.1999999999999995E-2</v>
      </c>
      <c r="C14" s="1"/>
      <c r="D14">
        <v>1153</v>
      </c>
      <c r="E14">
        <v>2050</v>
      </c>
      <c r="F14">
        <f t="shared" si="0"/>
        <v>6.6490765171503957E-2</v>
      </c>
      <c r="G14">
        <v>-82.23</v>
      </c>
      <c r="H14">
        <v>-6.6</v>
      </c>
    </row>
    <row r="15" spans="1:8" x14ac:dyDescent="0.25">
      <c r="A15" t="s">
        <v>13</v>
      </c>
      <c r="B15">
        <v>7.3999999999999996E-2</v>
      </c>
      <c r="C15" s="1"/>
      <c r="F15">
        <f t="shared" si="0"/>
        <v>6.860158311345646E-2</v>
      </c>
      <c r="H15" t="s">
        <v>46</v>
      </c>
    </row>
    <row r="16" spans="1:8" x14ac:dyDescent="0.25">
      <c r="A16" t="s">
        <v>14</v>
      </c>
      <c r="B16">
        <v>8.1000000000000003E-2</v>
      </c>
      <c r="C16" s="1"/>
      <c r="D16">
        <v>874.7</v>
      </c>
      <c r="E16">
        <v>1860</v>
      </c>
      <c r="F16">
        <f t="shared" si="0"/>
        <v>7.5989445910290249E-2</v>
      </c>
      <c r="G16">
        <v>-83.65</v>
      </c>
      <c r="H16">
        <v>-5.8</v>
      </c>
    </row>
    <row r="17" spans="1:8" x14ac:dyDescent="0.25">
      <c r="A17" t="s">
        <v>15</v>
      </c>
      <c r="B17">
        <v>7.0999999999999994E-2</v>
      </c>
      <c r="C17" s="1"/>
      <c r="D17">
        <v>1144</v>
      </c>
      <c r="E17">
        <v>2115</v>
      </c>
      <c r="F17">
        <f t="shared" si="0"/>
        <v>6.5435356200527692E-2</v>
      </c>
      <c r="G17">
        <v>-79</v>
      </c>
      <c r="H17">
        <v>-6.28</v>
      </c>
    </row>
    <row r="18" spans="1:8" x14ac:dyDescent="0.25">
      <c r="A18" t="s">
        <v>21</v>
      </c>
      <c r="B18">
        <v>0</v>
      </c>
      <c r="F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8"/>
  <sheetViews>
    <sheetView workbookViewId="0">
      <selection activeCell="H6" sqref="H6:H17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7.2999999999999995E-2</v>
      </c>
      <c r="C2" s="1">
        <v>0.36180555555555555</v>
      </c>
      <c r="D2">
        <v>13.27</v>
      </c>
      <c r="E2">
        <v>97.91</v>
      </c>
      <c r="F2">
        <f t="shared" ref="F2:F17" si="0">(B2-0.009)/0.9475</f>
        <v>6.7546174142480209E-2</v>
      </c>
      <c r="G2">
        <v>-82.02</v>
      </c>
    </row>
    <row r="3" spans="1:8" x14ac:dyDescent="0.25">
      <c r="A3" t="s">
        <v>1</v>
      </c>
      <c r="B3">
        <v>7.1999999999999995E-2</v>
      </c>
      <c r="C3" s="1"/>
      <c r="D3">
        <v>15.48</v>
      </c>
      <c r="E3">
        <v>113.1</v>
      </c>
      <c r="F3">
        <f t="shared" si="0"/>
        <v>6.6490765171503957E-2</v>
      </c>
      <c r="G3">
        <v>-81.819999999999993</v>
      </c>
    </row>
    <row r="4" spans="1:8" x14ac:dyDescent="0.25">
      <c r="A4" t="s">
        <v>2</v>
      </c>
      <c r="B4">
        <v>7.2999999999999995E-2</v>
      </c>
      <c r="C4" s="1"/>
      <c r="D4">
        <v>12.72</v>
      </c>
      <c r="E4">
        <v>93.03</v>
      </c>
      <c r="F4">
        <f t="shared" si="0"/>
        <v>6.7546174142480209E-2</v>
      </c>
      <c r="G4">
        <v>-80.42</v>
      </c>
    </row>
    <row r="5" spans="1:8" x14ac:dyDescent="0.25">
      <c r="A5" t="s">
        <v>3</v>
      </c>
      <c r="B5">
        <v>7.1999999999999995E-2</v>
      </c>
      <c r="C5" s="1"/>
      <c r="D5">
        <v>13.75</v>
      </c>
      <c r="E5">
        <v>96.61</v>
      </c>
      <c r="F5">
        <f t="shared" si="0"/>
        <v>6.6490765171503957E-2</v>
      </c>
      <c r="G5">
        <v>-81.16</v>
      </c>
    </row>
    <row r="6" spans="1:8" x14ac:dyDescent="0.25">
      <c r="A6" t="s">
        <v>4</v>
      </c>
      <c r="B6">
        <v>7.2999999999999995E-2</v>
      </c>
      <c r="C6" s="1"/>
      <c r="D6">
        <v>1138</v>
      </c>
      <c r="E6">
        <v>650</v>
      </c>
      <c r="F6">
        <f t="shared" si="0"/>
        <v>6.7546174142480209E-2</v>
      </c>
      <c r="G6">
        <v>-72.59</v>
      </c>
      <c r="H6">
        <v>3.3</v>
      </c>
    </row>
    <row r="7" spans="1:8" x14ac:dyDescent="0.25">
      <c r="A7" t="s">
        <v>5</v>
      </c>
      <c r="B7">
        <v>7.4999999999999997E-2</v>
      </c>
      <c r="C7" s="1"/>
      <c r="D7">
        <v>746.7</v>
      </c>
      <c r="E7">
        <v>520</v>
      </c>
      <c r="F7">
        <f t="shared" si="0"/>
        <v>6.9656992084432726E-2</v>
      </c>
      <c r="G7">
        <v>-71.959999999999994</v>
      </c>
      <c r="H7">
        <v>3.3</v>
      </c>
    </row>
    <row r="8" spans="1:8" x14ac:dyDescent="0.25">
      <c r="A8" t="s">
        <v>6</v>
      </c>
      <c r="B8">
        <v>7.5999999999999998E-2</v>
      </c>
      <c r="C8" s="1"/>
      <c r="D8">
        <v>934.9</v>
      </c>
      <c r="E8">
        <v>574.6</v>
      </c>
      <c r="F8">
        <f t="shared" si="0"/>
        <v>7.0712401055408977E-2</v>
      </c>
      <c r="G8">
        <v>-71.599999999999994</v>
      </c>
      <c r="H8">
        <v>5</v>
      </c>
    </row>
    <row r="9" spans="1:8" x14ac:dyDescent="0.25">
      <c r="A9" t="s">
        <v>7</v>
      </c>
      <c r="B9">
        <v>7.4999999999999997E-2</v>
      </c>
      <c r="C9" s="1"/>
      <c r="D9">
        <v>924</v>
      </c>
      <c r="E9">
        <v>647.5</v>
      </c>
      <c r="F9">
        <f t="shared" si="0"/>
        <v>6.9656992084432726E-2</v>
      </c>
      <c r="G9">
        <v>-73</v>
      </c>
      <c r="H9">
        <v>5.9</v>
      </c>
    </row>
    <row r="10" spans="1:8" x14ac:dyDescent="0.25">
      <c r="A10" t="s">
        <v>8</v>
      </c>
      <c r="B10">
        <v>7.5999999999999998E-2</v>
      </c>
      <c r="C10" s="1"/>
      <c r="D10">
        <v>43.56</v>
      </c>
      <c r="E10">
        <v>1264</v>
      </c>
      <c r="F10">
        <f t="shared" si="0"/>
        <v>7.0712401055408977E-2</v>
      </c>
      <c r="G10">
        <v>-94.8</v>
      </c>
      <c r="H10">
        <v>-21.5</v>
      </c>
    </row>
    <row r="11" spans="1:8" x14ac:dyDescent="0.25">
      <c r="A11" t="s">
        <v>9</v>
      </c>
      <c r="B11">
        <v>7.0999999999999994E-2</v>
      </c>
      <c r="C11" s="1"/>
      <c r="D11">
        <v>44.26</v>
      </c>
      <c r="E11">
        <v>1209</v>
      </c>
      <c r="F11">
        <f t="shared" si="0"/>
        <v>6.5435356200527692E-2</v>
      </c>
      <c r="G11">
        <v>-95.1</v>
      </c>
      <c r="H11">
        <v>-21.33</v>
      </c>
    </row>
    <row r="12" spans="1:8" x14ac:dyDescent="0.25">
      <c r="A12" t="s">
        <v>10</v>
      </c>
      <c r="B12">
        <v>7.1999999999999995E-2</v>
      </c>
      <c r="C12" s="1"/>
      <c r="D12">
        <v>40.54</v>
      </c>
      <c r="E12">
        <v>1181</v>
      </c>
      <c r="F12">
        <f t="shared" si="0"/>
        <v>6.6490765171503957E-2</v>
      </c>
      <c r="G12">
        <v>-93.4</v>
      </c>
      <c r="H12">
        <v>-21.3</v>
      </c>
    </row>
    <row r="13" spans="1:8" x14ac:dyDescent="0.25">
      <c r="A13" t="s">
        <v>11</v>
      </c>
      <c r="B13">
        <v>6.9000000000000006E-2</v>
      </c>
      <c r="C13" s="1"/>
      <c r="D13">
        <v>37.380000000000003</v>
      </c>
      <c r="E13">
        <v>1206</v>
      </c>
      <c r="F13">
        <f t="shared" si="0"/>
        <v>6.3324538258575203E-2</v>
      </c>
      <c r="G13">
        <v>-91.07</v>
      </c>
      <c r="H13">
        <v>-21.83</v>
      </c>
    </row>
    <row r="14" spans="1:8" x14ac:dyDescent="0.25">
      <c r="A14" t="s">
        <v>12</v>
      </c>
      <c r="B14">
        <v>7.1999999999999995E-2</v>
      </c>
      <c r="C14" s="1"/>
      <c r="D14">
        <v>877.1</v>
      </c>
      <c r="E14">
        <v>1625</v>
      </c>
      <c r="F14">
        <f t="shared" si="0"/>
        <v>6.6490765171503957E-2</v>
      </c>
      <c r="G14">
        <v>-78.75</v>
      </c>
      <c r="H14">
        <v>-2.9460000000000002</v>
      </c>
    </row>
    <row r="15" spans="1:8" x14ac:dyDescent="0.25">
      <c r="A15" t="s">
        <v>13</v>
      </c>
      <c r="B15">
        <v>7.3999999999999996E-2</v>
      </c>
      <c r="C15" s="1"/>
      <c r="D15">
        <v>851.2</v>
      </c>
      <c r="E15">
        <v>1877</v>
      </c>
      <c r="F15">
        <f t="shared" si="0"/>
        <v>6.860158311345646E-2</v>
      </c>
      <c r="G15">
        <v>-80.680000000000007</v>
      </c>
      <c r="H15">
        <v>-2.54</v>
      </c>
    </row>
    <row r="16" spans="1:8" x14ac:dyDescent="0.25">
      <c r="A16" t="s">
        <v>14</v>
      </c>
      <c r="B16">
        <v>8.1000000000000003E-2</v>
      </c>
      <c r="C16" s="1"/>
      <c r="D16">
        <v>888.7</v>
      </c>
      <c r="E16">
        <v>1717</v>
      </c>
      <c r="F16">
        <f t="shared" si="0"/>
        <v>7.5989445910290249E-2</v>
      </c>
      <c r="G16">
        <v>-80.8</v>
      </c>
      <c r="H16">
        <v>-2.64</v>
      </c>
    </row>
    <row r="17" spans="1:8" x14ac:dyDescent="0.25">
      <c r="A17" t="s">
        <v>15</v>
      </c>
      <c r="B17">
        <v>7.0999999999999994E-2</v>
      </c>
      <c r="C17" s="1"/>
      <c r="D17">
        <v>1107</v>
      </c>
      <c r="E17">
        <v>1804</v>
      </c>
      <c r="F17">
        <f t="shared" si="0"/>
        <v>6.5435356200527692E-2</v>
      </c>
      <c r="G17">
        <v>-74.67</v>
      </c>
      <c r="H17">
        <v>-1.1000000000000001</v>
      </c>
    </row>
    <row r="18" spans="1:8" x14ac:dyDescent="0.25">
      <c r="A18" t="s">
        <v>21</v>
      </c>
      <c r="B18">
        <v>0</v>
      </c>
      <c r="F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8"/>
  <sheetViews>
    <sheetView workbookViewId="0">
      <selection activeCell="H6" sqref="H6:H17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7.2999999999999995E-2</v>
      </c>
      <c r="C2" s="1">
        <v>0.31458333333333333</v>
      </c>
      <c r="D2">
        <v>13.31</v>
      </c>
      <c r="E2">
        <v>97.8</v>
      </c>
      <c r="F2">
        <f t="shared" ref="F2:F17" si="0">(B2-0.009)/0.9475</f>
        <v>6.7546174142480209E-2</v>
      </c>
      <c r="G2">
        <v>-83.36</v>
      </c>
    </row>
    <row r="3" spans="1:8" x14ac:dyDescent="0.25">
      <c r="A3" t="s">
        <v>1</v>
      </c>
      <c r="B3">
        <v>7.1999999999999995E-2</v>
      </c>
      <c r="C3" s="1"/>
      <c r="D3">
        <v>13.78</v>
      </c>
      <c r="E3">
        <v>109.7</v>
      </c>
      <c r="F3">
        <f t="shared" si="0"/>
        <v>6.6490765171503957E-2</v>
      </c>
      <c r="G3">
        <v>-83.59</v>
      </c>
    </row>
    <row r="4" spans="1:8" x14ac:dyDescent="0.25">
      <c r="A4" t="s">
        <v>2</v>
      </c>
      <c r="B4">
        <v>7.2999999999999995E-2</v>
      </c>
      <c r="C4" s="1"/>
      <c r="D4">
        <v>11.6</v>
      </c>
      <c r="E4">
        <v>91.75</v>
      </c>
      <c r="F4">
        <f t="shared" si="0"/>
        <v>6.7546174142480209E-2</v>
      </c>
      <c r="G4">
        <v>-82.01</v>
      </c>
    </row>
    <row r="5" spans="1:8" x14ac:dyDescent="0.25">
      <c r="A5" t="s">
        <v>3</v>
      </c>
      <c r="B5">
        <v>7.1999999999999995E-2</v>
      </c>
      <c r="C5" s="1"/>
      <c r="D5">
        <v>12.84</v>
      </c>
      <c r="E5">
        <v>90.12</v>
      </c>
      <c r="F5">
        <f t="shared" si="0"/>
        <v>6.6490765171503957E-2</v>
      </c>
      <c r="G5">
        <v>-82.21</v>
      </c>
    </row>
    <row r="6" spans="1:8" x14ac:dyDescent="0.25">
      <c r="A6" t="s">
        <v>4</v>
      </c>
      <c r="B6">
        <v>7.2999999999999995E-2</v>
      </c>
      <c r="C6" s="1"/>
      <c r="D6">
        <v>1150</v>
      </c>
      <c r="E6">
        <v>660</v>
      </c>
      <c r="F6">
        <f t="shared" si="0"/>
        <v>6.7546174142480209E-2</v>
      </c>
      <c r="G6">
        <v>-67.2</v>
      </c>
      <c r="H6">
        <v>7.9480000000000004</v>
      </c>
    </row>
    <row r="7" spans="1:8" x14ac:dyDescent="0.25">
      <c r="A7" t="s">
        <v>5</v>
      </c>
      <c r="B7">
        <v>7.4999999999999997E-2</v>
      </c>
      <c r="C7" s="1"/>
      <c r="D7">
        <v>919.9</v>
      </c>
      <c r="E7">
        <v>701.2</v>
      </c>
      <c r="F7">
        <f t="shared" si="0"/>
        <v>6.9656992084432726E-2</v>
      </c>
      <c r="G7">
        <v>-66.5</v>
      </c>
      <c r="H7">
        <v>8.3000000000000007</v>
      </c>
    </row>
    <row r="8" spans="1:8" x14ac:dyDescent="0.25">
      <c r="A8" t="s">
        <v>6</v>
      </c>
      <c r="B8">
        <v>7.5999999999999998E-2</v>
      </c>
      <c r="C8" s="1"/>
      <c r="D8">
        <v>1239</v>
      </c>
      <c r="E8">
        <v>800</v>
      </c>
      <c r="F8">
        <f t="shared" si="0"/>
        <v>7.0712401055408977E-2</v>
      </c>
      <c r="G8">
        <v>-66.900000000000006</v>
      </c>
      <c r="H8">
        <v>7.4</v>
      </c>
    </row>
    <row r="9" spans="1:8" x14ac:dyDescent="0.25">
      <c r="A9" t="s">
        <v>7</v>
      </c>
      <c r="B9">
        <v>7.4999999999999997E-2</v>
      </c>
      <c r="C9" s="1"/>
      <c r="D9">
        <v>1059</v>
      </c>
      <c r="E9">
        <v>705</v>
      </c>
      <c r="F9">
        <f t="shared" si="0"/>
        <v>6.9656992084432726E-2</v>
      </c>
      <c r="G9">
        <v>-63.95</v>
      </c>
      <c r="H9">
        <v>6.3</v>
      </c>
    </row>
    <row r="10" spans="1:8" x14ac:dyDescent="0.25">
      <c r="A10" t="s">
        <v>8</v>
      </c>
      <c r="B10">
        <v>7.5999999999999998E-2</v>
      </c>
      <c r="C10" s="1"/>
      <c r="D10">
        <v>48</v>
      </c>
      <c r="E10">
        <v>1231</v>
      </c>
      <c r="F10">
        <f t="shared" si="0"/>
        <v>7.0712401055408977E-2</v>
      </c>
      <c r="G10">
        <v>-96.7</v>
      </c>
      <c r="H10">
        <v>-21.22</v>
      </c>
    </row>
    <row r="11" spans="1:8" x14ac:dyDescent="0.25">
      <c r="A11" t="s">
        <v>9</v>
      </c>
      <c r="B11">
        <v>7.0999999999999994E-2</v>
      </c>
      <c r="C11" s="1"/>
      <c r="D11">
        <v>47.8</v>
      </c>
      <c r="E11">
        <v>1229</v>
      </c>
      <c r="F11">
        <f t="shared" si="0"/>
        <v>6.5435356200527692E-2</v>
      </c>
      <c r="G11">
        <v>-96</v>
      </c>
      <c r="H11">
        <v>-21.25</v>
      </c>
    </row>
    <row r="12" spans="1:8" x14ac:dyDescent="0.25">
      <c r="A12" t="s">
        <v>10</v>
      </c>
      <c r="B12">
        <v>7.1999999999999995E-2</v>
      </c>
      <c r="C12" s="1"/>
      <c r="D12">
        <v>44.19</v>
      </c>
      <c r="E12">
        <v>1286</v>
      </c>
      <c r="F12">
        <f t="shared" si="0"/>
        <v>6.6490765171503957E-2</v>
      </c>
      <c r="G12">
        <v>-94.4</v>
      </c>
      <c r="H12">
        <v>-21.57</v>
      </c>
    </row>
    <row r="13" spans="1:8" x14ac:dyDescent="0.25">
      <c r="A13" t="s">
        <v>11</v>
      </c>
      <c r="B13">
        <v>6.9000000000000006E-2</v>
      </c>
      <c r="C13" s="1"/>
      <c r="D13">
        <v>36.01</v>
      </c>
      <c r="E13">
        <v>1147</v>
      </c>
      <c r="F13">
        <f t="shared" si="0"/>
        <v>6.3324538258575203E-2</v>
      </c>
      <c r="G13">
        <v>-93.12</v>
      </c>
      <c r="H13">
        <v>-21.3</v>
      </c>
    </row>
    <row r="14" spans="1:8" x14ac:dyDescent="0.25">
      <c r="A14" t="s">
        <v>12</v>
      </c>
      <c r="B14">
        <v>7.1999999999999995E-2</v>
      </c>
      <c r="C14" s="1"/>
      <c r="D14">
        <v>639.4</v>
      </c>
      <c r="E14">
        <v>1402</v>
      </c>
      <c r="F14">
        <f t="shared" si="0"/>
        <v>6.6490765171503957E-2</v>
      </c>
      <c r="G14">
        <v>-75.650000000000006</v>
      </c>
      <c r="H14">
        <v>-1.6</v>
      </c>
    </row>
    <row r="15" spans="1:8" x14ac:dyDescent="0.25">
      <c r="A15" t="s">
        <v>13</v>
      </c>
      <c r="B15">
        <v>7.3999999999999996E-2</v>
      </c>
      <c r="C15" s="1"/>
      <c r="D15">
        <v>565.70000000000005</v>
      </c>
      <c r="E15">
        <v>1586</v>
      </c>
      <c r="F15">
        <f t="shared" si="0"/>
        <v>6.860158311345646E-2</v>
      </c>
      <c r="G15">
        <v>-79.8</v>
      </c>
      <c r="H15">
        <v>-2.5</v>
      </c>
    </row>
    <row r="16" spans="1:8" x14ac:dyDescent="0.25">
      <c r="A16" t="s">
        <v>14</v>
      </c>
      <c r="B16">
        <v>8.1000000000000003E-2</v>
      </c>
      <c r="C16" s="1"/>
      <c r="D16">
        <v>787</v>
      </c>
      <c r="E16">
        <v>1521</v>
      </c>
      <c r="F16">
        <f t="shared" si="0"/>
        <v>7.5989445910290249E-2</v>
      </c>
      <c r="G16">
        <v>-78</v>
      </c>
      <c r="H16">
        <v>-2</v>
      </c>
    </row>
    <row r="17" spans="1:8" x14ac:dyDescent="0.25">
      <c r="A17" t="s">
        <v>15</v>
      </c>
      <c r="B17">
        <v>7.0999999999999994E-2</v>
      </c>
      <c r="C17" s="1"/>
      <c r="D17">
        <v>965.6</v>
      </c>
      <c r="E17">
        <v>1702</v>
      </c>
      <c r="F17">
        <f t="shared" si="0"/>
        <v>6.5435356200527692E-2</v>
      </c>
      <c r="G17">
        <v>-70.900000000000006</v>
      </c>
      <c r="H17">
        <v>-1</v>
      </c>
    </row>
    <row r="18" spans="1:8" x14ac:dyDescent="0.25">
      <c r="A18" t="s">
        <v>21</v>
      </c>
      <c r="B18">
        <v>0</v>
      </c>
      <c r="F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8"/>
  <sheetViews>
    <sheetView workbookViewId="0">
      <selection activeCell="H6" sqref="H6:H17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0.08</v>
      </c>
      <c r="C2" s="1">
        <v>0.39583333333333331</v>
      </c>
      <c r="D2">
        <v>11.32</v>
      </c>
      <c r="E2">
        <v>95.34</v>
      </c>
      <c r="F2">
        <f t="shared" ref="F2:F17" si="0">(B2-0.009)/0.9475</f>
        <v>7.4934036939313997E-2</v>
      </c>
      <c r="G2">
        <v>-83.47</v>
      </c>
    </row>
    <row r="3" spans="1:8" x14ac:dyDescent="0.25">
      <c r="A3" t="s">
        <v>1</v>
      </c>
      <c r="B3">
        <v>7.8E-2</v>
      </c>
      <c r="C3" s="1"/>
      <c r="D3">
        <v>10.96</v>
      </c>
      <c r="E3">
        <v>106.5</v>
      </c>
      <c r="F3">
        <f t="shared" si="0"/>
        <v>7.282321899736148E-2</v>
      </c>
      <c r="G3">
        <v>-84.45</v>
      </c>
    </row>
    <row r="4" spans="1:8" x14ac:dyDescent="0.25">
      <c r="A4" t="s">
        <v>2</v>
      </c>
      <c r="B4">
        <v>0.08</v>
      </c>
      <c r="C4" s="1"/>
      <c r="D4">
        <v>10.42</v>
      </c>
      <c r="E4">
        <v>102</v>
      </c>
      <c r="F4">
        <f t="shared" si="0"/>
        <v>7.4934036939313997E-2</v>
      </c>
      <c r="G4">
        <v>-82.77</v>
      </c>
    </row>
    <row r="5" spans="1:8" x14ac:dyDescent="0.25">
      <c r="A5" t="s">
        <v>3</v>
      </c>
      <c r="B5">
        <v>7.8E-2</v>
      </c>
      <c r="C5" s="1"/>
      <c r="D5">
        <v>10.220000000000001</v>
      </c>
      <c r="E5">
        <v>86.85</v>
      </c>
      <c r="F5">
        <f t="shared" si="0"/>
        <v>7.282321899736148E-2</v>
      </c>
      <c r="G5">
        <v>-81.77</v>
      </c>
    </row>
    <row r="6" spans="1:8" x14ac:dyDescent="0.25">
      <c r="A6" t="s">
        <v>4</v>
      </c>
      <c r="B6">
        <v>6.7000000000000004E-2</v>
      </c>
      <c r="C6" s="1"/>
      <c r="D6">
        <v>1280</v>
      </c>
      <c r="E6">
        <v>864.3</v>
      </c>
      <c r="F6">
        <f t="shared" si="0"/>
        <v>6.1213720316622693E-2</v>
      </c>
      <c r="G6">
        <v>-66.58</v>
      </c>
      <c r="H6">
        <v>-6.9850000000000003</v>
      </c>
    </row>
    <row r="7" spans="1:8" x14ac:dyDescent="0.25">
      <c r="A7" t="s">
        <v>5</v>
      </c>
      <c r="B7">
        <v>7.4999999999999997E-2</v>
      </c>
      <c r="C7" s="1"/>
      <c r="D7">
        <v>1342</v>
      </c>
      <c r="E7">
        <v>799.8</v>
      </c>
      <c r="F7">
        <f t="shared" si="0"/>
        <v>6.9656992084432726E-2</v>
      </c>
      <c r="G7">
        <v>-64.67</v>
      </c>
      <c r="H7">
        <v>-20.32</v>
      </c>
    </row>
    <row r="8" spans="1:8" x14ac:dyDescent="0.25">
      <c r="A8" t="s">
        <v>6</v>
      </c>
      <c r="B8">
        <v>8.1000000000000003E-2</v>
      </c>
      <c r="C8" s="1"/>
      <c r="D8">
        <v>1179</v>
      </c>
      <c r="E8">
        <v>772.1</v>
      </c>
      <c r="F8">
        <f t="shared" si="0"/>
        <v>7.5989445910290249E-2</v>
      </c>
      <c r="G8">
        <v>-64.87</v>
      </c>
      <c r="H8">
        <v>-21.76</v>
      </c>
    </row>
    <row r="9" spans="1:8" x14ac:dyDescent="0.25">
      <c r="A9" t="s">
        <v>7</v>
      </c>
      <c r="B9">
        <v>7.2999999999999995E-2</v>
      </c>
      <c r="C9" s="1"/>
      <c r="D9">
        <v>998.2</v>
      </c>
      <c r="E9">
        <v>704</v>
      </c>
      <c r="F9">
        <f t="shared" si="0"/>
        <v>6.7546174142480209E-2</v>
      </c>
      <c r="G9">
        <v>-62.66</v>
      </c>
      <c r="H9">
        <v>-27.14</v>
      </c>
    </row>
    <row r="10" spans="1:8" x14ac:dyDescent="0.25">
      <c r="A10" t="s">
        <v>8</v>
      </c>
      <c r="B10">
        <v>7.5999999999999998E-2</v>
      </c>
      <c r="C10" s="1"/>
      <c r="D10">
        <v>40.32</v>
      </c>
      <c r="E10">
        <v>1039</v>
      </c>
      <c r="F10">
        <f t="shared" si="0"/>
        <v>7.0712401055408977E-2</v>
      </c>
      <c r="G10">
        <v>-97.99</v>
      </c>
      <c r="H10">
        <v>-20.07</v>
      </c>
    </row>
    <row r="11" spans="1:8" x14ac:dyDescent="0.25">
      <c r="A11" t="s">
        <v>9</v>
      </c>
      <c r="B11">
        <v>7.1999999999999995E-2</v>
      </c>
      <c r="C11" s="1"/>
      <c r="D11">
        <v>48.7</v>
      </c>
      <c r="E11">
        <v>1133</v>
      </c>
      <c r="F11">
        <f t="shared" si="0"/>
        <v>6.6490765171503957E-2</v>
      </c>
      <c r="G11">
        <v>-97.31</v>
      </c>
      <c r="H11">
        <v>-20.8</v>
      </c>
    </row>
    <row r="12" spans="1:8" x14ac:dyDescent="0.25">
      <c r="A12" t="s">
        <v>10</v>
      </c>
      <c r="B12">
        <v>7.1999999999999995E-2</v>
      </c>
      <c r="C12" s="1"/>
      <c r="D12">
        <v>51.41</v>
      </c>
      <c r="E12">
        <v>1199</v>
      </c>
      <c r="F12">
        <f t="shared" si="0"/>
        <v>6.6490765171503957E-2</v>
      </c>
      <c r="G12">
        <v>-94.61</v>
      </c>
      <c r="H12">
        <v>-20.85</v>
      </c>
    </row>
    <row r="13" spans="1:8" x14ac:dyDescent="0.25">
      <c r="A13" t="s">
        <v>11</v>
      </c>
      <c r="B13">
        <v>6.9000000000000006E-2</v>
      </c>
      <c r="C13" s="1"/>
      <c r="D13" t="s">
        <v>49</v>
      </c>
      <c r="E13" t="s">
        <v>49</v>
      </c>
      <c r="F13">
        <f t="shared" si="0"/>
        <v>6.3324538258575203E-2</v>
      </c>
      <c r="G13" t="s">
        <v>49</v>
      </c>
      <c r="H13" t="s">
        <v>49</v>
      </c>
    </row>
    <row r="14" spans="1:8" x14ac:dyDescent="0.25">
      <c r="A14" t="s">
        <v>12</v>
      </c>
      <c r="B14">
        <v>6.2E-2</v>
      </c>
      <c r="C14" s="1"/>
      <c r="D14">
        <v>388.4</v>
      </c>
      <c r="E14">
        <v>1433</v>
      </c>
      <c r="F14">
        <f t="shared" si="0"/>
        <v>5.5936675461741421E-2</v>
      </c>
      <c r="G14">
        <v>-75.069999999999993</v>
      </c>
      <c r="H14">
        <v>-0.37</v>
      </c>
    </row>
    <row r="15" spans="1:8" x14ac:dyDescent="0.25">
      <c r="A15" t="s">
        <v>13</v>
      </c>
      <c r="B15">
        <v>7.1999999999999995E-2</v>
      </c>
      <c r="C15" s="1"/>
      <c r="D15">
        <v>494</v>
      </c>
      <c r="E15">
        <v>1184</v>
      </c>
      <c r="F15">
        <f t="shared" si="0"/>
        <v>6.6490765171503957E-2</v>
      </c>
      <c r="G15">
        <v>-76.819999999999993</v>
      </c>
      <c r="H15">
        <v>-1.7350000000000001</v>
      </c>
    </row>
    <row r="16" spans="1:8" x14ac:dyDescent="0.25">
      <c r="A16" t="s">
        <v>14</v>
      </c>
      <c r="B16">
        <v>6.8000000000000005E-2</v>
      </c>
      <c r="C16" s="1"/>
      <c r="D16">
        <v>464.8</v>
      </c>
      <c r="E16">
        <v>1332</v>
      </c>
      <c r="F16">
        <f t="shared" si="0"/>
        <v>6.2269129287598951E-2</v>
      </c>
      <c r="G16">
        <v>-78.36</v>
      </c>
      <c r="H16">
        <v>-1.115</v>
      </c>
    </row>
    <row r="17" spans="1:8" x14ac:dyDescent="0.25">
      <c r="A17" t="s">
        <v>15</v>
      </c>
      <c r="B17">
        <v>0.06</v>
      </c>
      <c r="C17" s="1"/>
      <c r="D17">
        <v>791.1</v>
      </c>
      <c r="E17">
        <v>1502</v>
      </c>
      <c r="F17">
        <f t="shared" si="0"/>
        <v>5.3825857519788911E-2</v>
      </c>
      <c r="G17">
        <v>-68.260000000000005</v>
      </c>
      <c r="H17">
        <v>0.35899999999999999</v>
      </c>
    </row>
    <row r="18" spans="1:8" x14ac:dyDescent="0.25">
      <c r="A18" t="s">
        <v>21</v>
      </c>
      <c r="B18">
        <v>0</v>
      </c>
      <c r="F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8"/>
  <sheetViews>
    <sheetView workbookViewId="0">
      <selection activeCell="H6" sqref="H6:H17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7.6999999999999999E-2</v>
      </c>
      <c r="C2" s="1">
        <v>0.3298611111111111</v>
      </c>
      <c r="F2">
        <f t="shared" ref="F2:F17" si="0">(B2-0.009)/0.9475</f>
        <v>7.1767810026385229E-2</v>
      </c>
    </row>
    <row r="3" spans="1:8" x14ac:dyDescent="0.25">
      <c r="A3" t="s">
        <v>1</v>
      </c>
      <c r="B3">
        <v>7.3999999999999996E-2</v>
      </c>
      <c r="C3" s="1"/>
      <c r="D3">
        <v>11.55</v>
      </c>
      <c r="E3">
        <v>107.5</v>
      </c>
      <c r="F3">
        <f t="shared" si="0"/>
        <v>6.860158311345646E-2</v>
      </c>
      <c r="G3">
        <v>-83.26</v>
      </c>
    </row>
    <row r="4" spans="1:8" x14ac:dyDescent="0.25">
      <c r="A4" t="s">
        <v>2</v>
      </c>
      <c r="B4">
        <v>7.5999999999999998E-2</v>
      </c>
      <c r="C4" s="1"/>
      <c r="D4">
        <v>10.55</v>
      </c>
      <c r="E4">
        <v>80.239999999999995</v>
      </c>
      <c r="F4">
        <f t="shared" si="0"/>
        <v>7.0712401055408977E-2</v>
      </c>
      <c r="G4">
        <v>-83.03</v>
      </c>
    </row>
    <row r="5" spans="1:8" x14ac:dyDescent="0.25">
      <c r="A5" t="s">
        <v>3</v>
      </c>
      <c r="B5">
        <v>7.4999999999999997E-2</v>
      </c>
      <c r="C5" s="1"/>
      <c r="D5">
        <v>10.35</v>
      </c>
      <c r="E5">
        <v>77.5</v>
      </c>
      <c r="F5">
        <f t="shared" si="0"/>
        <v>6.9656992084432726E-2</v>
      </c>
      <c r="G5">
        <v>-83.74</v>
      </c>
    </row>
    <row r="6" spans="1:8" x14ac:dyDescent="0.25">
      <c r="A6" t="s">
        <v>4</v>
      </c>
      <c r="B6">
        <v>7.0999999999999994E-2</v>
      </c>
      <c r="C6" s="1"/>
      <c r="D6">
        <v>607.20000000000005</v>
      </c>
      <c r="E6">
        <v>676.8</v>
      </c>
      <c r="F6">
        <f t="shared" si="0"/>
        <v>6.5435356200527692E-2</v>
      </c>
      <c r="G6">
        <v>-63.01</v>
      </c>
      <c r="H6">
        <v>26.06</v>
      </c>
    </row>
    <row r="7" spans="1:8" x14ac:dyDescent="0.25">
      <c r="A7" t="s">
        <v>5</v>
      </c>
      <c r="B7">
        <v>7.8E-2</v>
      </c>
      <c r="C7" s="1"/>
      <c r="D7">
        <v>769.3</v>
      </c>
      <c r="E7">
        <v>710.5</v>
      </c>
      <c r="F7">
        <f t="shared" si="0"/>
        <v>7.282321899736148E-2</v>
      </c>
      <c r="G7">
        <v>-58.3</v>
      </c>
      <c r="H7">
        <v>22.96</v>
      </c>
    </row>
    <row r="8" spans="1:8" x14ac:dyDescent="0.25">
      <c r="A8" t="s">
        <v>6</v>
      </c>
      <c r="B8">
        <v>6.5000000000000002E-2</v>
      </c>
      <c r="C8" s="1"/>
      <c r="D8">
        <v>412.4</v>
      </c>
      <c r="E8">
        <v>546.1</v>
      </c>
      <c r="F8">
        <f t="shared" si="0"/>
        <v>5.9102902374670183E-2</v>
      </c>
      <c r="G8">
        <v>-59.14</v>
      </c>
      <c r="H8">
        <v>26.39</v>
      </c>
    </row>
    <row r="9" spans="1:8" x14ac:dyDescent="0.25">
      <c r="A9" t="s">
        <v>7</v>
      </c>
      <c r="B9">
        <v>7.4999999999999997E-2</v>
      </c>
      <c r="C9" s="1"/>
      <c r="D9">
        <v>491.8</v>
      </c>
      <c r="E9">
        <v>693.1</v>
      </c>
      <c r="F9">
        <f t="shared" si="0"/>
        <v>6.9656992084432726E-2</v>
      </c>
      <c r="G9">
        <v>-53.82</v>
      </c>
      <c r="H9">
        <v>25.9</v>
      </c>
    </row>
    <row r="10" spans="1:8" x14ac:dyDescent="0.25">
      <c r="A10" t="s">
        <v>8</v>
      </c>
      <c r="B10">
        <v>6.4000000000000001E-2</v>
      </c>
      <c r="C10" s="1"/>
      <c r="D10">
        <v>40.4</v>
      </c>
      <c r="E10">
        <v>1007</v>
      </c>
      <c r="F10">
        <f t="shared" si="0"/>
        <v>5.8047493403693931E-2</v>
      </c>
      <c r="G10">
        <v>-97.73</v>
      </c>
      <c r="H10">
        <v>-18.809999999999999</v>
      </c>
    </row>
    <row r="11" spans="1:8" x14ac:dyDescent="0.25">
      <c r="A11" t="s">
        <v>9</v>
      </c>
      <c r="B11">
        <v>7.1999999999999995E-2</v>
      </c>
      <c r="C11" s="1"/>
      <c r="D11">
        <v>45.87</v>
      </c>
      <c r="E11">
        <v>1097</v>
      </c>
      <c r="F11">
        <f t="shared" si="0"/>
        <v>6.6490765171503957E-2</v>
      </c>
      <c r="G11">
        <v>-98.78</v>
      </c>
      <c r="H11">
        <v>-20.16</v>
      </c>
    </row>
    <row r="12" spans="1:8" x14ac:dyDescent="0.25">
      <c r="A12" t="s">
        <v>10</v>
      </c>
      <c r="B12">
        <v>7.1999999999999995E-2</v>
      </c>
      <c r="C12" s="1"/>
      <c r="D12">
        <v>41.33</v>
      </c>
      <c r="E12">
        <v>1060</v>
      </c>
      <c r="F12">
        <f t="shared" si="0"/>
        <v>6.6490765171503957E-2</v>
      </c>
      <c r="G12">
        <v>-97.22</v>
      </c>
      <c r="H12">
        <v>-20.309999999999999</v>
      </c>
    </row>
    <row r="13" spans="1:8" x14ac:dyDescent="0.25">
      <c r="A13" t="s">
        <v>11</v>
      </c>
      <c r="B13">
        <v>7.0000000000000007E-2</v>
      </c>
      <c r="C13" s="1"/>
      <c r="D13">
        <v>37.61</v>
      </c>
      <c r="E13">
        <v>1060</v>
      </c>
      <c r="F13">
        <f t="shared" si="0"/>
        <v>6.4379947229551454E-2</v>
      </c>
      <c r="G13">
        <v>-96.33</v>
      </c>
      <c r="H13">
        <v>-20.54</v>
      </c>
    </row>
    <row r="14" spans="1:8" x14ac:dyDescent="0.25">
      <c r="A14" t="s">
        <v>12</v>
      </c>
      <c r="B14">
        <v>7.0999999999999994E-2</v>
      </c>
      <c r="C14" s="1"/>
      <c r="D14">
        <v>361</v>
      </c>
      <c r="E14">
        <v>1288</v>
      </c>
      <c r="F14">
        <f t="shared" si="0"/>
        <v>6.5435356200527692E-2</v>
      </c>
      <c r="G14">
        <v>-77.02</v>
      </c>
      <c r="H14">
        <v>-1.663</v>
      </c>
    </row>
    <row r="15" spans="1:8" x14ac:dyDescent="0.25">
      <c r="A15" t="s">
        <v>13</v>
      </c>
      <c r="B15">
        <v>7.1999999999999995E-2</v>
      </c>
      <c r="C15" s="1"/>
      <c r="D15">
        <v>259.7</v>
      </c>
      <c r="E15">
        <v>1236</v>
      </c>
      <c r="F15">
        <f t="shared" si="0"/>
        <v>6.6490765171503957E-2</v>
      </c>
      <c r="G15">
        <v>-79.78</v>
      </c>
      <c r="H15">
        <v>-2.0880000000000001</v>
      </c>
    </row>
    <row r="16" spans="1:8" x14ac:dyDescent="0.25">
      <c r="A16" t="s">
        <v>14</v>
      </c>
      <c r="B16">
        <v>7.1999999999999995E-2</v>
      </c>
      <c r="C16" s="1"/>
      <c r="D16">
        <v>315.8</v>
      </c>
      <c r="E16">
        <v>1314</v>
      </c>
      <c r="F16">
        <f t="shared" si="0"/>
        <v>6.6490765171503957E-2</v>
      </c>
      <c r="G16">
        <v>-77.56</v>
      </c>
      <c r="H16">
        <v>-1.6930000000000001</v>
      </c>
    </row>
    <row r="17" spans="1:8" x14ac:dyDescent="0.25">
      <c r="A17" t="s">
        <v>15</v>
      </c>
      <c r="B17">
        <v>6.5000000000000002E-2</v>
      </c>
      <c r="C17" s="1"/>
      <c r="D17">
        <v>495.4</v>
      </c>
      <c r="E17">
        <v>1379</v>
      </c>
      <c r="F17">
        <f t="shared" si="0"/>
        <v>5.9102902374670183E-2</v>
      </c>
      <c r="G17">
        <v>-69.11</v>
      </c>
      <c r="H17">
        <v>-1.23</v>
      </c>
    </row>
    <row r="18" spans="1:8" x14ac:dyDescent="0.25">
      <c r="A18" t="s">
        <v>21</v>
      </c>
      <c r="B18">
        <v>0</v>
      </c>
      <c r="F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8"/>
  <sheetViews>
    <sheetView workbookViewId="0">
      <selection activeCell="H6" sqref="H6:H17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7.6999999999999999E-2</v>
      </c>
      <c r="C2" s="1">
        <v>0.37152777777777773</v>
      </c>
      <c r="D2">
        <v>11.16</v>
      </c>
      <c r="E2">
        <v>92</v>
      </c>
      <c r="F2">
        <f t="shared" ref="F2:F17" si="0">(B2-0.009)/0.9475</f>
        <v>7.1767810026385229E-2</v>
      </c>
      <c r="G2">
        <v>-85.47</v>
      </c>
    </row>
    <row r="3" spans="1:8" x14ac:dyDescent="0.25">
      <c r="A3" t="s">
        <v>1</v>
      </c>
      <c r="B3">
        <v>7.5999999999999998E-2</v>
      </c>
      <c r="C3" s="1"/>
      <c r="D3">
        <v>11.29</v>
      </c>
      <c r="E3">
        <v>101</v>
      </c>
      <c r="F3">
        <f t="shared" si="0"/>
        <v>7.0712401055408977E-2</v>
      </c>
      <c r="G3">
        <v>-85.33</v>
      </c>
    </row>
    <row r="4" spans="1:8" x14ac:dyDescent="0.25">
      <c r="A4" t="s">
        <v>2</v>
      </c>
      <c r="B4">
        <v>7.6999999999999999E-2</v>
      </c>
      <c r="C4" s="1"/>
      <c r="D4">
        <v>10.59</v>
      </c>
      <c r="E4">
        <v>89.52</v>
      </c>
      <c r="F4">
        <f t="shared" si="0"/>
        <v>7.1767810026385229E-2</v>
      </c>
      <c r="G4">
        <v>-84.03</v>
      </c>
    </row>
    <row r="5" spans="1:8" x14ac:dyDescent="0.25">
      <c r="A5" t="s">
        <v>3</v>
      </c>
      <c r="B5">
        <v>7.5999999999999998E-2</v>
      </c>
      <c r="C5" s="1"/>
      <c r="D5">
        <v>10.51</v>
      </c>
      <c r="E5">
        <v>86</v>
      </c>
      <c r="F5">
        <f t="shared" si="0"/>
        <v>7.0712401055408977E-2</v>
      </c>
      <c r="G5">
        <v>-84.22</v>
      </c>
    </row>
    <row r="6" spans="1:8" x14ac:dyDescent="0.25">
      <c r="A6" t="s">
        <v>4</v>
      </c>
      <c r="B6">
        <v>7.6999999999999999E-2</v>
      </c>
      <c r="C6" s="1"/>
      <c r="D6">
        <v>394.9</v>
      </c>
      <c r="E6">
        <v>409.4</v>
      </c>
      <c r="F6">
        <f t="shared" si="0"/>
        <v>7.1767810026385229E-2</v>
      </c>
      <c r="G6">
        <v>-69.099999999999994</v>
      </c>
      <c r="H6">
        <v>17.11</v>
      </c>
    </row>
    <row r="7" spans="1:8" x14ac:dyDescent="0.25">
      <c r="A7" t="s">
        <v>5</v>
      </c>
      <c r="B7">
        <v>7.8E-2</v>
      </c>
      <c r="C7" s="1"/>
      <c r="D7">
        <v>423</v>
      </c>
      <c r="E7">
        <v>374.2</v>
      </c>
      <c r="F7">
        <f t="shared" si="0"/>
        <v>7.282321899736148E-2</v>
      </c>
      <c r="G7">
        <v>-66.5</v>
      </c>
      <c r="H7">
        <v>15.75</v>
      </c>
    </row>
    <row r="8" spans="1:8" x14ac:dyDescent="0.25">
      <c r="A8" t="s">
        <v>6</v>
      </c>
      <c r="B8">
        <v>7.9000000000000001E-2</v>
      </c>
      <c r="C8" s="1"/>
      <c r="D8">
        <v>378.4</v>
      </c>
      <c r="E8">
        <v>393</v>
      </c>
      <c r="F8">
        <f t="shared" si="0"/>
        <v>7.3878627968337732E-2</v>
      </c>
      <c r="G8">
        <v>-67.69</v>
      </c>
      <c r="H8">
        <v>17.52</v>
      </c>
    </row>
    <row r="9" spans="1:8" x14ac:dyDescent="0.25">
      <c r="A9" t="s">
        <v>7</v>
      </c>
      <c r="B9">
        <v>7.8E-2</v>
      </c>
      <c r="C9" s="1"/>
      <c r="D9">
        <v>168.2</v>
      </c>
      <c r="E9">
        <v>313.3</v>
      </c>
      <c r="F9">
        <f t="shared" si="0"/>
        <v>7.282321899736148E-2</v>
      </c>
      <c r="G9">
        <v>-56.99</v>
      </c>
      <c r="H9">
        <v>14.18</v>
      </c>
    </row>
    <row r="10" spans="1:8" x14ac:dyDescent="0.25">
      <c r="A10" t="s">
        <v>8</v>
      </c>
      <c r="B10">
        <v>7.9000000000000001E-2</v>
      </c>
      <c r="C10" s="1"/>
      <c r="D10">
        <v>44.36</v>
      </c>
      <c r="E10">
        <v>984.9</v>
      </c>
      <c r="F10">
        <f t="shared" si="0"/>
        <v>7.3878627968337732E-2</v>
      </c>
      <c r="G10">
        <v>-99.05</v>
      </c>
      <c r="H10">
        <v>-19.82</v>
      </c>
    </row>
    <row r="11" spans="1:8" x14ac:dyDescent="0.25">
      <c r="A11" t="s">
        <v>9</v>
      </c>
      <c r="B11">
        <v>7.3999999999999996E-2</v>
      </c>
      <c r="C11" s="1"/>
      <c r="D11">
        <v>54.08</v>
      </c>
      <c r="E11">
        <v>1015</v>
      </c>
      <c r="F11">
        <f t="shared" si="0"/>
        <v>6.860158311345646E-2</v>
      </c>
      <c r="G11">
        <v>-99.64</v>
      </c>
      <c r="H11">
        <v>-20.239999999999998</v>
      </c>
    </row>
    <row r="12" spans="1:8" x14ac:dyDescent="0.25">
      <c r="A12" t="s">
        <v>10</v>
      </c>
      <c r="B12">
        <v>7.4999999999999997E-2</v>
      </c>
      <c r="C12" s="1"/>
      <c r="D12">
        <v>41.21</v>
      </c>
      <c r="E12">
        <v>969.4</v>
      </c>
      <c r="F12">
        <f t="shared" si="0"/>
        <v>6.9656992084432726E-2</v>
      </c>
      <c r="G12">
        <v>-98.78</v>
      </c>
      <c r="H12" s="5">
        <v>-20.782</v>
      </c>
    </row>
    <row r="13" spans="1:8" x14ac:dyDescent="0.25">
      <c r="A13" t="s">
        <v>11</v>
      </c>
      <c r="B13">
        <v>7.1999999999999995E-2</v>
      </c>
      <c r="C13" s="1"/>
      <c r="D13">
        <v>41.25</v>
      </c>
      <c r="E13">
        <v>990.5</v>
      </c>
      <c r="F13">
        <f t="shared" si="0"/>
        <v>6.6490765171503957E-2</v>
      </c>
      <c r="G13">
        <v>-97.5</v>
      </c>
      <c r="H13">
        <v>-20.85</v>
      </c>
    </row>
    <row r="14" spans="1:8" x14ac:dyDescent="0.25">
      <c r="A14" t="s">
        <v>12</v>
      </c>
      <c r="B14">
        <v>7.2999999999999995E-2</v>
      </c>
      <c r="C14" s="1"/>
      <c r="D14">
        <v>273.10000000000002</v>
      </c>
      <c r="E14">
        <v>1200</v>
      </c>
      <c r="F14">
        <f t="shared" si="0"/>
        <v>6.7546174142480209E-2</v>
      </c>
      <c r="G14">
        <v>-80.31</v>
      </c>
      <c r="H14">
        <v>-4.22</v>
      </c>
    </row>
    <row r="15" spans="1:8" x14ac:dyDescent="0.25">
      <c r="A15" t="s">
        <v>13</v>
      </c>
      <c r="B15">
        <v>7.4999999999999997E-2</v>
      </c>
      <c r="C15" s="1"/>
      <c r="D15">
        <v>234.6</v>
      </c>
      <c r="E15">
        <v>1088</v>
      </c>
      <c r="F15">
        <f t="shared" si="0"/>
        <v>6.9656992084432726E-2</v>
      </c>
      <c r="G15">
        <v>-79.08</v>
      </c>
      <c r="H15">
        <v>-5.0199999999999996</v>
      </c>
    </row>
    <row r="16" spans="1:8" x14ac:dyDescent="0.25">
      <c r="A16" t="s">
        <v>14</v>
      </c>
      <c r="B16">
        <v>7.4999999999999997E-2</v>
      </c>
      <c r="C16" s="1"/>
      <c r="D16">
        <v>188.7</v>
      </c>
      <c r="E16">
        <v>1160</v>
      </c>
      <c r="F16">
        <f t="shared" si="0"/>
        <v>6.9656992084432726E-2</v>
      </c>
      <c r="G16">
        <v>-77.900000000000006</v>
      </c>
      <c r="H16">
        <v>-5.5</v>
      </c>
    </row>
    <row r="17" spans="1:8" x14ac:dyDescent="0.25">
      <c r="A17" t="s">
        <v>15</v>
      </c>
      <c r="B17">
        <v>7.0000000000000007E-2</v>
      </c>
      <c r="C17" s="1"/>
      <c r="D17">
        <v>253</v>
      </c>
      <c r="E17">
        <v>1210</v>
      </c>
      <c r="F17">
        <f t="shared" si="0"/>
        <v>6.4379947229551454E-2</v>
      </c>
      <c r="G17">
        <v>-70.989999999999995</v>
      </c>
      <c r="H17">
        <v>-5.19</v>
      </c>
    </row>
    <row r="18" spans="1:8" x14ac:dyDescent="0.25">
      <c r="A18" t="s">
        <v>21</v>
      </c>
      <c r="B18">
        <v>0</v>
      </c>
      <c r="F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8"/>
  <sheetViews>
    <sheetView workbookViewId="0">
      <selection activeCell="H6" sqref="H6:H17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7.0999999999999994E-2</v>
      </c>
      <c r="C2" s="1"/>
      <c r="D2">
        <v>7.15</v>
      </c>
      <c r="E2">
        <v>83</v>
      </c>
      <c r="F2">
        <f t="shared" ref="F2:F9" si="0">(B2-0.003)/0.9475</f>
        <v>7.1767810026385215E-2</v>
      </c>
      <c r="G2">
        <v>-84.2</v>
      </c>
    </row>
    <row r="3" spans="1:8" x14ac:dyDescent="0.25">
      <c r="A3" t="s">
        <v>1</v>
      </c>
      <c r="B3">
        <v>7.0000000000000007E-2</v>
      </c>
      <c r="C3" s="1"/>
      <c r="D3">
        <v>9</v>
      </c>
      <c r="E3">
        <v>96</v>
      </c>
      <c r="F3">
        <f t="shared" si="0"/>
        <v>7.0712401055408977E-2</v>
      </c>
      <c r="G3">
        <v>-85.55</v>
      </c>
    </row>
    <row r="4" spans="1:8" x14ac:dyDescent="0.25">
      <c r="A4" t="s">
        <v>2</v>
      </c>
      <c r="B4">
        <v>7.0999999999999994E-2</v>
      </c>
      <c r="C4" s="1"/>
      <c r="D4">
        <v>7.7</v>
      </c>
      <c r="E4">
        <v>80.5</v>
      </c>
      <c r="F4">
        <f t="shared" si="0"/>
        <v>7.1767810026385215E-2</v>
      </c>
      <c r="G4">
        <v>-83.29</v>
      </c>
    </row>
    <row r="5" spans="1:8" x14ac:dyDescent="0.25">
      <c r="A5" t="s">
        <v>3</v>
      </c>
      <c r="B5">
        <v>7.0000000000000007E-2</v>
      </c>
      <c r="C5" s="1"/>
      <c r="D5">
        <v>7.6</v>
      </c>
      <c r="E5">
        <v>79</v>
      </c>
      <c r="F5">
        <f t="shared" si="0"/>
        <v>7.0712401055408977E-2</v>
      </c>
      <c r="G5">
        <v>-84</v>
      </c>
    </row>
    <row r="6" spans="1:8" x14ac:dyDescent="0.25">
      <c r="A6" t="s">
        <v>4</v>
      </c>
      <c r="B6">
        <v>7.0999999999999994E-2</v>
      </c>
      <c r="C6" s="1"/>
      <c r="D6">
        <v>373.2</v>
      </c>
      <c r="E6">
        <v>388.2</v>
      </c>
      <c r="F6">
        <f t="shared" si="0"/>
        <v>7.1767810026385215E-2</v>
      </c>
      <c r="G6">
        <v>-69.14</v>
      </c>
      <c r="H6">
        <v>16.88</v>
      </c>
    </row>
    <row r="7" spans="1:8" x14ac:dyDescent="0.25">
      <c r="A7" t="s">
        <v>5</v>
      </c>
      <c r="B7">
        <v>7.2999999999999995E-2</v>
      </c>
      <c r="C7" s="1"/>
      <c r="D7">
        <v>378.9</v>
      </c>
      <c r="E7">
        <v>394.3</v>
      </c>
      <c r="F7">
        <f t="shared" si="0"/>
        <v>7.3878627968337718E-2</v>
      </c>
      <c r="G7">
        <v>-67.510000000000005</v>
      </c>
      <c r="H7">
        <v>13.08</v>
      </c>
    </row>
    <row r="8" spans="1:8" x14ac:dyDescent="0.25">
      <c r="A8" t="s">
        <v>6</v>
      </c>
      <c r="B8">
        <v>7.3999999999999996E-2</v>
      </c>
      <c r="C8" s="1"/>
      <c r="D8">
        <v>410.3</v>
      </c>
      <c r="E8">
        <v>387.1</v>
      </c>
      <c r="F8">
        <f t="shared" si="0"/>
        <v>7.4934036939313983E-2</v>
      </c>
      <c r="G8">
        <v>-68.8</v>
      </c>
      <c r="H8">
        <v>13.94</v>
      </c>
    </row>
    <row r="9" spans="1:8" x14ac:dyDescent="0.25">
      <c r="A9" t="s">
        <v>7</v>
      </c>
      <c r="B9">
        <v>7.1999999999999995E-2</v>
      </c>
      <c r="C9" s="1"/>
      <c r="D9">
        <v>192.4</v>
      </c>
      <c r="E9">
        <v>284</v>
      </c>
      <c r="F9">
        <f t="shared" si="0"/>
        <v>7.2823218997361466E-2</v>
      </c>
      <c r="G9">
        <v>-61.6</v>
      </c>
      <c r="H9">
        <v>11.99</v>
      </c>
    </row>
    <row r="10" spans="1:8" x14ac:dyDescent="0.25">
      <c r="A10" t="s">
        <v>8</v>
      </c>
      <c r="B10">
        <v>7.8E-2</v>
      </c>
      <c r="C10" s="1"/>
      <c r="D10">
        <v>42.8</v>
      </c>
      <c r="E10">
        <v>985</v>
      </c>
      <c r="F10">
        <f t="shared" ref="F10:F17" si="1">(B10-0.009)/0.9475</f>
        <v>7.282321899736148E-2</v>
      </c>
      <c r="G10">
        <v>-98.99</v>
      </c>
      <c r="H10">
        <v>-19.53</v>
      </c>
    </row>
    <row r="11" spans="1:8" x14ac:dyDescent="0.25">
      <c r="A11" t="s">
        <v>9</v>
      </c>
      <c r="B11">
        <v>7.9000000000000001E-2</v>
      </c>
      <c r="C11" s="1"/>
      <c r="D11">
        <v>45.36</v>
      </c>
      <c r="E11">
        <v>923</v>
      </c>
      <c r="F11">
        <f t="shared" si="1"/>
        <v>7.3878627968337732E-2</v>
      </c>
      <c r="G11">
        <v>-99.1</v>
      </c>
      <c r="H11">
        <v>-19.25</v>
      </c>
    </row>
    <row r="12" spans="1:8" x14ac:dyDescent="0.25">
      <c r="A12" t="s">
        <v>10</v>
      </c>
      <c r="B12">
        <v>7.3999999999999996E-2</v>
      </c>
      <c r="C12" s="1"/>
      <c r="D12">
        <v>44</v>
      </c>
      <c r="E12">
        <v>918</v>
      </c>
      <c r="F12">
        <f t="shared" si="1"/>
        <v>6.860158311345646E-2</v>
      </c>
      <c r="G12">
        <v>-98.35</v>
      </c>
      <c r="H12" s="5">
        <v>-19.73</v>
      </c>
    </row>
    <row r="13" spans="1:8" x14ac:dyDescent="0.25">
      <c r="A13" t="s">
        <v>11</v>
      </c>
      <c r="B13">
        <v>7.1999999999999995E-2</v>
      </c>
      <c r="C13" s="1"/>
      <c r="F13">
        <f t="shared" si="1"/>
        <v>6.6490765171503957E-2</v>
      </c>
    </row>
    <row r="14" spans="1:8" x14ac:dyDescent="0.25">
      <c r="A14" t="s">
        <v>12</v>
      </c>
      <c r="B14">
        <v>6.5000000000000002E-2</v>
      </c>
      <c r="C14" s="1"/>
      <c r="D14">
        <v>176.8</v>
      </c>
      <c r="E14">
        <v>980</v>
      </c>
      <c r="F14">
        <f t="shared" si="1"/>
        <v>5.9102902374670183E-2</v>
      </c>
      <c r="G14">
        <v>-80.14</v>
      </c>
      <c r="H14">
        <v>-6.7</v>
      </c>
    </row>
    <row r="15" spans="1:8" x14ac:dyDescent="0.25">
      <c r="A15" t="s">
        <v>13</v>
      </c>
      <c r="B15">
        <v>6.4000000000000001E-2</v>
      </c>
      <c r="C15" s="1"/>
      <c r="D15">
        <v>167.1</v>
      </c>
      <c r="E15">
        <v>1086</v>
      </c>
      <c r="F15">
        <f t="shared" si="1"/>
        <v>5.8047493403693931E-2</v>
      </c>
      <c r="G15">
        <v>-77.31</v>
      </c>
      <c r="H15">
        <v>-5.64</v>
      </c>
    </row>
    <row r="16" spans="1:8" x14ac:dyDescent="0.25">
      <c r="A16" t="s">
        <v>14</v>
      </c>
      <c r="B16">
        <v>7.0000000000000007E-2</v>
      </c>
      <c r="C16" s="1"/>
      <c r="D16">
        <v>142.5</v>
      </c>
      <c r="E16">
        <v>1035</v>
      </c>
      <c r="F16">
        <f t="shared" si="1"/>
        <v>6.4379947229551454E-2</v>
      </c>
      <c r="G16">
        <v>-79.25</v>
      </c>
      <c r="H16">
        <v>-7.8</v>
      </c>
    </row>
    <row r="17" spans="1:8" x14ac:dyDescent="0.25">
      <c r="A17" t="s">
        <v>15</v>
      </c>
      <c r="B17">
        <v>6.6000000000000003E-2</v>
      </c>
      <c r="C17" s="1"/>
      <c r="D17">
        <v>157.30000000000001</v>
      </c>
      <c r="E17">
        <v>1065</v>
      </c>
      <c r="F17">
        <f t="shared" si="1"/>
        <v>6.0158311345646441E-2</v>
      </c>
      <c r="G17">
        <v>-72</v>
      </c>
      <c r="H17">
        <v>-8.48</v>
      </c>
    </row>
    <row r="18" spans="1:8" x14ac:dyDescent="0.25">
      <c r="A18" t="s">
        <v>21</v>
      </c>
      <c r="B18">
        <v>0</v>
      </c>
      <c r="F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K9" sqref="K9"/>
    </sheetView>
  </sheetViews>
  <sheetFormatPr defaultRowHeight="15" x14ac:dyDescent="0.25"/>
  <sheetData>
    <row r="1" spans="1:6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5">
      <c r="A2" t="s">
        <v>0</v>
      </c>
      <c r="B2">
        <v>6.5000000000000002E-2</v>
      </c>
      <c r="C2" s="1">
        <v>0.29791666666666666</v>
      </c>
      <c r="D2">
        <v>5.14</v>
      </c>
      <c r="E2">
        <v>193</v>
      </c>
      <c r="F2">
        <f>B2*1.15</f>
        <v>7.4749999999999997E-2</v>
      </c>
    </row>
    <row r="3" spans="1:6" x14ac:dyDescent="0.25">
      <c r="A3" t="s">
        <v>1</v>
      </c>
      <c r="B3">
        <v>5.5E-2</v>
      </c>
      <c r="C3" s="1">
        <v>0.3125</v>
      </c>
      <c r="D3">
        <v>28</v>
      </c>
      <c r="E3">
        <v>225</v>
      </c>
      <c r="F3">
        <f t="shared" ref="F3:F17" si="0">B3*1.15</f>
        <v>6.3250000000000001E-2</v>
      </c>
    </row>
    <row r="4" spans="1:6" x14ac:dyDescent="0.25">
      <c r="A4" t="s">
        <v>2</v>
      </c>
      <c r="B4">
        <v>0.06</v>
      </c>
      <c r="C4" s="1">
        <v>0.32847222222222222</v>
      </c>
      <c r="D4">
        <v>38.5</v>
      </c>
      <c r="E4">
        <v>200</v>
      </c>
      <c r="F4">
        <f t="shared" si="0"/>
        <v>6.8999999999999992E-2</v>
      </c>
    </row>
    <row r="5" spans="1:6" x14ac:dyDescent="0.25">
      <c r="A5" t="s">
        <v>3</v>
      </c>
      <c r="B5">
        <v>6.2E-2</v>
      </c>
      <c r="C5" s="1">
        <v>0.35069444444444442</v>
      </c>
      <c r="D5">
        <v>5</v>
      </c>
      <c r="E5">
        <v>170</v>
      </c>
      <c r="F5">
        <f t="shared" si="0"/>
        <v>7.1299999999999988E-2</v>
      </c>
    </row>
    <row r="6" spans="1:6" x14ac:dyDescent="0.25">
      <c r="A6" t="s">
        <v>4</v>
      </c>
      <c r="B6">
        <v>6.4000000000000001E-2</v>
      </c>
      <c r="C6" s="1">
        <v>0.37222222222222223</v>
      </c>
      <c r="D6">
        <v>267</v>
      </c>
      <c r="E6">
        <v>930</v>
      </c>
      <c r="F6">
        <f t="shared" si="0"/>
        <v>7.3599999999999999E-2</v>
      </c>
    </row>
    <row r="7" spans="1:6" x14ac:dyDescent="0.25">
      <c r="A7" t="s">
        <v>5</v>
      </c>
      <c r="B7">
        <v>6.4000000000000001E-2</v>
      </c>
      <c r="C7" s="1">
        <v>0.38472222222222219</v>
      </c>
      <c r="D7">
        <v>693</v>
      </c>
      <c r="E7">
        <v>1995</v>
      </c>
      <c r="F7">
        <f t="shared" si="0"/>
        <v>7.3599999999999999E-2</v>
      </c>
    </row>
    <row r="8" spans="1:6" x14ac:dyDescent="0.25">
      <c r="A8" t="s">
        <v>6</v>
      </c>
      <c r="B8">
        <v>6.6000000000000003E-2</v>
      </c>
      <c r="C8" s="1">
        <v>0.40069444444444446</v>
      </c>
      <c r="D8">
        <v>615</v>
      </c>
      <c r="E8">
        <v>1922</v>
      </c>
      <c r="F8">
        <f t="shared" si="0"/>
        <v>7.5899999999999995E-2</v>
      </c>
    </row>
    <row r="9" spans="1:6" x14ac:dyDescent="0.25">
      <c r="A9" t="s">
        <v>7</v>
      </c>
      <c r="B9">
        <v>6.4000000000000001E-2</v>
      </c>
      <c r="C9" s="1">
        <v>0.42152777777777778</v>
      </c>
      <c r="D9">
        <v>41</v>
      </c>
      <c r="E9">
        <v>600</v>
      </c>
      <c r="F9">
        <f t="shared" si="0"/>
        <v>7.3599999999999999E-2</v>
      </c>
    </row>
    <row r="10" spans="1:6" x14ac:dyDescent="0.25">
      <c r="A10" t="s">
        <v>8</v>
      </c>
      <c r="B10">
        <v>6.2E-2</v>
      </c>
      <c r="D10">
        <v>33</v>
      </c>
      <c r="E10">
        <v>1300</v>
      </c>
      <c r="F10">
        <f t="shared" si="0"/>
        <v>7.1299999999999988E-2</v>
      </c>
    </row>
    <row r="11" spans="1:6" x14ac:dyDescent="0.25">
      <c r="A11" t="s">
        <v>9</v>
      </c>
      <c r="B11">
        <v>5.7000000000000002E-2</v>
      </c>
      <c r="C11" s="1">
        <v>0.45347222222222222</v>
      </c>
      <c r="D11">
        <v>17</v>
      </c>
      <c r="E11">
        <v>1217</v>
      </c>
      <c r="F11">
        <f t="shared" si="0"/>
        <v>6.5549999999999997E-2</v>
      </c>
    </row>
    <row r="12" spans="1:6" x14ac:dyDescent="0.25">
      <c r="A12" t="s">
        <v>10</v>
      </c>
      <c r="B12">
        <v>5.0999999999999997E-2</v>
      </c>
      <c r="C12" s="1">
        <v>0.46180555555555558</v>
      </c>
      <c r="D12">
        <v>29.3</v>
      </c>
      <c r="E12">
        <v>1287</v>
      </c>
      <c r="F12">
        <f t="shared" si="0"/>
        <v>5.8649999999999994E-2</v>
      </c>
    </row>
    <row r="13" spans="1:6" x14ac:dyDescent="0.25">
      <c r="A13" t="s">
        <v>11</v>
      </c>
      <c r="B13">
        <v>4.7E-2</v>
      </c>
      <c r="C13" s="1">
        <v>0.47222222222222227</v>
      </c>
      <c r="D13">
        <v>31.9</v>
      </c>
      <c r="E13">
        <v>1227</v>
      </c>
      <c r="F13">
        <f t="shared" si="0"/>
        <v>5.4049999999999994E-2</v>
      </c>
    </row>
    <row r="14" spans="1:6" x14ac:dyDescent="0.25">
      <c r="A14" t="s">
        <v>12</v>
      </c>
      <c r="B14">
        <v>4.8000000000000001E-2</v>
      </c>
      <c r="C14" s="1">
        <v>0.48541666666666666</v>
      </c>
      <c r="D14">
        <v>140</v>
      </c>
      <c r="E14">
        <v>2563</v>
      </c>
      <c r="F14">
        <f t="shared" si="0"/>
        <v>5.5199999999999999E-2</v>
      </c>
    </row>
    <row r="15" spans="1:6" x14ac:dyDescent="0.25">
      <c r="A15" t="s">
        <v>13</v>
      </c>
      <c r="B15">
        <v>5.8999999999999997E-2</v>
      </c>
      <c r="C15" s="1">
        <v>0.50277777777777777</v>
      </c>
      <c r="D15">
        <v>106</v>
      </c>
      <c r="E15">
        <v>2454</v>
      </c>
      <c r="F15">
        <f t="shared" si="0"/>
        <v>6.7849999999999994E-2</v>
      </c>
    </row>
    <row r="16" spans="1:6" x14ac:dyDescent="0.25">
      <c r="A16" t="s">
        <v>14</v>
      </c>
      <c r="B16">
        <v>5.0999999999999997E-2</v>
      </c>
      <c r="C16" s="1">
        <v>0.51388888888888895</v>
      </c>
      <c r="D16">
        <v>83</v>
      </c>
      <c r="E16">
        <v>2420</v>
      </c>
      <c r="F16">
        <f t="shared" si="0"/>
        <v>5.8649999999999994E-2</v>
      </c>
    </row>
    <row r="17" spans="1:6" x14ac:dyDescent="0.25">
      <c r="A17" t="s">
        <v>15</v>
      </c>
      <c r="B17">
        <v>4.2000000000000003E-2</v>
      </c>
      <c r="C17" s="1">
        <v>0.52430555555555558</v>
      </c>
      <c r="D17">
        <v>264</v>
      </c>
      <c r="E17">
        <v>3578.4</v>
      </c>
      <c r="F17">
        <f t="shared" si="0"/>
        <v>4.8300000000000003E-2</v>
      </c>
    </row>
    <row r="18" spans="1:6" x14ac:dyDescent="0.25">
      <c r="A18" t="s">
        <v>21</v>
      </c>
      <c r="B18">
        <v>0</v>
      </c>
      <c r="D18">
        <v>2.04</v>
      </c>
      <c r="E18">
        <v>448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8"/>
  <sheetViews>
    <sheetView workbookViewId="0">
      <selection activeCell="H6" sqref="H6:H17"/>
    </sheetView>
  </sheetViews>
  <sheetFormatPr defaultRowHeight="15" x14ac:dyDescent="0.25"/>
  <cols>
    <col min="9" max="9" width="10.28515625" bestFit="1" customWidth="1"/>
  </cols>
  <sheetData>
    <row r="1" spans="1:9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  <c r="I1" t="s">
        <v>28</v>
      </c>
    </row>
    <row r="2" spans="1:9" x14ac:dyDescent="0.25">
      <c r="A2" t="s">
        <v>0</v>
      </c>
      <c r="B2">
        <v>7.0999999999999994E-2</v>
      </c>
      <c r="C2" s="1">
        <v>0.62430555555555556</v>
      </c>
      <c r="D2">
        <v>8.8800000000000008</v>
      </c>
      <c r="E2">
        <v>78.12</v>
      </c>
      <c r="F2">
        <f t="shared" ref="F2:F9" si="0">(B2-0.003)/0.9475</f>
        <v>7.1767810026385215E-2</v>
      </c>
      <c r="G2">
        <v>-85.37</v>
      </c>
      <c r="I2" s="2">
        <v>44963</v>
      </c>
    </row>
    <row r="3" spans="1:9" x14ac:dyDescent="0.25">
      <c r="A3" t="s">
        <v>1</v>
      </c>
      <c r="B3">
        <v>7.0000000000000007E-2</v>
      </c>
      <c r="C3" s="1"/>
      <c r="D3">
        <v>11.03</v>
      </c>
      <c r="E3">
        <v>95.19</v>
      </c>
      <c r="F3">
        <f t="shared" si="0"/>
        <v>7.0712401055408977E-2</v>
      </c>
      <c r="G3">
        <v>-86.45</v>
      </c>
      <c r="I3" s="2">
        <v>44963</v>
      </c>
    </row>
    <row r="4" spans="1:9" x14ac:dyDescent="0.25">
      <c r="A4" t="s">
        <v>2</v>
      </c>
      <c r="B4">
        <v>7.0999999999999994E-2</v>
      </c>
      <c r="C4" s="1"/>
      <c r="D4">
        <v>8.15</v>
      </c>
      <c r="E4">
        <v>74.900000000000006</v>
      </c>
      <c r="F4">
        <f t="shared" si="0"/>
        <v>7.1767810026385215E-2</v>
      </c>
      <c r="G4">
        <v>-83.91</v>
      </c>
      <c r="I4" s="2">
        <v>44963</v>
      </c>
    </row>
    <row r="5" spans="1:9" x14ac:dyDescent="0.25">
      <c r="A5" t="s">
        <v>3</v>
      </c>
      <c r="B5">
        <v>7.0000000000000007E-2</v>
      </c>
      <c r="C5" s="1"/>
      <c r="D5">
        <v>8.8000000000000007</v>
      </c>
      <c r="E5">
        <v>77.5</v>
      </c>
      <c r="F5">
        <f t="shared" si="0"/>
        <v>7.0712401055408977E-2</v>
      </c>
      <c r="G5">
        <v>-85.22</v>
      </c>
      <c r="I5" s="2">
        <v>44964</v>
      </c>
    </row>
    <row r="6" spans="1:9" x14ac:dyDescent="0.25">
      <c r="A6" t="s">
        <v>4</v>
      </c>
      <c r="B6">
        <v>7.0999999999999994E-2</v>
      </c>
      <c r="C6" s="1"/>
      <c r="D6">
        <v>393</v>
      </c>
      <c r="E6">
        <v>395</v>
      </c>
      <c r="F6">
        <f t="shared" si="0"/>
        <v>7.1767810026385215E-2</v>
      </c>
      <c r="G6">
        <v>-68.97</v>
      </c>
      <c r="H6">
        <v>15.52</v>
      </c>
      <c r="I6" s="2">
        <v>44964</v>
      </c>
    </row>
    <row r="7" spans="1:9" x14ac:dyDescent="0.25">
      <c r="A7" t="s">
        <v>5</v>
      </c>
      <c r="B7">
        <v>7.2999999999999995E-2</v>
      </c>
      <c r="C7" s="1"/>
      <c r="D7">
        <v>346</v>
      </c>
      <c r="E7">
        <v>381.5</v>
      </c>
      <c r="F7">
        <f t="shared" si="0"/>
        <v>7.3878627968337718E-2</v>
      </c>
      <c r="G7">
        <v>-66.3</v>
      </c>
      <c r="H7">
        <v>14.01</v>
      </c>
      <c r="I7" s="2">
        <v>44964</v>
      </c>
    </row>
    <row r="8" spans="1:9" x14ac:dyDescent="0.25">
      <c r="A8" t="s">
        <v>6</v>
      </c>
      <c r="B8">
        <v>7.3999999999999996E-2</v>
      </c>
      <c r="C8" s="1"/>
      <c r="D8">
        <v>408</v>
      </c>
      <c r="E8">
        <v>392.5</v>
      </c>
      <c r="F8">
        <f t="shared" si="0"/>
        <v>7.4934036939313983E-2</v>
      </c>
      <c r="G8">
        <v>-67.790000000000006</v>
      </c>
      <c r="H8">
        <v>15.92</v>
      </c>
      <c r="I8" s="2">
        <v>44964</v>
      </c>
    </row>
    <row r="9" spans="1:9" x14ac:dyDescent="0.25">
      <c r="A9" t="s">
        <v>7</v>
      </c>
      <c r="B9">
        <v>7.1999999999999995E-2</v>
      </c>
      <c r="C9" s="1"/>
      <c r="D9">
        <v>299.2</v>
      </c>
      <c r="E9">
        <v>301.3</v>
      </c>
      <c r="F9">
        <f t="shared" si="0"/>
        <v>7.2823218997361466E-2</v>
      </c>
      <c r="G9">
        <v>-64.75</v>
      </c>
      <c r="H9">
        <v>14.67</v>
      </c>
      <c r="I9" s="2">
        <v>44964</v>
      </c>
    </row>
    <row r="10" spans="1:9" x14ac:dyDescent="0.25">
      <c r="A10" t="s">
        <v>8</v>
      </c>
      <c r="B10">
        <v>7.8E-2</v>
      </c>
      <c r="C10" s="1"/>
      <c r="D10">
        <v>51.28</v>
      </c>
      <c r="E10">
        <v>935</v>
      </c>
      <c r="F10">
        <f t="shared" ref="F10:F17" si="1">(B10-0.009)/0.9475</f>
        <v>7.282321899736148E-2</v>
      </c>
      <c r="G10">
        <v>-98.8</v>
      </c>
      <c r="H10">
        <v>-18.39</v>
      </c>
      <c r="I10" s="2">
        <v>44964</v>
      </c>
    </row>
    <row r="11" spans="1:9" x14ac:dyDescent="0.25">
      <c r="A11" t="s">
        <v>9</v>
      </c>
      <c r="B11">
        <v>7.9000000000000001E-2</v>
      </c>
      <c r="C11" s="1"/>
      <c r="D11">
        <v>47.85</v>
      </c>
      <c r="E11">
        <v>921.5</v>
      </c>
      <c r="F11">
        <f t="shared" si="1"/>
        <v>7.3878627968337732E-2</v>
      </c>
      <c r="G11">
        <v>-98.16</v>
      </c>
      <c r="H11">
        <v>-18.12</v>
      </c>
      <c r="I11" s="2">
        <v>44964</v>
      </c>
    </row>
    <row r="12" spans="1:9" x14ac:dyDescent="0.25">
      <c r="A12" t="s">
        <v>10</v>
      </c>
      <c r="B12">
        <v>7.3999999999999996E-2</v>
      </c>
      <c r="C12" s="1"/>
      <c r="D12">
        <v>48.1</v>
      </c>
      <c r="E12">
        <v>906.8</v>
      </c>
      <c r="F12">
        <f t="shared" si="1"/>
        <v>6.860158311345646E-2</v>
      </c>
      <c r="G12">
        <v>-97.99</v>
      </c>
      <c r="H12" s="5">
        <v>-18.72</v>
      </c>
      <c r="I12" s="2">
        <v>44964</v>
      </c>
    </row>
    <row r="13" spans="1:9" x14ac:dyDescent="0.25">
      <c r="A13" t="s">
        <v>11</v>
      </c>
      <c r="B13">
        <v>7.1999999999999995E-2</v>
      </c>
      <c r="C13" s="1"/>
      <c r="F13">
        <f t="shared" si="1"/>
        <v>6.6490765171503957E-2</v>
      </c>
      <c r="I13" s="2">
        <v>44964</v>
      </c>
    </row>
    <row r="14" spans="1:9" x14ac:dyDescent="0.25">
      <c r="A14" t="s">
        <v>12</v>
      </c>
      <c r="B14">
        <v>6.5000000000000002E-2</v>
      </c>
      <c r="C14" s="1"/>
      <c r="D14">
        <v>119.4</v>
      </c>
      <c r="E14">
        <v>919.2</v>
      </c>
      <c r="F14">
        <f t="shared" si="1"/>
        <v>5.9102902374670183E-2</v>
      </c>
      <c r="G14">
        <v>-77.22</v>
      </c>
      <c r="H14">
        <v>-7.6970000000000001</v>
      </c>
      <c r="I14" s="2">
        <v>44964</v>
      </c>
    </row>
    <row r="15" spans="1:9" x14ac:dyDescent="0.25">
      <c r="A15" t="s">
        <v>13</v>
      </c>
      <c r="B15">
        <v>6.4000000000000001E-2</v>
      </c>
      <c r="C15" s="1"/>
      <c r="D15">
        <v>124.2</v>
      </c>
      <c r="E15">
        <v>978</v>
      </c>
      <c r="F15">
        <f t="shared" si="1"/>
        <v>5.8047493403693931E-2</v>
      </c>
      <c r="G15">
        <v>-79.13</v>
      </c>
      <c r="H15">
        <v>-6.98</v>
      </c>
      <c r="I15" s="2">
        <v>44964</v>
      </c>
    </row>
    <row r="16" spans="1:9" x14ac:dyDescent="0.25">
      <c r="A16" t="s">
        <v>14</v>
      </c>
      <c r="B16">
        <v>7.0000000000000007E-2</v>
      </c>
      <c r="C16" s="1"/>
      <c r="D16">
        <v>169.1</v>
      </c>
      <c r="E16">
        <v>956.2</v>
      </c>
      <c r="F16">
        <f t="shared" si="1"/>
        <v>6.4379947229551454E-2</v>
      </c>
      <c r="G16">
        <v>-80.45</v>
      </c>
      <c r="H16">
        <v>-8.43</v>
      </c>
      <c r="I16" s="2">
        <v>44964</v>
      </c>
    </row>
    <row r="17" spans="1:9" x14ac:dyDescent="0.25">
      <c r="A17" t="s">
        <v>15</v>
      </c>
      <c r="B17">
        <v>6.6000000000000003E-2</v>
      </c>
      <c r="C17" s="1"/>
      <c r="D17">
        <v>92.44</v>
      </c>
      <c r="E17">
        <v>905</v>
      </c>
      <c r="F17">
        <f t="shared" si="1"/>
        <v>6.0158311345646441E-2</v>
      </c>
      <c r="G17">
        <v>-67.459999999999994</v>
      </c>
      <c r="H17">
        <v>-10.92</v>
      </c>
      <c r="I17" s="2">
        <v>44964</v>
      </c>
    </row>
    <row r="18" spans="1:9" x14ac:dyDescent="0.25">
      <c r="A18" t="s">
        <v>21</v>
      </c>
      <c r="B18">
        <v>0</v>
      </c>
      <c r="F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8"/>
  <sheetViews>
    <sheetView workbookViewId="0">
      <selection activeCell="H6" sqref="H6:H17"/>
    </sheetView>
  </sheetViews>
  <sheetFormatPr defaultRowHeight="15" x14ac:dyDescent="0.25"/>
  <cols>
    <col min="9" max="9" width="10.28515625" bestFit="1" customWidth="1"/>
  </cols>
  <sheetData>
    <row r="1" spans="1:9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  <c r="I1" t="s">
        <v>28</v>
      </c>
    </row>
    <row r="2" spans="1:9" x14ac:dyDescent="0.25">
      <c r="A2" t="s">
        <v>0</v>
      </c>
      <c r="B2">
        <v>7.3999999999999996E-2</v>
      </c>
      <c r="C2" s="1"/>
      <c r="D2">
        <v>10.1</v>
      </c>
      <c r="E2">
        <v>92.2</v>
      </c>
      <c r="F2">
        <f>(B2-0.009)/0.9475</f>
        <v>6.860158311345646E-2</v>
      </c>
      <c r="G2">
        <v>-86.29</v>
      </c>
      <c r="I2" s="2">
        <v>44984</v>
      </c>
    </row>
    <row r="3" spans="1:9" x14ac:dyDescent="0.25">
      <c r="A3" t="s">
        <v>1</v>
      </c>
      <c r="B3">
        <v>7.2999999999999995E-2</v>
      </c>
      <c r="C3" s="1"/>
      <c r="D3">
        <v>9.9</v>
      </c>
      <c r="E3">
        <v>103.8</v>
      </c>
      <c r="F3">
        <f t="shared" ref="F3:F18" si="0">(B3-0.009)/0.9475</f>
        <v>6.7546174142480209E-2</v>
      </c>
      <c r="G3">
        <v>-86.77</v>
      </c>
      <c r="I3" s="2">
        <v>44984</v>
      </c>
    </row>
    <row r="4" spans="1:9" x14ac:dyDescent="0.25">
      <c r="A4" t="s">
        <v>2</v>
      </c>
      <c r="B4">
        <v>7.4999999999999997E-2</v>
      </c>
      <c r="C4" s="1"/>
      <c r="D4">
        <v>10.15</v>
      </c>
      <c r="E4">
        <v>97.44</v>
      </c>
      <c r="F4">
        <f t="shared" si="0"/>
        <v>6.9656992084432726E-2</v>
      </c>
      <c r="G4">
        <v>-86.34</v>
      </c>
      <c r="I4" s="2">
        <v>44984</v>
      </c>
    </row>
    <row r="5" spans="1:9" x14ac:dyDescent="0.25">
      <c r="A5" t="s">
        <v>3</v>
      </c>
      <c r="B5">
        <v>7.4999999999999997E-2</v>
      </c>
      <c r="C5" s="1"/>
      <c r="D5">
        <v>10.3</v>
      </c>
      <c r="E5">
        <v>96.1</v>
      </c>
      <c r="F5">
        <f t="shared" si="0"/>
        <v>6.9656992084432726E-2</v>
      </c>
      <c r="G5">
        <v>-86.22</v>
      </c>
      <c r="I5" s="2">
        <v>44984</v>
      </c>
    </row>
    <row r="6" spans="1:9" x14ac:dyDescent="0.25">
      <c r="A6" t="s">
        <v>4</v>
      </c>
      <c r="B6">
        <v>7.5999999999999998E-2</v>
      </c>
      <c r="C6" s="1"/>
      <c r="D6">
        <v>411.8</v>
      </c>
      <c r="E6">
        <v>397</v>
      </c>
      <c r="F6">
        <f t="shared" si="0"/>
        <v>7.0712401055408977E-2</v>
      </c>
      <c r="G6">
        <v>-67.290000000000006</v>
      </c>
      <c r="H6">
        <v>17.54</v>
      </c>
      <c r="I6" s="2">
        <v>44984</v>
      </c>
    </row>
    <row r="7" spans="1:9" x14ac:dyDescent="0.25">
      <c r="A7" t="s">
        <v>5</v>
      </c>
      <c r="B7">
        <v>7.6999999999999999E-2</v>
      </c>
      <c r="C7" s="1"/>
      <c r="D7">
        <v>372.7</v>
      </c>
      <c r="E7">
        <v>394</v>
      </c>
      <c r="F7">
        <f t="shared" si="0"/>
        <v>7.1767810026385229E-2</v>
      </c>
      <c r="G7">
        <v>-65.11</v>
      </c>
      <c r="H7">
        <v>16.32</v>
      </c>
      <c r="I7" s="2">
        <v>44984</v>
      </c>
    </row>
    <row r="8" spans="1:9" x14ac:dyDescent="0.25">
      <c r="A8" t="s">
        <v>6</v>
      </c>
      <c r="B8">
        <v>7.8E-2</v>
      </c>
      <c r="C8" s="1"/>
      <c r="D8">
        <v>436.5</v>
      </c>
      <c r="E8">
        <v>442</v>
      </c>
      <c r="F8">
        <f t="shared" si="0"/>
        <v>7.282321899736148E-2</v>
      </c>
      <c r="G8">
        <v>-67.739999999999995</v>
      </c>
      <c r="H8">
        <v>18.059999999999999</v>
      </c>
      <c r="I8" s="2">
        <v>44984</v>
      </c>
    </row>
    <row r="9" spans="1:9" x14ac:dyDescent="0.25">
      <c r="A9" t="s">
        <v>7</v>
      </c>
      <c r="B9">
        <v>7.8E-2</v>
      </c>
      <c r="C9" s="1"/>
      <c r="D9">
        <v>427.7</v>
      </c>
      <c r="E9">
        <v>453.4</v>
      </c>
      <c r="F9">
        <f t="shared" si="0"/>
        <v>7.282321899736148E-2</v>
      </c>
      <c r="G9">
        <v>-67.25</v>
      </c>
      <c r="H9">
        <v>15.56</v>
      </c>
      <c r="I9" s="2">
        <v>44984</v>
      </c>
    </row>
    <row r="10" spans="1:9" x14ac:dyDescent="0.25">
      <c r="A10" t="s">
        <v>8</v>
      </c>
      <c r="B10">
        <v>7.6999999999999999E-2</v>
      </c>
      <c r="C10" s="1"/>
      <c r="D10">
        <v>53.36</v>
      </c>
      <c r="E10">
        <v>902.2</v>
      </c>
      <c r="F10">
        <f t="shared" si="0"/>
        <v>7.1767810026385229E-2</v>
      </c>
      <c r="G10">
        <v>-97.97</v>
      </c>
      <c r="H10">
        <v>-17.37</v>
      </c>
      <c r="I10" s="2">
        <v>44984</v>
      </c>
    </row>
    <row r="11" spans="1:9" x14ac:dyDescent="0.25">
      <c r="A11" t="s">
        <v>9</v>
      </c>
      <c r="B11">
        <v>7.2999999999999995E-2</v>
      </c>
      <c r="C11" s="1"/>
      <c r="D11">
        <v>60.53</v>
      </c>
      <c r="E11">
        <v>950.1</v>
      </c>
      <c r="F11">
        <f t="shared" si="0"/>
        <v>6.7546174142480209E-2</v>
      </c>
      <c r="G11">
        <v>-97.44</v>
      </c>
      <c r="H11">
        <v>-18.010000000000002</v>
      </c>
      <c r="I11" s="2">
        <v>44984</v>
      </c>
    </row>
    <row r="12" spans="1:9" x14ac:dyDescent="0.25">
      <c r="A12" t="s">
        <v>10</v>
      </c>
      <c r="B12">
        <v>7.3999999999999996E-2</v>
      </c>
      <c r="C12" s="1"/>
      <c r="D12">
        <v>45.62</v>
      </c>
      <c r="E12">
        <v>890.2</v>
      </c>
      <c r="F12">
        <f t="shared" si="0"/>
        <v>6.860158311345646E-2</v>
      </c>
      <c r="G12">
        <v>-96.42</v>
      </c>
      <c r="H12" s="5">
        <v>-17.59</v>
      </c>
      <c r="I12" s="2">
        <v>44984</v>
      </c>
    </row>
    <row r="13" spans="1:9" x14ac:dyDescent="0.25">
      <c r="A13" t="s">
        <v>11</v>
      </c>
      <c r="B13">
        <v>6.7000000000000004E-2</v>
      </c>
      <c r="C13" s="1"/>
      <c r="D13">
        <v>48.77</v>
      </c>
      <c r="E13">
        <v>1023</v>
      </c>
      <c r="F13">
        <f t="shared" si="0"/>
        <v>6.1213720316622693E-2</v>
      </c>
      <c r="G13">
        <v>-96.73</v>
      </c>
      <c r="H13">
        <v>-18.510000000000002</v>
      </c>
      <c r="I13" s="2">
        <v>44984</v>
      </c>
    </row>
    <row r="14" spans="1:9" x14ac:dyDescent="0.25">
      <c r="A14" t="s">
        <v>12</v>
      </c>
      <c r="B14">
        <v>7.2999999999999995E-2</v>
      </c>
      <c r="C14" s="1"/>
      <c r="D14">
        <v>129</v>
      </c>
      <c r="E14">
        <v>887</v>
      </c>
      <c r="F14">
        <f t="shared" si="0"/>
        <v>6.7546174142480209E-2</v>
      </c>
      <c r="G14">
        <v>-76.7</v>
      </c>
      <c r="H14">
        <v>-9.65</v>
      </c>
      <c r="I14" s="2">
        <v>44984</v>
      </c>
    </row>
    <row r="15" spans="1:9" x14ac:dyDescent="0.25">
      <c r="A15" t="s">
        <v>13</v>
      </c>
      <c r="B15">
        <v>7.3999999999999996E-2</v>
      </c>
      <c r="C15" s="1"/>
      <c r="D15">
        <v>190.2</v>
      </c>
      <c r="E15">
        <v>959.9</v>
      </c>
      <c r="F15">
        <f t="shared" si="0"/>
        <v>6.860158311345646E-2</v>
      </c>
      <c r="G15">
        <v>-76.97</v>
      </c>
      <c r="H15">
        <v>-7.7990000000000004</v>
      </c>
      <c r="I15" s="2">
        <v>44984</v>
      </c>
    </row>
    <row r="16" spans="1:9" x14ac:dyDescent="0.25">
      <c r="A16" t="s">
        <v>14</v>
      </c>
      <c r="B16">
        <v>7.3999999999999996E-2</v>
      </c>
      <c r="C16" s="1"/>
      <c r="D16">
        <v>81.58</v>
      </c>
      <c r="E16">
        <v>921.5</v>
      </c>
      <c r="F16">
        <f t="shared" si="0"/>
        <v>6.860158311345646E-2</v>
      </c>
      <c r="G16">
        <v>-73.8</v>
      </c>
      <c r="H16">
        <v>-10.71</v>
      </c>
      <c r="I16" s="2">
        <v>44984</v>
      </c>
    </row>
    <row r="17" spans="1:9" x14ac:dyDescent="0.25">
      <c r="A17" t="s">
        <v>15</v>
      </c>
      <c r="B17">
        <v>6.5000000000000002E-2</v>
      </c>
      <c r="C17" s="1"/>
      <c r="D17">
        <v>92.45</v>
      </c>
      <c r="E17">
        <v>849.2</v>
      </c>
      <c r="F17">
        <f t="shared" si="0"/>
        <v>5.9102902374670183E-2</v>
      </c>
      <c r="G17">
        <v>-71.73</v>
      </c>
      <c r="H17">
        <v>-9.9049999999999994</v>
      </c>
      <c r="I17" s="2">
        <v>44984</v>
      </c>
    </row>
    <row r="18" spans="1:9" x14ac:dyDescent="0.25">
      <c r="A18" t="s">
        <v>21</v>
      </c>
      <c r="B18">
        <v>0</v>
      </c>
      <c r="F18">
        <f t="shared" si="0"/>
        <v>-9.4986807387862793E-3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8"/>
  <sheetViews>
    <sheetView workbookViewId="0">
      <selection activeCell="H6" sqref="H6:H17"/>
    </sheetView>
  </sheetViews>
  <sheetFormatPr defaultRowHeight="15" x14ac:dyDescent="0.25"/>
  <cols>
    <col min="9" max="9" width="10.28515625" bestFit="1" customWidth="1"/>
  </cols>
  <sheetData>
    <row r="1" spans="1:9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  <c r="I1" t="s">
        <v>28</v>
      </c>
    </row>
    <row r="2" spans="1:9" x14ac:dyDescent="0.25">
      <c r="A2" t="s">
        <v>0</v>
      </c>
      <c r="B2">
        <v>7.3999999999999996E-2</v>
      </c>
      <c r="C2" s="1">
        <v>0.31875000000000003</v>
      </c>
      <c r="D2">
        <v>10.46</v>
      </c>
      <c r="E2">
        <v>101.9</v>
      </c>
      <c r="F2">
        <f>(B2-0.009)/0.9475</f>
        <v>6.860158311345646E-2</v>
      </c>
      <c r="G2">
        <v>-86.49</v>
      </c>
      <c r="I2" s="2">
        <v>44984</v>
      </c>
    </row>
    <row r="3" spans="1:9" x14ac:dyDescent="0.25">
      <c r="A3" t="s">
        <v>1</v>
      </c>
      <c r="B3">
        <v>7.2999999999999995E-2</v>
      </c>
      <c r="C3" s="1"/>
      <c r="D3">
        <v>11.7</v>
      </c>
      <c r="E3">
        <v>98.71</v>
      </c>
      <c r="F3">
        <f t="shared" ref="F3:F18" si="0">(B3-0.009)/0.9475</f>
        <v>6.7546174142480209E-2</v>
      </c>
      <c r="G3">
        <v>-87.16</v>
      </c>
      <c r="I3" s="2">
        <v>44984</v>
      </c>
    </row>
    <row r="4" spans="1:9" x14ac:dyDescent="0.25">
      <c r="A4" t="s">
        <v>2</v>
      </c>
      <c r="B4">
        <v>7.4999999999999997E-2</v>
      </c>
      <c r="C4" s="1"/>
      <c r="D4">
        <v>10.07</v>
      </c>
      <c r="E4">
        <v>90.47</v>
      </c>
      <c r="F4">
        <f t="shared" si="0"/>
        <v>6.9656992084432726E-2</v>
      </c>
      <c r="G4">
        <v>-86.69</v>
      </c>
      <c r="I4" s="2">
        <v>44984</v>
      </c>
    </row>
    <row r="5" spans="1:9" x14ac:dyDescent="0.25">
      <c r="A5" t="s">
        <v>3</v>
      </c>
      <c r="B5">
        <v>7.4999999999999997E-2</v>
      </c>
      <c r="C5" s="1"/>
      <c r="D5">
        <v>12.99</v>
      </c>
      <c r="E5">
        <v>105.2</v>
      </c>
      <c r="F5">
        <f t="shared" si="0"/>
        <v>6.9656992084432726E-2</v>
      </c>
      <c r="G5">
        <v>-86.18</v>
      </c>
      <c r="I5" s="2">
        <v>44984</v>
      </c>
    </row>
    <row r="6" spans="1:9" x14ac:dyDescent="0.25">
      <c r="A6" t="s">
        <v>4</v>
      </c>
      <c r="B6">
        <v>7.5999999999999998E-2</v>
      </c>
      <c r="C6" s="1"/>
      <c r="D6">
        <v>475.5</v>
      </c>
      <c r="E6">
        <v>407.4</v>
      </c>
      <c r="F6">
        <f t="shared" si="0"/>
        <v>7.0712401055408977E-2</v>
      </c>
      <c r="G6">
        <v>-66.540000000000006</v>
      </c>
      <c r="H6">
        <v>19.829999999999998</v>
      </c>
      <c r="I6" s="2">
        <v>44984</v>
      </c>
    </row>
    <row r="7" spans="1:9" x14ac:dyDescent="0.25">
      <c r="A7" t="s">
        <v>5</v>
      </c>
      <c r="B7">
        <v>7.6999999999999999E-2</v>
      </c>
      <c r="C7" s="1"/>
      <c r="D7">
        <v>402.7</v>
      </c>
      <c r="E7">
        <v>384.9</v>
      </c>
      <c r="F7">
        <f t="shared" si="0"/>
        <v>7.1767810026385229E-2</v>
      </c>
      <c r="G7">
        <v>-64.28</v>
      </c>
      <c r="H7">
        <v>16.239999999999998</v>
      </c>
      <c r="I7" s="2">
        <v>44984</v>
      </c>
    </row>
    <row r="8" spans="1:9" x14ac:dyDescent="0.25">
      <c r="A8" t="s">
        <v>6</v>
      </c>
      <c r="B8">
        <v>7.8E-2</v>
      </c>
      <c r="C8" s="1"/>
      <c r="D8">
        <v>441.1</v>
      </c>
      <c r="E8">
        <v>440</v>
      </c>
      <c r="F8">
        <f t="shared" si="0"/>
        <v>7.282321899736148E-2</v>
      </c>
      <c r="G8">
        <v>-66.790000000000006</v>
      </c>
      <c r="H8">
        <v>16.940000000000001</v>
      </c>
      <c r="I8" s="2">
        <v>44984</v>
      </c>
    </row>
    <row r="9" spans="1:9" x14ac:dyDescent="0.25">
      <c r="A9" t="s">
        <v>7</v>
      </c>
      <c r="B9">
        <v>7.8E-2</v>
      </c>
      <c r="C9" s="1"/>
      <c r="D9">
        <v>526.9</v>
      </c>
      <c r="E9">
        <v>640</v>
      </c>
      <c r="F9">
        <f t="shared" si="0"/>
        <v>7.282321899736148E-2</v>
      </c>
      <c r="G9">
        <v>-69.16</v>
      </c>
      <c r="H9">
        <v>12.94</v>
      </c>
      <c r="I9" s="2">
        <v>44984</v>
      </c>
    </row>
    <row r="10" spans="1:9" x14ac:dyDescent="0.25">
      <c r="A10" t="s">
        <v>8</v>
      </c>
      <c r="B10">
        <v>7.6999999999999999E-2</v>
      </c>
      <c r="C10" s="1"/>
      <c r="D10">
        <v>56.13</v>
      </c>
      <c r="E10">
        <v>961.4</v>
      </c>
      <c r="F10">
        <f t="shared" si="0"/>
        <v>7.1767810026385229E-2</v>
      </c>
      <c r="G10">
        <v>-97.57</v>
      </c>
      <c r="H10">
        <v>-17.329999999999998</v>
      </c>
      <c r="I10" s="2">
        <v>44984</v>
      </c>
    </row>
    <row r="11" spans="1:9" x14ac:dyDescent="0.25">
      <c r="A11" t="s">
        <v>9</v>
      </c>
      <c r="B11">
        <v>7.2999999999999995E-2</v>
      </c>
      <c r="C11" s="1"/>
      <c r="D11">
        <v>55.36</v>
      </c>
      <c r="E11">
        <v>982</v>
      </c>
      <c r="F11">
        <f t="shared" si="0"/>
        <v>6.7546174142480209E-2</v>
      </c>
      <c r="G11">
        <v>-96.296000000000006</v>
      </c>
      <c r="H11">
        <v>-17.97</v>
      </c>
      <c r="I11" s="2">
        <v>44984</v>
      </c>
    </row>
    <row r="12" spans="1:9" x14ac:dyDescent="0.25">
      <c r="A12" t="s">
        <v>10</v>
      </c>
      <c r="B12">
        <v>7.3999999999999996E-2</v>
      </c>
      <c r="C12" s="1"/>
      <c r="D12">
        <v>53.8</v>
      </c>
      <c r="E12">
        <v>917.7</v>
      </c>
      <c r="F12">
        <f t="shared" si="0"/>
        <v>6.860158311345646E-2</v>
      </c>
      <c r="G12">
        <v>-95.92</v>
      </c>
      <c r="H12" s="5">
        <v>-17.260000000000002</v>
      </c>
      <c r="I12" s="2">
        <v>44984</v>
      </c>
    </row>
    <row r="13" spans="1:9" x14ac:dyDescent="0.25">
      <c r="A13" t="s">
        <v>11</v>
      </c>
      <c r="B13">
        <v>6.7000000000000004E-2</v>
      </c>
      <c r="C13" s="1"/>
      <c r="D13">
        <v>59.15</v>
      </c>
      <c r="E13">
        <v>1002</v>
      </c>
      <c r="F13">
        <f t="shared" si="0"/>
        <v>6.1213720316622693E-2</v>
      </c>
      <c r="G13">
        <v>-97.27</v>
      </c>
      <c r="H13">
        <v>-18.2</v>
      </c>
      <c r="I13" s="2">
        <v>44984</v>
      </c>
    </row>
    <row r="14" spans="1:9" x14ac:dyDescent="0.25">
      <c r="A14" t="s">
        <v>12</v>
      </c>
      <c r="B14">
        <v>7.2999999999999995E-2</v>
      </c>
      <c r="C14" s="1"/>
      <c r="D14">
        <v>48.32</v>
      </c>
      <c r="E14">
        <v>858.3</v>
      </c>
      <c r="F14">
        <f t="shared" si="0"/>
        <v>6.7546174142480209E-2</v>
      </c>
      <c r="G14">
        <v>-74.75</v>
      </c>
      <c r="H14">
        <v>-10.039999999999999</v>
      </c>
      <c r="I14" s="2">
        <v>44984</v>
      </c>
    </row>
    <row r="15" spans="1:9" x14ac:dyDescent="0.25">
      <c r="A15" t="s">
        <v>13</v>
      </c>
      <c r="B15">
        <v>7.3999999999999996E-2</v>
      </c>
      <c r="C15" s="1"/>
      <c r="D15">
        <v>49.97</v>
      </c>
      <c r="E15">
        <v>865.4</v>
      </c>
      <c r="F15">
        <f t="shared" si="0"/>
        <v>6.860158311345646E-2</v>
      </c>
      <c r="G15">
        <v>-67.569999999999993</v>
      </c>
      <c r="H15">
        <v>-10.34</v>
      </c>
      <c r="I15" s="2">
        <v>44984</v>
      </c>
    </row>
    <row r="16" spans="1:9" x14ac:dyDescent="0.25">
      <c r="A16" t="s">
        <v>14</v>
      </c>
      <c r="B16">
        <v>7.3999999999999996E-2</v>
      </c>
      <c r="C16" s="1"/>
      <c r="D16">
        <v>45.26</v>
      </c>
      <c r="E16">
        <v>837.2</v>
      </c>
      <c r="F16">
        <f t="shared" si="0"/>
        <v>6.860158311345646E-2</v>
      </c>
      <c r="G16">
        <v>-72.489999999999995</v>
      </c>
      <c r="H16">
        <v>-11.79</v>
      </c>
      <c r="I16" s="2">
        <v>44984</v>
      </c>
    </row>
    <row r="17" spans="1:9" x14ac:dyDescent="0.25">
      <c r="A17" t="s">
        <v>15</v>
      </c>
      <c r="B17">
        <v>6.5000000000000002E-2</v>
      </c>
      <c r="C17" s="1"/>
      <c r="D17">
        <v>105.8</v>
      </c>
      <c r="E17">
        <v>895</v>
      </c>
      <c r="F17">
        <f t="shared" si="0"/>
        <v>5.9102902374670183E-2</v>
      </c>
      <c r="G17">
        <v>-71.569999999999993</v>
      </c>
      <c r="H17">
        <v>-10</v>
      </c>
      <c r="I17" s="2">
        <v>44984</v>
      </c>
    </row>
    <row r="18" spans="1:9" x14ac:dyDescent="0.25">
      <c r="A18" t="s">
        <v>21</v>
      </c>
      <c r="B18">
        <v>0</v>
      </c>
      <c r="F18">
        <f t="shared" si="0"/>
        <v>-9.4986807387862793E-3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375"/>
  <sheetViews>
    <sheetView workbookViewId="0">
      <selection activeCell="B1" sqref="A1:XFD1048576"/>
    </sheetView>
  </sheetViews>
  <sheetFormatPr defaultRowHeight="15" x14ac:dyDescent="0.25"/>
  <cols>
    <col min="2" max="2" width="10.7109375" bestFit="1" customWidth="1"/>
    <col min="7" max="8" width="9.5703125" bestFit="1" customWidth="1"/>
    <col min="9" max="9" width="10.28515625" bestFit="1" customWidth="1"/>
    <col min="10" max="10" width="10.28515625" customWidth="1"/>
  </cols>
  <sheetData>
    <row r="1" spans="1:12" x14ac:dyDescent="0.25">
      <c r="A1" t="s">
        <v>29</v>
      </c>
      <c r="B1" t="s">
        <v>45</v>
      </c>
      <c r="C1" t="s">
        <v>22</v>
      </c>
      <c r="D1" t="s">
        <v>23</v>
      </c>
      <c r="E1" t="s">
        <v>24</v>
      </c>
      <c r="F1" t="s">
        <v>44</v>
      </c>
      <c r="G1" t="s">
        <v>64</v>
      </c>
      <c r="H1" t="s">
        <v>65</v>
      </c>
      <c r="I1" t="s">
        <v>28</v>
      </c>
      <c r="J1" t="s">
        <v>56</v>
      </c>
      <c r="K1" t="s">
        <v>16</v>
      </c>
      <c r="L1" t="s">
        <v>17</v>
      </c>
    </row>
    <row r="2" spans="1:12" x14ac:dyDescent="0.25">
      <c r="A2" t="s">
        <v>0</v>
      </c>
      <c r="B2">
        <v>7.1999999999999995E-2</v>
      </c>
      <c r="C2" s="1">
        <v>0.29791666666666666</v>
      </c>
      <c r="D2">
        <v>11.374000000000001</v>
      </c>
      <c r="E2">
        <v>338.3</v>
      </c>
      <c r="F2">
        <f>(B2-$B$18)</f>
        <v>6.3E-2</v>
      </c>
      <c r="I2" s="2">
        <v>44720</v>
      </c>
      <c r="J2" s="6">
        <f>I2-$I$2+5</f>
        <v>5</v>
      </c>
      <c r="K2" t="s">
        <v>18</v>
      </c>
      <c r="L2">
        <v>10</v>
      </c>
    </row>
    <row r="3" spans="1:12" x14ac:dyDescent="0.25">
      <c r="A3" t="s">
        <v>1</v>
      </c>
      <c r="B3">
        <v>8.2000000000000003E-2</v>
      </c>
      <c r="C3" s="1">
        <v>0.3125</v>
      </c>
      <c r="D3">
        <v>9.6379999999999999</v>
      </c>
      <c r="E3">
        <v>348.23500000000001</v>
      </c>
      <c r="F3">
        <f t="shared" ref="F3:F17" si="0">(B3-$B$18)</f>
        <v>7.3000000000000009E-2</v>
      </c>
      <c r="I3" s="2">
        <v>44720</v>
      </c>
      <c r="J3" s="6">
        <f t="shared" ref="J3:J66" si="1">I3-$I$2+5</f>
        <v>5</v>
      </c>
      <c r="K3" t="s">
        <v>18</v>
      </c>
      <c r="L3">
        <v>10</v>
      </c>
    </row>
    <row r="4" spans="1:12" x14ac:dyDescent="0.25">
      <c r="A4" t="s">
        <v>2</v>
      </c>
      <c r="B4">
        <v>9.0999999999999998E-2</v>
      </c>
      <c r="C4" s="1">
        <v>0.32847222222222222</v>
      </c>
      <c r="D4">
        <v>5.2210000000000001</v>
      </c>
      <c r="E4">
        <v>320.18</v>
      </c>
      <c r="F4">
        <f t="shared" si="0"/>
        <v>8.2000000000000003E-2</v>
      </c>
      <c r="I4" s="2">
        <v>44720</v>
      </c>
      <c r="J4" s="6">
        <f t="shared" si="1"/>
        <v>5</v>
      </c>
      <c r="K4" t="s">
        <v>18</v>
      </c>
      <c r="L4">
        <v>10</v>
      </c>
    </row>
    <row r="5" spans="1:12" x14ac:dyDescent="0.25">
      <c r="A5" t="s">
        <v>3</v>
      </c>
      <c r="B5">
        <v>0.09</v>
      </c>
      <c r="C5" s="1">
        <v>0.35069444444444442</v>
      </c>
      <c r="D5">
        <v>7.2</v>
      </c>
      <c r="E5">
        <v>313.69</v>
      </c>
      <c r="F5">
        <f t="shared" si="0"/>
        <v>8.1000000000000003E-2</v>
      </c>
      <c r="I5" s="2">
        <v>44720</v>
      </c>
      <c r="J5" s="6">
        <f t="shared" si="1"/>
        <v>5</v>
      </c>
      <c r="K5" t="s">
        <v>18</v>
      </c>
      <c r="L5">
        <v>10</v>
      </c>
    </row>
    <row r="6" spans="1:12" x14ac:dyDescent="0.25">
      <c r="A6" t="s">
        <v>4</v>
      </c>
      <c r="B6">
        <v>9.2999999999999999E-2</v>
      </c>
      <c r="C6" s="1">
        <v>0.37222222222222223</v>
      </c>
      <c r="D6">
        <v>16</v>
      </c>
      <c r="E6">
        <v>371.5</v>
      </c>
      <c r="F6">
        <f t="shared" si="0"/>
        <v>8.4000000000000005E-2</v>
      </c>
      <c r="I6" s="2">
        <v>44720</v>
      </c>
      <c r="J6" s="6">
        <f t="shared" si="1"/>
        <v>5</v>
      </c>
      <c r="K6" t="s">
        <v>18</v>
      </c>
      <c r="L6">
        <v>20</v>
      </c>
    </row>
    <row r="7" spans="1:12" x14ac:dyDescent="0.25">
      <c r="A7" t="s">
        <v>5</v>
      </c>
      <c r="B7">
        <v>8.3000000000000004E-2</v>
      </c>
      <c r="C7" s="1">
        <v>0.38472222222222219</v>
      </c>
      <c r="D7">
        <v>13</v>
      </c>
      <c r="E7">
        <v>373.96</v>
      </c>
      <c r="F7">
        <f t="shared" si="0"/>
        <v>7.400000000000001E-2</v>
      </c>
      <c r="I7" s="2">
        <v>44720</v>
      </c>
      <c r="J7" s="6">
        <f t="shared" si="1"/>
        <v>5</v>
      </c>
      <c r="K7" t="s">
        <v>18</v>
      </c>
      <c r="L7">
        <v>20</v>
      </c>
    </row>
    <row r="8" spans="1:12" x14ac:dyDescent="0.25">
      <c r="A8" t="s">
        <v>6</v>
      </c>
      <c r="B8">
        <v>8.3000000000000004E-2</v>
      </c>
      <c r="C8" s="1">
        <v>0.40069444444444446</v>
      </c>
      <c r="D8">
        <v>14.186</v>
      </c>
      <c r="E8">
        <v>393.4</v>
      </c>
      <c r="F8">
        <f t="shared" si="0"/>
        <v>7.400000000000001E-2</v>
      </c>
      <c r="I8" s="2">
        <v>44720</v>
      </c>
      <c r="J8" s="6">
        <f t="shared" si="1"/>
        <v>5</v>
      </c>
      <c r="K8" t="s">
        <v>18</v>
      </c>
      <c r="L8">
        <v>20</v>
      </c>
    </row>
    <row r="9" spans="1:12" x14ac:dyDescent="0.25">
      <c r="A9" t="s">
        <v>7</v>
      </c>
      <c r="B9">
        <v>9.0999999999999998E-2</v>
      </c>
      <c r="C9" s="1">
        <v>0.42152777777777778</v>
      </c>
      <c r="D9">
        <v>9.81</v>
      </c>
      <c r="E9">
        <v>371</v>
      </c>
      <c r="F9">
        <f t="shared" si="0"/>
        <v>8.2000000000000003E-2</v>
      </c>
      <c r="I9" s="2">
        <v>44720</v>
      </c>
      <c r="J9" s="6">
        <f t="shared" si="1"/>
        <v>5</v>
      </c>
      <c r="K9" t="s">
        <v>18</v>
      </c>
      <c r="L9">
        <v>20</v>
      </c>
    </row>
    <row r="10" spans="1:12" x14ac:dyDescent="0.25">
      <c r="A10" t="s">
        <v>8</v>
      </c>
      <c r="B10">
        <v>7.3999999999999996E-2</v>
      </c>
      <c r="D10">
        <v>13.54</v>
      </c>
      <c r="E10">
        <v>1077</v>
      </c>
      <c r="F10">
        <f t="shared" si="0"/>
        <v>6.5000000000000002E-2</v>
      </c>
      <c r="I10" s="2">
        <v>44720</v>
      </c>
      <c r="J10" s="6">
        <f t="shared" si="1"/>
        <v>5</v>
      </c>
      <c r="K10" t="s">
        <v>19</v>
      </c>
      <c r="L10">
        <v>10</v>
      </c>
    </row>
    <row r="11" spans="1:12" x14ac:dyDescent="0.25">
      <c r="A11" t="s">
        <v>9</v>
      </c>
      <c r="B11">
        <v>7.3999999999999996E-2</v>
      </c>
      <c r="C11" s="1">
        <v>0.45347222222222222</v>
      </c>
      <c r="D11">
        <v>13.6</v>
      </c>
      <c r="E11">
        <v>1120.2070000000001</v>
      </c>
      <c r="F11">
        <f t="shared" si="0"/>
        <v>6.5000000000000002E-2</v>
      </c>
      <c r="I11" s="2">
        <v>44720</v>
      </c>
      <c r="J11" s="6">
        <f t="shared" si="1"/>
        <v>5</v>
      </c>
      <c r="K11" t="s">
        <v>19</v>
      </c>
      <c r="L11">
        <v>10</v>
      </c>
    </row>
    <row r="12" spans="1:12" x14ac:dyDescent="0.25">
      <c r="A12" t="s">
        <v>10</v>
      </c>
      <c r="B12">
        <v>6.3E-2</v>
      </c>
      <c r="C12" s="1">
        <v>0.46180555555555558</v>
      </c>
      <c r="D12">
        <v>14.045</v>
      </c>
      <c r="E12">
        <v>1130.56</v>
      </c>
      <c r="F12">
        <f t="shared" si="0"/>
        <v>5.3999999999999999E-2</v>
      </c>
      <c r="I12" s="2">
        <v>44720</v>
      </c>
      <c r="J12" s="6">
        <f t="shared" si="1"/>
        <v>5</v>
      </c>
      <c r="K12" t="s">
        <v>19</v>
      </c>
      <c r="L12">
        <v>10</v>
      </c>
    </row>
    <row r="13" spans="1:12" x14ac:dyDescent="0.25">
      <c r="A13" t="s">
        <v>11</v>
      </c>
      <c r="B13">
        <v>0.06</v>
      </c>
      <c r="C13" s="1">
        <v>0.47222222222222227</v>
      </c>
      <c r="D13">
        <v>26.7</v>
      </c>
      <c r="E13">
        <v>1240</v>
      </c>
      <c r="F13">
        <f t="shared" si="0"/>
        <v>5.0999999999999997E-2</v>
      </c>
      <c r="I13" s="2">
        <v>44720</v>
      </c>
      <c r="J13" s="6">
        <f t="shared" si="1"/>
        <v>5</v>
      </c>
      <c r="K13" t="s">
        <v>19</v>
      </c>
      <c r="L13">
        <v>10</v>
      </c>
    </row>
    <row r="14" spans="1:12" x14ac:dyDescent="0.25">
      <c r="A14" t="s">
        <v>12</v>
      </c>
      <c r="B14">
        <v>7.2999999999999995E-2</v>
      </c>
      <c r="C14" s="1">
        <v>0.48541666666666666</v>
      </c>
      <c r="D14">
        <v>81.3</v>
      </c>
      <c r="E14">
        <v>2022</v>
      </c>
      <c r="F14">
        <f t="shared" si="0"/>
        <v>6.4000000000000001E-2</v>
      </c>
      <c r="I14" s="2">
        <v>44720</v>
      </c>
      <c r="J14" s="6">
        <f t="shared" si="1"/>
        <v>5</v>
      </c>
      <c r="K14" t="s">
        <v>19</v>
      </c>
      <c r="L14">
        <v>20</v>
      </c>
    </row>
    <row r="15" spans="1:12" x14ac:dyDescent="0.25">
      <c r="A15" t="s">
        <v>13</v>
      </c>
      <c r="B15">
        <v>7.2999999999999995E-2</v>
      </c>
      <c r="C15" s="1">
        <v>0.50277777777777777</v>
      </c>
      <c r="D15">
        <v>98.2</v>
      </c>
      <c r="E15">
        <v>2004</v>
      </c>
      <c r="F15">
        <f t="shared" si="0"/>
        <v>6.4000000000000001E-2</v>
      </c>
      <c r="I15" s="2">
        <v>44720</v>
      </c>
      <c r="J15" s="6">
        <f t="shared" si="1"/>
        <v>5</v>
      </c>
      <c r="K15" t="s">
        <v>19</v>
      </c>
      <c r="L15">
        <v>20</v>
      </c>
    </row>
    <row r="16" spans="1:12" x14ac:dyDescent="0.25">
      <c r="A16" t="s">
        <v>14</v>
      </c>
      <c r="B16">
        <v>6.0999999999999999E-2</v>
      </c>
      <c r="C16" s="1">
        <v>0.51388888888888895</v>
      </c>
      <c r="D16">
        <v>145.5</v>
      </c>
      <c r="E16">
        <v>2394</v>
      </c>
      <c r="F16">
        <f t="shared" si="0"/>
        <v>5.1999999999999998E-2</v>
      </c>
      <c r="I16" s="2">
        <v>44720</v>
      </c>
      <c r="J16" s="6">
        <f t="shared" si="1"/>
        <v>5</v>
      </c>
      <c r="K16" t="s">
        <v>19</v>
      </c>
      <c r="L16">
        <v>20</v>
      </c>
    </row>
    <row r="17" spans="1:12" x14ac:dyDescent="0.25">
      <c r="A17" t="s">
        <v>15</v>
      </c>
      <c r="B17">
        <v>6.6000000000000003E-2</v>
      </c>
      <c r="C17" s="1">
        <v>0.52430555555555558</v>
      </c>
      <c r="D17">
        <v>60.8</v>
      </c>
      <c r="E17">
        <v>2250</v>
      </c>
      <c r="F17">
        <f t="shared" si="0"/>
        <v>5.7000000000000002E-2</v>
      </c>
      <c r="I17" s="2">
        <v>44720</v>
      </c>
      <c r="J17" s="6">
        <f t="shared" si="1"/>
        <v>5</v>
      </c>
      <c r="K17" t="s">
        <v>19</v>
      </c>
      <c r="L17">
        <v>20</v>
      </c>
    </row>
    <row r="18" spans="1:12" x14ac:dyDescent="0.25">
      <c r="A18" t="s">
        <v>21</v>
      </c>
      <c r="B18">
        <v>8.9999999999999993E-3</v>
      </c>
      <c r="D18">
        <v>2.0299999999999998</v>
      </c>
      <c r="E18">
        <v>464.59</v>
      </c>
      <c r="F18">
        <f>B18</f>
        <v>8.9999999999999993E-3</v>
      </c>
      <c r="I18" s="2">
        <v>44720</v>
      </c>
      <c r="J18" s="6">
        <f t="shared" si="1"/>
        <v>5</v>
      </c>
      <c r="K18" t="s">
        <v>19</v>
      </c>
      <c r="L18">
        <v>20</v>
      </c>
    </row>
    <row r="19" spans="1:12" x14ac:dyDescent="0.25">
      <c r="A19" t="s">
        <v>0</v>
      </c>
      <c r="B19">
        <v>6.5000000000000002E-2</v>
      </c>
      <c r="C19" s="1">
        <v>0.29791666666666666</v>
      </c>
      <c r="D19">
        <v>5.14</v>
      </c>
      <c r="E19">
        <v>193</v>
      </c>
      <c r="F19">
        <f>B19*1.15</f>
        <v>7.4749999999999997E-2</v>
      </c>
      <c r="I19" s="2">
        <v>44727</v>
      </c>
      <c r="J19" s="6">
        <f t="shared" si="1"/>
        <v>12</v>
      </c>
      <c r="K19" t="s">
        <v>18</v>
      </c>
      <c r="L19">
        <v>10</v>
      </c>
    </row>
    <row r="20" spans="1:12" x14ac:dyDescent="0.25">
      <c r="A20" t="s">
        <v>1</v>
      </c>
      <c r="B20">
        <v>5.5E-2</v>
      </c>
      <c r="C20" s="1">
        <v>0.3125</v>
      </c>
      <c r="D20">
        <v>28</v>
      </c>
      <c r="E20">
        <v>225</v>
      </c>
      <c r="F20">
        <f t="shared" ref="F20:F34" si="2">B20*1.15</f>
        <v>6.3250000000000001E-2</v>
      </c>
      <c r="I20" s="2">
        <v>44727</v>
      </c>
      <c r="J20" s="6">
        <f t="shared" si="1"/>
        <v>12</v>
      </c>
      <c r="K20" t="s">
        <v>18</v>
      </c>
      <c r="L20">
        <v>10</v>
      </c>
    </row>
    <row r="21" spans="1:12" x14ac:dyDescent="0.25">
      <c r="A21" t="s">
        <v>2</v>
      </c>
      <c r="B21">
        <v>0.06</v>
      </c>
      <c r="C21" s="1">
        <v>0.32847222222222222</v>
      </c>
      <c r="D21">
        <v>38.5</v>
      </c>
      <c r="E21">
        <v>200</v>
      </c>
      <c r="F21">
        <f t="shared" si="2"/>
        <v>6.8999999999999992E-2</v>
      </c>
      <c r="I21" s="2">
        <v>44727</v>
      </c>
      <c r="J21" s="6">
        <f t="shared" si="1"/>
        <v>12</v>
      </c>
      <c r="K21" t="s">
        <v>18</v>
      </c>
      <c r="L21">
        <v>10</v>
      </c>
    </row>
    <row r="22" spans="1:12" x14ac:dyDescent="0.25">
      <c r="A22" t="s">
        <v>3</v>
      </c>
      <c r="B22">
        <v>6.2E-2</v>
      </c>
      <c r="C22" s="1">
        <v>0.35069444444444442</v>
      </c>
      <c r="D22">
        <v>5</v>
      </c>
      <c r="E22">
        <v>170</v>
      </c>
      <c r="F22">
        <f t="shared" si="2"/>
        <v>7.1299999999999988E-2</v>
      </c>
      <c r="I22" s="2">
        <v>44727</v>
      </c>
      <c r="J22" s="6">
        <f t="shared" si="1"/>
        <v>12</v>
      </c>
      <c r="K22" t="s">
        <v>18</v>
      </c>
      <c r="L22">
        <v>10</v>
      </c>
    </row>
    <row r="23" spans="1:12" x14ac:dyDescent="0.25">
      <c r="A23" t="s">
        <v>4</v>
      </c>
      <c r="B23">
        <v>6.4000000000000001E-2</v>
      </c>
      <c r="C23" s="1">
        <v>0.37222222222222223</v>
      </c>
      <c r="D23">
        <v>267</v>
      </c>
      <c r="E23">
        <v>930</v>
      </c>
      <c r="F23">
        <f t="shared" si="2"/>
        <v>7.3599999999999999E-2</v>
      </c>
      <c r="I23" s="2">
        <v>44727</v>
      </c>
      <c r="J23" s="6">
        <f t="shared" si="1"/>
        <v>12</v>
      </c>
      <c r="K23" t="s">
        <v>18</v>
      </c>
      <c r="L23">
        <v>20</v>
      </c>
    </row>
    <row r="24" spans="1:12" x14ac:dyDescent="0.25">
      <c r="A24" t="s">
        <v>5</v>
      </c>
      <c r="B24">
        <v>6.4000000000000001E-2</v>
      </c>
      <c r="C24" s="1">
        <v>0.38472222222222219</v>
      </c>
      <c r="D24">
        <v>693</v>
      </c>
      <c r="E24">
        <v>1995</v>
      </c>
      <c r="F24">
        <f t="shared" si="2"/>
        <v>7.3599999999999999E-2</v>
      </c>
      <c r="I24" s="2">
        <v>44727</v>
      </c>
      <c r="J24" s="6">
        <f t="shared" si="1"/>
        <v>12</v>
      </c>
      <c r="K24" t="s">
        <v>18</v>
      </c>
      <c r="L24">
        <v>20</v>
      </c>
    </row>
    <row r="25" spans="1:12" x14ac:dyDescent="0.25">
      <c r="A25" t="s">
        <v>6</v>
      </c>
      <c r="B25">
        <v>6.6000000000000003E-2</v>
      </c>
      <c r="C25" s="1">
        <v>0.40069444444444446</v>
      </c>
      <c r="D25">
        <v>615</v>
      </c>
      <c r="E25">
        <v>1922</v>
      </c>
      <c r="F25">
        <f t="shared" si="2"/>
        <v>7.5899999999999995E-2</v>
      </c>
      <c r="I25" s="2">
        <v>44727</v>
      </c>
      <c r="J25" s="6">
        <f t="shared" si="1"/>
        <v>12</v>
      </c>
      <c r="K25" t="s">
        <v>18</v>
      </c>
      <c r="L25">
        <v>20</v>
      </c>
    </row>
    <row r="26" spans="1:12" x14ac:dyDescent="0.25">
      <c r="A26" t="s">
        <v>7</v>
      </c>
      <c r="B26">
        <v>6.4000000000000001E-2</v>
      </c>
      <c r="C26" s="1">
        <v>0.42152777777777778</v>
      </c>
      <c r="D26">
        <v>41</v>
      </c>
      <c r="E26">
        <v>600</v>
      </c>
      <c r="F26">
        <f t="shared" si="2"/>
        <v>7.3599999999999999E-2</v>
      </c>
      <c r="I26" s="2">
        <v>44727</v>
      </c>
      <c r="J26" s="6">
        <f t="shared" si="1"/>
        <v>12</v>
      </c>
      <c r="K26" t="s">
        <v>18</v>
      </c>
      <c r="L26">
        <v>20</v>
      </c>
    </row>
    <row r="27" spans="1:12" x14ac:dyDescent="0.25">
      <c r="A27" t="s">
        <v>8</v>
      </c>
      <c r="B27">
        <v>6.2E-2</v>
      </c>
      <c r="D27">
        <v>33</v>
      </c>
      <c r="E27">
        <v>1300</v>
      </c>
      <c r="F27">
        <f t="shared" si="2"/>
        <v>7.1299999999999988E-2</v>
      </c>
      <c r="I27" s="2">
        <v>44727</v>
      </c>
      <c r="J27" s="6">
        <f t="shared" si="1"/>
        <v>12</v>
      </c>
      <c r="K27" t="s">
        <v>19</v>
      </c>
      <c r="L27">
        <v>10</v>
      </c>
    </row>
    <row r="28" spans="1:12" x14ac:dyDescent="0.25">
      <c r="A28" t="s">
        <v>9</v>
      </c>
      <c r="B28">
        <v>5.7000000000000002E-2</v>
      </c>
      <c r="C28" s="1">
        <v>0.45347222222222222</v>
      </c>
      <c r="D28">
        <v>17</v>
      </c>
      <c r="E28">
        <v>1217</v>
      </c>
      <c r="F28">
        <f t="shared" si="2"/>
        <v>6.5549999999999997E-2</v>
      </c>
      <c r="I28" s="2">
        <v>44727</v>
      </c>
      <c r="J28" s="6">
        <f t="shared" si="1"/>
        <v>12</v>
      </c>
      <c r="K28" t="s">
        <v>19</v>
      </c>
      <c r="L28">
        <v>10</v>
      </c>
    </row>
    <row r="29" spans="1:12" x14ac:dyDescent="0.25">
      <c r="A29" t="s">
        <v>10</v>
      </c>
      <c r="B29">
        <v>5.0999999999999997E-2</v>
      </c>
      <c r="C29" s="1">
        <v>0.46180555555555558</v>
      </c>
      <c r="D29">
        <v>29.3</v>
      </c>
      <c r="E29">
        <v>1287</v>
      </c>
      <c r="F29">
        <f t="shared" si="2"/>
        <v>5.8649999999999994E-2</v>
      </c>
      <c r="I29" s="2">
        <v>44727</v>
      </c>
      <c r="J29" s="6">
        <f t="shared" si="1"/>
        <v>12</v>
      </c>
      <c r="K29" t="s">
        <v>19</v>
      </c>
      <c r="L29">
        <v>10</v>
      </c>
    </row>
    <row r="30" spans="1:12" x14ac:dyDescent="0.25">
      <c r="A30" t="s">
        <v>11</v>
      </c>
      <c r="B30">
        <v>4.7E-2</v>
      </c>
      <c r="C30" s="1">
        <v>0.47222222222222227</v>
      </c>
      <c r="D30">
        <v>31.9</v>
      </c>
      <c r="E30">
        <v>1227</v>
      </c>
      <c r="F30">
        <f t="shared" si="2"/>
        <v>5.4049999999999994E-2</v>
      </c>
      <c r="I30" s="2">
        <v>44727</v>
      </c>
      <c r="J30" s="6">
        <f t="shared" si="1"/>
        <v>12</v>
      </c>
      <c r="K30" t="s">
        <v>19</v>
      </c>
      <c r="L30">
        <v>10</v>
      </c>
    </row>
    <row r="31" spans="1:12" x14ac:dyDescent="0.25">
      <c r="A31" t="s">
        <v>12</v>
      </c>
      <c r="B31">
        <v>4.8000000000000001E-2</v>
      </c>
      <c r="C31" s="1">
        <v>0.48541666666666666</v>
      </c>
      <c r="D31">
        <v>140</v>
      </c>
      <c r="E31">
        <v>2563</v>
      </c>
      <c r="F31">
        <f t="shared" si="2"/>
        <v>5.5199999999999999E-2</v>
      </c>
      <c r="I31" s="2">
        <v>44727</v>
      </c>
      <c r="J31" s="6">
        <f t="shared" si="1"/>
        <v>12</v>
      </c>
      <c r="K31" t="s">
        <v>19</v>
      </c>
      <c r="L31">
        <v>20</v>
      </c>
    </row>
    <row r="32" spans="1:12" x14ac:dyDescent="0.25">
      <c r="A32" t="s">
        <v>13</v>
      </c>
      <c r="B32">
        <v>5.8999999999999997E-2</v>
      </c>
      <c r="C32" s="1">
        <v>0.50277777777777777</v>
      </c>
      <c r="D32">
        <v>106</v>
      </c>
      <c r="E32">
        <v>2454</v>
      </c>
      <c r="F32">
        <f t="shared" si="2"/>
        <v>6.7849999999999994E-2</v>
      </c>
      <c r="I32" s="2">
        <v>44727</v>
      </c>
      <c r="J32" s="6">
        <f t="shared" si="1"/>
        <v>12</v>
      </c>
      <c r="K32" t="s">
        <v>19</v>
      </c>
      <c r="L32">
        <v>20</v>
      </c>
    </row>
    <row r="33" spans="1:12" x14ac:dyDescent="0.25">
      <c r="A33" t="s">
        <v>14</v>
      </c>
      <c r="B33">
        <v>5.0999999999999997E-2</v>
      </c>
      <c r="C33" s="1">
        <v>0.51388888888888895</v>
      </c>
      <c r="D33">
        <v>83</v>
      </c>
      <c r="E33">
        <v>2420</v>
      </c>
      <c r="F33">
        <f t="shared" si="2"/>
        <v>5.8649999999999994E-2</v>
      </c>
      <c r="I33" s="2">
        <v>44727</v>
      </c>
      <c r="J33" s="6">
        <f t="shared" si="1"/>
        <v>12</v>
      </c>
      <c r="K33" t="s">
        <v>19</v>
      </c>
      <c r="L33">
        <v>20</v>
      </c>
    </row>
    <row r="34" spans="1:12" x14ac:dyDescent="0.25">
      <c r="A34" t="s">
        <v>15</v>
      </c>
      <c r="B34">
        <v>4.2000000000000003E-2</v>
      </c>
      <c r="C34" s="1">
        <v>0.52430555555555558</v>
      </c>
      <c r="D34">
        <v>264</v>
      </c>
      <c r="E34">
        <v>3578.4</v>
      </c>
      <c r="F34">
        <f t="shared" si="2"/>
        <v>4.8300000000000003E-2</v>
      </c>
      <c r="I34" s="2">
        <v>44727</v>
      </c>
      <c r="J34" s="6">
        <f t="shared" si="1"/>
        <v>12</v>
      </c>
      <c r="K34" t="s">
        <v>19</v>
      </c>
      <c r="L34">
        <v>20</v>
      </c>
    </row>
    <row r="35" spans="1:12" x14ac:dyDescent="0.25">
      <c r="A35" t="s">
        <v>21</v>
      </c>
      <c r="B35">
        <v>0</v>
      </c>
      <c r="D35">
        <v>2.04</v>
      </c>
      <c r="E35">
        <v>448</v>
      </c>
      <c r="F35">
        <v>0</v>
      </c>
      <c r="I35" s="2">
        <v>44727</v>
      </c>
      <c r="J35" s="6">
        <f t="shared" si="1"/>
        <v>12</v>
      </c>
      <c r="K35" t="s">
        <v>19</v>
      </c>
      <c r="L35">
        <v>20</v>
      </c>
    </row>
    <row r="36" spans="1:12" x14ac:dyDescent="0.25">
      <c r="A36" t="s">
        <v>0</v>
      </c>
      <c r="B36">
        <v>6.9000000000000006E-2</v>
      </c>
      <c r="C36" s="1"/>
      <c r="D36">
        <v>45.5</v>
      </c>
      <c r="E36">
        <v>230</v>
      </c>
      <c r="F36">
        <f>B36*1.15</f>
        <v>7.9350000000000004E-2</v>
      </c>
      <c r="I36" s="2">
        <v>44733</v>
      </c>
      <c r="J36" s="6">
        <f t="shared" si="1"/>
        <v>18</v>
      </c>
      <c r="K36" t="s">
        <v>18</v>
      </c>
      <c r="L36">
        <v>10</v>
      </c>
    </row>
    <row r="37" spans="1:12" x14ac:dyDescent="0.25">
      <c r="A37" t="s">
        <v>1</v>
      </c>
      <c r="B37">
        <v>6.7000000000000004E-2</v>
      </c>
      <c r="C37" s="1">
        <v>0.30902777777777779</v>
      </c>
      <c r="D37">
        <v>7.36</v>
      </c>
      <c r="E37">
        <v>195</v>
      </c>
      <c r="F37">
        <f t="shared" ref="F37:F51" si="3">B37*1.15</f>
        <v>7.7049999999999993E-2</v>
      </c>
      <c r="I37" s="2">
        <v>44733</v>
      </c>
      <c r="J37" s="6">
        <f t="shared" si="1"/>
        <v>18</v>
      </c>
      <c r="K37" t="s">
        <v>18</v>
      </c>
      <c r="L37">
        <v>10</v>
      </c>
    </row>
    <row r="38" spans="1:12" x14ac:dyDescent="0.25">
      <c r="A38" t="s">
        <v>2</v>
      </c>
      <c r="B38">
        <v>6.4000000000000001E-2</v>
      </c>
      <c r="C38" s="1">
        <v>0.28680555555555554</v>
      </c>
      <c r="D38">
        <v>55.25</v>
      </c>
      <c r="E38">
        <v>252</v>
      </c>
      <c r="F38">
        <f t="shared" si="3"/>
        <v>7.3599999999999999E-2</v>
      </c>
      <c r="I38" s="2">
        <v>44733</v>
      </c>
      <c r="J38" s="6">
        <f t="shared" si="1"/>
        <v>18</v>
      </c>
      <c r="K38" t="s">
        <v>18</v>
      </c>
      <c r="L38">
        <v>10</v>
      </c>
    </row>
    <row r="39" spans="1:12" x14ac:dyDescent="0.25">
      <c r="A39" t="s">
        <v>3</v>
      </c>
      <c r="B39">
        <v>6.0999999999999999E-2</v>
      </c>
      <c r="C39" s="1">
        <v>0.32222222222222224</v>
      </c>
      <c r="D39">
        <v>5.2</v>
      </c>
      <c r="E39">
        <v>170</v>
      </c>
      <c r="F39">
        <f t="shared" si="3"/>
        <v>7.014999999999999E-2</v>
      </c>
      <c r="I39" s="2">
        <v>44733</v>
      </c>
      <c r="J39" s="6">
        <f t="shared" si="1"/>
        <v>18</v>
      </c>
      <c r="K39" t="s">
        <v>18</v>
      </c>
      <c r="L39">
        <v>10</v>
      </c>
    </row>
    <row r="40" spans="1:12" x14ac:dyDescent="0.25">
      <c r="A40" t="s">
        <v>4</v>
      </c>
      <c r="B40">
        <v>6.2E-2</v>
      </c>
      <c r="C40" s="1"/>
      <c r="D40">
        <v>124.8</v>
      </c>
      <c r="E40">
        <v>440</v>
      </c>
      <c r="F40">
        <v>6.2E-2</v>
      </c>
      <c r="I40" s="2">
        <v>44733</v>
      </c>
      <c r="J40" s="6">
        <f t="shared" si="1"/>
        <v>18</v>
      </c>
      <c r="K40" t="s">
        <v>18</v>
      </c>
      <c r="L40">
        <v>20</v>
      </c>
    </row>
    <row r="41" spans="1:12" x14ac:dyDescent="0.25">
      <c r="A41" t="s">
        <v>5</v>
      </c>
      <c r="B41">
        <v>5.8000000000000003E-2</v>
      </c>
      <c r="C41" s="1"/>
      <c r="D41">
        <v>62.4</v>
      </c>
      <c r="E41">
        <v>385</v>
      </c>
      <c r="F41">
        <f t="shared" si="3"/>
        <v>6.6699999999999995E-2</v>
      </c>
      <c r="I41" s="2">
        <v>44733</v>
      </c>
      <c r="J41" s="6">
        <f t="shared" si="1"/>
        <v>18</v>
      </c>
      <c r="K41" t="s">
        <v>18</v>
      </c>
      <c r="L41">
        <v>20</v>
      </c>
    </row>
    <row r="42" spans="1:12" x14ac:dyDescent="0.25">
      <c r="A42" t="s">
        <v>6</v>
      </c>
      <c r="B42">
        <v>6.4000000000000001E-2</v>
      </c>
      <c r="C42" s="1">
        <v>0.33749999999999997</v>
      </c>
      <c r="D42">
        <v>240</v>
      </c>
      <c r="E42">
        <v>790</v>
      </c>
      <c r="F42">
        <f t="shared" si="3"/>
        <v>7.3599999999999999E-2</v>
      </c>
      <c r="I42" s="2">
        <v>44733</v>
      </c>
      <c r="J42" s="6">
        <f t="shared" si="1"/>
        <v>18</v>
      </c>
      <c r="K42" t="s">
        <v>18</v>
      </c>
      <c r="L42">
        <v>20</v>
      </c>
    </row>
    <row r="43" spans="1:12" x14ac:dyDescent="0.25">
      <c r="A43" t="s">
        <v>7</v>
      </c>
      <c r="B43">
        <v>6.0999999999999999E-2</v>
      </c>
      <c r="C43" s="1"/>
      <c r="D43">
        <v>126.9</v>
      </c>
      <c r="E43">
        <v>600</v>
      </c>
      <c r="F43">
        <f t="shared" si="3"/>
        <v>7.014999999999999E-2</v>
      </c>
      <c r="I43" s="2">
        <v>44733</v>
      </c>
      <c r="J43" s="6">
        <f t="shared" si="1"/>
        <v>18</v>
      </c>
      <c r="K43" t="s">
        <v>18</v>
      </c>
      <c r="L43">
        <v>20</v>
      </c>
    </row>
    <row r="44" spans="1:12" x14ac:dyDescent="0.25">
      <c r="A44" t="s">
        <v>8</v>
      </c>
      <c r="B44">
        <v>0.06</v>
      </c>
      <c r="C44" s="1">
        <v>0.26458333333333334</v>
      </c>
      <c r="D44">
        <v>24.2</v>
      </c>
      <c r="E44">
        <v>1080</v>
      </c>
      <c r="F44">
        <f t="shared" si="3"/>
        <v>6.8999999999999992E-2</v>
      </c>
      <c r="I44" s="2">
        <v>44733</v>
      </c>
      <c r="J44" s="6">
        <f t="shared" si="1"/>
        <v>18</v>
      </c>
      <c r="K44" t="s">
        <v>19</v>
      </c>
      <c r="L44">
        <v>10</v>
      </c>
    </row>
    <row r="45" spans="1:12" x14ac:dyDescent="0.25">
      <c r="A45" t="s">
        <v>9</v>
      </c>
      <c r="B45">
        <v>5.1999999999999998E-2</v>
      </c>
      <c r="C45" s="1"/>
      <c r="D45">
        <v>35.799999999999997</v>
      </c>
      <c r="E45">
        <v>1090</v>
      </c>
      <c r="F45">
        <f t="shared" si="3"/>
        <v>5.9799999999999992E-2</v>
      </c>
      <c r="I45" s="2">
        <v>44733</v>
      </c>
      <c r="J45" s="6">
        <f t="shared" si="1"/>
        <v>18</v>
      </c>
      <c r="K45" t="s">
        <v>19</v>
      </c>
      <c r="L45">
        <v>10</v>
      </c>
    </row>
    <row r="46" spans="1:12" x14ac:dyDescent="0.25">
      <c r="A46" t="s">
        <v>10</v>
      </c>
      <c r="B46">
        <v>0.05</v>
      </c>
      <c r="C46" s="1"/>
      <c r="D46">
        <v>25.8</v>
      </c>
      <c r="E46">
        <v>1070</v>
      </c>
      <c r="F46">
        <f t="shared" si="3"/>
        <v>5.7499999999999996E-2</v>
      </c>
      <c r="I46" s="2">
        <v>44733</v>
      </c>
      <c r="J46" s="6">
        <f t="shared" si="1"/>
        <v>18</v>
      </c>
      <c r="K46" t="s">
        <v>19</v>
      </c>
      <c r="L46">
        <v>10</v>
      </c>
    </row>
    <row r="47" spans="1:12" x14ac:dyDescent="0.25">
      <c r="A47" t="s">
        <v>11</v>
      </c>
      <c r="B47">
        <v>4.8000000000000001E-2</v>
      </c>
      <c r="C47" s="1">
        <v>0.44166666666666665</v>
      </c>
      <c r="D47">
        <v>37.6</v>
      </c>
      <c r="E47">
        <v>995</v>
      </c>
      <c r="F47">
        <f t="shared" si="3"/>
        <v>5.5199999999999999E-2</v>
      </c>
      <c r="I47" s="2">
        <v>44733</v>
      </c>
      <c r="J47" s="6">
        <f t="shared" si="1"/>
        <v>18</v>
      </c>
      <c r="K47" t="s">
        <v>19</v>
      </c>
      <c r="L47">
        <v>10</v>
      </c>
    </row>
    <row r="48" spans="1:12" x14ac:dyDescent="0.25">
      <c r="A48" t="s">
        <v>12</v>
      </c>
      <c r="B48">
        <v>0.05</v>
      </c>
      <c r="C48" s="1"/>
      <c r="D48">
        <v>100.2</v>
      </c>
      <c r="E48">
        <v>2000</v>
      </c>
      <c r="F48">
        <f t="shared" si="3"/>
        <v>5.7499999999999996E-2</v>
      </c>
      <c r="I48" s="2">
        <v>44733</v>
      </c>
      <c r="J48" s="6">
        <f t="shared" si="1"/>
        <v>18</v>
      </c>
      <c r="K48" t="s">
        <v>19</v>
      </c>
      <c r="L48">
        <v>20</v>
      </c>
    </row>
    <row r="49" spans="1:12" x14ac:dyDescent="0.25">
      <c r="A49" t="s">
        <v>13</v>
      </c>
      <c r="B49">
        <v>5.0999999999999997E-2</v>
      </c>
      <c r="C49" s="1"/>
      <c r="D49">
        <v>77.8</v>
      </c>
      <c r="E49">
        <v>2085</v>
      </c>
      <c r="F49">
        <f t="shared" si="3"/>
        <v>5.8649999999999994E-2</v>
      </c>
      <c r="I49" s="2">
        <v>44733</v>
      </c>
      <c r="J49" s="6">
        <f t="shared" si="1"/>
        <v>18</v>
      </c>
      <c r="K49" t="s">
        <v>19</v>
      </c>
      <c r="L49">
        <v>20</v>
      </c>
    </row>
    <row r="50" spans="1:12" x14ac:dyDescent="0.25">
      <c r="A50" t="s">
        <v>14</v>
      </c>
      <c r="B50">
        <v>4.8000000000000001E-2</v>
      </c>
      <c r="C50" s="1"/>
      <c r="D50">
        <v>114</v>
      </c>
      <c r="E50">
        <v>2601</v>
      </c>
      <c r="F50">
        <f t="shared" si="3"/>
        <v>5.5199999999999999E-2</v>
      </c>
      <c r="I50" s="2">
        <v>44733</v>
      </c>
      <c r="J50" s="6">
        <f t="shared" si="1"/>
        <v>18</v>
      </c>
      <c r="K50" t="s">
        <v>19</v>
      </c>
      <c r="L50">
        <v>20</v>
      </c>
    </row>
    <row r="51" spans="1:12" x14ac:dyDescent="0.25">
      <c r="A51" t="s">
        <v>15</v>
      </c>
      <c r="B51">
        <v>4.9000000000000002E-2</v>
      </c>
      <c r="C51" s="1"/>
      <c r="D51">
        <v>109.1</v>
      </c>
      <c r="E51">
        <v>1890</v>
      </c>
      <c r="F51">
        <f t="shared" si="3"/>
        <v>5.6349999999999997E-2</v>
      </c>
      <c r="I51" s="2">
        <v>44733</v>
      </c>
      <c r="J51" s="6">
        <f t="shared" si="1"/>
        <v>18</v>
      </c>
      <c r="K51" t="s">
        <v>19</v>
      </c>
      <c r="L51">
        <v>20</v>
      </c>
    </row>
    <row r="52" spans="1:12" x14ac:dyDescent="0.25">
      <c r="A52" t="s">
        <v>21</v>
      </c>
      <c r="B52">
        <v>0</v>
      </c>
      <c r="D52">
        <v>1.95</v>
      </c>
      <c r="E52">
        <v>430</v>
      </c>
      <c r="F52">
        <v>0</v>
      </c>
      <c r="I52" s="2">
        <v>44733</v>
      </c>
      <c r="J52" s="6">
        <f t="shared" si="1"/>
        <v>18</v>
      </c>
      <c r="K52" t="s">
        <v>19</v>
      </c>
      <c r="L52">
        <v>20</v>
      </c>
    </row>
    <row r="53" spans="1:12" x14ac:dyDescent="0.25">
      <c r="A53" t="s">
        <v>0</v>
      </c>
      <c r="B53">
        <v>5.7000000000000002E-2</v>
      </c>
      <c r="C53" s="1">
        <v>0.33680555555555558</v>
      </c>
      <c r="D53">
        <v>26.2</v>
      </c>
      <c r="E53">
        <v>190</v>
      </c>
      <c r="F53">
        <f>B53*1.15</f>
        <v>6.5549999999999997E-2</v>
      </c>
      <c r="G53">
        <v>-57.1</v>
      </c>
      <c r="I53" s="2">
        <v>44740</v>
      </c>
      <c r="J53" s="6">
        <f t="shared" si="1"/>
        <v>25</v>
      </c>
      <c r="K53" t="s">
        <v>18</v>
      </c>
      <c r="L53">
        <v>10</v>
      </c>
    </row>
    <row r="54" spans="1:12" x14ac:dyDescent="0.25">
      <c r="A54" t="s">
        <v>1</v>
      </c>
      <c r="B54">
        <v>5.5E-2</v>
      </c>
      <c r="C54" s="1">
        <v>0.35625000000000001</v>
      </c>
      <c r="D54">
        <v>25.4</v>
      </c>
      <c r="E54">
        <v>220</v>
      </c>
      <c r="F54">
        <f t="shared" ref="F54:F68" si="4">B54*1.15</f>
        <v>6.3250000000000001E-2</v>
      </c>
      <c r="G54">
        <v>-56.1</v>
      </c>
      <c r="I54" s="2">
        <v>44740</v>
      </c>
      <c r="J54" s="6">
        <f t="shared" si="1"/>
        <v>25</v>
      </c>
      <c r="K54" t="s">
        <v>18</v>
      </c>
      <c r="L54">
        <v>10</v>
      </c>
    </row>
    <row r="55" spans="1:12" x14ac:dyDescent="0.25">
      <c r="A55" t="s">
        <v>2</v>
      </c>
      <c r="B55">
        <v>5.5E-2</v>
      </c>
      <c r="C55" s="1">
        <v>0.36805555555555558</v>
      </c>
      <c r="D55">
        <v>30.3</v>
      </c>
      <c r="E55">
        <v>220</v>
      </c>
      <c r="F55">
        <f t="shared" si="4"/>
        <v>6.3250000000000001E-2</v>
      </c>
      <c r="G55">
        <v>-56.6</v>
      </c>
      <c r="I55" s="2">
        <v>44740</v>
      </c>
      <c r="J55" s="6">
        <f t="shared" si="1"/>
        <v>25</v>
      </c>
      <c r="K55" t="s">
        <v>18</v>
      </c>
      <c r="L55">
        <v>10</v>
      </c>
    </row>
    <row r="56" spans="1:12" x14ac:dyDescent="0.25">
      <c r="A56" t="s">
        <v>3</v>
      </c>
      <c r="B56">
        <v>5.5E-2</v>
      </c>
      <c r="C56" s="1">
        <v>0.375</v>
      </c>
      <c r="D56">
        <v>26.6</v>
      </c>
      <c r="E56">
        <v>200</v>
      </c>
      <c r="F56">
        <f t="shared" si="4"/>
        <v>6.3250000000000001E-2</v>
      </c>
      <c r="G56">
        <v>-57.7</v>
      </c>
      <c r="I56" s="2">
        <v>44740</v>
      </c>
      <c r="J56" s="6">
        <f t="shared" si="1"/>
        <v>25</v>
      </c>
      <c r="K56" t="s">
        <v>18</v>
      </c>
      <c r="L56">
        <v>10</v>
      </c>
    </row>
    <row r="57" spans="1:12" x14ac:dyDescent="0.25">
      <c r="A57" t="s">
        <v>4</v>
      </c>
      <c r="B57">
        <v>5.5E-2</v>
      </c>
      <c r="C57" s="1">
        <v>0.38611111111111113</v>
      </c>
      <c r="D57">
        <v>179.3</v>
      </c>
      <c r="E57">
        <v>475</v>
      </c>
      <c r="F57">
        <f t="shared" si="4"/>
        <v>6.3250000000000001E-2</v>
      </c>
      <c r="G57">
        <v>-69.150000000000006</v>
      </c>
      <c r="I57" s="2">
        <v>44740</v>
      </c>
      <c r="J57" s="6">
        <f t="shared" si="1"/>
        <v>25</v>
      </c>
      <c r="K57" t="s">
        <v>18</v>
      </c>
      <c r="L57">
        <v>20</v>
      </c>
    </row>
    <row r="58" spans="1:12" x14ac:dyDescent="0.25">
      <c r="A58" t="s">
        <v>5</v>
      </c>
      <c r="B58">
        <v>5.5E-2</v>
      </c>
      <c r="C58" s="1"/>
      <c r="D58">
        <v>72.900000000000006</v>
      </c>
      <c r="E58">
        <v>397</v>
      </c>
      <c r="F58">
        <f t="shared" si="4"/>
        <v>6.3250000000000001E-2</v>
      </c>
      <c r="G58">
        <v>-69.069999999999993</v>
      </c>
      <c r="I58" s="2">
        <v>44740</v>
      </c>
      <c r="J58" s="6">
        <f t="shared" si="1"/>
        <v>25</v>
      </c>
      <c r="K58" t="s">
        <v>18</v>
      </c>
      <c r="L58">
        <v>20</v>
      </c>
    </row>
    <row r="59" spans="1:12" x14ac:dyDescent="0.25">
      <c r="A59" t="s">
        <v>6</v>
      </c>
      <c r="B59">
        <v>5.7000000000000002E-2</v>
      </c>
      <c r="C59" s="1">
        <v>0.43333333333333335</v>
      </c>
      <c r="D59">
        <v>79.900000000000006</v>
      </c>
      <c r="E59">
        <v>397</v>
      </c>
      <c r="F59">
        <f t="shared" si="4"/>
        <v>6.5549999999999997E-2</v>
      </c>
      <c r="G59">
        <v>-71.23</v>
      </c>
      <c r="I59" s="2">
        <v>44740</v>
      </c>
      <c r="J59" s="6">
        <f t="shared" si="1"/>
        <v>25</v>
      </c>
      <c r="K59" t="s">
        <v>18</v>
      </c>
      <c r="L59">
        <v>20</v>
      </c>
    </row>
    <row r="60" spans="1:12" x14ac:dyDescent="0.25">
      <c r="A60" t="s">
        <v>7</v>
      </c>
      <c r="B60">
        <v>5.7000000000000002E-2</v>
      </c>
      <c r="C60" s="1">
        <v>0.44097222222222227</v>
      </c>
      <c r="D60">
        <v>70.599999999999994</v>
      </c>
      <c r="E60">
        <v>403</v>
      </c>
      <c r="F60">
        <f t="shared" si="4"/>
        <v>6.5549999999999997E-2</v>
      </c>
      <c r="G60">
        <v>-68.099999999999994</v>
      </c>
      <c r="I60" s="2">
        <v>44740</v>
      </c>
      <c r="J60" s="6">
        <f t="shared" si="1"/>
        <v>25</v>
      </c>
      <c r="K60" t="s">
        <v>18</v>
      </c>
      <c r="L60">
        <v>20</v>
      </c>
    </row>
    <row r="61" spans="1:12" x14ac:dyDescent="0.25">
      <c r="A61" t="s">
        <v>8</v>
      </c>
      <c r="B61">
        <v>4.9000000000000002E-2</v>
      </c>
      <c r="C61" s="1">
        <v>0.4548611111111111</v>
      </c>
      <c r="D61">
        <v>32.299999999999997</v>
      </c>
      <c r="E61">
        <v>1160</v>
      </c>
      <c r="F61">
        <f t="shared" si="4"/>
        <v>5.6349999999999997E-2</v>
      </c>
      <c r="G61">
        <v>-56.74</v>
      </c>
      <c r="I61" s="2">
        <v>44740</v>
      </c>
      <c r="J61" s="6">
        <f t="shared" si="1"/>
        <v>25</v>
      </c>
      <c r="K61" t="s">
        <v>19</v>
      </c>
      <c r="L61">
        <v>10</v>
      </c>
    </row>
    <row r="62" spans="1:12" x14ac:dyDescent="0.25">
      <c r="A62" t="s">
        <v>9</v>
      </c>
      <c r="B62">
        <v>4.5999999999999999E-2</v>
      </c>
      <c r="C62" s="1"/>
      <c r="D62">
        <v>33.5</v>
      </c>
      <c r="E62">
        <v>1109</v>
      </c>
      <c r="F62">
        <f t="shared" si="4"/>
        <v>5.2899999999999996E-2</v>
      </c>
      <c r="G62">
        <v>-58.07</v>
      </c>
      <c r="I62" s="2">
        <v>44740</v>
      </c>
      <c r="J62" s="6">
        <f t="shared" si="1"/>
        <v>25</v>
      </c>
      <c r="K62" t="s">
        <v>19</v>
      </c>
      <c r="L62">
        <v>10</v>
      </c>
    </row>
    <row r="63" spans="1:12" x14ac:dyDescent="0.25">
      <c r="A63" t="s">
        <v>10</v>
      </c>
      <c r="B63">
        <v>4.4999999999999998E-2</v>
      </c>
      <c r="C63" s="1">
        <v>0.48541666666666666</v>
      </c>
      <c r="D63">
        <v>32.299999999999997</v>
      </c>
      <c r="E63">
        <v>1020</v>
      </c>
      <c r="F63">
        <f t="shared" si="4"/>
        <v>5.1749999999999997E-2</v>
      </c>
      <c r="G63">
        <v>-56.69</v>
      </c>
      <c r="I63" s="2">
        <v>44740</v>
      </c>
      <c r="J63" s="6">
        <f t="shared" si="1"/>
        <v>25</v>
      </c>
      <c r="K63" t="s">
        <v>19</v>
      </c>
      <c r="L63">
        <v>10</v>
      </c>
    </row>
    <row r="64" spans="1:12" x14ac:dyDescent="0.25">
      <c r="A64" t="s">
        <v>11</v>
      </c>
      <c r="B64">
        <v>4.3999999999999997E-2</v>
      </c>
      <c r="C64" s="1"/>
      <c r="D64">
        <v>34.9</v>
      </c>
      <c r="E64">
        <v>1086</v>
      </c>
      <c r="F64">
        <f t="shared" si="4"/>
        <v>5.0599999999999992E-2</v>
      </c>
      <c r="G64">
        <v>-56.43</v>
      </c>
      <c r="I64" s="2">
        <v>44740</v>
      </c>
      <c r="J64" s="6">
        <f t="shared" si="1"/>
        <v>25</v>
      </c>
      <c r="K64" t="s">
        <v>19</v>
      </c>
      <c r="L64">
        <v>10</v>
      </c>
    </row>
    <row r="65" spans="1:12" x14ac:dyDescent="0.25">
      <c r="A65" t="s">
        <v>12</v>
      </c>
      <c r="B65">
        <v>4.5999999999999999E-2</v>
      </c>
      <c r="C65" s="1">
        <v>0.53263888888888888</v>
      </c>
      <c r="D65">
        <v>110.3</v>
      </c>
      <c r="E65">
        <v>2100</v>
      </c>
      <c r="F65">
        <f t="shared" si="4"/>
        <v>5.2899999999999996E-2</v>
      </c>
      <c r="G65">
        <v>-81.23</v>
      </c>
      <c r="I65" s="2">
        <v>44740</v>
      </c>
      <c r="J65" s="6">
        <f t="shared" si="1"/>
        <v>25</v>
      </c>
      <c r="K65" t="s">
        <v>19</v>
      </c>
      <c r="L65">
        <v>20</v>
      </c>
    </row>
    <row r="66" spans="1:12" x14ac:dyDescent="0.25">
      <c r="A66" t="s">
        <v>13</v>
      </c>
      <c r="B66">
        <v>4.4999999999999998E-2</v>
      </c>
      <c r="C66" s="1">
        <v>0.55555555555555558</v>
      </c>
      <c r="D66">
        <v>117.2</v>
      </c>
      <c r="E66">
        <v>2200</v>
      </c>
      <c r="F66">
        <f t="shared" si="4"/>
        <v>5.1749999999999997E-2</v>
      </c>
      <c r="G66">
        <v>-82.24</v>
      </c>
      <c r="I66" s="2">
        <v>44740</v>
      </c>
      <c r="J66" s="6">
        <f t="shared" si="1"/>
        <v>25</v>
      </c>
      <c r="K66" t="s">
        <v>19</v>
      </c>
      <c r="L66">
        <v>20</v>
      </c>
    </row>
    <row r="67" spans="1:12" x14ac:dyDescent="0.25">
      <c r="A67" t="s">
        <v>14</v>
      </c>
      <c r="B67">
        <v>4.5999999999999999E-2</v>
      </c>
      <c r="C67" s="1">
        <v>0.56666666666666665</v>
      </c>
      <c r="D67">
        <v>116.8</v>
      </c>
      <c r="E67">
        <v>3100</v>
      </c>
      <c r="F67">
        <f t="shared" si="4"/>
        <v>5.2899999999999996E-2</v>
      </c>
      <c r="G67">
        <v>-81.739999999999995</v>
      </c>
      <c r="I67" s="2">
        <v>44740</v>
      </c>
      <c r="J67" s="6">
        <f t="shared" ref="J67:J130" si="5">I67-$I$2+5</f>
        <v>25</v>
      </c>
      <c r="K67" t="s">
        <v>19</v>
      </c>
      <c r="L67">
        <v>20</v>
      </c>
    </row>
    <row r="68" spans="1:12" x14ac:dyDescent="0.25">
      <c r="A68" t="s">
        <v>15</v>
      </c>
      <c r="B68">
        <v>4.2000000000000003E-2</v>
      </c>
      <c r="C68" s="1">
        <v>0.58263888888888882</v>
      </c>
      <c r="D68">
        <v>114.2</v>
      </c>
      <c r="E68">
        <v>2520</v>
      </c>
      <c r="F68">
        <f t="shared" si="4"/>
        <v>4.8300000000000003E-2</v>
      </c>
      <c r="G68">
        <v>-79.11</v>
      </c>
      <c r="I68" s="2">
        <v>44740</v>
      </c>
      <c r="J68" s="6">
        <f t="shared" si="5"/>
        <v>25</v>
      </c>
      <c r="K68" t="s">
        <v>19</v>
      </c>
      <c r="L68">
        <v>20</v>
      </c>
    </row>
    <row r="69" spans="1:12" x14ac:dyDescent="0.25">
      <c r="A69" t="s">
        <v>21</v>
      </c>
      <c r="B69">
        <v>0</v>
      </c>
      <c r="D69">
        <v>2</v>
      </c>
      <c r="E69">
        <v>430</v>
      </c>
      <c r="F69">
        <f>B69</f>
        <v>0</v>
      </c>
      <c r="I69" s="2">
        <v>44740</v>
      </c>
      <c r="J69" s="6">
        <f t="shared" si="5"/>
        <v>25</v>
      </c>
      <c r="K69" t="s">
        <v>19</v>
      </c>
      <c r="L69">
        <v>20</v>
      </c>
    </row>
    <row r="70" spans="1:12" x14ac:dyDescent="0.25">
      <c r="A70" t="s">
        <v>0</v>
      </c>
      <c r="B70">
        <v>5.2999999999999999E-2</v>
      </c>
      <c r="C70" s="1">
        <v>0.34861111111111115</v>
      </c>
      <c r="D70">
        <v>22.17</v>
      </c>
      <c r="E70">
        <v>210</v>
      </c>
      <c r="F70">
        <f>B70*1.15</f>
        <v>6.094999999999999E-2</v>
      </c>
      <c r="G70">
        <v>-60.3</v>
      </c>
      <c r="I70" s="2">
        <v>44747</v>
      </c>
      <c r="J70" s="6">
        <f t="shared" si="5"/>
        <v>32</v>
      </c>
      <c r="K70" t="s">
        <v>18</v>
      </c>
      <c r="L70">
        <v>10</v>
      </c>
    </row>
    <row r="71" spans="1:12" x14ac:dyDescent="0.25">
      <c r="A71" t="s">
        <v>1</v>
      </c>
      <c r="B71">
        <v>5.5E-2</v>
      </c>
      <c r="C71" s="1">
        <v>0.375</v>
      </c>
      <c r="D71">
        <v>22.7</v>
      </c>
      <c r="E71">
        <v>222</v>
      </c>
      <c r="F71">
        <f>B71*1.15-F86</f>
        <v>6.3250000000000001E-2</v>
      </c>
      <c r="G71">
        <v>-57.56</v>
      </c>
      <c r="I71" s="2">
        <v>44747</v>
      </c>
      <c r="J71" s="6">
        <f t="shared" si="5"/>
        <v>32</v>
      </c>
      <c r="K71" t="s">
        <v>18</v>
      </c>
      <c r="L71">
        <v>10</v>
      </c>
    </row>
    <row r="72" spans="1:12" x14ac:dyDescent="0.25">
      <c r="A72" t="s">
        <v>2</v>
      </c>
      <c r="B72">
        <v>5.5E-2</v>
      </c>
      <c r="C72" s="1">
        <v>0.37986111111111115</v>
      </c>
      <c r="D72">
        <v>23.04</v>
      </c>
      <c r="E72">
        <v>208</v>
      </c>
      <c r="F72">
        <f t="shared" ref="F72:F85" si="6">B72*1.15</f>
        <v>6.3250000000000001E-2</v>
      </c>
      <c r="G72">
        <v>-60.01</v>
      </c>
      <c r="I72" s="2">
        <v>44747</v>
      </c>
      <c r="J72" s="6">
        <f t="shared" si="5"/>
        <v>32</v>
      </c>
      <c r="K72" t="s">
        <v>18</v>
      </c>
      <c r="L72">
        <v>10</v>
      </c>
    </row>
    <row r="73" spans="1:12" x14ac:dyDescent="0.25">
      <c r="A73" t="s">
        <v>3</v>
      </c>
      <c r="B73">
        <v>0.05</v>
      </c>
      <c r="C73" s="1">
        <v>0.3888888888888889</v>
      </c>
      <c r="D73">
        <v>25.64</v>
      </c>
      <c r="E73">
        <v>210</v>
      </c>
      <c r="F73">
        <f t="shared" si="6"/>
        <v>5.7499999999999996E-2</v>
      </c>
      <c r="G73">
        <v>-60.55</v>
      </c>
      <c r="I73" s="2">
        <v>44747</v>
      </c>
      <c r="J73" s="6">
        <f t="shared" si="5"/>
        <v>32</v>
      </c>
      <c r="K73" t="s">
        <v>18</v>
      </c>
      <c r="L73">
        <v>10</v>
      </c>
    </row>
    <row r="74" spans="1:12" x14ac:dyDescent="0.25">
      <c r="A74" t="s">
        <v>4</v>
      </c>
      <c r="B74">
        <v>5.6000000000000001E-2</v>
      </c>
      <c r="C74" s="1">
        <v>0.40625</v>
      </c>
      <c r="D74">
        <v>81.290000000000006</v>
      </c>
      <c r="E74">
        <v>415</v>
      </c>
      <c r="F74">
        <f t="shared" si="6"/>
        <v>6.4399999999999999E-2</v>
      </c>
      <c r="G74">
        <v>-73.61</v>
      </c>
      <c r="I74" s="2">
        <v>44747</v>
      </c>
      <c r="J74" s="6">
        <f t="shared" si="5"/>
        <v>32</v>
      </c>
      <c r="K74" t="s">
        <v>18</v>
      </c>
      <c r="L74">
        <v>20</v>
      </c>
    </row>
    <row r="75" spans="1:12" x14ac:dyDescent="0.25">
      <c r="A75" t="s">
        <v>5</v>
      </c>
      <c r="B75">
        <v>5.5E-2</v>
      </c>
      <c r="C75" s="1">
        <v>0.41875000000000001</v>
      </c>
      <c r="D75">
        <v>70.05</v>
      </c>
      <c r="E75">
        <v>365</v>
      </c>
      <c r="F75">
        <f t="shared" si="6"/>
        <v>6.3250000000000001E-2</v>
      </c>
      <c r="G75">
        <v>-71.67</v>
      </c>
      <c r="I75" s="2">
        <v>44747</v>
      </c>
      <c r="J75" s="6">
        <f t="shared" si="5"/>
        <v>32</v>
      </c>
      <c r="K75" t="s">
        <v>18</v>
      </c>
      <c r="L75">
        <v>20</v>
      </c>
    </row>
    <row r="76" spans="1:12" x14ac:dyDescent="0.25">
      <c r="A76" t="s">
        <v>6</v>
      </c>
      <c r="B76">
        <v>5.8000000000000003E-2</v>
      </c>
      <c r="C76" s="1">
        <v>0.43055555555555558</v>
      </c>
      <c r="D76">
        <v>68.64</v>
      </c>
      <c r="E76">
        <v>330</v>
      </c>
      <c r="F76">
        <f t="shared" si="6"/>
        <v>6.6699999999999995E-2</v>
      </c>
      <c r="G76">
        <v>-74.260000000000005</v>
      </c>
      <c r="I76" s="2">
        <v>44747</v>
      </c>
      <c r="J76" s="6">
        <f t="shared" si="5"/>
        <v>32</v>
      </c>
      <c r="K76" t="s">
        <v>18</v>
      </c>
      <c r="L76">
        <v>20</v>
      </c>
    </row>
    <row r="77" spans="1:12" x14ac:dyDescent="0.25">
      <c r="A77" t="s">
        <v>7</v>
      </c>
      <c r="B77">
        <v>5.5E-2</v>
      </c>
      <c r="C77" s="1">
        <v>0.44791666666666669</v>
      </c>
      <c r="D77">
        <v>70.39</v>
      </c>
      <c r="E77">
        <v>356</v>
      </c>
      <c r="F77">
        <f t="shared" si="6"/>
        <v>6.3250000000000001E-2</v>
      </c>
      <c r="G77">
        <v>-70.98</v>
      </c>
      <c r="I77" s="2">
        <v>44747</v>
      </c>
      <c r="J77" s="6">
        <f t="shared" si="5"/>
        <v>32</v>
      </c>
      <c r="K77" t="s">
        <v>18</v>
      </c>
      <c r="L77">
        <v>20</v>
      </c>
    </row>
    <row r="78" spans="1:12" x14ac:dyDescent="0.25">
      <c r="A78" t="s">
        <v>8</v>
      </c>
      <c r="B78">
        <v>5.1999999999999998E-2</v>
      </c>
      <c r="C78" s="1">
        <v>0.47222222222222227</v>
      </c>
      <c r="D78">
        <v>28.68</v>
      </c>
      <c r="E78">
        <v>1030</v>
      </c>
      <c r="F78">
        <f t="shared" si="6"/>
        <v>5.9799999999999992E-2</v>
      </c>
      <c r="G78">
        <v>-61.76</v>
      </c>
      <c r="I78" s="2">
        <v>44747</v>
      </c>
      <c r="J78" s="6">
        <f t="shared" si="5"/>
        <v>32</v>
      </c>
      <c r="K78" t="s">
        <v>19</v>
      </c>
      <c r="L78">
        <v>10</v>
      </c>
    </row>
    <row r="79" spans="1:12" x14ac:dyDescent="0.25">
      <c r="A79" t="s">
        <v>9</v>
      </c>
      <c r="B79">
        <v>4.9000000000000002E-2</v>
      </c>
      <c r="C79" s="1"/>
      <c r="D79">
        <v>32.5</v>
      </c>
      <c r="E79">
        <v>1087</v>
      </c>
      <c r="F79">
        <f t="shared" si="6"/>
        <v>5.6349999999999997E-2</v>
      </c>
      <c r="G79">
        <v>-62.26</v>
      </c>
      <c r="I79" s="2">
        <v>44747</v>
      </c>
      <c r="J79" s="6">
        <f t="shared" si="5"/>
        <v>32</v>
      </c>
      <c r="K79" t="s">
        <v>19</v>
      </c>
      <c r="L79">
        <v>10</v>
      </c>
    </row>
    <row r="80" spans="1:12" x14ac:dyDescent="0.25">
      <c r="A80" t="s">
        <v>10</v>
      </c>
      <c r="B80">
        <v>4.9000000000000002E-2</v>
      </c>
      <c r="C80" s="1">
        <v>0.52013888888888882</v>
      </c>
      <c r="D80">
        <v>27.25</v>
      </c>
      <c r="E80">
        <v>980</v>
      </c>
      <c r="F80">
        <f t="shared" si="6"/>
        <v>5.6349999999999997E-2</v>
      </c>
      <c r="G80">
        <v>-61.17</v>
      </c>
      <c r="I80" s="2">
        <v>44747</v>
      </c>
      <c r="J80" s="6">
        <f t="shared" si="5"/>
        <v>32</v>
      </c>
      <c r="K80" t="s">
        <v>19</v>
      </c>
      <c r="L80">
        <v>10</v>
      </c>
    </row>
    <row r="81" spans="1:12" x14ac:dyDescent="0.25">
      <c r="A81" t="s">
        <v>11</v>
      </c>
      <c r="B81">
        <v>4.7E-2</v>
      </c>
      <c r="C81" s="1">
        <v>0.53055555555555556</v>
      </c>
      <c r="D81">
        <v>31.4</v>
      </c>
      <c r="E81">
        <v>1028</v>
      </c>
      <c r="F81">
        <f t="shared" si="6"/>
        <v>5.4049999999999994E-2</v>
      </c>
      <c r="G81">
        <v>-60.75</v>
      </c>
      <c r="I81" s="2">
        <v>44747</v>
      </c>
      <c r="J81" s="6">
        <f t="shared" si="5"/>
        <v>32</v>
      </c>
      <c r="K81" t="s">
        <v>19</v>
      </c>
      <c r="L81">
        <v>10</v>
      </c>
    </row>
    <row r="82" spans="1:12" x14ac:dyDescent="0.25">
      <c r="A82" t="s">
        <v>12</v>
      </c>
      <c r="B82">
        <v>4.9000000000000002E-2</v>
      </c>
      <c r="C82" s="1">
        <v>0.54861111111111105</v>
      </c>
      <c r="D82">
        <v>126.6</v>
      </c>
      <c r="E82">
        <v>2530</v>
      </c>
      <c r="F82">
        <f t="shared" si="6"/>
        <v>5.6349999999999997E-2</v>
      </c>
      <c r="G82">
        <v>-86.1</v>
      </c>
      <c r="I82" s="2">
        <v>44747</v>
      </c>
      <c r="J82" s="6">
        <f t="shared" si="5"/>
        <v>32</v>
      </c>
      <c r="K82" t="s">
        <v>19</v>
      </c>
      <c r="L82">
        <v>20</v>
      </c>
    </row>
    <row r="83" spans="1:12" x14ac:dyDescent="0.25">
      <c r="A83" t="s">
        <v>13</v>
      </c>
      <c r="B83">
        <v>0.05</v>
      </c>
      <c r="C83" s="1"/>
      <c r="D83">
        <v>123.3</v>
      </c>
      <c r="E83">
        <v>2575</v>
      </c>
      <c r="F83">
        <f t="shared" si="6"/>
        <v>5.7499999999999996E-2</v>
      </c>
      <c r="G83">
        <v>-87.23</v>
      </c>
      <c r="I83" s="2">
        <v>44747</v>
      </c>
      <c r="J83" s="6">
        <f t="shared" si="5"/>
        <v>32</v>
      </c>
      <c r="K83" t="s">
        <v>19</v>
      </c>
      <c r="L83">
        <v>20</v>
      </c>
    </row>
    <row r="84" spans="1:12" x14ac:dyDescent="0.25">
      <c r="A84" t="s">
        <v>14</v>
      </c>
      <c r="B84">
        <v>5.0999999999999997E-2</v>
      </c>
      <c r="C84" s="1"/>
      <c r="D84">
        <v>128.9</v>
      </c>
      <c r="E84">
        <v>2484</v>
      </c>
      <c r="F84">
        <f t="shared" si="6"/>
        <v>5.8649999999999994E-2</v>
      </c>
      <c r="G84">
        <v>-88.22</v>
      </c>
      <c r="I84" s="2">
        <v>44747</v>
      </c>
      <c r="J84" s="6">
        <f t="shared" si="5"/>
        <v>32</v>
      </c>
      <c r="K84" t="s">
        <v>19</v>
      </c>
      <c r="L84">
        <v>20</v>
      </c>
    </row>
    <row r="85" spans="1:12" x14ac:dyDescent="0.25">
      <c r="A85" t="s">
        <v>15</v>
      </c>
      <c r="B85">
        <v>4.7E-2</v>
      </c>
      <c r="C85" s="1"/>
      <c r="D85">
        <v>137.4</v>
      </c>
      <c r="E85">
        <v>2722</v>
      </c>
      <c r="F85">
        <f t="shared" si="6"/>
        <v>5.4049999999999994E-2</v>
      </c>
      <c r="G85">
        <v>-83.75</v>
      </c>
      <c r="I85" s="2">
        <v>44747</v>
      </c>
      <c r="J85" s="6">
        <f t="shared" si="5"/>
        <v>32</v>
      </c>
      <c r="K85" t="s">
        <v>19</v>
      </c>
      <c r="L85">
        <v>20</v>
      </c>
    </row>
    <row r="86" spans="1:12" x14ac:dyDescent="0.25">
      <c r="A86" t="s">
        <v>21</v>
      </c>
      <c r="B86">
        <v>0</v>
      </c>
      <c r="F86">
        <v>0</v>
      </c>
      <c r="I86" s="2">
        <v>44747</v>
      </c>
      <c r="J86" s="6">
        <f t="shared" si="5"/>
        <v>32</v>
      </c>
      <c r="K86" t="s">
        <v>19</v>
      </c>
      <c r="L86">
        <v>20</v>
      </c>
    </row>
    <row r="87" spans="1:12" x14ac:dyDescent="0.25">
      <c r="A87" t="s">
        <v>0</v>
      </c>
      <c r="B87">
        <v>0.05</v>
      </c>
      <c r="C87" s="1"/>
      <c r="D87">
        <v>20.329999999999998</v>
      </c>
      <c r="E87">
        <v>197</v>
      </c>
      <c r="F87">
        <f>B87*1.15</f>
        <v>5.7499999999999996E-2</v>
      </c>
      <c r="G87">
        <v>-63.03</v>
      </c>
      <c r="I87" s="2">
        <v>44754</v>
      </c>
      <c r="J87" s="6">
        <f t="shared" si="5"/>
        <v>39</v>
      </c>
      <c r="K87" t="s">
        <v>18</v>
      </c>
      <c r="L87">
        <v>10</v>
      </c>
    </row>
    <row r="88" spans="1:12" x14ac:dyDescent="0.25">
      <c r="A88" t="s">
        <v>1</v>
      </c>
      <c r="B88">
        <v>5.5E-2</v>
      </c>
      <c r="C88" s="1">
        <v>0.38541666666666669</v>
      </c>
      <c r="D88">
        <v>21.2</v>
      </c>
      <c r="E88">
        <v>199.6</v>
      </c>
      <c r="F88">
        <f>B88*1.15-F103</f>
        <v>6.3250000000000001E-2</v>
      </c>
      <c r="G88">
        <v>-62.41</v>
      </c>
      <c r="I88" s="2">
        <v>44754</v>
      </c>
      <c r="J88" s="6">
        <f t="shared" si="5"/>
        <v>39</v>
      </c>
      <c r="K88" t="s">
        <v>18</v>
      </c>
      <c r="L88">
        <v>10</v>
      </c>
    </row>
    <row r="89" spans="1:12" x14ac:dyDescent="0.25">
      <c r="A89" t="s">
        <v>2</v>
      </c>
      <c r="B89">
        <v>5.5E-2</v>
      </c>
      <c r="C89" s="1"/>
      <c r="D89">
        <v>21.24</v>
      </c>
      <c r="E89">
        <v>193.5</v>
      </c>
      <c r="F89">
        <f t="shared" ref="F89:F103" si="7">B89*1.15</f>
        <v>6.3250000000000001E-2</v>
      </c>
      <c r="G89">
        <v>-62.55</v>
      </c>
      <c r="I89" s="2">
        <v>44754</v>
      </c>
      <c r="J89" s="6">
        <f t="shared" si="5"/>
        <v>39</v>
      </c>
      <c r="K89" t="s">
        <v>18</v>
      </c>
      <c r="L89">
        <v>10</v>
      </c>
    </row>
    <row r="90" spans="1:12" x14ac:dyDescent="0.25">
      <c r="A90" t="s">
        <v>3</v>
      </c>
      <c r="B90">
        <v>5.5E-2</v>
      </c>
      <c r="C90" s="1"/>
      <c r="D90">
        <v>25.24</v>
      </c>
      <c r="E90">
        <v>187</v>
      </c>
      <c r="F90">
        <f t="shared" si="7"/>
        <v>6.3250000000000001E-2</v>
      </c>
      <c r="G90">
        <v>-62.48</v>
      </c>
      <c r="I90" s="2">
        <v>44754</v>
      </c>
      <c r="J90" s="6">
        <f t="shared" si="5"/>
        <v>39</v>
      </c>
      <c r="K90" t="s">
        <v>18</v>
      </c>
      <c r="L90">
        <v>10</v>
      </c>
    </row>
    <row r="91" spans="1:12" x14ac:dyDescent="0.25">
      <c r="A91" t="s">
        <v>4</v>
      </c>
      <c r="B91">
        <v>5.5E-2</v>
      </c>
      <c r="C91" s="1">
        <v>0.41666666666666669</v>
      </c>
      <c r="D91">
        <v>73.010000000000005</v>
      </c>
      <c r="E91">
        <v>355</v>
      </c>
      <c r="F91">
        <f t="shared" si="7"/>
        <v>6.3250000000000001E-2</v>
      </c>
      <c r="G91">
        <v>-75.2</v>
      </c>
      <c r="I91" s="2">
        <v>44754</v>
      </c>
      <c r="J91" s="6">
        <f t="shared" si="5"/>
        <v>39</v>
      </c>
      <c r="K91" t="s">
        <v>18</v>
      </c>
      <c r="L91">
        <v>20</v>
      </c>
    </row>
    <row r="92" spans="1:12" x14ac:dyDescent="0.25">
      <c r="A92" t="s">
        <v>5</v>
      </c>
      <c r="B92">
        <v>5.5E-2</v>
      </c>
      <c r="C92" s="1">
        <v>0.45069444444444445</v>
      </c>
      <c r="D92">
        <v>64.900000000000006</v>
      </c>
      <c r="E92">
        <v>320</v>
      </c>
      <c r="F92">
        <f t="shared" si="7"/>
        <v>6.3250000000000001E-2</v>
      </c>
      <c r="G92">
        <v>-73.23</v>
      </c>
      <c r="I92" s="2">
        <v>44754</v>
      </c>
      <c r="J92" s="6">
        <f t="shared" si="5"/>
        <v>39</v>
      </c>
      <c r="K92" t="s">
        <v>18</v>
      </c>
      <c r="L92">
        <v>20</v>
      </c>
    </row>
    <row r="93" spans="1:12" x14ac:dyDescent="0.25">
      <c r="A93" t="s">
        <v>6</v>
      </c>
      <c r="B93">
        <v>5.5E-2</v>
      </c>
      <c r="C93" s="1">
        <v>0.46180555555555558</v>
      </c>
      <c r="D93">
        <v>71.5</v>
      </c>
      <c r="E93">
        <v>304</v>
      </c>
      <c r="F93">
        <f t="shared" si="7"/>
        <v>6.3250000000000001E-2</v>
      </c>
      <c r="G93">
        <v>-75.02</v>
      </c>
      <c r="I93" s="2">
        <v>44754</v>
      </c>
      <c r="J93" s="6">
        <f t="shared" si="5"/>
        <v>39</v>
      </c>
      <c r="K93" t="s">
        <v>18</v>
      </c>
      <c r="L93">
        <v>20</v>
      </c>
    </row>
    <row r="94" spans="1:12" x14ac:dyDescent="0.25">
      <c r="A94" t="s">
        <v>7</v>
      </c>
      <c r="B94">
        <v>0.05</v>
      </c>
      <c r="C94" s="1">
        <v>0.47222222222222227</v>
      </c>
      <c r="D94">
        <v>64.48</v>
      </c>
      <c r="E94">
        <v>315.39999999999998</v>
      </c>
      <c r="F94">
        <f t="shared" si="7"/>
        <v>5.7499999999999996E-2</v>
      </c>
      <c r="G94">
        <v>-72.739999999999995</v>
      </c>
      <c r="I94" s="2">
        <v>44754</v>
      </c>
      <c r="J94" s="6">
        <f t="shared" si="5"/>
        <v>39</v>
      </c>
      <c r="K94" t="s">
        <v>18</v>
      </c>
      <c r="L94">
        <v>20</v>
      </c>
    </row>
    <row r="95" spans="1:12" x14ac:dyDescent="0.25">
      <c r="A95" t="s">
        <v>8</v>
      </c>
      <c r="B95">
        <v>5.0999999999999997E-2</v>
      </c>
      <c r="C95" s="1">
        <v>0.48125000000000001</v>
      </c>
      <c r="D95">
        <v>28.49</v>
      </c>
      <c r="E95">
        <v>1020</v>
      </c>
      <c r="F95">
        <f t="shared" si="7"/>
        <v>5.8649999999999994E-2</v>
      </c>
      <c r="G95">
        <v>-65.569999999999993</v>
      </c>
      <c r="I95" s="2">
        <v>44754</v>
      </c>
      <c r="J95" s="6">
        <f t="shared" si="5"/>
        <v>39</v>
      </c>
      <c r="K95" t="s">
        <v>19</v>
      </c>
      <c r="L95">
        <v>10</v>
      </c>
    </row>
    <row r="96" spans="1:12" x14ac:dyDescent="0.25">
      <c r="A96" t="s">
        <v>9</v>
      </c>
      <c r="B96">
        <v>4.8000000000000001E-2</v>
      </c>
      <c r="C96" s="1">
        <v>0.50416666666666665</v>
      </c>
      <c r="D96">
        <v>31.37</v>
      </c>
      <c r="E96">
        <v>1100</v>
      </c>
      <c r="F96">
        <f t="shared" si="7"/>
        <v>5.5199999999999999E-2</v>
      </c>
      <c r="G96">
        <v>-66.5</v>
      </c>
      <c r="I96" s="2">
        <v>44754</v>
      </c>
      <c r="J96" s="6">
        <f t="shared" si="5"/>
        <v>39</v>
      </c>
      <c r="K96" t="s">
        <v>19</v>
      </c>
      <c r="L96">
        <v>10</v>
      </c>
    </row>
    <row r="97" spans="1:12" x14ac:dyDescent="0.25">
      <c r="A97" t="s">
        <v>10</v>
      </c>
      <c r="B97">
        <v>4.8000000000000001E-2</v>
      </c>
      <c r="C97" s="1"/>
      <c r="D97">
        <v>25.34</v>
      </c>
      <c r="E97">
        <v>998</v>
      </c>
      <c r="F97">
        <f t="shared" si="7"/>
        <v>5.5199999999999999E-2</v>
      </c>
      <c r="G97">
        <v>-64.94</v>
      </c>
      <c r="I97" s="2">
        <v>44754</v>
      </c>
      <c r="J97" s="6">
        <f t="shared" si="5"/>
        <v>39</v>
      </c>
      <c r="K97" t="s">
        <v>19</v>
      </c>
      <c r="L97">
        <v>10</v>
      </c>
    </row>
    <row r="98" spans="1:12" x14ac:dyDescent="0.25">
      <c r="A98" t="s">
        <v>11</v>
      </c>
      <c r="B98">
        <v>4.7E-2</v>
      </c>
      <c r="C98" s="1"/>
      <c r="D98">
        <v>33.74</v>
      </c>
      <c r="E98">
        <v>993.8</v>
      </c>
      <c r="F98">
        <f t="shared" si="7"/>
        <v>5.4049999999999994E-2</v>
      </c>
      <c r="G98">
        <v>-65.48</v>
      </c>
      <c r="I98" s="2">
        <v>44754</v>
      </c>
      <c r="J98" s="6">
        <f t="shared" si="5"/>
        <v>39</v>
      </c>
      <c r="K98" t="s">
        <v>19</v>
      </c>
      <c r="L98">
        <v>10</v>
      </c>
    </row>
    <row r="99" spans="1:12" x14ac:dyDescent="0.25">
      <c r="A99" t="s">
        <v>12</v>
      </c>
      <c r="B99">
        <v>4.8000000000000001E-2</v>
      </c>
      <c r="C99" s="1"/>
      <c r="D99">
        <v>133.69999999999999</v>
      </c>
      <c r="E99">
        <v>2780</v>
      </c>
      <c r="F99">
        <f t="shared" si="7"/>
        <v>5.5199999999999999E-2</v>
      </c>
      <c r="G99">
        <v>-90.36</v>
      </c>
      <c r="I99" s="2">
        <v>44754</v>
      </c>
      <c r="J99" s="6">
        <f t="shared" si="5"/>
        <v>39</v>
      </c>
      <c r="K99" t="s">
        <v>19</v>
      </c>
      <c r="L99">
        <v>20</v>
      </c>
    </row>
    <row r="100" spans="1:12" x14ac:dyDescent="0.25">
      <c r="A100" t="s">
        <v>13</v>
      </c>
      <c r="B100">
        <v>4.9000000000000002E-2</v>
      </c>
      <c r="C100" s="1"/>
      <c r="D100">
        <v>131.30000000000001</v>
      </c>
      <c r="E100">
        <v>2620</v>
      </c>
      <c r="F100">
        <f t="shared" si="7"/>
        <v>5.6349999999999997E-2</v>
      </c>
      <c r="G100">
        <v>-91.87</v>
      </c>
      <c r="I100" s="2">
        <v>44754</v>
      </c>
      <c r="J100" s="6">
        <f t="shared" si="5"/>
        <v>39</v>
      </c>
      <c r="K100" t="s">
        <v>19</v>
      </c>
      <c r="L100">
        <v>20</v>
      </c>
    </row>
    <row r="101" spans="1:12" x14ac:dyDescent="0.25">
      <c r="A101" t="s">
        <v>14</v>
      </c>
      <c r="B101">
        <v>0.05</v>
      </c>
      <c r="C101" s="1"/>
      <c r="D101">
        <v>141</v>
      </c>
      <c r="E101">
        <v>2535</v>
      </c>
      <c r="F101">
        <f t="shared" si="7"/>
        <v>5.7499999999999996E-2</v>
      </c>
      <c r="G101">
        <v>-92.4</v>
      </c>
      <c r="I101" s="2">
        <v>44754</v>
      </c>
      <c r="J101" s="6">
        <f t="shared" si="5"/>
        <v>39</v>
      </c>
      <c r="K101" t="s">
        <v>19</v>
      </c>
      <c r="L101">
        <v>20</v>
      </c>
    </row>
    <row r="102" spans="1:12" x14ac:dyDescent="0.25">
      <c r="A102" t="s">
        <v>15</v>
      </c>
      <c r="B102">
        <v>4.7E-2</v>
      </c>
      <c r="C102" s="1"/>
      <c r="D102">
        <v>128.5</v>
      </c>
      <c r="E102">
        <v>2339</v>
      </c>
      <c r="F102">
        <f t="shared" si="7"/>
        <v>5.4049999999999994E-2</v>
      </c>
      <c r="G102">
        <v>-88.17</v>
      </c>
      <c r="I102" s="2">
        <v>44754</v>
      </c>
      <c r="J102" s="6">
        <f t="shared" si="5"/>
        <v>39</v>
      </c>
      <c r="K102" t="s">
        <v>19</v>
      </c>
      <c r="L102">
        <v>20</v>
      </c>
    </row>
    <row r="103" spans="1:12" x14ac:dyDescent="0.25">
      <c r="A103" t="s">
        <v>21</v>
      </c>
      <c r="B103">
        <v>0</v>
      </c>
      <c r="F103">
        <f t="shared" si="7"/>
        <v>0</v>
      </c>
      <c r="I103" s="2">
        <v>44754</v>
      </c>
      <c r="J103" s="6">
        <f t="shared" si="5"/>
        <v>39</v>
      </c>
      <c r="K103" t="s">
        <v>19</v>
      </c>
      <c r="L103">
        <v>20</v>
      </c>
    </row>
    <row r="104" spans="1:12" x14ac:dyDescent="0.25">
      <c r="A104" t="s">
        <v>0</v>
      </c>
      <c r="B104">
        <v>5.0999999999999997E-2</v>
      </c>
      <c r="C104" s="1">
        <v>0.3034722222222222</v>
      </c>
      <c r="D104">
        <v>22.77</v>
      </c>
      <c r="E104">
        <v>205</v>
      </c>
      <c r="F104">
        <f>B104*1.15</f>
        <v>5.8649999999999994E-2</v>
      </c>
      <c r="G104">
        <v>-64.86</v>
      </c>
      <c r="I104" s="2">
        <v>44761</v>
      </c>
      <c r="J104" s="6">
        <f t="shared" si="5"/>
        <v>46</v>
      </c>
      <c r="K104" t="s">
        <v>18</v>
      </c>
      <c r="L104">
        <v>10</v>
      </c>
    </row>
    <row r="105" spans="1:12" x14ac:dyDescent="0.25">
      <c r="A105" t="s">
        <v>1</v>
      </c>
      <c r="B105">
        <v>0.05</v>
      </c>
      <c r="C105" s="1">
        <v>0.32083333333333336</v>
      </c>
      <c r="D105">
        <v>22.12</v>
      </c>
      <c r="E105">
        <v>200</v>
      </c>
      <c r="F105">
        <f>B105*1.15-F120</f>
        <v>5.7499999999999996E-2</v>
      </c>
      <c r="G105">
        <v>-63.92</v>
      </c>
      <c r="I105" s="2">
        <v>44761</v>
      </c>
      <c r="J105" s="6">
        <f t="shared" si="5"/>
        <v>46</v>
      </c>
      <c r="K105" t="s">
        <v>18</v>
      </c>
      <c r="L105">
        <v>10</v>
      </c>
    </row>
    <row r="106" spans="1:12" x14ac:dyDescent="0.25">
      <c r="A106" t="s">
        <v>2</v>
      </c>
      <c r="B106">
        <v>5.1999999999999998E-2</v>
      </c>
      <c r="C106" s="1"/>
      <c r="D106">
        <v>21.77</v>
      </c>
      <c r="E106">
        <v>197</v>
      </c>
      <c r="F106">
        <f t="shared" ref="F106:F120" si="8">B106*1.15</f>
        <v>5.9799999999999992E-2</v>
      </c>
      <c r="G106">
        <v>-63.99</v>
      </c>
      <c r="I106" s="2">
        <v>44761</v>
      </c>
      <c r="J106" s="6">
        <f t="shared" si="5"/>
        <v>46</v>
      </c>
      <c r="K106" t="s">
        <v>18</v>
      </c>
      <c r="L106">
        <v>10</v>
      </c>
    </row>
    <row r="107" spans="1:12" x14ac:dyDescent="0.25">
      <c r="A107" t="s">
        <v>3</v>
      </c>
      <c r="B107">
        <v>5.1999999999999998E-2</v>
      </c>
      <c r="C107" s="1"/>
      <c r="D107">
        <v>23.15</v>
      </c>
      <c r="E107">
        <v>189</v>
      </c>
      <c r="F107">
        <f t="shared" si="8"/>
        <v>5.9799999999999992E-2</v>
      </c>
      <c r="G107">
        <v>-64.37</v>
      </c>
      <c r="I107" s="2">
        <v>44761</v>
      </c>
      <c r="J107" s="6">
        <f t="shared" si="5"/>
        <v>46</v>
      </c>
      <c r="K107" t="s">
        <v>18</v>
      </c>
      <c r="L107">
        <v>10</v>
      </c>
    </row>
    <row r="108" spans="1:12" x14ac:dyDescent="0.25">
      <c r="A108" t="s">
        <v>4</v>
      </c>
      <c r="B108">
        <v>5.3999999999999999E-2</v>
      </c>
      <c r="C108" s="1"/>
      <c r="D108">
        <v>68.010000000000005</v>
      </c>
      <c r="E108">
        <v>295</v>
      </c>
      <c r="F108">
        <f t="shared" si="8"/>
        <v>6.2099999999999995E-2</v>
      </c>
      <c r="G108">
        <v>-77.11</v>
      </c>
      <c r="I108" s="2">
        <v>44761</v>
      </c>
      <c r="J108" s="6">
        <f t="shared" si="5"/>
        <v>46</v>
      </c>
      <c r="K108" t="s">
        <v>18</v>
      </c>
      <c r="L108">
        <v>20</v>
      </c>
    </row>
    <row r="109" spans="1:12" x14ac:dyDescent="0.25">
      <c r="A109" t="s">
        <v>5</v>
      </c>
      <c r="B109">
        <v>5.2999999999999999E-2</v>
      </c>
      <c r="C109" s="1"/>
      <c r="D109">
        <v>59.87</v>
      </c>
      <c r="E109">
        <v>290</v>
      </c>
      <c r="F109">
        <f t="shared" si="8"/>
        <v>6.094999999999999E-2</v>
      </c>
      <c r="G109">
        <v>-74.72</v>
      </c>
      <c r="I109" s="2">
        <v>44761</v>
      </c>
      <c r="J109" s="6">
        <f t="shared" si="5"/>
        <v>46</v>
      </c>
      <c r="K109" t="s">
        <v>18</v>
      </c>
      <c r="L109">
        <v>20</v>
      </c>
    </row>
    <row r="110" spans="1:12" x14ac:dyDescent="0.25">
      <c r="A110" t="s">
        <v>6</v>
      </c>
      <c r="B110">
        <v>5.6000000000000001E-2</v>
      </c>
      <c r="C110" s="1"/>
      <c r="D110">
        <v>66.98</v>
      </c>
      <c r="E110">
        <v>282</v>
      </c>
      <c r="F110">
        <f t="shared" si="8"/>
        <v>6.4399999999999999E-2</v>
      </c>
      <c r="G110">
        <v>-76.23</v>
      </c>
      <c r="I110" s="2">
        <v>44761</v>
      </c>
      <c r="J110" s="6">
        <f t="shared" si="5"/>
        <v>46</v>
      </c>
      <c r="K110" t="s">
        <v>18</v>
      </c>
      <c r="L110">
        <v>20</v>
      </c>
    </row>
    <row r="111" spans="1:12" x14ac:dyDescent="0.25">
      <c r="A111" t="s">
        <v>7</v>
      </c>
      <c r="B111">
        <v>5.6000000000000001E-2</v>
      </c>
      <c r="C111" s="1"/>
      <c r="D111">
        <v>57.32</v>
      </c>
      <c r="E111">
        <v>287</v>
      </c>
      <c r="F111">
        <f t="shared" si="8"/>
        <v>6.4399999999999999E-2</v>
      </c>
      <c r="G111">
        <v>-74.260000000000005</v>
      </c>
      <c r="I111" s="2">
        <v>44761</v>
      </c>
      <c r="J111" s="6">
        <f t="shared" si="5"/>
        <v>46</v>
      </c>
      <c r="K111" t="s">
        <v>18</v>
      </c>
      <c r="L111">
        <v>20</v>
      </c>
    </row>
    <row r="112" spans="1:12" x14ac:dyDescent="0.25">
      <c r="A112" t="s">
        <v>8</v>
      </c>
      <c r="B112">
        <v>5.0999999999999997E-2</v>
      </c>
      <c r="C112" s="1"/>
      <c r="D112">
        <v>27.35</v>
      </c>
      <c r="E112">
        <v>1028</v>
      </c>
      <c r="F112">
        <f t="shared" si="8"/>
        <v>5.8649999999999994E-2</v>
      </c>
      <c r="G112">
        <v>-69.17</v>
      </c>
      <c r="I112" s="2">
        <v>44761</v>
      </c>
      <c r="J112" s="6">
        <f t="shared" si="5"/>
        <v>46</v>
      </c>
      <c r="K112" t="s">
        <v>19</v>
      </c>
      <c r="L112">
        <v>10</v>
      </c>
    </row>
    <row r="113" spans="1:12" x14ac:dyDescent="0.25">
      <c r="A113" t="s">
        <v>9</v>
      </c>
      <c r="B113">
        <v>4.8000000000000001E-2</v>
      </c>
      <c r="C113" s="1"/>
      <c r="D113">
        <v>31.96</v>
      </c>
      <c r="E113">
        <v>1119</v>
      </c>
      <c r="F113">
        <f t="shared" si="8"/>
        <v>5.5199999999999999E-2</v>
      </c>
      <c r="G113">
        <v>-70.89</v>
      </c>
      <c r="H113">
        <v>-22.95</v>
      </c>
      <c r="I113" s="2">
        <v>44761</v>
      </c>
      <c r="J113" s="6">
        <f t="shared" si="5"/>
        <v>46</v>
      </c>
      <c r="K113" t="s">
        <v>19</v>
      </c>
      <c r="L113">
        <v>10</v>
      </c>
    </row>
    <row r="114" spans="1:12" x14ac:dyDescent="0.25">
      <c r="A114" t="s">
        <v>10</v>
      </c>
      <c r="B114">
        <v>4.9000000000000002E-2</v>
      </c>
      <c r="C114" s="1"/>
      <c r="D114">
        <v>27.23</v>
      </c>
      <c r="E114">
        <v>1038</v>
      </c>
      <c r="F114">
        <f t="shared" si="8"/>
        <v>5.6349999999999997E-2</v>
      </c>
      <c r="G114">
        <v>-68.81</v>
      </c>
      <c r="I114" s="2">
        <v>44761</v>
      </c>
      <c r="J114" s="6">
        <f t="shared" si="5"/>
        <v>46</v>
      </c>
      <c r="K114" t="s">
        <v>19</v>
      </c>
      <c r="L114">
        <v>10</v>
      </c>
    </row>
    <row r="115" spans="1:12" x14ac:dyDescent="0.25">
      <c r="A115" t="s">
        <v>11</v>
      </c>
      <c r="B115">
        <v>4.7E-2</v>
      </c>
      <c r="C115" s="1"/>
      <c r="D115">
        <v>33.700000000000003</v>
      </c>
      <c r="E115">
        <v>1026</v>
      </c>
      <c r="F115">
        <f t="shared" si="8"/>
        <v>5.4049999999999994E-2</v>
      </c>
      <c r="G115">
        <v>-67.98</v>
      </c>
      <c r="I115" s="2">
        <v>44761</v>
      </c>
      <c r="J115" s="6">
        <f t="shared" si="5"/>
        <v>46</v>
      </c>
      <c r="K115" t="s">
        <v>19</v>
      </c>
      <c r="L115">
        <v>10</v>
      </c>
    </row>
    <row r="116" spans="1:12" x14ac:dyDescent="0.25">
      <c r="A116" t="s">
        <v>12</v>
      </c>
      <c r="B116">
        <v>4.8000000000000001E-2</v>
      </c>
      <c r="C116" s="1"/>
      <c r="D116">
        <v>143.2282992530547</v>
      </c>
      <c r="E116">
        <v>2517.738760456436</v>
      </c>
      <c r="F116">
        <f t="shared" si="8"/>
        <v>5.5199999999999999E-2</v>
      </c>
      <c r="G116">
        <v>-93.97</v>
      </c>
      <c r="I116" s="2">
        <v>44761</v>
      </c>
      <c r="J116" s="6">
        <f t="shared" si="5"/>
        <v>46</v>
      </c>
      <c r="K116" t="s">
        <v>19</v>
      </c>
      <c r="L116">
        <v>20</v>
      </c>
    </row>
    <row r="117" spans="1:12" x14ac:dyDescent="0.25">
      <c r="A117" t="s">
        <v>13</v>
      </c>
      <c r="B117">
        <v>4.9000000000000002E-2</v>
      </c>
      <c r="C117" s="1"/>
      <c r="D117">
        <v>142.09719636777427</v>
      </c>
      <c r="E117">
        <v>2336.9721493914853</v>
      </c>
      <c r="F117">
        <f t="shared" si="8"/>
        <v>5.6349999999999997E-2</v>
      </c>
      <c r="G117">
        <v>-95.85</v>
      </c>
      <c r="I117" s="2">
        <v>44761</v>
      </c>
      <c r="J117" s="6">
        <f t="shared" si="5"/>
        <v>46</v>
      </c>
      <c r="K117" t="s">
        <v>19</v>
      </c>
      <c r="L117">
        <v>20</v>
      </c>
    </row>
    <row r="118" spans="1:12" x14ac:dyDescent="0.25">
      <c r="A118" t="s">
        <v>14</v>
      </c>
      <c r="B118">
        <v>0.05</v>
      </c>
      <c r="C118" s="1"/>
      <c r="D118">
        <v>144.42650146203823</v>
      </c>
      <c r="E118">
        <v>2358.9469488338423</v>
      </c>
      <c r="F118">
        <f t="shared" si="8"/>
        <v>5.7499999999999996E-2</v>
      </c>
      <c r="G118">
        <v>-95.8</v>
      </c>
      <c r="I118" s="2">
        <v>44761</v>
      </c>
      <c r="J118" s="6">
        <f t="shared" si="5"/>
        <v>46</v>
      </c>
      <c r="K118" t="s">
        <v>19</v>
      </c>
      <c r="L118">
        <v>20</v>
      </c>
    </row>
    <row r="119" spans="1:12" x14ac:dyDescent="0.25">
      <c r="A119" t="s">
        <v>15</v>
      </c>
      <c r="B119">
        <v>4.7E-2</v>
      </c>
      <c r="C119" s="1"/>
      <c r="D119">
        <v>126.9519204462225</v>
      </c>
      <c r="E119">
        <v>2297.3219677889724</v>
      </c>
      <c r="F119">
        <f t="shared" si="8"/>
        <v>5.4049999999999994E-2</v>
      </c>
      <c r="G119">
        <v>-91</v>
      </c>
      <c r="I119" s="2">
        <v>44761</v>
      </c>
      <c r="J119" s="6">
        <f t="shared" si="5"/>
        <v>46</v>
      </c>
      <c r="K119" t="s">
        <v>19</v>
      </c>
      <c r="L119">
        <v>20</v>
      </c>
    </row>
    <row r="120" spans="1:12" x14ac:dyDescent="0.25">
      <c r="A120" t="s">
        <v>21</v>
      </c>
      <c r="B120">
        <v>0</v>
      </c>
      <c r="F120">
        <f t="shared" si="8"/>
        <v>0</v>
      </c>
      <c r="I120" s="2">
        <v>44761</v>
      </c>
      <c r="J120" s="6">
        <f t="shared" si="5"/>
        <v>46</v>
      </c>
      <c r="K120" t="s">
        <v>19</v>
      </c>
      <c r="L120">
        <v>20</v>
      </c>
    </row>
    <row r="121" spans="1:12" x14ac:dyDescent="0.25">
      <c r="A121" t="s">
        <v>0</v>
      </c>
      <c r="B121">
        <v>5.0999999999999997E-2</v>
      </c>
      <c r="C121" s="1"/>
      <c r="D121">
        <v>12.5</v>
      </c>
      <c r="E121">
        <v>236</v>
      </c>
      <c r="F121">
        <f>B121*1.15</f>
        <v>5.8649999999999994E-2</v>
      </c>
      <c r="I121" s="2">
        <v>44775</v>
      </c>
      <c r="J121" s="6">
        <f t="shared" si="5"/>
        <v>60</v>
      </c>
      <c r="K121" t="s">
        <v>18</v>
      </c>
      <c r="L121">
        <v>10</v>
      </c>
    </row>
    <row r="122" spans="1:12" x14ac:dyDescent="0.25">
      <c r="A122" t="s">
        <v>1</v>
      </c>
      <c r="B122">
        <v>0.05</v>
      </c>
      <c r="C122" s="1"/>
      <c r="D122">
        <v>18.814</v>
      </c>
      <c r="E122">
        <v>165.29499999999999</v>
      </c>
      <c r="F122">
        <f>B122*1.15-F137</f>
        <v>5.7499999999999996E-2</v>
      </c>
      <c r="I122" s="2">
        <v>44775</v>
      </c>
      <c r="J122" s="6">
        <f t="shared" si="5"/>
        <v>60</v>
      </c>
      <c r="K122" t="s">
        <v>18</v>
      </c>
      <c r="L122">
        <v>10</v>
      </c>
    </row>
    <row r="123" spans="1:12" x14ac:dyDescent="0.25">
      <c r="A123" t="s">
        <v>2</v>
      </c>
      <c r="B123">
        <v>5.1999999999999998E-2</v>
      </c>
      <c r="C123" s="1"/>
      <c r="D123">
        <v>19.077000000000002</v>
      </c>
      <c r="E123">
        <v>129.488</v>
      </c>
      <c r="F123">
        <f t="shared" ref="F123:F137" si="9">B123*1.15</f>
        <v>5.9799999999999992E-2</v>
      </c>
      <c r="I123" s="2">
        <v>44775</v>
      </c>
      <c r="J123" s="6">
        <f t="shared" si="5"/>
        <v>60</v>
      </c>
      <c r="K123" t="s">
        <v>18</v>
      </c>
      <c r="L123">
        <v>10</v>
      </c>
    </row>
    <row r="124" spans="1:12" x14ac:dyDescent="0.25">
      <c r="A124" t="s">
        <v>3</v>
      </c>
      <c r="B124">
        <v>5.1999999999999998E-2</v>
      </c>
      <c r="C124" s="1"/>
      <c r="D124">
        <v>21.44</v>
      </c>
      <c r="E124">
        <v>138.86199999999999</v>
      </c>
      <c r="F124">
        <f t="shared" si="9"/>
        <v>5.9799999999999992E-2</v>
      </c>
      <c r="I124" s="2">
        <v>44775</v>
      </c>
      <c r="J124" s="6">
        <f t="shared" si="5"/>
        <v>60</v>
      </c>
      <c r="K124" t="s">
        <v>18</v>
      </c>
      <c r="L124">
        <v>10</v>
      </c>
    </row>
    <row r="125" spans="1:12" x14ac:dyDescent="0.25">
      <c r="A125" t="s">
        <v>4</v>
      </c>
      <c r="B125">
        <v>5.3999999999999999E-2</v>
      </c>
      <c r="C125" s="1"/>
      <c r="D125">
        <v>59.726999999999997</v>
      </c>
      <c r="E125">
        <v>221.376</v>
      </c>
      <c r="F125">
        <f t="shared" si="9"/>
        <v>6.2099999999999995E-2</v>
      </c>
      <c r="I125" s="2">
        <v>44775</v>
      </c>
      <c r="J125" s="6">
        <f t="shared" si="5"/>
        <v>60</v>
      </c>
      <c r="K125" t="s">
        <v>18</v>
      </c>
      <c r="L125">
        <v>20</v>
      </c>
    </row>
    <row r="126" spans="1:12" x14ac:dyDescent="0.25">
      <c r="A126" t="s">
        <v>5</v>
      </c>
      <c r="B126">
        <v>5.2999999999999999E-2</v>
      </c>
      <c r="C126" s="1"/>
      <c r="D126">
        <v>57.192999999999998</v>
      </c>
      <c r="E126">
        <v>220.899</v>
      </c>
      <c r="F126">
        <f t="shared" si="9"/>
        <v>6.094999999999999E-2</v>
      </c>
      <c r="I126" s="2">
        <v>44775</v>
      </c>
      <c r="J126" s="6">
        <f t="shared" si="5"/>
        <v>60</v>
      </c>
      <c r="K126" t="s">
        <v>18</v>
      </c>
      <c r="L126">
        <v>20</v>
      </c>
    </row>
    <row r="127" spans="1:12" x14ac:dyDescent="0.25">
      <c r="A127" t="s">
        <v>6</v>
      </c>
      <c r="B127">
        <v>5.6000000000000001E-2</v>
      </c>
      <c r="C127" s="1"/>
      <c r="D127">
        <v>159.006</v>
      </c>
      <c r="E127">
        <v>269.71499999999997</v>
      </c>
      <c r="F127">
        <f t="shared" si="9"/>
        <v>6.4399999999999999E-2</v>
      </c>
      <c r="I127" s="2">
        <v>44775</v>
      </c>
      <c r="J127" s="6">
        <f t="shared" si="5"/>
        <v>60</v>
      </c>
      <c r="K127" t="s">
        <v>18</v>
      </c>
      <c r="L127">
        <v>20</v>
      </c>
    </row>
    <row r="128" spans="1:12" x14ac:dyDescent="0.25">
      <c r="A128" t="s">
        <v>7</v>
      </c>
      <c r="B128">
        <v>5.6000000000000001E-2</v>
      </c>
      <c r="C128" s="1"/>
      <c r="D128">
        <v>46.286000000000001</v>
      </c>
      <c r="E128">
        <v>226.26400000000001</v>
      </c>
      <c r="F128">
        <f t="shared" si="9"/>
        <v>6.4399999999999999E-2</v>
      </c>
      <c r="I128" s="2">
        <v>44775</v>
      </c>
      <c r="J128" s="6">
        <f t="shared" si="5"/>
        <v>60</v>
      </c>
      <c r="K128" t="s">
        <v>18</v>
      </c>
      <c r="L128">
        <v>20</v>
      </c>
    </row>
    <row r="129" spans="1:12" x14ac:dyDescent="0.25">
      <c r="A129" t="s">
        <v>8</v>
      </c>
      <c r="B129">
        <v>5.0999999999999997E-2</v>
      </c>
      <c r="C129" s="1"/>
      <c r="D129">
        <v>29.37</v>
      </c>
      <c r="E129">
        <v>1108.78</v>
      </c>
      <c r="F129">
        <f t="shared" si="9"/>
        <v>5.8649999999999994E-2</v>
      </c>
      <c r="I129" s="2">
        <v>44775</v>
      </c>
      <c r="J129" s="6">
        <f t="shared" si="5"/>
        <v>60</v>
      </c>
      <c r="K129" t="s">
        <v>19</v>
      </c>
      <c r="L129">
        <v>10</v>
      </c>
    </row>
    <row r="130" spans="1:12" x14ac:dyDescent="0.25">
      <c r="A130" t="s">
        <v>9</v>
      </c>
      <c r="B130">
        <v>4.8000000000000001E-2</v>
      </c>
      <c r="C130" s="1"/>
      <c r="D130">
        <v>33.161999999999999</v>
      </c>
      <c r="E130">
        <v>1134.2439999999999</v>
      </c>
      <c r="F130">
        <f t="shared" si="9"/>
        <v>5.5199999999999999E-2</v>
      </c>
      <c r="I130" s="2">
        <v>44775</v>
      </c>
      <c r="J130" s="6">
        <f t="shared" si="5"/>
        <v>60</v>
      </c>
      <c r="K130" t="s">
        <v>19</v>
      </c>
      <c r="L130">
        <v>10</v>
      </c>
    </row>
    <row r="131" spans="1:12" x14ac:dyDescent="0.25">
      <c r="A131" t="s">
        <v>10</v>
      </c>
      <c r="B131">
        <v>4.9000000000000002E-2</v>
      </c>
      <c r="C131" s="1"/>
      <c r="D131">
        <v>30.713000000000001</v>
      </c>
      <c r="E131">
        <v>1109.05</v>
      </c>
      <c r="F131">
        <f t="shared" si="9"/>
        <v>5.6349999999999997E-2</v>
      </c>
      <c r="I131" s="2">
        <v>44775</v>
      </c>
      <c r="J131" s="6">
        <f t="shared" ref="J131:J194" si="10">I131-$I$2+5</f>
        <v>60</v>
      </c>
      <c r="K131" t="s">
        <v>19</v>
      </c>
      <c r="L131">
        <v>10</v>
      </c>
    </row>
    <row r="132" spans="1:12" x14ac:dyDescent="0.25">
      <c r="A132" t="s">
        <v>11</v>
      </c>
      <c r="B132">
        <v>4.7E-2</v>
      </c>
      <c r="C132" s="1"/>
      <c r="D132">
        <v>30.841000000000001</v>
      </c>
      <c r="E132">
        <v>1077.221</v>
      </c>
      <c r="F132">
        <f t="shared" si="9"/>
        <v>5.4049999999999994E-2</v>
      </c>
      <c r="I132" s="2">
        <v>44775</v>
      </c>
      <c r="J132" s="6">
        <f t="shared" si="10"/>
        <v>60</v>
      </c>
      <c r="K132" t="s">
        <v>19</v>
      </c>
      <c r="L132">
        <v>10</v>
      </c>
    </row>
    <row r="133" spans="1:12" x14ac:dyDescent="0.25">
      <c r="A133" t="s">
        <v>12</v>
      </c>
      <c r="B133">
        <v>4.8000000000000001E-2</v>
      </c>
      <c r="C133" s="1"/>
      <c r="D133">
        <v>168.54</v>
      </c>
      <c r="E133">
        <v>2243.04</v>
      </c>
      <c r="F133">
        <f t="shared" si="9"/>
        <v>5.5199999999999999E-2</v>
      </c>
      <c r="I133" s="2">
        <v>44775</v>
      </c>
      <c r="J133" s="6">
        <f t="shared" si="10"/>
        <v>60</v>
      </c>
      <c r="K133" t="s">
        <v>19</v>
      </c>
      <c r="L133">
        <v>20</v>
      </c>
    </row>
    <row r="134" spans="1:12" x14ac:dyDescent="0.25">
      <c r="A134" t="s">
        <v>13</v>
      </c>
      <c r="B134">
        <v>4.9000000000000002E-2</v>
      </c>
      <c r="C134" s="1"/>
      <c r="D134">
        <v>176.68</v>
      </c>
      <c r="E134">
        <v>2306.5</v>
      </c>
      <c r="F134">
        <f t="shared" si="9"/>
        <v>5.6349999999999997E-2</v>
      </c>
      <c r="I134" s="2">
        <v>44775</v>
      </c>
      <c r="J134" s="6">
        <f t="shared" si="10"/>
        <v>60</v>
      </c>
      <c r="K134" t="s">
        <v>19</v>
      </c>
      <c r="L134">
        <v>20</v>
      </c>
    </row>
    <row r="135" spans="1:12" x14ac:dyDescent="0.25">
      <c r="A135" t="s">
        <v>14</v>
      </c>
      <c r="B135">
        <v>0.05</v>
      </c>
      <c r="C135" s="1"/>
      <c r="D135">
        <v>164.45500000000001</v>
      </c>
      <c r="E135">
        <v>2213.6469999999999</v>
      </c>
      <c r="F135">
        <f t="shared" si="9"/>
        <v>5.7499999999999996E-2</v>
      </c>
      <c r="I135" s="2">
        <v>44775</v>
      </c>
      <c r="J135" s="6">
        <f t="shared" si="10"/>
        <v>60</v>
      </c>
      <c r="K135" t="s">
        <v>19</v>
      </c>
      <c r="L135">
        <v>20</v>
      </c>
    </row>
    <row r="136" spans="1:12" x14ac:dyDescent="0.25">
      <c r="A136" t="s">
        <v>15</v>
      </c>
      <c r="B136">
        <v>4.7E-2</v>
      </c>
      <c r="C136" s="1"/>
      <c r="D136">
        <v>167.44</v>
      </c>
      <c r="E136">
        <v>2091.3000000000002</v>
      </c>
      <c r="F136">
        <f t="shared" si="9"/>
        <v>5.4049999999999994E-2</v>
      </c>
      <c r="I136" s="2">
        <v>44775</v>
      </c>
      <c r="J136" s="6">
        <f t="shared" si="10"/>
        <v>60</v>
      </c>
      <c r="K136" t="s">
        <v>19</v>
      </c>
      <c r="L136">
        <v>20</v>
      </c>
    </row>
    <row r="137" spans="1:12" x14ac:dyDescent="0.25">
      <c r="A137" t="s">
        <v>21</v>
      </c>
      <c r="B137">
        <v>0</v>
      </c>
      <c r="F137">
        <f t="shared" si="9"/>
        <v>0</v>
      </c>
      <c r="I137" s="2">
        <v>44775</v>
      </c>
      <c r="J137" s="6">
        <f t="shared" si="10"/>
        <v>60</v>
      </c>
      <c r="K137" t="s">
        <v>19</v>
      </c>
      <c r="L137">
        <v>20</v>
      </c>
    </row>
    <row r="138" spans="1:12" x14ac:dyDescent="0.25">
      <c r="A138" t="s">
        <v>0</v>
      </c>
      <c r="B138">
        <v>5.0999999999999997E-2</v>
      </c>
      <c r="C138" s="1" t="s">
        <v>42</v>
      </c>
      <c r="D138">
        <v>15.21</v>
      </c>
      <c r="E138">
        <v>160</v>
      </c>
      <c r="F138">
        <f>B138*1.15</f>
        <v>5.8649999999999994E-2</v>
      </c>
      <c r="G138">
        <v>-71.48</v>
      </c>
      <c r="I138" s="2">
        <v>44789</v>
      </c>
      <c r="J138" s="6">
        <f t="shared" si="10"/>
        <v>74</v>
      </c>
      <c r="K138" t="s">
        <v>18</v>
      </c>
      <c r="L138">
        <v>10</v>
      </c>
    </row>
    <row r="139" spans="1:12" x14ac:dyDescent="0.25">
      <c r="A139" t="s">
        <v>1</v>
      </c>
      <c r="B139">
        <v>0.05</v>
      </c>
      <c r="C139" s="1"/>
      <c r="D139">
        <v>14.02</v>
      </c>
      <c r="E139">
        <v>174.2</v>
      </c>
      <c r="F139">
        <f>B139*1.15-F154</f>
        <v>5.7499999999999996E-2</v>
      </c>
      <c r="G139">
        <v>-70.66</v>
      </c>
      <c r="I139" s="2">
        <v>44789</v>
      </c>
      <c r="J139" s="6">
        <f t="shared" si="10"/>
        <v>74</v>
      </c>
      <c r="K139" t="s">
        <v>18</v>
      </c>
      <c r="L139">
        <v>10</v>
      </c>
    </row>
    <row r="140" spans="1:12" x14ac:dyDescent="0.25">
      <c r="A140" t="s">
        <v>2</v>
      </c>
      <c r="B140">
        <v>5.1999999999999998E-2</v>
      </c>
      <c r="C140" s="1"/>
      <c r="D140">
        <v>10.5</v>
      </c>
      <c r="E140">
        <v>228.3</v>
      </c>
      <c r="F140">
        <f t="shared" ref="F140:F154" si="11">B140*1.15</f>
        <v>5.9799999999999992E-2</v>
      </c>
      <c r="I140" s="2">
        <v>44789</v>
      </c>
      <c r="J140" s="6">
        <f t="shared" si="10"/>
        <v>74</v>
      </c>
      <c r="K140" t="s">
        <v>18</v>
      </c>
      <c r="L140">
        <v>10</v>
      </c>
    </row>
    <row r="141" spans="1:12" x14ac:dyDescent="0.25">
      <c r="A141" t="s">
        <v>3</v>
      </c>
      <c r="B141">
        <v>5.1999999999999998E-2</v>
      </c>
      <c r="C141" s="1"/>
      <c r="D141">
        <v>16.010000000000002</v>
      </c>
      <c r="E141">
        <v>165.1</v>
      </c>
      <c r="F141">
        <f t="shared" si="11"/>
        <v>5.9799999999999992E-2</v>
      </c>
      <c r="I141" s="2">
        <v>44789</v>
      </c>
      <c r="J141" s="6">
        <f t="shared" si="10"/>
        <v>74</v>
      </c>
      <c r="K141" t="s">
        <v>18</v>
      </c>
      <c r="L141">
        <v>10</v>
      </c>
    </row>
    <row r="142" spans="1:12" x14ac:dyDescent="0.25">
      <c r="A142" t="s">
        <v>4</v>
      </c>
      <c r="B142">
        <v>5.3999999999999999E-2</v>
      </c>
      <c r="C142" s="1"/>
      <c r="D142">
        <v>52.09</v>
      </c>
      <c r="E142">
        <v>238</v>
      </c>
      <c r="F142">
        <f t="shared" si="11"/>
        <v>6.2099999999999995E-2</v>
      </c>
      <c r="I142" s="2">
        <v>44789</v>
      </c>
      <c r="J142" s="6">
        <f t="shared" si="10"/>
        <v>74</v>
      </c>
      <c r="K142" t="s">
        <v>18</v>
      </c>
      <c r="L142">
        <v>20</v>
      </c>
    </row>
    <row r="143" spans="1:12" x14ac:dyDescent="0.25">
      <c r="A143" t="s">
        <v>5</v>
      </c>
      <c r="B143">
        <v>5.2999999999999999E-2</v>
      </c>
      <c r="C143" s="1"/>
      <c r="D143">
        <v>53.75</v>
      </c>
      <c r="E143">
        <v>179.2</v>
      </c>
      <c r="F143">
        <f t="shared" si="11"/>
        <v>6.094999999999999E-2</v>
      </c>
      <c r="I143" s="2">
        <v>44789</v>
      </c>
      <c r="J143" s="6">
        <f t="shared" si="10"/>
        <v>74</v>
      </c>
      <c r="K143" t="s">
        <v>18</v>
      </c>
      <c r="L143">
        <v>20</v>
      </c>
    </row>
    <row r="144" spans="1:12" x14ac:dyDescent="0.25">
      <c r="A144" t="s">
        <v>6</v>
      </c>
      <c r="B144">
        <v>5.6000000000000001E-2</v>
      </c>
      <c r="C144" s="1"/>
      <c r="D144">
        <v>55.66</v>
      </c>
      <c r="E144">
        <v>253</v>
      </c>
      <c r="F144">
        <f t="shared" si="11"/>
        <v>6.4399999999999999E-2</v>
      </c>
      <c r="G144">
        <v>-83.23</v>
      </c>
      <c r="I144" s="2">
        <v>44789</v>
      </c>
      <c r="J144" s="6">
        <f t="shared" si="10"/>
        <v>74</v>
      </c>
      <c r="K144" t="s">
        <v>18</v>
      </c>
      <c r="L144">
        <v>20</v>
      </c>
    </row>
    <row r="145" spans="1:12" x14ac:dyDescent="0.25">
      <c r="A145" t="s">
        <v>7</v>
      </c>
      <c r="B145">
        <v>5.6000000000000001E-2</v>
      </c>
      <c r="C145" s="1"/>
      <c r="D145">
        <v>57</v>
      </c>
      <c r="E145">
        <v>195.9</v>
      </c>
      <c r="F145">
        <f t="shared" si="11"/>
        <v>6.4399999999999999E-2</v>
      </c>
      <c r="G145">
        <v>-81.58</v>
      </c>
      <c r="I145" s="2">
        <v>44789</v>
      </c>
      <c r="J145" s="6">
        <f t="shared" si="10"/>
        <v>74</v>
      </c>
      <c r="K145" t="s">
        <v>18</v>
      </c>
      <c r="L145">
        <v>20</v>
      </c>
    </row>
    <row r="146" spans="1:12" x14ac:dyDescent="0.25">
      <c r="A146" t="s">
        <v>8</v>
      </c>
      <c r="B146">
        <v>5.0999999999999997E-2</v>
      </c>
      <c r="C146" s="1"/>
      <c r="D146">
        <v>27.29</v>
      </c>
      <c r="E146">
        <v>1020</v>
      </c>
      <c r="F146">
        <f t="shared" si="11"/>
        <v>5.8649999999999994E-2</v>
      </c>
      <c r="G146">
        <v>-79.349999999999994</v>
      </c>
      <c r="I146" s="2">
        <v>44789</v>
      </c>
      <c r="J146" s="6">
        <f t="shared" si="10"/>
        <v>74</v>
      </c>
      <c r="K146" t="s">
        <v>19</v>
      </c>
      <c r="L146">
        <v>10</v>
      </c>
    </row>
    <row r="147" spans="1:12" x14ac:dyDescent="0.25">
      <c r="A147" t="s">
        <v>9</v>
      </c>
      <c r="B147">
        <v>4.8000000000000001E-2</v>
      </c>
      <c r="C147" s="1"/>
      <c r="D147">
        <v>31.6</v>
      </c>
      <c r="E147">
        <v>1011</v>
      </c>
      <c r="F147">
        <f t="shared" si="11"/>
        <v>5.5199999999999999E-2</v>
      </c>
      <c r="G147">
        <v>-80.58</v>
      </c>
      <c r="I147" s="2">
        <v>44789</v>
      </c>
      <c r="J147" s="6">
        <f t="shared" si="10"/>
        <v>74</v>
      </c>
      <c r="K147" t="s">
        <v>19</v>
      </c>
      <c r="L147">
        <v>10</v>
      </c>
    </row>
    <row r="148" spans="1:12" x14ac:dyDescent="0.25">
      <c r="A148" t="s">
        <v>10</v>
      </c>
      <c r="B148">
        <v>4.9000000000000002E-2</v>
      </c>
      <c r="C148" s="1"/>
      <c r="D148">
        <v>26.99</v>
      </c>
      <c r="E148">
        <v>983.5</v>
      </c>
      <c r="F148">
        <f t="shared" si="11"/>
        <v>5.6349999999999997E-2</v>
      </c>
      <c r="G148">
        <v>-77.959999999999994</v>
      </c>
      <c r="I148" s="2">
        <v>44789</v>
      </c>
      <c r="J148" s="6">
        <f t="shared" si="10"/>
        <v>74</v>
      </c>
      <c r="K148" t="s">
        <v>19</v>
      </c>
      <c r="L148">
        <v>10</v>
      </c>
    </row>
    <row r="149" spans="1:12" x14ac:dyDescent="0.25">
      <c r="A149" t="s">
        <v>11</v>
      </c>
      <c r="B149">
        <v>4.7E-2</v>
      </c>
      <c r="C149" s="1"/>
      <c r="D149">
        <v>27.25</v>
      </c>
      <c r="E149">
        <v>1035</v>
      </c>
      <c r="F149">
        <f t="shared" si="11"/>
        <v>5.4049999999999994E-2</v>
      </c>
      <c r="G149">
        <v>-76.540000000000006</v>
      </c>
      <c r="I149" s="2">
        <v>44789</v>
      </c>
      <c r="J149" s="6">
        <f t="shared" si="10"/>
        <v>74</v>
      </c>
      <c r="K149" t="s">
        <v>19</v>
      </c>
      <c r="L149">
        <v>10</v>
      </c>
    </row>
    <row r="150" spans="1:12" x14ac:dyDescent="0.25">
      <c r="A150" t="s">
        <v>12</v>
      </c>
      <c r="B150">
        <v>4.8000000000000001E-2</v>
      </c>
      <c r="C150" s="1"/>
      <c r="D150">
        <v>242.5</v>
      </c>
      <c r="E150">
        <v>2069</v>
      </c>
      <c r="F150">
        <f t="shared" si="11"/>
        <v>5.5199999999999999E-2</v>
      </c>
      <c r="G150">
        <v>-97.62</v>
      </c>
      <c r="I150" s="2">
        <v>44789</v>
      </c>
      <c r="J150" s="6">
        <f t="shared" si="10"/>
        <v>74</v>
      </c>
      <c r="K150" t="s">
        <v>19</v>
      </c>
      <c r="L150">
        <v>20</v>
      </c>
    </row>
    <row r="151" spans="1:12" x14ac:dyDescent="0.25">
      <c r="A151" t="s">
        <v>13</v>
      </c>
      <c r="B151">
        <v>4.9000000000000002E-2</v>
      </c>
      <c r="C151" s="1"/>
      <c r="D151">
        <v>218.9</v>
      </c>
      <c r="E151">
        <v>1830</v>
      </c>
      <c r="F151">
        <f t="shared" si="11"/>
        <v>5.6349999999999997E-2</v>
      </c>
      <c r="G151">
        <v>-98.81</v>
      </c>
      <c r="I151" s="2">
        <v>44789</v>
      </c>
      <c r="J151" s="6">
        <f t="shared" si="10"/>
        <v>74</v>
      </c>
      <c r="K151" t="s">
        <v>19</v>
      </c>
      <c r="L151">
        <v>20</v>
      </c>
    </row>
    <row r="152" spans="1:12" x14ac:dyDescent="0.25">
      <c r="A152" t="s">
        <v>14</v>
      </c>
      <c r="B152">
        <v>0.05</v>
      </c>
      <c r="C152" s="1"/>
      <c r="D152">
        <v>247.2</v>
      </c>
      <c r="E152">
        <v>2000</v>
      </c>
      <c r="F152">
        <f t="shared" si="11"/>
        <v>5.7499999999999996E-2</v>
      </c>
      <c r="G152">
        <v>-98.73</v>
      </c>
      <c r="I152" s="2">
        <v>44789</v>
      </c>
      <c r="J152" s="6">
        <f t="shared" si="10"/>
        <v>74</v>
      </c>
      <c r="K152" t="s">
        <v>19</v>
      </c>
      <c r="L152">
        <v>20</v>
      </c>
    </row>
    <row r="153" spans="1:12" x14ac:dyDescent="0.25">
      <c r="A153" t="s">
        <v>15</v>
      </c>
      <c r="B153">
        <v>4.7E-2</v>
      </c>
      <c r="C153" s="1"/>
      <c r="D153">
        <v>247.6</v>
      </c>
      <c r="E153">
        <v>2065</v>
      </c>
      <c r="F153">
        <f t="shared" si="11"/>
        <v>5.4049999999999994E-2</v>
      </c>
      <c r="G153">
        <v>-95</v>
      </c>
      <c r="I153" s="2">
        <v>44789</v>
      </c>
      <c r="J153" s="6">
        <f t="shared" si="10"/>
        <v>74</v>
      </c>
      <c r="K153" t="s">
        <v>19</v>
      </c>
      <c r="L153">
        <v>20</v>
      </c>
    </row>
    <row r="154" spans="1:12" x14ac:dyDescent="0.25">
      <c r="A154" t="s">
        <v>21</v>
      </c>
      <c r="B154">
        <v>0</v>
      </c>
      <c r="F154">
        <f t="shared" si="11"/>
        <v>0</v>
      </c>
      <c r="I154" s="2">
        <v>44789</v>
      </c>
      <c r="J154" s="6">
        <f t="shared" si="10"/>
        <v>74</v>
      </c>
      <c r="K154" t="s">
        <v>19</v>
      </c>
      <c r="L154">
        <v>20</v>
      </c>
    </row>
    <row r="155" spans="1:12" x14ac:dyDescent="0.25">
      <c r="A155" t="s">
        <v>0</v>
      </c>
      <c r="B155">
        <v>5.0999999999999997E-2</v>
      </c>
      <c r="C155" s="1">
        <v>7.03</v>
      </c>
      <c r="D155">
        <v>12.77</v>
      </c>
      <c r="E155">
        <v>122.1</v>
      </c>
      <c r="F155">
        <f>B155*1.15</f>
        <v>5.8649999999999994E-2</v>
      </c>
      <c r="G155">
        <v>-73</v>
      </c>
      <c r="I155" s="2">
        <v>44803</v>
      </c>
      <c r="J155" s="6">
        <f t="shared" si="10"/>
        <v>88</v>
      </c>
      <c r="K155" t="s">
        <v>18</v>
      </c>
      <c r="L155">
        <v>10</v>
      </c>
    </row>
    <row r="156" spans="1:12" x14ac:dyDescent="0.25">
      <c r="A156" t="s">
        <v>1</v>
      </c>
      <c r="B156">
        <v>0.05</v>
      </c>
      <c r="C156" s="1"/>
      <c r="D156">
        <v>13.52</v>
      </c>
      <c r="E156">
        <v>129.19999999999999</v>
      </c>
      <c r="F156">
        <f>B156*1.15-F171</f>
        <v>5.7499999999999996E-2</v>
      </c>
      <c r="G156">
        <v>-73.34</v>
      </c>
      <c r="I156" s="2">
        <v>44803</v>
      </c>
      <c r="J156" s="6">
        <f t="shared" si="10"/>
        <v>88</v>
      </c>
      <c r="K156" t="s">
        <v>18</v>
      </c>
      <c r="L156">
        <v>10</v>
      </c>
    </row>
    <row r="157" spans="1:12" x14ac:dyDescent="0.25">
      <c r="A157" t="s">
        <v>2</v>
      </c>
      <c r="B157">
        <v>5.1999999999999998E-2</v>
      </c>
      <c r="C157" s="1"/>
      <c r="D157">
        <v>14.99</v>
      </c>
      <c r="E157">
        <v>117.2</v>
      </c>
      <c r="F157">
        <f t="shared" ref="F157:F171" si="12">B157*1.15</f>
        <v>5.9799999999999992E-2</v>
      </c>
      <c r="G157">
        <v>-71.709999999999994</v>
      </c>
      <c r="I157" s="2">
        <v>44803</v>
      </c>
      <c r="J157" s="6">
        <f t="shared" si="10"/>
        <v>88</v>
      </c>
      <c r="K157" t="s">
        <v>18</v>
      </c>
      <c r="L157">
        <v>10</v>
      </c>
    </row>
    <row r="158" spans="1:12" x14ac:dyDescent="0.25">
      <c r="A158" t="s">
        <v>3</v>
      </c>
      <c r="B158">
        <v>5.1999999999999998E-2</v>
      </c>
      <c r="C158" s="1"/>
      <c r="D158">
        <v>15.05</v>
      </c>
      <c r="E158">
        <v>120.2</v>
      </c>
      <c r="F158">
        <f t="shared" si="12"/>
        <v>5.9799999999999992E-2</v>
      </c>
      <c r="G158">
        <v>-72.319999999999993</v>
      </c>
      <c r="I158" s="2">
        <v>44803</v>
      </c>
      <c r="J158" s="6">
        <f t="shared" si="10"/>
        <v>88</v>
      </c>
      <c r="K158" t="s">
        <v>18</v>
      </c>
      <c r="L158">
        <v>10</v>
      </c>
    </row>
    <row r="159" spans="1:12" x14ac:dyDescent="0.25">
      <c r="A159" t="s">
        <v>4</v>
      </c>
      <c r="B159">
        <v>5.3999999999999999E-2</v>
      </c>
      <c r="C159" s="1"/>
      <c r="D159">
        <v>88.77</v>
      </c>
      <c r="E159">
        <v>181</v>
      </c>
      <c r="F159">
        <f t="shared" si="12"/>
        <v>6.2099999999999995E-2</v>
      </c>
      <c r="G159">
        <v>-86.2</v>
      </c>
      <c r="I159" s="2">
        <v>44803</v>
      </c>
      <c r="J159" s="6">
        <f t="shared" si="10"/>
        <v>88</v>
      </c>
      <c r="K159" t="s">
        <v>18</v>
      </c>
      <c r="L159">
        <v>20</v>
      </c>
    </row>
    <row r="160" spans="1:12" x14ac:dyDescent="0.25">
      <c r="A160" t="s">
        <v>5</v>
      </c>
      <c r="B160">
        <v>5.2999999999999999E-2</v>
      </c>
      <c r="C160" s="1"/>
      <c r="D160">
        <v>67.87</v>
      </c>
      <c r="E160">
        <v>166</v>
      </c>
      <c r="F160">
        <f t="shared" si="12"/>
        <v>6.094999999999999E-2</v>
      </c>
      <c r="G160">
        <v>-84.57</v>
      </c>
      <c r="I160" s="2">
        <v>44803</v>
      </c>
      <c r="J160" s="6">
        <f t="shared" si="10"/>
        <v>88</v>
      </c>
      <c r="K160" t="s">
        <v>18</v>
      </c>
      <c r="L160">
        <v>20</v>
      </c>
    </row>
    <row r="161" spans="1:12" x14ac:dyDescent="0.25">
      <c r="A161" t="s">
        <v>6</v>
      </c>
      <c r="B161">
        <v>5.6000000000000001E-2</v>
      </c>
      <c r="C161" s="1"/>
      <c r="D161">
        <v>80.64</v>
      </c>
      <c r="E161">
        <v>159.5</v>
      </c>
      <c r="F161">
        <f t="shared" si="12"/>
        <v>6.4399999999999999E-2</v>
      </c>
      <c r="G161">
        <v>-85.77</v>
      </c>
      <c r="I161" s="2">
        <v>44803</v>
      </c>
      <c r="J161" s="6">
        <f t="shared" si="10"/>
        <v>88</v>
      </c>
      <c r="K161" t="s">
        <v>18</v>
      </c>
      <c r="L161">
        <v>20</v>
      </c>
    </row>
    <row r="162" spans="1:12" x14ac:dyDescent="0.25">
      <c r="A162" t="s">
        <v>7</v>
      </c>
      <c r="B162">
        <v>5.6000000000000001E-2</v>
      </c>
      <c r="C162" s="1"/>
      <c r="D162">
        <v>71.540000000000006</v>
      </c>
      <c r="E162">
        <v>177.8</v>
      </c>
      <c r="F162">
        <f t="shared" si="12"/>
        <v>6.4399999999999999E-2</v>
      </c>
      <c r="G162">
        <v>-83.82</v>
      </c>
      <c r="I162" s="2">
        <v>44803</v>
      </c>
      <c r="J162" s="6">
        <f t="shared" si="10"/>
        <v>88</v>
      </c>
      <c r="K162" t="s">
        <v>18</v>
      </c>
      <c r="L162">
        <v>20</v>
      </c>
    </row>
    <row r="163" spans="1:12" x14ac:dyDescent="0.25">
      <c r="A163" t="s">
        <v>8</v>
      </c>
      <c r="B163">
        <v>5.0999999999999997E-2</v>
      </c>
      <c r="C163" s="1"/>
      <c r="D163">
        <v>34</v>
      </c>
      <c r="E163">
        <v>1054.7</v>
      </c>
      <c r="F163">
        <f t="shared" si="12"/>
        <v>5.8649999999999994E-2</v>
      </c>
      <c r="G163">
        <v>-84.05</v>
      </c>
      <c r="I163" s="2">
        <v>44803</v>
      </c>
      <c r="J163" s="6">
        <f t="shared" si="10"/>
        <v>88</v>
      </c>
      <c r="K163" t="s">
        <v>19</v>
      </c>
      <c r="L163">
        <v>10</v>
      </c>
    </row>
    <row r="164" spans="1:12" x14ac:dyDescent="0.25">
      <c r="A164" t="s">
        <v>9</v>
      </c>
      <c r="B164">
        <v>4.8000000000000001E-2</v>
      </c>
      <c r="C164" s="1"/>
      <c r="D164">
        <v>37.04</v>
      </c>
      <c r="E164">
        <v>1028</v>
      </c>
      <c r="F164">
        <f t="shared" si="12"/>
        <v>5.5199999999999999E-2</v>
      </c>
      <c r="G164">
        <v>-84.65</v>
      </c>
      <c r="I164" s="2">
        <v>44803</v>
      </c>
      <c r="J164" s="6">
        <f t="shared" si="10"/>
        <v>88</v>
      </c>
      <c r="K164" t="s">
        <v>19</v>
      </c>
      <c r="L164">
        <v>10</v>
      </c>
    </row>
    <row r="165" spans="1:12" x14ac:dyDescent="0.25">
      <c r="A165" t="s">
        <v>10</v>
      </c>
      <c r="B165">
        <v>4.9000000000000002E-2</v>
      </c>
      <c r="C165" s="1"/>
      <c r="D165">
        <v>30.8</v>
      </c>
      <c r="E165">
        <v>1010</v>
      </c>
      <c r="F165">
        <f t="shared" si="12"/>
        <v>5.6349999999999997E-2</v>
      </c>
      <c r="G165">
        <v>-82.72</v>
      </c>
      <c r="I165" s="2">
        <v>44803</v>
      </c>
      <c r="J165" s="6">
        <f t="shared" si="10"/>
        <v>88</v>
      </c>
      <c r="K165" t="s">
        <v>19</v>
      </c>
      <c r="L165">
        <v>10</v>
      </c>
    </row>
    <row r="166" spans="1:12" x14ac:dyDescent="0.25">
      <c r="A166" t="s">
        <v>11</v>
      </c>
      <c r="B166">
        <v>4.7E-2</v>
      </c>
      <c r="C166" s="1"/>
      <c r="D166">
        <v>30.62</v>
      </c>
      <c r="E166">
        <v>1053</v>
      </c>
      <c r="F166">
        <f t="shared" si="12"/>
        <v>5.4049999999999994E-2</v>
      </c>
      <c r="G166">
        <v>-81.41</v>
      </c>
      <c r="I166" s="2">
        <v>44803</v>
      </c>
      <c r="J166" s="6">
        <f t="shared" si="10"/>
        <v>88</v>
      </c>
      <c r="K166" t="s">
        <v>19</v>
      </c>
      <c r="L166">
        <v>10</v>
      </c>
    </row>
    <row r="167" spans="1:12" x14ac:dyDescent="0.25">
      <c r="A167" t="s">
        <v>12</v>
      </c>
      <c r="B167">
        <v>4.8000000000000001E-2</v>
      </c>
      <c r="C167" s="1"/>
      <c r="D167">
        <v>375.04199999999997</v>
      </c>
      <c r="E167">
        <v>1984</v>
      </c>
      <c r="F167">
        <f t="shared" si="12"/>
        <v>5.5199999999999999E-2</v>
      </c>
      <c r="G167">
        <v>-95.52</v>
      </c>
      <c r="I167" s="2">
        <v>44803</v>
      </c>
      <c r="J167" s="6">
        <f t="shared" si="10"/>
        <v>88</v>
      </c>
      <c r="K167" t="s">
        <v>19</v>
      </c>
      <c r="L167">
        <v>20</v>
      </c>
    </row>
    <row r="168" spans="1:12" x14ac:dyDescent="0.25">
      <c r="A168" t="s">
        <v>13</v>
      </c>
      <c r="B168">
        <v>4.9000000000000002E-2</v>
      </c>
      <c r="C168" s="1"/>
      <c r="D168">
        <v>385</v>
      </c>
      <c r="E168">
        <v>1959</v>
      </c>
      <c r="F168">
        <f t="shared" si="12"/>
        <v>5.6349999999999997E-2</v>
      </c>
      <c r="G168">
        <v>-96.79</v>
      </c>
      <c r="I168" s="2">
        <v>44803</v>
      </c>
      <c r="J168" s="6">
        <f t="shared" si="10"/>
        <v>88</v>
      </c>
      <c r="K168" t="s">
        <v>19</v>
      </c>
      <c r="L168">
        <v>20</v>
      </c>
    </row>
    <row r="169" spans="1:12" x14ac:dyDescent="0.25">
      <c r="A169" t="s">
        <v>14</v>
      </c>
      <c r="B169">
        <v>0.05</v>
      </c>
      <c r="C169" s="1"/>
      <c r="D169">
        <v>391.6</v>
      </c>
      <c r="E169">
        <v>2016</v>
      </c>
      <c r="F169">
        <f t="shared" si="12"/>
        <v>5.7499999999999996E-2</v>
      </c>
      <c r="G169">
        <v>-96.86</v>
      </c>
      <c r="I169" s="2">
        <v>44803</v>
      </c>
      <c r="J169" s="6">
        <f t="shared" si="10"/>
        <v>88</v>
      </c>
      <c r="K169" t="s">
        <v>19</v>
      </c>
      <c r="L169">
        <v>20</v>
      </c>
    </row>
    <row r="170" spans="1:12" x14ac:dyDescent="0.25">
      <c r="A170" t="s">
        <v>15</v>
      </c>
      <c r="B170">
        <v>4.7E-2</v>
      </c>
      <c r="C170" s="1"/>
      <c r="D170" s="4">
        <v>247.9</v>
      </c>
      <c r="E170" s="4">
        <v>1530</v>
      </c>
      <c r="F170">
        <f t="shared" si="12"/>
        <v>5.4049999999999994E-2</v>
      </c>
      <c r="G170" s="4">
        <v>-89.78</v>
      </c>
      <c r="H170" s="4"/>
      <c r="I170" s="2">
        <v>44803</v>
      </c>
      <c r="J170" s="6">
        <f t="shared" si="10"/>
        <v>88</v>
      </c>
      <c r="K170" t="s">
        <v>19</v>
      </c>
      <c r="L170">
        <v>20</v>
      </c>
    </row>
    <row r="171" spans="1:12" x14ac:dyDescent="0.25">
      <c r="A171" t="s">
        <v>21</v>
      </c>
      <c r="B171">
        <v>0</v>
      </c>
      <c r="F171">
        <f t="shared" si="12"/>
        <v>0</v>
      </c>
      <c r="I171" s="2">
        <v>44803</v>
      </c>
      <c r="J171" s="6">
        <f t="shared" si="10"/>
        <v>88</v>
      </c>
      <c r="K171" t="s">
        <v>19</v>
      </c>
      <c r="L171">
        <v>20</v>
      </c>
    </row>
    <row r="172" spans="1:12" x14ac:dyDescent="0.25">
      <c r="A172" t="s">
        <v>0</v>
      </c>
      <c r="B172">
        <v>7.9000000000000001E-2</v>
      </c>
      <c r="C172">
        <v>0.35069444444444442</v>
      </c>
      <c r="D172">
        <v>14.15</v>
      </c>
      <c r="E172">
        <v>110</v>
      </c>
      <c r="F172">
        <v>7.3878627968337732E-2</v>
      </c>
      <c r="G172">
        <v>-76.86</v>
      </c>
      <c r="I172" s="2">
        <v>44830</v>
      </c>
      <c r="J172" s="6">
        <f t="shared" si="10"/>
        <v>115</v>
      </c>
      <c r="K172" t="s">
        <v>18</v>
      </c>
      <c r="L172">
        <v>10</v>
      </c>
    </row>
    <row r="173" spans="1:12" x14ac:dyDescent="0.25">
      <c r="A173" t="s">
        <v>1</v>
      </c>
      <c r="B173">
        <v>7.5999999999999998E-2</v>
      </c>
      <c r="D173">
        <v>15.63</v>
      </c>
      <c r="E173">
        <v>125.4</v>
      </c>
      <c r="F173">
        <v>7.0712401055408977E-2</v>
      </c>
      <c r="G173">
        <v>-77</v>
      </c>
      <c r="I173" s="2">
        <v>44830</v>
      </c>
      <c r="J173" s="6">
        <f t="shared" si="10"/>
        <v>115</v>
      </c>
      <c r="K173" t="s">
        <v>18</v>
      </c>
      <c r="L173">
        <v>10</v>
      </c>
    </row>
    <row r="174" spans="1:12" x14ac:dyDescent="0.25">
      <c r="A174" t="s">
        <v>2</v>
      </c>
      <c r="B174">
        <v>7.8E-2</v>
      </c>
      <c r="D174">
        <v>13.9</v>
      </c>
      <c r="E174">
        <v>125</v>
      </c>
      <c r="F174">
        <v>7.282321899736148E-2</v>
      </c>
      <c r="G174">
        <v>-73.7</v>
      </c>
      <c r="I174" s="2">
        <v>44830</v>
      </c>
      <c r="J174" s="6">
        <f t="shared" si="10"/>
        <v>115</v>
      </c>
      <c r="K174" t="s">
        <v>18</v>
      </c>
      <c r="L174">
        <v>10</v>
      </c>
    </row>
    <row r="175" spans="1:12" x14ac:dyDescent="0.25">
      <c r="A175" t="s">
        <v>3</v>
      </c>
      <c r="B175">
        <v>7.5999999999999998E-2</v>
      </c>
      <c r="D175">
        <v>14.75</v>
      </c>
      <c r="E175">
        <v>110</v>
      </c>
      <c r="F175">
        <v>7.0712401055408977E-2</v>
      </c>
      <c r="G175">
        <v>-76.13</v>
      </c>
      <c r="I175" s="2">
        <v>44830</v>
      </c>
      <c r="J175" s="6">
        <f t="shared" si="10"/>
        <v>115</v>
      </c>
      <c r="K175" t="s">
        <v>18</v>
      </c>
      <c r="L175">
        <v>10</v>
      </c>
    </row>
    <row r="176" spans="1:12" x14ac:dyDescent="0.25">
      <c r="A176" t="s">
        <v>4</v>
      </c>
      <c r="B176">
        <v>7.5999999999999998E-2</v>
      </c>
      <c r="D176">
        <v>260</v>
      </c>
      <c r="E176">
        <v>246</v>
      </c>
      <c r="F176">
        <v>7.0712401055408977E-2</v>
      </c>
      <c r="G176">
        <v>-88.5</v>
      </c>
      <c r="I176" s="2">
        <v>44830</v>
      </c>
      <c r="J176" s="6">
        <f t="shared" si="10"/>
        <v>115</v>
      </c>
      <c r="K176" t="s">
        <v>18</v>
      </c>
      <c r="L176">
        <v>20</v>
      </c>
    </row>
    <row r="177" spans="1:12" x14ac:dyDescent="0.25">
      <c r="A177" t="s">
        <v>5</v>
      </c>
      <c r="B177">
        <v>7.6999999999999999E-2</v>
      </c>
      <c r="D177">
        <v>197</v>
      </c>
      <c r="E177">
        <v>220</v>
      </c>
      <c r="F177">
        <v>7.1767810026385229E-2</v>
      </c>
      <c r="G177">
        <v>-87.27</v>
      </c>
      <c r="I177" s="2">
        <v>44830</v>
      </c>
      <c r="J177" s="6">
        <f t="shared" si="10"/>
        <v>115</v>
      </c>
      <c r="K177" t="s">
        <v>18</v>
      </c>
      <c r="L177">
        <v>20</v>
      </c>
    </row>
    <row r="178" spans="1:12" x14ac:dyDescent="0.25">
      <c r="A178" t="s">
        <v>6</v>
      </c>
      <c r="B178">
        <v>7.6999999999999999E-2</v>
      </c>
      <c r="D178">
        <v>258</v>
      </c>
      <c r="E178">
        <v>232</v>
      </c>
      <c r="F178">
        <v>7.1767810026385229E-2</v>
      </c>
      <c r="G178">
        <v>-88.65</v>
      </c>
      <c r="I178" s="2">
        <v>44830</v>
      </c>
      <c r="J178" s="6">
        <f t="shared" si="10"/>
        <v>115</v>
      </c>
      <c r="K178" t="s">
        <v>18</v>
      </c>
      <c r="L178">
        <v>20</v>
      </c>
    </row>
    <row r="179" spans="1:12" x14ac:dyDescent="0.25">
      <c r="A179" t="s">
        <v>7</v>
      </c>
      <c r="B179">
        <v>7.1999999999999995E-2</v>
      </c>
      <c r="D179">
        <v>212.9</v>
      </c>
      <c r="E179">
        <v>249.6</v>
      </c>
      <c r="F179">
        <v>6.6490765171503957E-2</v>
      </c>
      <c r="G179">
        <v>-87.19</v>
      </c>
      <c r="I179" s="2">
        <v>44830</v>
      </c>
      <c r="J179" s="6">
        <f t="shared" si="10"/>
        <v>115</v>
      </c>
      <c r="K179" t="s">
        <v>18</v>
      </c>
      <c r="L179">
        <v>20</v>
      </c>
    </row>
    <row r="180" spans="1:12" x14ac:dyDescent="0.25">
      <c r="A180" t="s">
        <v>8</v>
      </c>
      <c r="B180">
        <v>7.6999999999999999E-2</v>
      </c>
      <c r="D180">
        <v>38</v>
      </c>
      <c r="E180">
        <v>1130</v>
      </c>
      <c r="F180">
        <v>7.1767810026385229E-2</v>
      </c>
      <c r="G180">
        <v>-88.75</v>
      </c>
      <c r="I180" s="2">
        <v>44830</v>
      </c>
      <c r="J180" s="6">
        <f t="shared" si="10"/>
        <v>115</v>
      </c>
      <c r="K180" t="s">
        <v>19</v>
      </c>
      <c r="L180">
        <v>10</v>
      </c>
    </row>
    <row r="181" spans="1:12" x14ac:dyDescent="0.25">
      <c r="A181" t="s">
        <v>9</v>
      </c>
      <c r="B181">
        <v>7.1999999999999995E-2</v>
      </c>
      <c r="D181">
        <v>39</v>
      </c>
      <c r="E181">
        <v>1186</v>
      </c>
      <c r="F181">
        <v>6.6490765171503957E-2</v>
      </c>
      <c r="G181">
        <v>-88.71</v>
      </c>
      <c r="I181" s="2">
        <v>44830</v>
      </c>
      <c r="J181" s="6">
        <f t="shared" si="10"/>
        <v>115</v>
      </c>
      <c r="K181" t="s">
        <v>19</v>
      </c>
      <c r="L181">
        <v>10</v>
      </c>
    </row>
    <row r="182" spans="1:12" x14ac:dyDescent="0.25">
      <c r="A182" t="s">
        <v>10</v>
      </c>
      <c r="B182">
        <v>7.0999999999999994E-2</v>
      </c>
      <c r="D182">
        <v>35.29</v>
      </c>
      <c r="E182">
        <v>1080</v>
      </c>
      <c r="F182">
        <v>6.5435356200527692E-2</v>
      </c>
      <c r="G182">
        <v>-88</v>
      </c>
      <c r="I182" s="2">
        <v>44830</v>
      </c>
      <c r="J182" s="6">
        <f t="shared" si="10"/>
        <v>115</v>
      </c>
      <c r="K182" t="s">
        <v>19</v>
      </c>
      <c r="L182">
        <v>10</v>
      </c>
    </row>
    <row r="183" spans="1:12" x14ac:dyDescent="0.25">
      <c r="A183" t="s">
        <v>11</v>
      </c>
      <c r="B183">
        <v>6.8999999999999992E-2</v>
      </c>
      <c r="D183">
        <v>34.58</v>
      </c>
      <c r="E183">
        <v>1150</v>
      </c>
      <c r="F183">
        <v>6.3324538258575189E-2</v>
      </c>
      <c r="G183">
        <v>-85.92</v>
      </c>
      <c r="I183" s="2">
        <v>44830</v>
      </c>
      <c r="J183" s="6">
        <f t="shared" si="10"/>
        <v>115</v>
      </c>
      <c r="K183" t="s">
        <v>19</v>
      </c>
      <c r="L183">
        <v>10</v>
      </c>
    </row>
    <row r="184" spans="1:12" x14ac:dyDescent="0.25">
      <c r="A184" t="s">
        <v>12</v>
      </c>
      <c r="B184">
        <v>6.9999999999999993E-2</v>
      </c>
      <c r="D184">
        <v>936</v>
      </c>
      <c r="E184">
        <v>1465</v>
      </c>
      <c r="F184">
        <v>6.437994722955144E-2</v>
      </c>
      <c r="G184">
        <v>-85.4</v>
      </c>
      <c r="I184" s="2">
        <v>44830</v>
      </c>
      <c r="J184" s="6">
        <f t="shared" si="10"/>
        <v>115</v>
      </c>
      <c r="K184" t="s">
        <v>19</v>
      </c>
      <c r="L184">
        <v>20</v>
      </c>
    </row>
    <row r="185" spans="1:12" x14ac:dyDescent="0.25">
      <c r="A185" t="s">
        <v>13</v>
      </c>
      <c r="B185">
        <v>7.0999999999999994E-2</v>
      </c>
      <c r="D185">
        <v>826</v>
      </c>
      <c r="E185">
        <v>1403</v>
      </c>
      <c r="F185">
        <v>6.5435356200527692E-2</v>
      </c>
      <c r="G185">
        <v>-82.98</v>
      </c>
      <c r="H185">
        <v>-8.7899999999999991</v>
      </c>
      <c r="I185" s="2">
        <v>44830</v>
      </c>
      <c r="J185" s="6">
        <f t="shared" si="10"/>
        <v>115</v>
      </c>
      <c r="K185" t="s">
        <v>19</v>
      </c>
      <c r="L185">
        <v>20</v>
      </c>
    </row>
    <row r="186" spans="1:12" x14ac:dyDescent="0.25">
      <c r="A186" t="s">
        <v>14</v>
      </c>
      <c r="B186">
        <v>7.0999999999999994E-2</v>
      </c>
      <c r="D186">
        <v>712</v>
      </c>
      <c r="E186">
        <v>1784</v>
      </c>
      <c r="F186">
        <v>6.5435356200527692E-2</v>
      </c>
      <c r="G186">
        <v>-90.34</v>
      </c>
      <c r="H186">
        <v>-13.46</v>
      </c>
      <c r="I186" s="2">
        <v>44830</v>
      </c>
      <c r="J186" s="6">
        <f t="shared" si="10"/>
        <v>115</v>
      </c>
      <c r="K186" t="s">
        <v>19</v>
      </c>
      <c r="L186">
        <v>20</v>
      </c>
    </row>
    <row r="187" spans="1:12" x14ac:dyDescent="0.25">
      <c r="A187" t="s">
        <v>15</v>
      </c>
      <c r="B187">
        <v>6.4000000000000001E-2</v>
      </c>
      <c r="D187">
        <v>848</v>
      </c>
      <c r="E187">
        <v>1520</v>
      </c>
      <c r="F187">
        <v>5.8047493403693931E-2</v>
      </c>
      <c r="G187">
        <v>-79</v>
      </c>
      <c r="H187">
        <v>-7.63</v>
      </c>
      <c r="I187" s="2">
        <v>44830</v>
      </c>
      <c r="J187" s="6">
        <f t="shared" si="10"/>
        <v>115</v>
      </c>
      <c r="K187" t="s">
        <v>19</v>
      </c>
      <c r="L187">
        <v>20</v>
      </c>
    </row>
    <row r="188" spans="1:12" x14ac:dyDescent="0.25">
      <c r="A188" t="s">
        <v>21</v>
      </c>
      <c r="B188">
        <v>0</v>
      </c>
      <c r="F188">
        <v>0</v>
      </c>
      <c r="I188" s="2">
        <v>44830</v>
      </c>
      <c r="J188" s="6">
        <f t="shared" si="10"/>
        <v>115</v>
      </c>
      <c r="K188" t="s">
        <v>19</v>
      </c>
      <c r="L188">
        <v>20</v>
      </c>
    </row>
    <row r="189" spans="1:12" x14ac:dyDescent="0.25">
      <c r="A189" t="s">
        <v>0</v>
      </c>
      <c r="B189">
        <v>7.2999999999999995E-2</v>
      </c>
      <c r="C189" s="1"/>
      <c r="D189">
        <v>13.78</v>
      </c>
      <c r="E189">
        <v>112.3</v>
      </c>
      <c r="F189">
        <f>(B189-0.009)/0.9475</f>
        <v>6.7546174142480209E-2</v>
      </c>
      <c r="G189">
        <v>-78.11</v>
      </c>
      <c r="I189" s="2">
        <v>44838</v>
      </c>
      <c r="J189" s="6">
        <f t="shared" si="10"/>
        <v>123</v>
      </c>
      <c r="K189" t="s">
        <v>18</v>
      </c>
      <c r="L189">
        <v>10</v>
      </c>
    </row>
    <row r="190" spans="1:12" x14ac:dyDescent="0.25">
      <c r="A190" t="s">
        <v>1</v>
      </c>
      <c r="B190">
        <v>7.2999999999999995E-2</v>
      </c>
      <c r="C190" s="1"/>
      <c r="D190">
        <v>14.12</v>
      </c>
      <c r="E190">
        <v>119.8</v>
      </c>
      <c r="F190">
        <f t="shared" ref="F190:F204" si="13">(B190-0.009)/0.9475</f>
        <v>6.7546174142480209E-2</v>
      </c>
      <c r="G190">
        <v>-78.760000000000005</v>
      </c>
      <c r="I190" s="2">
        <v>44838</v>
      </c>
      <c r="J190" s="6">
        <f t="shared" si="10"/>
        <v>123</v>
      </c>
      <c r="K190" t="s">
        <v>18</v>
      </c>
      <c r="L190">
        <v>10</v>
      </c>
    </row>
    <row r="191" spans="1:12" x14ac:dyDescent="0.25">
      <c r="A191" t="s">
        <v>2</v>
      </c>
      <c r="B191">
        <v>7.4999999999999997E-2</v>
      </c>
      <c r="C191" s="1"/>
      <c r="D191">
        <v>13.19</v>
      </c>
      <c r="E191">
        <v>105.2</v>
      </c>
      <c r="F191">
        <f t="shared" si="13"/>
        <v>6.9656992084432726E-2</v>
      </c>
      <c r="G191">
        <v>-76.8</v>
      </c>
      <c r="I191" s="2">
        <v>44838</v>
      </c>
      <c r="J191" s="6">
        <f t="shared" si="10"/>
        <v>123</v>
      </c>
      <c r="K191" t="s">
        <v>18</v>
      </c>
      <c r="L191">
        <v>10</v>
      </c>
    </row>
    <row r="192" spans="1:12" x14ac:dyDescent="0.25">
      <c r="A192" t="s">
        <v>3</v>
      </c>
      <c r="B192">
        <v>7.2999999999999995E-2</v>
      </c>
      <c r="C192" s="1"/>
      <c r="D192">
        <v>13.58</v>
      </c>
      <c r="E192">
        <v>106.2</v>
      </c>
      <c r="F192">
        <f t="shared" si="13"/>
        <v>6.7546174142480209E-2</v>
      </c>
      <c r="G192">
        <v>-77.27</v>
      </c>
      <c r="I192" s="2">
        <v>44838</v>
      </c>
      <c r="J192" s="6">
        <f t="shared" si="10"/>
        <v>123</v>
      </c>
      <c r="K192" t="s">
        <v>18</v>
      </c>
      <c r="L192">
        <v>10</v>
      </c>
    </row>
    <row r="193" spans="1:12" x14ac:dyDescent="0.25">
      <c r="A193" t="s">
        <v>4</v>
      </c>
      <c r="B193">
        <v>7.4999999999999997E-2</v>
      </c>
      <c r="C193" s="1"/>
      <c r="D193">
        <v>386.3</v>
      </c>
      <c r="E193">
        <v>288.89999999999998</v>
      </c>
      <c r="F193">
        <f t="shared" si="13"/>
        <v>6.9656992084432726E-2</v>
      </c>
      <c r="G193">
        <v>-87.86</v>
      </c>
      <c r="I193" s="2">
        <v>44838</v>
      </c>
      <c r="J193" s="6">
        <f t="shared" si="10"/>
        <v>123</v>
      </c>
      <c r="K193" t="s">
        <v>18</v>
      </c>
      <c r="L193">
        <v>20</v>
      </c>
    </row>
    <row r="194" spans="1:12" x14ac:dyDescent="0.25">
      <c r="A194" t="s">
        <v>5</v>
      </c>
      <c r="B194">
        <v>7.1999999999999995E-2</v>
      </c>
      <c r="C194" s="1"/>
      <c r="D194">
        <v>294</v>
      </c>
      <c r="E194">
        <v>263.5</v>
      </c>
      <c r="F194">
        <f t="shared" si="13"/>
        <v>6.6490765171503957E-2</v>
      </c>
      <c r="G194">
        <v>-86.54</v>
      </c>
      <c r="I194" s="2">
        <v>44838</v>
      </c>
      <c r="J194" s="6">
        <f t="shared" si="10"/>
        <v>123</v>
      </c>
      <c r="K194" t="s">
        <v>18</v>
      </c>
      <c r="L194">
        <v>20</v>
      </c>
    </row>
    <row r="195" spans="1:12" x14ac:dyDescent="0.25">
      <c r="A195" t="s">
        <v>6</v>
      </c>
      <c r="B195">
        <v>7.6999999999999999E-2</v>
      </c>
      <c r="C195" s="1"/>
      <c r="D195">
        <v>348.2</v>
      </c>
      <c r="E195">
        <v>258.89999999999998</v>
      </c>
      <c r="F195">
        <f t="shared" si="13"/>
        <v>7.1767810026385229E-2</v>
      </c>
      <c r="G195">
        <v>-87.21</v>
      </c>
      <c r="I195" s="2">
        <v>44838</v>
      </c>
      <c r="J195" s="6">
        <f t="shared" ref="J195:J258" si="14">I195-$I$2+5</f>
        <v>123</v>
      </c>
      <c r="K195" t="s">
        <v>18</v>
      </c>
      <c r="L195">
        <v>20</v>
      </c>
    </row>
    <row r="196" spans="1:12" x14ac:dyDescent="0.25">
      <c r="A196" t="s">
        <v>7</v>
      </c>
      <c r="B196">
        <v>7.6999999999999999E-2</v>
      </c>
      <c r="C196" s="1"/>
      <c r="D196">
        <v>314.7</v>
      </c>
      <c r="E196">
        <v>296.60000000000002</v>
      </c>
      <c r="F196">
        <f t="shared" si="13"/>
        <v>7.1767810026385229E-2</v>
      </c>
      <c r="G196">
        <v>-86.47</v>
      </c>
      <c r="I196" s="2">
        <v>44838</v>
      </c>
      <c r="J196" s="6">
        <f t="shared" si="14"/>
        <v>123</v>
      </c>
      <c r="K196" t="s">
        <v>18</v>
      </c>
      <c r="L196">
        <v>20</v>
      </c>
    </row>
    <row r="197" spans="1:12" x14ac:dyDescent="0.25">
      <c r="A197" t="s">
        <v>8</v>
      </c>
      <c r="B197">
        <v>7.8E-2</v>
      </c>
      <c r="C197" s="1"/>
      <c r="D197">
        <v>33.21</v>
      </c>
      <c r="E197">
        <v>1083</v>
      </c>
      <c r="F197">
        <f t="shared" si="13"/>
        <v>7.282321899736148E-2</v>
      </c>
      <c r="G197">
        <v>-89.56</v>
      </c>
      <c r="H197">
        <v>-20.98</v>
      </c>
      <c r="I197" s="2">
        <v>44838</v>
      </c>
      <c r="J197" s="6">
        <f t="shared" si="14"/>
        <v>123</v>
      </c>
      <c r="K197" t="s">
        <v>19</v>
      </c>
      <c r="L197">
        <v>10</v>
      </c>
    </row>
    <row r="198" spans="1:12" x14ac:dyDescent="0.25">
      <c r="A198" t="s">
        <v>9</v>
      </c>
      <c r="B198">
        <v>7.2999999999999995E-2</v>
      </c>
      <c r="C198" s="1"/>
      <c r="D198">
        <v>35.67</v>
      </c>
      <c r="E198">
        <v>1110</v>
      </c>
      <c r="F198">
        <f t="shared" si="13"/>
        <v>6.7546174142480209E-2</v>
      </c>
      <c r="G198">
        <v>-90.33</v>
      </c>
      <c r="H198">
        <v>-21.42</v>
      </c>
      <c r="I198" s="2">
        <v>44838</v>
      </c>
      <c r="J198" s="6">
        <f t="shared" si="14"/>
        <v>123</v>
      </c>
      <c r="K198" t="s">
        <v>19</v>
      </c>
      <c r="L198">
        <v>10</v>
      </c>
    </row>
    <row r="199" spans="1:12" x14ac:dyDescent="0.25">
      <c r="A199" t="s">
        <v>10</v>
      </c>
      <c r="B199">
        <v>7.3999999999999996E-2</v>
      </c>
      <c r="C199" s="1"/>
      <c r="D199">
        <v>27.73</v>
      </c>
      <c r="E199">
        <v>1008</v>
      </c>
      <c r="F199">
        <f t="shared" si="13"/>
        <v>6.860158311345646E-2</v>
      </c>
      <c r="G199">
        <v>-89.62</v>
      </c>
      <c r="H199">
        <v>-20.5</v>
      </c>
      <c r="I199" s="2">
        <v>44838</v>
      </c>
      <c r="J199" s="6">
        <f t="shared" si="14"/>
        <v>123</v>
      </c>
      <c r="K199" t="s">
        <v>19</v>
      </c>
      <c r="L199">
        <v>10</v>
      </c>
    </row>
    <row r="200" spans="1:12" x14ac:dyDescent="0.25">
      <c r="A200" t="s">
        <v>11</v>
      </c>
      <c r="B200">
        <v>7.0999999999999994E-2</v>
      </c>
      <c r="C200" s="1"/>
      <c r="F200">
        <f t="shared" si="13"/>
        <v>6.5435356200527692E-2</v>
      </c>
      <c r="I200" s="2">
        <v>44838</v>
      </c>
      <c r="J200" s="6">
        <f t="shared" si="14"/>
        <v>123</v>
      </c>
      <c r="K200" t="s">
        <v>19</v>
      </c>
      <c r="L200">
        <v>10</v>
      </c>
    </row>
    <row r="201" spans="1:12" x14ac:dyDescent="0.25">
      <c r="A201" t="s">
        <v>12</v>
      </c>
      <c r="B201">
        <v>7.1999999999999995E-2</v>
      </c>
      <c r="C201" s="1"/>
      <c r="F201">
        <f t="shared" si="13"/>
        <v>6.6490765171503957E-2</v>
      </c>
      <c r="I201" s="2">
        <v>44838</v>
      </c>
      <c r="J201" s="6">
        <f t="shared" si="14"/>
        <v>123</v>
      </c>
      <c r="K201" t="s">
        <v>19</v>
      </c>
      <c r="L201">
        <v>20</v>
      </c>
    </row>
    <row r="202" spans="1:12" x14ac:dyDescent="0.25">
      <c r="A202" t="s">
        <v>13</v>
      </c>
      <c r="B202">
        <v>7.3999999999999996E-2</v>
      </c>
      <c r="C202" s="1"/>
      <c r="D202">
        <v>954.3</v>
      </c>
      <c r="E202">
        <v>1855</v>
      </c>
      <c r="F202">
        <f t="shared" si="13"/>
        <v>6.860158311345646E-2</v>
      </c>
      <c r="G202">
        <v>-76.28</v>
      </c>
      <c r="H202">
        <v>-6.7539999999999996</v>
      </c>
      <c r="I202" s="2">
        <v>44838</v>
      </c>
      <c r="J202" s="6">
        <f t="shared" si="14"/>
        <v>123</v>
      </c>
      <c r="K202" t="s">
        <v>19</v>
      </c>
      <c r="L202">
        <v>20</v>
      </c>
    </row>
    <row r="203" spans="1:12" x14ac:dyDescent="0.25">
      <c r="A203" t="s">
        <v>14</v>
      </c>
      <c r="B203">
        <v>7.3999999999999996E-2</v>
      </c>
      <c r="C203" s="1"/>
      <c r="D203">
        <v>816.3</v>
      </c>
      <c r="E203">
        <v>1655</v>
      </c>
      <c r="F203">
        <f t="shared" si="13"/>
        <v>6.860158311345646E-2</v>
      </c>
      <c r="G203">
        <v>-78.94</v>
      </c>
      <c r="H203">
        <v>-8.2219999999999995</v>
      </c>
      <c r="I203" s="2">
        <v>44838</v>
      </c>
      <c r="J203" s="6">
        <f t="shared" si="14"/>
        <v>123</v>
      </c>
      <c r="K203" t="s">
        <v>19</v>
      </c>
      <c r="L203">
        <v>20</v>
      </c>
    </row>
    <row r="204" spans="1:12" x14ac:dyDescent="0.25">
      <c r="A204" t="s">
        <v>15</v>
      </c>
      <c r="B204">
        <v>6.9000000000000006E-2</v>
      </c>
      <c r="C204" s="1"/>
      <c r="D204">
        <v>899.1</v>
      </c>
      <c r="E204">
        <v>1850</v>
      </c>
      <c r="F204">
        <f t="shared" si="13"/>
        <v>6.3324538258575203E-2</v>
      </c>
      <c r="G204">
        <v>-73.23</v>
      </c>
      <c r="H204">
        <v>-5.8540000000000001</v>
      </c>
      <c r="I204" s="2">
        <v>44838</v>
      </c>
      <c r="J204" s="6">
        <f t="shared" si="14"/>
        <v>123</v>
      </c>
      <c r="K204" t="s">
        <v>19</v>
      </c>
      <c r="L204">
        <v>20</v>
      </c>
    </row>
    <row r="205" spans="1:12" x14ac:dyDescent="0.25">
      <c r="A205" t="s">
        <v>21</v>
      </c>
      <c r="B205">
        <v>0</v>
      </c>
      <c r="F205">
        <v>0</v>
      </c>
      <c r="I205" s="2">
        <v>44838</v>
      </c>
      <c r="J205" s="6">
        <f t="shared" si="14"/>
        <v>123</v>
      </c>
      <c r="K205" t="s">
        <v>19</v>
      </c>
      <c r="L205">
        <v>20</v>
      </c>
    </row>
    <row r="206" spans="1:12" x14ac:dyDescent="0.25">
      <c r="A206" t="s">
        <v>0</v>
      </c>
      <c r="B206">
        <v>7.2999999999999995E-2</v>
      </c>
      <c r="C206" s="1">
        <v>0.29166666666666669</v>
      </c>
      <c r="D206">
        <v>13.94</v>
      </c>
      <c r="E206">
        <v>102</v>
      </c>
      <c r="F206">
        <f t="shared" ref="F206:F221" si="15">(B206-0.009)/0.9475</f>
        <v>6.7546174142480209E-2</v>
      </c>
      <c r="G206">
        <v>-80.95</v>
      </c>
      <c r="I206" s="2">
        <v>44858</v>
      </c>
      <c r="J206" s="6">
        <f t="shared" si="14"/>
        <v>143</v>
      </c>
      <c r="K206" t="s">
        <v>18</v>
      </c>
      <c r="L206">
        <v>10</v>
      </c>
    </row>
    <row r="207" spans="1:12" x14ac:dyDescent="0.25">
      <c r="A207" t="s">
        <v>1</v>
      </c>
      <c r="B207">
        <v>7.1999999999999995E-2</v>
      </c>
      <c r="C207" s="1"/>
      <c r="D207">
        <v>13.59</v>
      </c>
      <c r="E207">
        <v>113</v>
      </c>
      <c r="F207">
        <f t="shared" si="15"/>
        <v>6.6490765171503957E-2</v>
      </c>
      <c r="G207">
        <v>-81.55</v>
      </c>
      <c r="I207" s="2">
        <v>44858</v>
      </c>
      <c r="J207" s="6">
        <f t="shared" si="14"/>
        <v>143</v>
      </c>
      <c r="K207" t="s">
        <v>18</v>
      </c>
      <c r="L207">
        <v>10</v>
      </c>
    </row>
    <row r="208" spans="1:12" x14ac:dyDescent="0.25">
      <c r="A208" t="s">
        <v>2</v>
      </c>
      <c r="B208">
        <v>7.2999999999999995E-2</v>
      </c>
      <c r="C208" s="1"/>
      <c r="D208">
        <v>14.42</v>
      </c>
      <c r="E208">
        <v>100</v>
      </c>
      <c r="F208">
        <f t="shared" si="15"/>
        <v>6.7546174142480209E-2</v>
      </c>
      <c r="G208">
        <v>-79.349999999999994</v>
      </c>
      <c r="I208" s="2">
        <v>44858</v>
      </c>
      <c r="J208" s="6">
        <f t="shared" si="14"/>
        <v>143</v>
      </c>
      <c r="K208" t="s">
        <v>18</v>
      </c>
      <c r="L208">
        <v>10</v>
      </c>
    </row>
    <row r="209" spans="1:12" x14ac:dyDescent="0.25">
      <c r="A209" t="s">
        <v>3</v>
      </c>
      <c r="B209">
        <v>7.1999999999999995E-2</v>
      </c>
      <c r="C209" s="1"/>
      <c r="D209">
        <v>14.04</v>
      </c>
      <c r="E209">
        <v>98.9</v>
      </c>
      <c r="F209">
        <f t="shared" si="15"/>
        <v>6.6490765171503957E-2</v>
      </c>
      <c r="G209">
        <v>-79.45</v>
      </c>
      <c r="I209" s="2">
        <v>44858</v>
      </c>
      <c r="J209" s="6">
        <f t="shared" si="14"/>
        <v>143</v>
      </c>
      <c r="K209" t="s">
        <v>18</v>
      </c>
      <c r="L209">
        <v>10</v>
      </c>
    </row>
    <row r="210" spans="1:12" x14ac:dyDescent="0.25">
      <c r="A210" t="s">
        <v>4</v>
      </c>
      <c r="B210">
        <v>7.2999999999999995E-2</v>
      </c>
      <c r="C210" s="1"/>
      <c r="D210">
        <v>712.5</v>
      </c>
      <c r="E210">
        <v>423.3</v>
      </c>
      <c r="F210">
        <f t="shared" si="15"/>
        <v>6.7546174142480209E-2</v>
      </c>
      <c r="G210">
        <v>-80.510000000000005</v>
      </c>
      <c r="H210">
        <v>-17.809999999999999</v>
      </c>
      <c r="I210" s="2">
        <v>44858</v>
      </c>
      <c r="J210" s="6">
        <f t="shared" si="14"/>
        <v>143</v>
      </c>
      <c r="K210" t="s">
        <v>18</v>
      </c>
      <c r="L210">
        <v>20</v>
      </c>
    </row>
    <row r="211" spans="1:12" x14ac:dyDescent="0.25">
      <c r="A211" t="s">
        <v>5</v>
      </c>
      <c r="B211">
        <v>7.4999999999999997E-2</v>
      </c>
      <c r="C211" s="1"/>
      <c r="D211">
        <v>555.1</v>
      </c>
      <c r="E211">
        <v>380.1</v>
      </c>
      <c r="F211">
        <f t="shared" si="15"/>
        <v>6.9656992084432726E-2</v>
      </c>
      <c r="G211">
        <v>-80</v>
      </c>
      <c r="H211">
        <v>-19.8</v>
      </c>
      <c r="I211" s="2">
        <v>44858</v>
      </c>
      <c r="J211" s="6">
        <f t="shared" si="14"/>
        <v>143</v>
      </c>
      <c r="K211" t="s">
        <v>18</v>
      </c>
      <c r="L211">
        <v>20</v>
      </c>
    </row>
    <row r="212" spans="1:12" x14ac:dyDescent="0.25">
      <c r="A212" t="s">
        <v>6</v>
      </c>
      <c r="B212">
        <v>7.5999999999999998E-2</v>
      </c>
      <c r="C212" s="1"/>
      <c r="D212">
        <v>677.6</v>
      </c>
      <c r="E212">
        <v>400.5</v>
      </c>
      <c r="F212">
        <f t="shared" si="15"/>
        <v>7.0712401055408977E-2</v>
      </c>
      <c r="G212">
        <v>-80.03</v>
      </c>
      <c r="H212">
        <v>-18.940000000000001</v>
      </c>
      <c r="I212" s="2">
        <v>44858</v>
      </c>
      <c r="J212" s="6">
        <f t="shared" si="14"/>
        <v>143</v>
      </c>
      <c r="K212" t="s">
        <v>18</v>
      </c>
      <c r="L212">
        <v>20</v>
      </c>
    </row>
    <row r="213" spans="1:12" x14ac:dyDescent="0.25">
      <c r="A213" t="s">
        <v>7</v>
      </c>
      <c r="B213">
        <v>7.4999999999999997E-2</v>
      </c>
      <c r="C213" s="1"/>
      <c r="D213">
        <v>574.1</v>
      </c>
      <c r="E213">
        <v>406</v>
      </c>
      <c r="F213">
        <f t="shared" si="15"/>
        <v>6.9656992084432726E-2</v>
      </c>
      <c r="G213">
        <v>-80.53</v>
      </c>
      <c r="H213">
        <v>-18.86</v>
      </c>
      <c r="I213" s="2">
        <v>44858</v>
      </c>
      <c r="J213" s="6">
        <f t="shared" si="14"/>
        <v>143</v>
      </c>
      <c r="K213" t="s">
        <v>18</v>
      </c>
      <c r="L213">
        <v>20</v>
      </c>
    </row>
    <row r="214" spans="1:12" x14ac:dyDescent="0.25">
      <c r="A214" t="s">
        <v>8</v>
      </c>
      <c r="B214">
        <v>7.5999999999999998E-2</v>
      </c>
      <c r="C214" s="1"/>
      <c r="D214">
        <v>39.47</v>
      </c>
      <c r="E214">
        <v>1195</v>
      </c>
      <c r="F214">
        <f t="shared" si="15"/>
        <v>7.0712401055408977E-2</v>
      </c>
      <c r="G214">
        <v>-92.83</v>
      </c>
      <c r="H214">
        <v>-22.23</v>
      </c>
      <c r="I214" s="2">
        <v>44858</v>
      </c>
      <c r="J214" s="6">
        <f t="shared" si="14"/>
        <v>143</v>
      </c>
      <c r="K214" t="s">
        <v>19</v>
      </c>
      <c r="L214">
        <v>10</v>
      </c>
    </row>
    <row r="215" spans="1:12" x14ac:dyDescent="0.25">
      <c r="A215" t="s">
        <v>9</v>
      </c>
      <c r="B215">
        <v>7.0999999999999994E-2</v>
      </c>
      <c r="C215" s="1"/>
      <c r="D215">
        <v>41.89</v>
      </c>
      <c r="E215">
        <v>1178</v>
      </c>
      <c r="F215">
        <f t="shared" si="15"/>
        <v>6.5435356200527692E-2</v>
      </c>
      <c r="G215">
        <v>-93.46</v>
      </c>
      <c r="H215">
        <v>-22.26</v>
      </c>
      <c r="I215" s="2">
        <v>44858</v>
      </c>
      <c r="J215" s="6">
        <f t="shared" si="14"/>
        <v>143</v>
      </c>
      <c r="K215" t="s">
        <v>19</v>
      </c>
      <c r="L215">
        <v>10</v>
      </c>
    </row>
    <row r="216" spans="1:12" x14ac:dyDescent="0.25">
      <c r="A216" t="s">
        <v>10</v>
      </c>
      <c r="B216">
        <v>7.1999999999999995E-2</v>
      </c>
      <c r="C216" s="1"/>
      <c r="D216">
        <v>36.659999999999997</v>
      </c>
      <c r="E216">
        <v>1127</v>
      </c>
      <c r="F216">
        <f t="shared" si="15"/>
        <v>6.6490765171503957E-2</v>
      </c>
      <c r="G216">
        <v>-91.5</v>
      </c>
      <c r="H216">
        <v>-21.75</v>
      </c>
      <c r="I216" s="2">
        <v>44858</v>
      </c>
      <c r="J216" s="6">
        <f t="shared" si="14"/>
        <v>143</v>
      </c>
      <c r="K216" t="s">
        <v>19</v>
      </c>
      <c r="L216">
        <v>10</v>
      </c>
    </row>
    <row r="217" spans="1:12" x14ac:dyDescent="0.25">
      <c r="A217" t="s">
        <v>11</v>
      </c>
      <c r="B217">
        <v>6.9000000000000006E-2</v>
      </c>
      <c r="C217" s="1"/>
      <c r="D217">
        <v>37.5</v>
      </c>
      <c r="E217">
        <v>1296</v>
      </c>
      <c r="F217">
        <f t="shared" si="15"/>
        <v>6.3324538258575203E-2</v>
      </c>
      <c r="G217">
        <v>-87.94</v>
      </c>
      <c r="H217">
        <v>-22.7</v>
      </c>
      <c r="I217" s="2">
        <v>44858</v>
      </c>
      <c r="J217" s="6">
        <f t="shared" si="14"/>
        <v>143</v>
      </c>
      <c r="K217" t="s">
        <v>19</v>
      </c>
      <c r="L217">
        <v>10</v>
      </c>
    </row>
    <row r="218" spans="1:12" x14ac:dyDescent="0.25">
      <c r="A218" t="s">
        <v>12</v>
      </c>
      <c r="B218">
        <v>7.1999999999999995E-2</v>
      </c>
      <c r="C218" s="1"/>
      <c r="D218">
        <v>1153</v>
      </c>
      <c r="E218">
        <v>2050</v>
      </c>
      <c r="F218">
        <f t="shared" si="15"/>
        <v>6.6490765171503957E-2</v>
      </c>
      <c r="G218">
        <v>-82.23</v>
      </c>
      <c r="H218">
        <v>-6.6</v>
      </c>
      <c r="I218" s="2">
        <v>44858</v>
      </c>
      <c r="J218" s="6">
        <f t="shared" si="14"/>
        <v>143</v>
      </c>
      <c r="K218" t="s">
        <v>19</v>
      </c>
      <c r="L218">
        <v>20</v>
      </c>
    </row>
    <row r="219" spans="1:12" x14ac:dyDescent="0.25">
      <c r="A219" t="s">
        <v>13</v>
      </c>
      <c r="B219">
        <v>7.3999999999999996E-2</v>
      </c>
      <c r="C219" s="1"/>
      <c r="F219">
        <f t="shared" si="15"/>
        <v>6.860158311345646E-2</v>
      </c>
      <c r="I219" s="2">
        <v>44858</v>
      </c>
      <c r="J219" s="6">
        <f t="shared" si="14"/>
        <v>143</v>
      </c>
      <c r="K219" t="s">
        <v>19</v>
      </c>
      <c r="L219">
        <v>20</v>
      </c>
    </row>
    <row r="220" spans="1:12" x14ac:dyDescent="0.25">
      <c r="A220" t="s">
        <v>14</v>
      </c>
      <c r="B220">
        <v>8.1000000000000003E-2</v>
      </c>
      <c r="C220" s="1"/>
      <c r="D220">
        <v>874.7</v>
      </c>
      <c r="E220">
        <v>1860</v>
      </c>
      <c r="F220">
        <f t="shared" si="15"/>
        <v>7.5989445910290249E-2</v>
      </c>
      <c r="G220">
        <v>-83.65</v>
      </c>
      <c r="H220">
        <v>-5.8</v>
      </c>
      <c r="I220" s="2">
        <v>44858</v>
      </c>
      <c r="J220" s="6">
        <f t="shared" si="14"/>
        <v>143</v>
      </c>
      <c r="K220" t="s">
        <v>19</v>
      </c>
      <c r="L220">
        <v>20</v>
      </c>
    </row>
    <row r="221" spans="1:12" x14ac:dyDescent="0.25">
      <c r="A221" t="s">
        <v>15</v>
      </c>
      <c r="B221">
        <v>7.0999999999999994E-2</v>
      </c>
      <c r="C221" s="1"/>
      <c r="D221">
        <v>1144</v>
      </c>
      <c r="E221">
        <v>2115</v>
      </c>
      <c r="F221">
        <f t="shared" si="15"/>
        <v>6.5435356200527692E-2</v>
      </c>
      <c r="G221">
        <v>-79</v>
      </c>
      <c r="H221">
        <v>-6.28</v>
      </c>
      <c r="I221" s="2">
        <v>44858</v>
      </c>
      <c r="J221" s="6">
        <f t="shared" si="14"/>
        <v>143</v>
      </c>
      <c r="K221" t="s">
        <v>19</v>
      </c>
      <c r="L221">
        <v>20</v>
      </c>
    </row>
    <row r="222" spans="1:12" x14ac:dyDescent="0.25">
      <c r="A222" t="s">
        <v>21</v>
      </c>
      <c r="B222">
        <v>0</v>
      </c>
      <c r="F222">
        <v>0</v>
      </c>
      <c r="I222" s="2">
        <v>44858</v>
      </c>
      <c r="J222" s="6">
        <f t="shared" si="14"/>
        <v>143</v>
      </c>
      <c r="K222" t="s">
        <v>19</v>
      </c>
      <c r="L222">
        <v>20</v>
      </c>
    </row>
    <row r="223" spans="1:12" x14ac:dyDescent="0.25">
      <c r="A223" t="s">
        <v>0</v>
      </c>
      <c r="B223">
        <v>7.2999999999999995E-2</v>
      </c>
      <c r="C223" s="1">
        <v>0.36180555555555555</v>
      </c>
      <c r="D223">
        <v>13.27</v>
      </c>
      <c r="E223">
        <v>97.91</v>
      </c>
      <c r="F223">
        <f t="shared" ref="F223:F238" si="16">(B223-0.009)/0.9475</f>
        <v>6.7546174142480209E-2</v>
      </c>
      <c r="G223">
        <v>-82.02</v>
      </c>
      <c r="I223" s="2">
        <v>44872</v>
      </c>
      <c r="J223" s="6">
        <f t="shared" si="14"/>
        <v>157</v>
      </c>
      <c r="K223" t="s">
        <v>18</v>
      </c>
      <c r="L223">
        <v>10</v>
      </c>
    </row>
    <row r="224" spans="1:12" x14ac:dyDescent="0.25">
      <c r="A224" t="s">
        <v>1</v>
      </c>
      <c r="B224">
        <v>7.1999999999999995E-2</v>
      </c>
      <c r="C224" s="1"/>
      <c r="D224">
        <v>15.48</v>
      </c>
      <c r="E224">
        <v>113.1</v>
      </c>
      <c r="F224">
        <f t="shared" si="16"/>
        <v>6.6490765171503957E-2</v>
      </c>
      <c r="G224">
        <v>-81.819999999999993</v>
      </c>
      <c r="I224" s="2">
        <v>44872</v>
      </c>
      <c r="J224" s="6">
        <f t="shared" si="14"/>
        <v>157</v>
      </c>
      <c r="K224" t="s">
        <v>18</v>
      </c>
      <c r="L224">
        <v>10</v>
      </c>
    </row>
    <row r="225" spans="1:12" x14ac:dyDescent="0.25">
      <c r="A225" t="s">
        <v>2</v>
      </c>
      <c r="B225">
        <v>7.2999999999999995E-2</v>
      </c>
      <c r="C225" s="1"/>
      <c r="D225">
        <v>12.72</v>
      </c>
      <c r="E225">
        <v>93.03</v>
      </c>
      <c r="F225">
        <f t="shared" si="16"/>
        <v>6.7546174142480209E-2</v>
      </c>
      <c r="G225">
        <v>-80.42</v>
      </c>
      <c r="I225" s="2">
        <v>44872</v>
      </c>
      <c r="J225" s="6">
        <f t="shared" si="14"/>
        <v>157</v>
      </c>
      <c r="K225" t="s">
        <v>18</v>
      </c>
      <c r="L225">
        <v>10</v>
      </c>
    </row>
    <row r="226" spans="1:12" x14ac:dyDescent="0.25">
      <c r="A226" t="s">
        <v>3</v>
      </c>
      <c r="B226">
        <v>7.1999999999999995E-2</v>
      </c>
      <c r="C226" s="1"/>
      <c r="D226">
        <v>13.75</v>
      </c>
      <c r="E226">
        <v>96.61</v>
      </c>
      <c r="F226">
        <f t="shared" si="16"/>
        <v>6.6490765171503957E-2</v>
      </c>
      <c r="G226">
        <v>-81.16</v>
      </c>
      <c r="I226" s="2">
        <v>44872</v>
      </c>
      <c r="J226" s="6">
        <f t="shared" si="14"/>
        <v>157</v>
      </c>
      <c r="K226" t="s">
        <v>18</v>
      </c>
      <c r="L226">
        <v>10</v>
      </c>
    </row>
    <row r="227" spans="1:12" x14ac:dyDescent="0.25">
      <c r="A227" t="s">
        <v>4</v>
      </c>
      <c r="B227">
        <v>7.2999999999999995E-2</v>
      </c>
      <c r="C227" s="1"/>
      <c r="D227">
        <v>1138</v>
      </c>
      <c r="E227">
        <v>650</v>
      </c>
      <c r="F227">
        <f t="shared" si="16"/>
        <v>6.7546174142480209E-2</v>
      </c>
      <c r="G227">
        <v>-72.59</v>
      </c>
      <c r="H227">
        <v>3.3</v>
      </c>
      <c r="I227" s="2">
        <v>44872</v>
      </c>
      <c r="J227" s="6">
        <f t="shared" si="14"/>
        <v>157</v>
      </c>
      <c r="K227" t="s">
        <v>18</v>
      </c>
      <c r="L227">
        <v>20</v>
      </c>
    </row>
    <row r="228" spans="1:12" x14ac:dyDescent="0.25">
      <c r="A228" t="s">
        <v>5</v>
      </c>
      <c r="B228">
        <v>7.4999999999999997E-2</v>
      </c>
      <c r="C228" s="1"/>
      <c r="D228">
        <v>746.7</v>
      </c>
      <c r="E228">
        <v>520</v>
      </c>
      <c r="F228">
        <f t="shared" si="16"/>
        <v>6.9656992084432726E-2</v>
      </c>
      <c r="G228">
        <v>-71.959999999999994</v>
      </c>
      <c r="H228">
        <v>3.3</v>
      </c>
      <c r="I228" s="2">
        <v>44872</v>
      </c>
      <c r="J228" s="6">
        <f t="shared" si="14"/>
        <v>157</v>
      </c>
      <c r="K228" t="s">
        <v>18</v>
      </c>
      <c r="L228">
        <v>20</v>
      </c>
    </row>
    <row r="229" spans="1:12" x14ac:dyDescent="0.25">
      <c r="A229" t="s">
        <v>6</v>
      </c>
      <c r="B229">
        <v>7.5999999999999998E-2</v>
      </c>
      <c r="C229" s="1"/>
      <c r="D229">
        <v>934.9</v>
      </c>
      <c r="E229">
        <v>574.6</v>
      </c>
      <c r="F229">
        <f t="shared" si="16"/>
        <v>7.0712401055408977E-2</v>
      </c>
      <c r="G229">
        <v>-71.599999999999994</v>
      </c>
      <c r="H229">
        <v>5</v>
      </c>
      <c r="I229" s="2">
        <v>44872</v>
      </c>
      <c r="J229" s="6">
        <f t="shared" si="14"/>
        <v>157</v>
      </c>
      <c r="K229" t="s">
        <v>18</v>
      </c>
      <c r="L229">
        <v>20</v>
      </c>
    </row>
    <row r="230" spans="1:12" x14ac:dyDescent="0.25">
      <c r="A230" t="s">
        <v>7</v>
      </c>
      <c r="B230">
        <v>7.4999999999999997E-2</v>
      </c>
      <c r="C230" s="1"/>
      <c r="D230">
        <v>924</v>
      </c>
      <c r="E230">
        <v>647.5</v>
      </c>
      <c r="F230">
        <f t="shared" si="16"/>
        <v>6.9656992084432726E-2</v>
      </c>
      <c r="G230">
        <v>-73</v>
      </c>
      <c r="H230">
        <v>5.9</v>
      </c>
      <c r="I230" s="2">
        <v>44872</v>
      </c>
      <c r="J230" s="6">
        <f t="shared" si="14"/>
        <v>157</v>
      </c>
      <c r="K230" t="s">
        <v>18</v>
      </c>
      <c r="L230">
        <v>20</v>
      </c>
    </row>
    <row r="231" spans="1:12" x14ac:dyDescent="0.25">
      <c r="A231" t="s">
        <v>8</v>
      </c>
      <c r="B231">
        <v>7.5999999999999998E-2</v>
      </c>
      <c r="C231" s="1"/>
      <c r="D231">
        <v>43.56</v>
      </c>
      <c r="E231">
        <v>1264</v>
      </c>
      <c r="F231">
        <f t="shared" si="16"/>
        <v>7.0712401055408977E-2</v>
      </c>
      <c r="G231">
        <v>-94.8</v>
      </c>
      <c r="H231">
        <v>-21.5</v>
      </c>
      <c r="I231" s="2">
        <v>44872</v>
      </c>
      <c r="J231" s="6">
        <f t="shared" si="14"/>
        <v>157</v>
      </c>
      <c r="K231" t="s">
        <v>19</v>
      </c>
      <c r="L231">
        <v>10</v>
      </c>
    </row>
    <row r="232" spans="1:12" x14ac:dyDescent="0.25">
      <c r="A232" t="s">
        <v>9</v>
      </c>
      <c r="B232">
        <v>7.0999999999999994E-2</v>
      </c>
      <c r="C232" s="1"/>
      <c r="D232">
        <v>44.26</v>
      </c>
      <c r="E232">
        <v>1209</v>
      </c>
      <c r="F232">
        <f t="shared" si="16"/>
        <v>6.5435356200527692E-2</v>
      </c>
      <c r="G232">
        <v>-95.1</v>
      </c>
      <c r="H232">
        <v>-21.33</v>
      </c>
      <c r="I232" s="2">
        <v>44872</v>
      </c>
      <c r="J232" s="6">
        <f t="shared" si="14"/>
        <v>157</v>
      </c>
      <c r="K232" t="s">
        <v>19</v>
      </c>
      <c r="L232">
        <v>10</v>
      </c>
    </row>
    <row r="233" spans="1:12" x14ac:dyDescent="0.25">
      <c r="A233" t="s">
        <v>10</v>
      </c>
      <c r="B233">
        <v>7.1999999999999995E-2</v>
      </c>
      <c r="C233" s="1"/>
      <c r="D233">
        <v>40.54</v>
      </c>
      <c r="E233">
        <v>1181</v>
      </c>
      <c r="F233">
        <f t="shared" si="16"/>
        <v>6.6490765171503957E-2</v>
      </c>
      <c r="G233">
        <v>-93.4</v>
      </c>
      <c r="H233">
        <v>-21.3</v>
      </c>
      <c r="I233" s="2">
        <v>44872</v>
      </c>
      <c r="J233" s="6">
        <f t="shared" si="14"/>
        <v>157</v>
      </c>
      <c r="K233" t="s">
        <v>19</v>
      </c>
      <c r="L233">
        <v>10</v>
      </c>
    </row>
    <row r="234" spans="1:12" x14ac:dyDescent="0.25">
      <c r="A234" t="s">
        <v>11</v>
      </c>
      <c r="B234">
        <v>6.9000000000000006E-2</v>
      </c>
      <c r="C234" s="1"/>
      <c r="D234">
        <v>37.380000000000003</v>
      </c>
      <c r="E234">
        <v>1206</v>
      </c>
      <c r="F234">
        <f t="shared" si="16"/>
        <v>6.3324538258575203E-2</v>
      </c>
      <c r="G234">
        <v>-91.07</v>
      </c>
      <c r="H234">
        <v>-21.83</v>
      </c>
      <c r="I234" s="2">
        <v>44872</v>
      </c>
      <c r="J234" s="6">
        <f t="shared" si="14"/>
        <v>157</v>
      </c>
      <c r="K234" t="s">
        <v>19</v>
      </c>
      <c r="L234">
        <v>10</v>
      </c>
    </row>
    <row r="235" spans="1:12" x14ac:dyDescent="0.25">
      <c r="A235" t="s">
        <v>12</v>
      </c>
      <c r="B235">
        <v>7.1999999999999995E-2</v>
      </c>
      <c r="C235" s="1"/>
      <c r="D235">
        <v>877.1</v>
      </c>
      <c r="E235">
        <v>1625</v>
      </c>
      <c r="F235">
        <f t="shared" si="16"/>
        <v>6.6490765171503957E-2</v>
      </c>
      <c r="G235">
        <v>-78.75</v>
      </c>
      <c r="H235">
        <v>-2.9460000000000002</v>
      </c>
      <c r="I235" s="2">
        <v>44872</v>
      </c>
      <c r="J235" s="6">
        <f t="shared" si="14"/>
        <v>157</v>
      </c>
      <c r="K235" t="s">
        <v>19</v>
      </c>
      <c r="L235">
        <v>20</v>
      </c>
    </row>
    <row r="236" spans="1:12" x14ac:dyDescent="0.25">
      <c r="A236" t="s">
        <v>13</v>
      </c>
      <c r="B236">
        <v>7.3999999999999996E-2</v>
      </c>
      <c r="C236" s="1"/>
      <c r="D236">
        <v>851.2</v>
      </c>
      <c r="E236">
        <v>1877</v>
      </c>
      <c r="F236">
        <f t="shared" si="16"/>
        <v>6.860158311345646E-2</v>
      </c>
      <c r="G236">
        <v>-80.680000000000007</v>
      </c>
      <c r="H236">
        <v>-2.54</v>
      </c>
      <c r="I236" s="2">
        <v>44872</v>
      </c>
      <c r="J236" s="6">
        <f t="shared" si="14"/>
        <v>157</v>
      </c>
      <c r="K236" t="s">
        <v>19</v>
      </c>
      <c r="L236">
        <v>20</v>
      </c>
    </row>
    <row r="237" spans="1:12" x14ac:dyDescent="0.25">
      <c r="A237" t="s">
        <v>14</v>
      </c>
      <c r="B237">
        <v>8.1000000000000003E-2</v>
      </c>
      <c r="C237" s="1"/>
      <c r="D237">
        <v>888.7</v>
      </c>
      <c r="E237">
        <v>1717</v>
      </c>
      <c r="F237">
        <f t="shared" si="16"/>
        <v>7.5989445910290249E-2</v>
      </c>
      <c r="G237">
        <v>-80.8</v>
      </c>
      <c r="H237">
        <v>-2.64</v>
      </c>
      <c r="I237" s="2">
        <v>44872</v>
      </c>
      <c r="J237" s="6">
        <f t="shared" si="14"/>
        <v>157</v>
      </c>
      <c r="K237" t="s">
        <v>19</v>
      </c>
      <c r="L237">
        <v>20</v>
      </c>
    </row>
    <row r="238" spans="1:12" x14ac:dyDescent="0.25">
      <c r="A238" t="s">
        <v>15</v>
      </c>
      <c r="B238">
        <v>7.0999999999999994E-2</v>
      </c>
      <c r="C238" s="1"/>
      <c r="D238">
        <v>1107</v>
      </c>
      <c r="E238">
        <v>1804</v>
      </c>
      <c r="F238">
        <f t="shared" si="16"/>
        <v>6.5435356200527692E-2</v>
      </c>
      <c r="G238">
        <v>-74.67</v>
      </c>
      <c r="H238">
        <v>-1.1000000000000001</v>
      </c>
      <c r="I238" s="2">
        <v>44872</v>
      </c>
      <c r="J238" s="6">
        <f t="shared" si="14"/>
        <v>157</v>
      </c>
      <c r="K238" t="s">
        <v>19</v>
      </c>
      <c r="L238">
        <v>20</v>
      </c>
    </row>
    <row r="239" spans="1:12" x14ac:dyDescent="0.25">
      <c r="A239" t="s">
        <v>21</v>
      </c>
      <c r="B239">
        <v>0</v>
      </c>
      <c r="F239">
        <v>0</v>
      </c>
      <c r="I239" s="2">
        <v>44872</v>
      </c>
      <c r="J239" s="6">
        <f t="shared" si="14"/>
        <v>157</v>
      </c>
      <c r="K239" t="s">
        <v>19</v>
      </c>
      <c r="L239">
        <v>20</v>
      </c>
    </row>
    <row r="240" spans="1:12" x14ac:dyDescent="0.25">
      <c r="A240" t="s">
        <v>0</v>
      </c>
      <c r="B240">
        <v>7.2999999999999995E-2</v>
      </c>
      <c r="C240" s="1">
        <v>0.31458333333333333</v>
      </c>
      <c r="D240">
        <v>13.31</v>
      </c>
      <c r="E240">
        <v>97.8</v>
      </c>
      <c r="F240">
        <f t="shared" ref="F240:F255" si="17">(B240-0.009)/0.9475</f>
        <v>6.7546174142480209E-2</v>
      </c>
      <c r="G240">
        <v>-83.36</v>
      </c>
      <c r="I240" s="2">
        <v>44886</v>
      </c>
      <c r="J240" s="6">
        <f t="shared" si="14"/>
        <v>171</v>
      </c>
      <c r="K240" t="s">
        <v>18</v>
      </c>
      <c r="L240">
        <v>10</v>
      </c>
    </row>
    <row r="241" spans="1:12" x14ac:dyDescent="0.25">
      <c r="A241" t="s">
        <v>1</v>
      </c>
      <c r="B241">
        <v>7.1999999999999995E-2</v>
      </c>
      <c r="C241" s="1"/>
      <c r="D241">
        <v>13.78</v>
      </c>
      <c r="E241">
        <v>109.7</v>
      </c>
      <c r="F241">
        <f t="shared" si="17"/>
        <v>6.6490765171503957E-2</v>
      </c>
      <c r="G241">
        <v>-83.59</v>
      </c>
      <c r="I241" s="2">
        <v>44886</v>
      </c>
      <c r="J241" s="6">
        <f t="shared" si="14"/>
        <v>171</v>
      </c>
      <c r="K241" t="s">
        <v>18</v>
      </c>
      <c r="L241">
        <v>10</v>
      </c>
    </row>
    <row r="242" spans="1:12" x14ac:dyDescent="0.25">
      <c r="A242" t="s">
        <v>2</v>
      </c>
      <c r="B242">
        <v>7.2999999999999995E-2</v>
      </c>
      <c r="C242" s="1"/>
      <c r="D242">
        <v>11.6</v>
      </c>
      <c r="E242">
        <v>91.75</v>
      </c>
      <c r="F242">
        <f t="shared" si="17"/>
        <v>6.7546174142480209E-2</v>
      </c>
      <c r="G242">
        <v>-82.01</v>
      </c>
      <c r="I242" s="2">
        <v>44886</v>
      </c>
      <c r="J242" s="6">
        <f t="shared" si="14"/>
        <v>171</v>
      </c>
      <c r="K242" t="s">
        <v>18</v>
      </c>
      <c r="L242">
        <v>10</v>
      </c>
    </row>
    <row r="243" spans="1:12" x14ac:dyDescent="0.25">
      <c r="A243" t="s">
        <v>3</v>
      </c>
      <c r="B243">
        <v>7.1999999999999995E-2</v>
      </c>
      <c r="C243" s="1"/>
      <c r="D243">
        <v>12.84</v>
      </c>
      <c r="E243">
        <v>90.12</v>
      </c>
      <c r="F243">
        <f t="shared" si="17"/>
        <v>6.6490765171503957E-2</v>
      </c>
      <c r="G243">
        <v>-82.21</v>
      </c>
      <c r="I243" s="2">
        <v>44886</v>
      </c>
      <c r="J243" s="6">
        <f t="shared" si="14"/>
        <v>171</v>
      </c>
      <c r="K243" t="s">
        <v>18</v>
      </c>
      <c r="L243">
        <v>10</v>
      </c>
    </row>
    <row r="244" spans="1:12" x14ac:dyDescent="0.25">
      <c r="A244" t="s">
        <v>4</v>
      </c>
      <c r="B244">
        <v>7.2999999999999995E-2</v>
      </c>
      <c r="C244" s="1"/>
      <c r="D244">
        <v>1150</v>
      </c>
      <c r="E244">
        <v>660</v>
      </c>
      <c r="F244">
        <f t="shared" si="17"/>
        <v>6.7546174142480209E-2</v>
      </c>
      <c r="G244">
        <v>-67.2</v>
      </c>
      <c r="H244">
        <v>7.9480000000000004</v>
      </c>
      <c r="I244" s="2">
        <v>44886</v>
      </c>
      <c r="J244" s="6">
        <f t="shared" si="14"/>
        <v>171</v>
      </c>
      <c r="K244" t="s">
        <v>18</v>
      </c>
      <c r="L244">
        <v>20</v>
      </c>
    </row>
    <row r="245" spans="1:12" x14ac:dyDescent="0.25">
      <c r="A245" t="s">
        <v>5</v>
      </c>
      <c r="B245">
        <v>7.4999999999999997E-2</v>
      </c>
      <c r="C245" s="1"/>
      <c r="D245">
        <v>919.9</v>
      </c>
      <c r="E245">
        <v>701.2</v>
      </c>
      <c r="F245">
        <f t="shared" si="17"/>
        <v>6.9656992084432726E-2</v>
      </c>
      <c r="G245">
        <v>-66.5</v>
      </c>
      <c r="H245">
        <v>8.3000000000000007</v>
      </c>
      <c r="I245" s="2">
        <v>44886</v>
      </c>
      <c r="J245" s="6">
        <f t="shared" si="14"/>
        <v>171</v>
      </c>
      <c r="K245" t="s">
        <v>18</v>
      </c>
      <c r="L245">
        <v>20</v>
      </c>
    </row>
    <row r="246" spans="1:12" x14ac:dyDescent="0.25">
      <c r="A246" t="s">
        <v>6</v>
      </c>
      <c r="B246">
        <v>7.5999999999999998E-2</v>
      </c>
      <c r="C246" s="1"/>
      <c r="D246">
        <v>1239</v>
      </c>
      <c r="E246">
        <v>800</v>
      </c>
      <c r="F246">
        <f t="shared" si="17"/>
        <v>7.0712401055408977E-2</v>
      </c>
      <c r="G246">
        <v>-66.900000000000006</v>
      </c>
      <c r="H246">
        <v>7.4</v>
      </c>
      <c r="I246" s="2">
        <v>44886</v>
      </c>
      <c r="J246" s="6">
        <f t="shared" si="14"/>
        <v>171</v>
      </c>
      <c r="K246" t="s">
        <v>18</v>
      </c>
      <c r="L246">
        <v>20</v>
      </c>
    </row>
    <row r="247" spans="1:12" x14ac:dyDescent="0.25">
      <c r="A247" t="s">
        <v>7</v>
      </c>
      <c r="B247">
        <v>7.4999999999999997E-2</v>
      </c>
      <c r="C247" s="1"/>
      <c r="D247">
        <v>1059</v>
      </c>
      <c r="E247">
        <v>705</v>
      </c>
      <c r="F247">
        <f t="shared" si="17"/>
        <v>6.9656992084432726E-2</v>
      </c>
      <c r="G247">
        <v>-63.95</v>
      </c>
      <c r="H247">
        <v>6.3</v>
      </c>
      <c r="I247" s="2">
        <v>44886</v>
      </c>
      <c r="J247" s="6">
        <f t="shared" si="14"/>
        <v>171</v>
      </c>
      <c r="K247" t="s">
        <v>18</v>
      </c>
      <c r="L247">
        <v>20</v>
      </c>
    </row>
    <row r="248" spans="1:12" x14ac:dyDescent="0.25">
      <c r="A248" t="s">
        <v>8</v>
      </c>
      <c r="B248">
        <v>7.5999999999999998E-2</v>
      </c>
      <c r="C248" s="1"/>
      <c r="D248">
        <v>48</v>
      </c>
      <c r="E248">
        <v>1231</v>
      </c>
      <c r="F248">
        <f t="shared" si="17"/>
        <v>7.0712401055408977E-2</v>
      </c>
      <c r="G248">
        <v>-96.7</v>
      </c>
      <c r="H248">
        <v>-21.22</v>
      </c>
      <c r="I248" s="2">
        <v>44886</v>
      </c>
      <c r="J248" s="6">
        <f t="shared" si="14"/>
        <v>171</v>
      </c>
      <c r="K248" t="s">
        <v>19</v>
      </c>
      <c r="L248">
        <v>10</v>
      </c>
    </row>
    <row r="249" spans="1:12" x14ac:dyDescent="0.25">
      <c r="A249" t="s">
        <v>9</v>
      </c>
      <c r="B249">
        <v>7.0999999999999994E-2</v>
      </c>
      <c r="C249" s="1"/>
      <c r="D249">
        <v>47.8</v>
      </c>
      <c r="E249">
        <v>1229</v>
      </c>
      <c r="F249">
        <f t="shared" si="17"/>
        <v>6.5435356200527692E-2</v>
      </c>
      <c r="G249">
        <v>-96</v>
      </c>
      <c r="H249">
        <v>-21.25</v>
      </c>
      <c r="I249" s="2">
        <v>44886</v>
      </c>
      <c r="J249" s="6">
        <f t="shared" si="14"/>
        <v>171</v>
      </c>
      <c r="K249" t="s">
        <v>19</v>
      </c>
      <c r="L249">
        <v>10</v>
      </c>
    </row>
    <row r="250" spans="1:12" x14ac:dyDescent="0.25">
      <c r="A250" t="s">
        <v>10</v>
      </c>
      <c r="B250">
        <v>7.1999999999999995E-2</v>
      </c>
      <c r="C250" s="1"/>
      <c r="D250">
        <v>44.19</v>
      </c>
      <c r="E250">
        <v>1286</v>
      </c>
      <c r="F250">
        <f t="shared" si="17"/>
        <v>6.6490765171503957E-2</v>
      </c>
      <c r="G250">
        <v>-94.4</v>
      </c>
      <c r="H250">
        <v>-21.57</v>
      </c>
      <c r="I250" s="2">
        <v>44886</v>
      </c>
      <c r="J250" s="6">
        <f t="shared" si="14"/>
        <v>171</v>
      </c>
      <c r="K250" t="s">
        <v>19</v>
      </c>
      <c r="L250">
        <v>10</v>
      </c>
    </row>
    <row r="251" spans="1:12" x14ac:dyDescent="0.25">
      <c r="A251" t="s">
        <v>11</v>
      </c>
      <c r="B251">
        <v>6.9000000000000006E-2</v>
      </c>
      <c r="C251" s="1"/>
      <c r="D251">
        <v>36.01</v>
      </c>
      <c r="E251">
        <v>1147</v>
      </c>
      <c r="F251">
        <f t="shared" si="17"/>
        <v>6.3324538258575203E-2</v>
      </c>
      <c r="G251">
        <v>-93.12</v>
      </c>
      <c r="H251">
        <v>-21.3</v>
      </c>
      <c r="I251" s="2">
        <v>44886</v>
      </c>
      <c r="J251" s="6">
        <f t="shared" si="14"/>
        <v>171</v>
      </c>
      <c r="K251" t="s">
        <v>19</v>
      </c>
      <c r="L251">
        <v>10</v>
      </c>
    </row>
    <row r="252" spans="1:12" x14ac:dyDescent="0.25">
      <c r="A252" t="s">
        <v>12</v>
      </c>
      <c r="B252">
        <v>7.1999999999999995E-2</v>
      </c>
      <c r="C252" s="1"/>
      <c r="D252">
        <v>639.4</v>
      </c>
      <c r="E252">
        <v>1402</v>
      </c>
      <c r="F252">
        <f t="shared" si="17"/>
        <v>6.6490765171503957E-2</v>
      </c>
      <c r="G252">
        <v>-75.650000000000006</v>
      </c>
      <c r="H252">
        <v>-1.6</v>
      </c>
      <c r="I252" s="2">
        <v>44886</v>
      </c>
      <c r="J252" s="6">
        <f t="shared" si="14"/>
        <v>171</v>
      </c>
      <c r="K252" t="s">
        <v>19</v>
      </c>
      <c r="L252">
        <v>20</v>
      </c>
    </row>
    <row r="253" spans="1:12" x14ac:dyDescent="0.25">
      <c r="A253" t="s">
        <v>13</v>
      </c>
      <c r="B253">
        <v>7.3999999999999996E-2</v>
      </c>
      <c r="C253" s="1"/>
      <c r="D253">
        <v>565.70000000000005</v>
      </c>
      <c r="E253">
        <v>1586</v>
      </c>
      <c r="F253">
        <f t="shared" si="17"/>
        <v>6.860158311345646E-2</v>
      </c>
      <c r="G253">
        <v>-79.8</v>
      </c>
      <c r="H253">
        <v>-2.5</v>
      </c>
      <c r="I253" s="2">
        <v>44886</v>
      </c>
      <c r="J253" s="6">
        <f t="shared" si="14"/>
        <v>171</v>
      </c>
      <c r="K253" t="s">
        <v>19</v>
      </c>
      <c r="L253">
        <v>20</v>
      </c>
    </row>
    <row r="254" spans="1:12" x14ac:dyDescent="0.25">
      <c r="A254" t="s">
        <v>14</v>
      </c>
      <c r="B254">
        <v>8.1000000000000003E-2</v>
      </c>
      <c r="C254" s="1"/>
      <c r="D254">
        <v>787</v>
      </c>
      <c r="E254">
        <v>1521</v>
      </c>
      <c r="F254">
        <f t="shared" si="17"/>
        <v>7.5989445910290249E-2</v>
      </c>
      <c r="G254">
        <v>-78</v>
      </c>
      <c r="H254">
        <v>-2</v>
      </c>
      <c r="I254" s="2">
        <v>44886</v>
      </c>
      <c r="J254" s="6">
        <f t="shared" si="14"/>
        <v>171</v>
      </c>
      <c r="K254" t="s">
        <v>19</v>
      </c>
      <c r="L254">
        <v>20</v>
      </c>
    </row>
    <row r="255" spans="1:12" x14ac:dyDescent="0.25">
      <c r="A255" t="s">
        <v>15</v>
      </c>
      <c r="B255">
        <v>7.0999999999999994E-2</v>
      </c>
      <c r="C255" s="1"/>
      <c r="D255">
        <v>965.6</v>
      </c>
      <c r="E255">
        <v>1702</v>
      </c>
      <c r="F255">
        <f t="shared" si="17"/>
        <v>6.5435356200527692E-2</v>
      </c>
      <c r="G255">
        <v>-70.900000000000006</v>
      </c>
      <c r="H255">
        <v>-1</v>
      </c>
      <c r="I255" s="2">
        <v>44886</v>
      </c>
      <c r="J255" s="6">
        <f t="shared" si="14"/>
        <v>171</v>
      </c>
      <c r="K255" t="s">
        <v>19</v>
      </c>
      <c r="L255">
        <v>20</v>
      </c>
    </row>
    <row r="256" spans="1:12" x14ac:dyDescent="0.25">
      <c r="A256" t="s">
        <v>21</v>
      </c>
      <c r="B256">
        <v>0</v>
      </c>
      <c r="F256">
        <v>0</v>
      </c>
      <c r="I256" s="2">
        <v>44886</v>
      </c>
      <c r="J256" s="6">
        <f t="shared" si="14"/>
        <v>171</v>
      </c>
      <c r="K256" t="s">
        <v>19</v>
      </c>
      <c r="L256">
        <v>20</v>
      </c>
    </row>
    <row r="257" spans="1:12" x14ac:dyDescent="0.25">
      <c r="A257" t="s">
        <v>0</v>
      </c>
      <c r="B257">
        <v>0.08</v>
      </c>
      <c r="C257" s="1">
        <v>0.39583333333333331</v>
      </c>
      <c r="D257">
        <v>11.32</v>
      </c>
      <c r="E257">
        <v>95.34</v>
      </c>
      <c r="F257">
        <f t="shared" ref="F257:F272" si="18">(B257-0.009)/0.9475</f>
        <v>7.4934036939313997E-2</v>
      </c>
      <c r="G257">
        <v>-83.47</v>
      </c>
      <c r="I257" s="2">
        <v>44900</v>
      </c>
      <c r="J257" s="6">
        <f t="shared" si="14"/>
        <v>185</v>
      </c>
      <c r="K257" t="s">
        <v>18</v>
      </c>
      <c r="L257">
        <v>10</v>
      </c>
    </row>
    <row r="258" spans="1:12" x14ac:dyDescent="0.25">
      <c r="A258" t="s">
        <v>1</v>
      </c>
      <c r="B258">
        <v>7.8E-2</v>
      </c>
      <c r="C258" s="1"/>
      <c r="D258">
        <v>10.96</v>
      </c>
      <c r="E258">
        <v>106.5</v>
      </c>
      <c r="F258">
        <f t="shared" si="18"/>
        <v>7.282321899736148E-2</v>
      </c>
      <c r="G258">
        <v>-84.45</v>
      </c>
      <c r="I258" s="2">
        <v>44900</v>
      </c>
      <c r="J258" s="6">
        <f t="shared" si="14"/>
        <v>185</v>
      </c>
      <c r="K258" t="s">
        <v>18</v>
      </c>
      <c r="L258">
        <v>10</v>
      </c>
    </row>
    <row r="259" spans="1:12" x14ac:dyDescent="0.25">
      <c r="A259" t="s">
        <v>2</v>
      </c>
      <c r="B259">
        <v>0.08</v>
      </c>
      <c r="C259" s="1"/>
      <c r="D259">
        <v>10.42</v>
      </c>
      <c r="E259">
        <v>102</v>
      </c>
      <c r="F259">
        <f t="shared" si="18"/>
        <v>7.4934036939313997E-2</v>
      </c>
      <c r="G259">
        <v>-82.77</v>
      </c>
      <c r="I259" s="2">
        <v>44900</v>
      </c>
      <c r="J259" s="6">
        <f t="shared" ref="J259:J322" si="19">I259-$I$2+5</f>
        <v>185</v>
      </c>
      <c r="K259" t="s">
        <v>18</v>
      </c>
      <c r="L259">
        <v>10</v>
      </c>
    </row>
    <row r="260" spans="1:12" x14ac:dyDescent="0.25">
      <c r="A260" t="s">
        <v>3</v>
      </c>
      <c r="B260">
        <v>7.8E-2</v>
      </c>
      <c r="C260" s="1"/>
      <c r="D260">
        <v>10.220000000000001</v>
      </c>
      <c r="E260">
        <v>86.85</v>
      </c>
      <c r="F260">
        <f t="shared" si="18"/>
        <v>7.282321899736148E-2</v>
      </c>
      <c r="G260">
        <v>-81.77</v>
      </c>
      <c r="I260" s="2">
        <v>44900</v>
      </c>
      <c r="J260" s="6">
        <f t="shared" si="19"/>
        <v>185</v>
      </c>
      <c r="K260" t="s">
        <v>18</v>
      </c>
      <c r="L260">
        <v>10</v>
      </c>
    </row>
    <row r="261" spans="1:12" x14ac:dyDescent="0.25">
      <c r="A261" t="s">
        <v>4</v>
      </c>
      <c r="B261">
        <v>6.7000000000000004E-2</v>
      </c>
      <c r="C261" s="1"/>
      <c r="D261">
        <v>1280</v>
      </c>
      <c r="E261">
        <v>864.3</v>
      </c>
      <c r="F261">
        <f t="shared" si="18"/>
        <v>6.1213720316622693E-2</v>
      </c>
      <c r="G261">
        <v>-66.58</v>
      </c>
      <c r="H261">
        <v>-6.9850000000000003</v>
      </c>
      <c r="I261" s="2">
        <v>44900</v>
      </c>
      <c r="J261" s="6">
        <f t="shared" si="19"/>
        <v>185</v>
      </c>
      <c r="K261" t="s">
        <v>18</v>
      </c>
      <c r="L261">
        <v>20</v>
      </c>
    </row>
    <row r="262" spans="1:12" x14ac:dyDescent="0.25">
      <c r="A262" t="s">
        <v>5</v>
      </c>
      <c r="B262">
        <v>7.4999999999999997E-2</v>
      </c>
      <c r="C262" s="1"/>
      <c r="D262">
        <v>1342</v>
      </c>
      <c r="E262">
        <v>799.8</v>
      </c>
      <c r="F262">
        <f t="shared" si="18"/>
        <v>6.9656992084432726E-2</v>
      </c>
      <c r="G262">
        <v>-64.67</v>
      </c>
      <c r="H262">
        <v>-20.32</v>
      </c>
      <c r="I262" s="2">
        <v>44900</v>
      </c>
      <c r="J262" s="6">
        <f t="shared" si="19"/>
        <v>185</v>
      </c>
      <c r="K262" t="s">
        <v>18</v>
      </c>
      <c r="L262">
        <v>20</v>
      </c>
    </row>
    <row r="263" spans="1:12" x14ac:dyDescent="0.25">
      <c r="A263" t="s">
        <v>6</v>
      </c>
      <c r="B263">
        <v>8.1000000000000003E-2</v>
      </c>
      <c r="C263" s="1"/>
      <c r="D263">
        <v>1179</v>
      </c>
      <c r="E263">
        <v>772.1</v>
      </c>
      <c r="F263">
        <f t="shared" si="18"/>
        <v>7.5989445910290249E-2</v>
      </c>
      <c r="G263">
        <v>-64.87</v>
      </c>
      <c r="H263">
        <v>-21.76</v>
      </c>
      <c r="I263" s="2">
        <v>44900</v>
      </c>
      <c r="J263" s="6">
        <f t="shared" si="19"/>
        <v>185</v>
      </c>
      <c r="K263" t="s">
        <v>18</v>
      </c>
      <c r="L263">
        <v>20</v>
      </c>
    </row>
    <row r="264" spans="1:12" x14ac:dyDescent="0.25">
      <c r="A264" t="s">
        <v>7</v>
      </c>
      <c r="B264">
        <v>7.2999999999999995E-2</v>
      </c>
      <c r="C264" s="1"/>
      <c r="D264">
        <v>998.2</v>
      </c>
      <c r="E264">
        <v>704</v>
      </c>
      <c r="F264">
        <f t="shared" si="18"/>
        <v>6.7546174142480209E-2</v>
      </c>
      <c r="G264">
        <v>-62.66</v>
      </c>
      <c r="H264">
        <v>-27.14</v>
      </c>
      <c r="I264" s="2">
        <v>44900</v>
      </c>
      <c r="J264" s="6">
        <f t="shared" si="19"/>
        <v>185</v>
      </c>
      <c r="K264" t="s">
        <v>18</v>
      </c>
      <c r="L264">
        <v>20</v>
      </c>
    </row>
    <row r="265" spans="1:12" x14ac:dyDescent="0.25">
      <c r="A265" t="s">
        <v>8</v>
      </c>
      <c r="B265">
        <v>7.5999999999999998E-2</v>
      </c>
      <c r="C265" s="1"/>
      <c r="D265">
        <v>40.32</v>
      </c>
      <c r="E265">
        <v>1039</v>
      </c>
      <c r="F265">
        <f t="shared" si="18"/>
        <v>7.0712401055408977E-2</v>
      </c>
      <c r="G265">
        <v>-97.99</v>
      </c>
      <c r="H265">
        <v>-20.07</v>
      </c>
      <c r="I265" s="2">
        <v>44900</v>
      </c>
      <c r="J265" s="6">
        <f t="shared" si="19"/>
        <v>185</v>
      </c>
      <c r="K265" t="s">
        <v>19</v>
      </c>
      <c r="L265">
        <v>10</v>
      </c>
    </row>
    <row r="266" spans="1:12" x14ac:dyDescent="0.25">
      <c r="A266" t="s">
        <v>9</v>
      </c>
      <c r="B266">
        <v>7.1999999999999995E-2</v>
      </c>
      <c r="C266" s="1"/>
      <c r="D266">
        <v>48.7</v>
      </c>
      <c r="E266">
        <v>1133</v>
      </c>
      <c r="F266">
        <f t="shared" si="18"/>
        <v>6.6490765171503957E-2</v>
      </c>
      <c r="G266">
        <v>-97.31</v>
      </c>
      <c r="H266">
        <v>-20.8</v>
      </c>
      <c r="I266" s="2">
        <v>44900</v>
      </c>
      <c r="J266" s="6">
        <f t="shared" si="19"/>
        <v>185</v>
      </c>
      <c r="K266" t="s">
        <v>19</v>
      </c>
      <c r="L266">
        <v>10</v>
      </c>
    </row>
    <row r="267" spans="1:12" x14ac:dyDescent="0.25">
      <c r="A267" t="s">
        <v>10</v>
      </c>
      <c r="B267">
        <v>7.1999999999999995E-2</v>
      </c>
      <c r="C267" s="1"/>
      <c r="D267">
        <v>51.41</v>
      </c>
      <c r="E267">
        <v>1199</v>
      </c>
      <c r="F267">
        <f t="shared" si="18"/>
        <v>6.6490765171503957E-2</v>
      </c>
      <c r="G267">
        <v>-94.61</v>
      </c>
      <c r="H267">
        <v>-20.85</v>
      </c>
      <c r="I267" s="2">
        <v>44900</v>
      </c>
      <c r="J267" s="6">
        <f t="shared" si="19"/>
        <v>185</v>
      </c>
      <c r="K267" t="s">
        <v>19</v>
      </c>
      <c r="L267">
        <v>10</v>
      </c>
    </row>
    <row r="268" spans="1:12" x14ac:dyDescent="0.25">
      <c r="A268" t="s">
        <v>11</v>
      </c>
      <c r="B268">
        <v>6.9000000000000006E-2</v>
      </c>
      <c r="C268" s="1"/>
      <c r="F268">
        <f t="shared" si="18"/>
        <v>6.3324538258575203E-2</v>
      </c>
      <c r="I268" s="2">
        <v>44900</v>
      </c>
      <c r="J268" s="6">
        <f t="shared" si="19"/>
        <v>185</v>
      </c>
      <c r="K268" t="s">
        <v>19</v>
      </c>
      <c r="L268">
        <v>10</v>
      </c>
    </row>
    <row r="269" spans="1:12" x14ac:dyDescent="0.25">
      <c r="A269" t="s">
        <v>12</v>
      </c>
      <c r="B269">
        <v>6.2E-2</v>
      </c>
      <c r="C269" s="1"/>
      <c r="D269">
        <v>388.4</v>
      </c>
      <c r="E269">
        <v>1433</v>
      </c>
      <c r="F269">
        <f t="shared" si="18"/>
        <v>5.5936675461741421E-2</v>
      </c>
      <c r="G269">
        <v>-75.069999999999993</v>
      </c>
      <c r="H269">
        <v>-0.37</v>
      </c>
      <c r="I269" s="2">
        <v>44900</v>
      </c>
      <c r="J269" s="6">
        <f t="shared" si="19"/>
        <v>185</v>
      </c>
      <c r="K269" t="s">
        <v>19</v>
      </c>
      <c r="L269">
        <v>20</v>
      </c>
    </row>
    <row r="270" spans="1:12" x14ac:dyDescent="0.25">
      <c r="A270" t="s">
        <v>13</v>
      </c>
      <c r="B270">
        <v>7.1999999999999995E-2</v>
      </c>
      <c r="C270" s="1"/>
      <c r="D270">
        <v>494</v>
      </c>
      <c r="E270">
        <v>1184</v>
      </c>
      <c r="F270">
        <f t="shared" si="18"/>
        <v>6.6490765171503957E-2</v>
      </c>
      <c r="G270">
        <v>-76.819999999999993</v>
      </c>
      <c r="H270">
        <v>-1.7350000000000001</v>
      </c>
      <c r="I270" s="2">
        <v>44900</v>
      </c>
      <c r="J270" s="6">
        <f t="shared" si="19"/>
        <v>185</v>
      </c>
      <c r="K270" t="s">
        <v>19</v>
      </c>
      <c r="L270">
        <v>20</v>
      </c>
    </row>
    <row r="271" spans="1:12" x14ac:dyDescent="0.25">
      <c r="A271" t="s">
        <v>14</v>
      </c>
      <c r="B271">
        <v>6.8000000000000005E-2</v>
      </c>
      <c r="C271" s="1"/>
      <c r="D271">
        <v>464.8</v>
      </c>
      <c r="E271">
        <v>1332</v>
      </c>
      <c r="F271">
        <f t="shared" si="18"/>
        <v>6.2269129287598951E-2</v>
      </c>
      <c r="G271">
        <v>-78.36</v>
      </c>
      <c r="H271">
        <v>-1.115</v>
      </c>
      <c r="I271" s="2">
        <v>44900</v>
      </c>
      <c r="J271" s="6">
        <f t="shared" si="19"/>
        <v>185</v>
      </c>
      <c r="K271" t="s">
        <v>19</v>
      </c>
      <c r="L271">
        <v>20</v>
      </c>
    </row>
    <row r="272" spans="1:12" x14ac:dyDescent="0.25">
      <c r="A272" t="s">
        <v>15</v>
      </c>
      <c r="B272">
        <v>0.06</v>
      </c>
      <c r="C272" s="1"/>
      <c r="D272">
        <v>791.1</v>
      </c>
      <c r="E272">
        <v>1502</v>
      </c>
      <c r="F272">
        <f t="shared" si="18"/>
        <v>5.3825857519788911E-2</v>
      </c>
      <c r="G272">
        <v>-68.260000000000005</v>
      </c>
      <c r="H272">
        <v>0.35899999999999999</v>
      </c>
      <c r="I272" s="2">
        <v>44900</v>
      </c>
      <c r="J272" s="6">
        <f t="shared" si="19"/>
        <v>185</v>
      </c>
      <c r="K272" t="s">
        <v>19</v>
      </c>
      <c r="L272">
        <v>20</v>
      </c>
    </row>
    <row r="273" spans="1:12" x14ac:dyDescent="0.25">
      <c r="A273" t="s">
        <v>21</v>
      </c>
      <c r="B273">
        <v>0</v>
      </c>
      <c r="F273">
        <v>0</v>
      </c>
      <c r="I273" s="2">
        <v>44900</v>
      </c>
      <c r="J273" s="6">
        <f t="shared" si="19"/>
        <v>185</v>
      </c>
      <c r="K273" t="s">
        <v>19</v>
      </c>
      <c r="L273">
        <v>20</v>
      </c>
    </row>
    <row r="274" spans="1:12" x14ac:dyDescent="0.25">
      <c r="A274" t="s">
        <v>0</v>
      </c>
      <c r="B274">
        <v>7.6999999999999999E-2</v>
      </c>
      <c r="C274" s="1">
        <v>0.3298611111111111</v>
      </c>
      <c r="F274">
        <f t="shared" ref="F274:F289" si="20">(B274-0.009)/0.9475</f>
        <v>7.1767810026385229E-2</v>
      </c>
      <c r="I274" s="2">
        <v>44915</v>
      </c>
      <c r="J274" s="6">
        <f t="shared" si="19"/>
        <v>200</v>
      </c>
      <c r="K274" t="s">
        <v>18</v>
      </c>
      <c r="L274">
        <v>10</v>
      </c>
    </row>
    <row r="275" spans="1:12" x14ac:dyDescent="0.25">
      <c r="A275" t="s">
        <v>1</v>
      </c>
      <c r="B275">
        <v>7.3999999999999996E-2</v>
      </c>
      <c r="C275" s="1"/>
      <c r="D275">
        <v>11.55</v>
      </c>
      <c r="E275">
        <v>107.5</v>
      </c>
      <c r="F275">
        <f t="shared" si="20"/>
        <v>6.860158311345646E-2</v>
      </c>
      <c r="G275">
        <v>-83.26</v>
      </c>
      <c r="I275" s="2">
        <v>44915</v>
      </c>
      <c r="J275" s="6">
        <f t="shared" si="19"/>
        <v>200</v>
      </c>
      <c r="K275" t="s">
        <v>18</v>
      </c>
      <c r="L275">
        <v>10</v>
      </c>
    </row>
    <row r="276" spans="1:12" x14ac:dyDescent="0.25">
      <c r="A276" t="s">
        <v>2</v>
      </c>
      <c r="B276">
        <v>7.5999999999999998E-2</v>
      </c>
      <c r="C276" s="1"/>
      <c r="D276">
        <v>10.55</v>
      </c>
      <c r="E276">
        <v>80.239999999999995</v>
      </c>
      <c r="F276">
        <f t="shared" si="20"/>
        <v>7.0712401055408977E-2</v>
      </c>
      <c r="G276">
        <v>-83.03</v>
      </c>
      <c r="I276" s="2">
        <v>44915</v>
      </c>
      <c r="J276" s="6">
        <f t="shared" si="19"/>
        <v>200</v>
      </c>
      <c r="K276" t="s">
        <v>18</v>
      </c>
      <c r="L276">
        <v>10</v>
      </c>
    </row>
    <row r="277" spans="1:12" x14ac:dyDescent="0.25">
      <c r="A277" t="s">
        <v>3</v>
      </c>
      <c r="B277">
        <v>7.4999999999999997E-2</v>
      </c>
      <c r="C277" s="1"/>
      <c r="D277">
        <v>10.35</v>
      </c>
      <c r="E277">
        <v>77.5</v>
      </c>
      <c r="F277">
        <f t="shared" si="20"/>
        <v>6.9656992084432726E-2</v>
      </c>
      <c r="G277">
        <v>-83.74</v>
      </c>
      <c r="I277" s="2">
        <v>44915</v>
      </c>
      <c r="J277" s="6">
        <f t="shared" si="19"/>
        <v>200</v>
      </c>
      <c r="K277" t="s">
        <v>18</v>
      </c>
      <c r="L277">
        <v>10</v>
      </c>
    </row>
    <row r="278" spans="1:12" x14ac:dyDescent="0.25">
      <c r="A278" t="s">
        <v>4</v>
      </c>
      <c r="B278">
        <v>7.0999999999999994E-2</v>
      </c>
      <c r="C278" s="1"/>
      <c r="D278">
        <v>607.20000000000005</v>
      </c>
      <c r="E278">
        <v>676.8</v>
      </c>
      <c r="F278">
        <f t="shared" si="20"/>
        <v>6.5435356200527692E-2</v>
      </c>
      <c r="G278">
        <v>-63.01</v>
      </c>
      <c r="H278">
        <v>26.06</v>
      </c>
      <c r="I278" s="2">
        <v>44915</v>
      </c>
      <c r="J278" s="6">
        <f t="shared" si="19"/>
        <v>200</v>
      </c>
      <c r="K278" t="s">
        <v>18</v>
      </c>
      <c r="L278">
        <v>20</v>
      </c>
    </row>
    <row r="279" spans="1:12" x14ac:dyDescent="0.25">
      <c r="A279" t="s">
        <v>5</v>
      </c>
      <c r="B279">
        <v>7.8E-2</v>
      </c>
      <c r="C279" s="1"/>
      <c r="D279">
        <v>769.3</v>
      </c>
      <c r="E279">
        <v>710.5</v>
      </c>
      <c r="F279">
        <f t="shared" si="20"/>
        <v>7.282321899736148E-2</v>
      </c>
      <c r="G279">
        <v>-58.3</v>
      </c>
      <c r="H279">
        <v>22.96</v>
      </c>
      <c r="I279" s="2">
        <v>44915</v>
      </c>
      <c r="J279" s="6">
        <f t="shared" si="19"/>
        <v>200</v>
      </c>
      <c r="K279" t="s">
        <v>18</v>
      </c>
      <c r="L279">
        <v>20</v>
      </c>
    </row>
    <row r="280" spans="1:12" x14ac:dyDescent="0.25">
      <c r="A280" t="s">
        <v>6</v>
      </c>
      <c r="B280">
        <v>6.5000000000000002E-2</v>
      </c>
      <c r="C280" s="1"/>
      <c r="D280">
        <v>412.4</v>
      </c>
      <c r="E280">
        <v>546.1</v>
      </c>
      <c r="F280">
        <f t="shared" si="20"/>
        <v>5.9102902374670183E-2</v>
      </c>
      <c r="G280">
        <v>-59.14</v>
      </c>
      <c r="H280">
        <v>26.39</v>
      </c>
      <c r="I280" s="2">
        <v>44915</v>
      </c>
      <c r="J280" s="6">
        <f t="shared" si="19"/>
        <v>200</v>
      </c>
      <c r="K280" t="s">
        <v>18</v>
      </c>
      <c r="L280">
        <v>20</v>
      </c>
    </row>
    <row r="281" spans="1:12" x14ac:dyDescent="0.25">
      <c r="A281" t="s">
        <v>7</v>
      </c>
      <c r="B281">
        <v>7.4999999999999997E-2</v>
      </c>
      <c r="C281" s="1"/>
      <c r="D281">
        <v>491.8</v>
      </c>
      <c r="E281">
        <v>693.1</v>
      </c>
      <c r="F281">
        <f t="shared" si="20"/>
        <v>6.9656992084432726E-2</v>
      </c>
      <c r="G281">
        <v>-53.82</v>
      </c>
      <c r="H281">
        <v>25.9</v>
      </c>
      <c r="I281" s="2">
        <v>44915</v>
      </c>
      <c r="J281" s="6">
        <f t="shared" si="19"/>
        <v>200</v>
      </c>
      <c r="K281" t="s">
        <v>18</v>
      </c>
      <c r="L281">
        <v>20</v>
      </c>
    </row>
    <row r="282" spans="1:12" x14ac:dyDescent="0.25">
      <c r="A282" t="s">
        <v>8</v>
      </c>
      <c r="B282">
        <v>6.4000000000000001E-2</v>
      </c>
      <c r="C282" s="1"/>
      <c r="D282">
        <v>40.4</v>
      </c>
      <c r="E282">
        <v>1007</v>
      </c>
      <c r="F282">
        <f t="shared" si="20"/>
        <v>5.8047493403693931E-2</v>
      </c>
      <c r="G282">
        <v>-97.73</v>
      </c>
      <c r="H282">
        <v>-18.809999999999999</v>
      </c>
      <c r="I282" s="2">
        <v>44915</v>
      </c>
      <c r="J282" s="6">
        <f t="shared" si="19"/>
        <v>200</v>
      </c>
      <c r="K282" t="s">
        <v>19</v>
      </c>
      <c r="L282">
        <v>10</v>
      </c>
    </row>
    <row r="283" spans="1:12" x14ac:dyDescent="0.25">
      <c r="A283" t="s">
        <v>9</v>
      </c>
      <c r="B283">
        <v>7.1999999999999995E-2</v>
      </c>
      <c r="C283" s="1"/>
      <c r="D283">
        <v>45.87</v>
      </c>
      <c r="E283">
        <v>1097</v>
      </c>
      <c r="F283">
        <f t="shared" si="20"/>
        <v>6.6490765171503957E-2</v>
      </c>
      <c r="G283">
        <v>-98.78</v>
      </c>
      <c r="H283">
        <v>-20.16</v>
      </c>
      <c r="I283" s="2">
        <v>44915</v>
      </c>
      <c r="J283" s="6">
        <f t="shared" si="19"/>
        <v>200</v>
      </c>
      <c r="K283" t="s">
        <v>19</v>
      </c>
      <c r="L283">
        <v>10</v>
      </c>
    </row>
    <row r="284" spans="1:12" x14ac:dyDescent="0.25">
      <c r="A284" t="s">
        <v>10</v>
      </c>
      <c r="B284">
        <v>7.1999999999999995E-2</v>
      </c>
      <c r="C284" s="1"/>
      <c r="D284">
        <v>41.33</v>
      </c>
      <c r="E284">
        <v>1060</v>
      </c>
      <c r="F284">
        <f t="shared" si="20"/>
        <v>6.6490765171503957E-2</v>
      </c>
      <c r="G284">
        <v>-97.22</v>
      </c>
      <c r="H284">
        <v>-20.309999999999999</v>
      </c>
      <c r="I284" s="2">
        <v>44915</v>
      </c>
      <c r="J284" s="6">
        <f t="shared" si="19"/>
        <v>200</v>
      </c>
      <c r="K284" t="s">
        <v>19</v>
      </c>
      <c r="L284">
        <v>10</v>
      </c>
    </row>
    <row r="285" spans="1:12" x14ac:dyDescent="0.25">
      <c r="A285" t="s">
        <v>11</v>
      </c>
      <c r="B285">
        <v>7.0000000000000007E-2</v>
      </c>
      <c r="C285" s="1"/>
      <c r="D285">
        <v>37.61</v>
      </c>
      <c r="E285">
        <v>1060</v>
      </c>
      <c r="F285">
        <f t="shared" si="20"/>
        <v>6.4379947229551454E-2</v>
      </c>
      <c r="G285">
        <v>-96.33</v>
      </c>
      <c r="H285">
        <v>-20.54</v>
      </c>
      <c r="I285" s="2">
        <v>44915</v>
      </c>
      <c r="J285" s="6">
        <f t="shared" si="19"/>
        <v>200</v>
      </c>
      <c r="K285" t="s">
        <v>19</v>
      </c>
      <c r="L285">
        <v>10</v>
      </c>
    </row>
    <row r="286" spans="1:12" x14ac:dyDescent="0.25">
      <c r="A286" t="s">
        <v>12</v>
      </c>
      <c r="B286">
        <v>7.0999999999999994E-2</v>
      </c>
      <c r="C286" s="1"/>
      <c r="D286">
        <v>361</v>
      </c>
      <c r="E286">
        <v>1288</v>
      </c>
      <c r="F286">
        <f t="shared" si="20"/>
        <v>6.5435356200527692E-2</v>
      </c>
      <c r="G286">
        <v>-77.02</v>
      </c>
      <c r="H286">
        <v>-1.663</v>
      </c>
      <c r="I286" s="2">
        <v>44915</v>
      </c>
      <c r="J286" s="6">
        <f t="shared" si="19"/>
        <v>200</v>
      </c>
      <c r="K286" t="s">
        <v>19</v>
      </c>
      <c r="L286">
        <v>20</v>
      </c>
    </row>
    <row r="287" spans="1:12" x14ac:dyDescent="0.25">
      <c r="A287" t="s">
        <v>13</v>
      </c>
      <c r="B287">
        <v>7.1999999999999995E-2</v>
      </c>
      <c r="C287" s="1"/>
      <c r="D287">
        <v>259.7</v>
      </c>
      <c r="E287">
        <v>1236</v>
      </c>
      <c r="F287">
        <f t="shared" si="20"/>
        <v>6.6490765171503957E-2</v>
      </c>
      <c r="G287">
        <v>-79.78</v>
      </c>
      <c r="H287">
        <v>-2.0880000000000001</v>
      </c>
      <c r="I287" s="2">
        <v>44915</v>
      </c>
      <c r="J287" s="6">
        <f t="shared" si="19"/>
        <v>200</v>
      </c>
      <c r="K287" t="s">
        <v>19</v>
      </c>
      <c r="L287">
        <v>20</v>
      </c>
    </row>
    <row r="288" spans="1:12" x14ac:dyDescent="0.25">
      <c r="A288" t="s">
        <v>14</v>
      </c>
      <c r="B288">
        <v>7.1999999999999995E-2</v>
      </c>
      <c r="C288" s="1"/>
      <c r="D288">
        <v>315.8</v>
      </c>
      <c r="E288">
        <v>1314</v>
      </c>
      <c r="F288">
        <f t="shared" si="20"/>
        <v>6.6490765171503957E-2</v>
      </c>
      <c r="G288">
        <v>-77.56</v>
      </c>
      <c r="H288">
        <v>-1.6930000000000001</v>
      </c>
      <c r="I288" s="2">
        <v>44915</v>
      </c>
      <c r="J288" s="6">
        <f t="shared" si="19"/>
        <v>200</v>
      </c>
      <c r="K288" t="s">
        <v>19</v>
      </c>
      <c r="L288">
        <v>20</v>
      </c>
    </row>
    <row r="289" spans="1:12" x14ac:dyDescent="0.25">
      <c r="A289" t="s">
        <v>15</v>
      </c>
      <c r="B289">
        <v>6.5000000000000002E-2</v>
      </c>
      <c r="C289" s="1"/>
      <c r="D289">
        <v>495.4</v>
      </c>
      <c r="E289">
        <v>1379</v>
      </c>
      <c r="F289">
        <f t="shared" si="20"/>
        <v>5.9102902374670183E-2</v>
      </c>
      <c r="G289">
        <v>-69.11</v>
      </c>
      <c r="H289">
        <v>-1.23</v>
      </c>
      <c r="I289" s="2">
        <v>44915</v>
      </c>
      <c r="J289" s="6">
        <f t="shared" si="19"/>
        <v>200</v>
      </c>
      <c r="K289" t="s">
        <v>19</v>
      </c>
      <c r="L289">
        <v>20</v>
      </c>
    </row>
    <row r="290" spans="1:12" x14ac:dyDescent="0.25">
      <c r="A290" t="s">
        <v>21</v>
      </c>
      <c r="B290">
        <v>0</v>
      </c>
      <c r="F290">
        <v>0</v>
      </c>
      <c r="I290" s="2">
        <v>44915</v>
      </c>
      <c r="J290" s="6">
        <f t="shared" si="19"/>
        <v>200</v>
      </c>
      <c r="K290" t="s">
        <v>19</v>
      </c>
      <c r="L290">
        <v>20</v>
      </c>
    </row>
    <row r="291" spans="1:12" x14ac:dyDescent="0.25">
      <c r="A291" t="s">
        <v>0</v>
      </c>
      <c r="B291">
        <v>7.6999999999999999E-2</v>
      </c>
      <c r="C291" s="1">
        <v>0.37152777777777773</v>
      </c>
      <c r="D291">
        <v>11.16</v>
      </c>
      <c r="E291">
        <v>92</v>
      </c>
      <c r="F291">
        <f t="shared" ref="F291:F306" si="21">(B291-0.009)/0.9475</f>
        <v>7.1767810026385229E-2</v>
      </c>
      <c r="G291">
        <v>-85.47</v>
      </c>
      <c r="I291" s="2">
        <v>44935</v>
      </c>
      <c r="J291" s="6">
        <f t="shared" si="19"/>
        <v>220</v>
      </c>
      <c r="K291" t="s">
        <v>18</v>
      </c>
      <c r="L291">
        <v>10</v>
      </c>
    </row>
    <row r="292" spans="1:12" x14ac:dyDescent="0.25">
      <c r="A292" t="s">
        <v>1</v>
      </c>
      <c r="B292">
        <v>7.5999999999999998E-2</v>
      </c>
      <c r="C292" s="1"/>
      <c r="D292">
        <v>11.29</v>
      </c>
      <c r="E292">
        <v>101</v>
      </c>
      <c r="F292">
        <f t="shared" si="21"/>
        <v>7.0712401055408977E-2</v>
      </c>
      <c r="G292">
        <v>-85.33</v>
      </c>
      <c r="I292" s="2">
        <v>44935</v>
      </c>
      <c r="J292" s="6">
        <f t="shared" si="19"/>
        <v>220</v>
      </c>
      <c r="K292" t="s">
        <v>18</v>
      </c>
      <c r="L292">
        <v>10</v>
      </c>
    </row>
    <row r="293" spans="1:12" x14ac:dyDescent="0.25">
      <c r="A293" t="s">
        <v>2</v>
      </c>
      <c r="B293">
        <v>7.6999999999999999E-2</v>
      </c>
      <c r="C293" s="1"/>
      <c r="D293">
        <v>10.59</v>
      </c>
      <c r="E293">
        <v>89.52</v>
      </c>
      <c r="F293">
        <f t="shared" si="21"/>
        <v>7.1767810026385229E-2</v>
      </c>
      <c r="G293">
        <v>-84.03</v>
      </c>
      <c r="I293" s="2">
        <v>44935</v>
      </c>
      <c r="J293" s="6">
        <f t="shared" si="19"/>
        <v>220</v>
      </c>
      <c r="K293" t="s">
        <v>18</v>
      </c>
      <c r="L293">
        <v>10</v>
      </c>
    </row>
    <row r="294" spans="1:12" x14ac:dyDescent="0.25">
      <c r="A294" t="s">
        <v>3</v>
      </c>
      <c r="B294">
        <v>7.5999999999999998E-2</v>
      </c>
      <c r="C294" s="1"/>
      <c r="D294">
        <v>10.51</v>
      </c>
      <c r="E294">
        <v>86</v>
      </c>
      <c r="F294">
        <f t="shared" si="21"/>
        <v>7.0712401055408977E-2</v>
      </c>
      <c r="G294">
        <v>-84.22</v>
      </c>
      <c r="I294" s="2">
        <v>44935</v>
      </c>
      <c r="J294" s="6">
        <f t="shared" si="19"/>
        <v>220</v>
      </c>
      <c r="K294" t="s">
        <v>18</v>
      </c>
      <c r="L294">
        <v>10</v>
      </c>
    </row>
    <row r="295" spans="1:12" x14ac:dyDescent="0.25">
      <c r="A295" t="s">
        <v>4</v>
      </c>
      <c r="B295">
        <v>7.6999999999999999E-2</v>
      </c>
      <c r="C295" s="1"/>
      <c r="D295">
        <v>394.9</v>
      </c>
      <c r="E295">
        <v>409.4</v>
      </c>
      <c r="F295">
        <f t="shared" si="21"/>
        <v>7.1767810026385229E-2</v>
      </c>
      <c r="G295">
        <v>-69.099999999999994</v>
      </c>
      <c r="H295">
        <v>17.11</v>
      </c>
      <c r="I295" s="2">
        <v>44935</v>
      </c>
      <c r="J295" s="6">
        <f t="shared" si="19"/>
        <v>220</v>
      </c>
      <c r="K295" t="s">
        <v>18</v>
      </c>
      <c r="L295">
        <v>20</v>
      </c>
    </row>
    <row r="296" spans="1:12" x14ac:dyDescent="0.25">
      <c r="A296" t="s">
        <v>5</v>
      </c>
      <c r="B296">
        <v>7.8E-2</v>
      </c>
      <c r="C296" s="1"/>
      <c r="D296">
        <v>423</v>
      </c>
      <c r="E296">
        <v>374.2</v>
      </c>
      <c r="F296">
        <f t="shared" si="21"/>
        <v>7.282321899736148E-2</v>
      </c>
      <c r="G296">
        <v>-66.5</v>
      </c>
      <c r="H296">
        <v>15.75</v>
      </c>
      <c r="I296" s="2">
        <v>44935</v>
      </c>
      <c r="J296" s="6">
        <f t="shared" si="19"/>
        <v>220</v>
      </c>
      <c r="K296" t="s">
        <v>18</v>
      </c>
      <c r="L296">
        <v>20</v>
      </c>
    </row>
    <row r="297" spans="1:12" x14ac:dyDescent="0.25">
      <c r="A297" t="s">
        <v>6</v>
      </c>
      <c r="B297">
        <v>7.9000000000000001E-2</v>
      </c>
      <c r="C297" s="1"/>
      <c r="D297">
        <v>378.4</v>
      </c>
      <c r="E297">
        <v>393</v>
      </c>
      <c r="F297">
        <f t="shared" si="21"/>
        <v>7.3878627968337732E-2</v>
      </c>
      <c r="G297">
        <v>-67.69</v>
      </c>
      <c r="H297">
        <v>17.52</v>
      </c>
      <c r="I297" s="2">
        <v>44935</v>
      </c>
      <c r="J297" s="6">
        <f t="shared" si="19"/>
        <v>220</v>
      </c>
      <c r="K297" t="s">
        <v>18</v>
      </c>
      <c r="L297">
        <v>20</v>
      </c>
    </row>
    <row r="298" spans="1:12" x14ac:dyDescent="0.25">
      <c r="A298" t="s">
        <v>7</v>
      </c>
      <c r="B298">
        <v>7.8E-2</v>
      </c>
      <c r="C298" s="1"/>
      <c r="D298">
        <v>168.2</v>
      </c>
      <c r="E298">
        <v>313.3</v>
      </c>
      <c r="F298">
        <f t="shared" si="21"/>
        <v>7.282321899736148E-2</v>
      </c>
      <c r="G298">
        <v>-56.99</v>
      </c>
      <c r="H298">
        <v>14.18</v>
      </c>
      <c r="I298" s="2">
        <v>44935</v>
      </c>
      <c r="J298" s="6">
        <f t="shared" si="19"/>
        <v>220</v>
      </c>
      <c r="K298" t="s">
        <v>18</v>
      </c>
      <c r="L298">
        <v>20</v>
      </c>
    </row>
    <row r="299" spans="1:12" x14ac:dyDescent="0.25">
      <c r="A299" t="s">
        <v>8</v>
      </c>
      <c r="B299">
        <v>7.9000000000000001E-2</v>
      </c>
      <c r="C299" s="1"/>
      <c r="D299">
        <v>44.36</v>
      </c>
      <c r="E299">
        <v>984.9</v>
      </c>
      <c r="F299">
        <f t="shared" si="21"/>
        <v>7.3878627968337732E-2</v>
      </c>
      <c r="G299">
        <v>-99.05</v>
      </c>
      <c r="H299">
        <v>-19.82</v>
      </c>
      <c r="I299" s="2">
        <v>44935</v>
      </c>
      <c r="J299" s="6">
        <f t="shared" si="19"/>
        <v>220</v>
      </c>
      <c r="K299" t="s">
        <v>19</v>
      </c>
      <c r="L299">
        <v>10</v>
      </c>
    </row>
    <row r="300" spans="1:12" x14ac:dyDescent="0.25">
      <c r="A300" t="s">
        <v>9</v>
      </c>
      <c r="B300">
        <v>7.3999999999999996E-2</v>
      </c>
      <c r="C300" s="1"/>
      <c r="D300">
        <v>54.08</v>
      </c>
      <c r="E300">
        <v>1015</v>
      </c>
      <c r="F300">
        <f t="shared" si="21"/>
        <v>6.860158311345646E-2</v>
      </c>
      <c r="G300">
        <v>-99.64</v>
      </c>
      <c r="H300">
        <v>-20.239999999999998</v>
      </c>
      <c r="I300" s="2">
        <v>44935</v>
      </c>
      <c r="J300" s="6">
        <f t="shared" si="19"/>
        <v>220</v>
      </c>
      <c r="K300" t="s">
        <v>19</v>
      </c>
      <c r="L300">
        <v>10</v>
      </c>
    </row>
    <row r="301" spans="1:12" x14ac:dyDescent="0.25">
      <c r="A301" t="s">
        <v>10</v>
      </c>
      <c r="B301">
        <v>7.4999999999999997E-2</v>
      </c>
      <c r="C301" s="1"/>
      <c r="D301">
        <v>41.21</v>
      </c>
      <c r="E301">
        <v>969.4</v>
      </c>
      <c r="F301">
        <f t="shared" si="21"/>
        <v>6.9656992084432726E-2</v>
      </c>
      <c r="G301">
        <v>-98.78</v>
      </c>
      <c r="H301" s="5">
        <v>-20.782</v>
      </c>
      <c r="I301" s="2">
        <v>44935</v>
      </c>
      <c r="J301" s="6">
        <f t="shared" si="19"/>
        <v>220</v>
      </c>
      <c r="K301" t="s">
        <v>19</v>
      </c>
      <c r="L301">
        <v>10</v>
      </c>
    </row>
    <row r="302" spans="1:12" x14ac:dyDescent="0.25">
      <c r="A302" t="s">
        <v>11</v>
      </c>
      <c r="B302">
        <v>7.1999999999999995E-2</v>
      </c>
      <c r="C302" s="1"/>
      <c r="D302">
        <v>41.25</v>
      </c>
      <c r="E302">
        <v>990.5</v>
      </c>
      <c r="F302">
        <f t="shared" si="21"/>
        <v>6.6490765171503957E-2</v>
      </c>
      <c r="G302">
        <v>-97.5</v>
      </c>
      <c r="H302">
        <v>-20.85</v>
      </c>
      <c r="I302" s="2">
        <v>44935</v>
      </c>
      <c r="J302" s="6">
        <f t="shared" si="19"/>
        <v>220</v>
      </c>
      <c r="K302" t="s">
        <v>19</v>
      </c>
      <c r="L302">
        <v>10</v>
      </c>
    </row>
    <row r="303" spans="1:12" x14ac:dyDescent="0.25">
      <c r="A303" t="s">
        <v>12</v>
      </c>
      <c r="B303">
        <v>7.2999999999999995E-2</v>
      </c>
      <c r="C303" s="1"/>
      <c r="D303">
        <v>273.10000000000002</v>
      </c>
      <c r="E303">
        <v>1200</v>
      </c>
      <c r="F303">
        <f t="shared" si="21"/>
        <v>6.7546174142480209E-2</v>
      </c>
      <c r="G303">
        <v>-80.31</v>
      </c>
      <c r="H303">
        <v>-4.22</v>
      </c>
      <c r="I303" s="2">
        <v>44935</v>
      </c>
      <c r="J303" s="6">
        <f t="shared" si="19"/>
        <v>220</v>
      </c>
      <c r="K303" t="s">
        <v>19</v>
      </c>
      <c r="L303">
        <v>20</v>
      </c>
    </row>
    <row r="304" spans="1:12" x14ac:dyDescent="0.25">
      <c r="A304" t="s">
        <v>13</v>
      </c>
      <c r="B304">
        <v>7.4999999999999997E-2</v>
      </c>
      <c r="C304" s="1"/>
      <c r="D304">
        <v>234.6</v>
      </c>
      <c r="E304">
        <v>1088</v>
      </c>
      <c r="F304">
        <f t="shared" si="21"/>
        <v>6.9656992084432726E-2</v>
      </c>
      <c r="G304">
        <v>-79.08</v>
      </c>
      <c r="H304">
        <v>-5.0199999999999996</v>
      </c>
      <c r="I304" s="2">
        <v>44935</v>
      </c>
      <c r="J304" s="6">
        <f t="shared" si="19"/>
        <v>220</v>
      </c>
      <c r="K304" t="s">
        <v>19</v>
      </c>
      <c r="L304">
        <v>20</v>
      </c>
    </row>
    <row r="305" spans="1:12" x14ac:dyDescent="0.25">
      <c r="A305" t="s">
        <v>14</v>
      </c>
      <c r="B305">
        <v>7.4999999999999997E-2</v>
      </c>
      <c r="C305" s="1"/>
      <c r="D305">
        <v>188.7</v>
      </c>
      <c r="E305">
        <v>1160</v>
      </c>
      <c r="F305">
        <f t="shared" si="21"/>
        <v>6.9656992084432726E-2</v>
      </c>
      <c r="G305">
        <v>-77.900000000000006</v>
      </c>
      <c r="H305">
        <v>-5.5</v>
      </c>
      <c r="I305" s="2">
        <v>44935</v>
      </c>
      <c r="J305" s="6">
        <f t="shared" si="19"/>
        <v>220</v>
      </c>
      <c r="K305" t="s">
        <v>19</v>
      </c>
      <c r="L305">
        <v>20</v>
      </c>
    </row>
    <row r="306" spans="1:12" x14ac:dyDescent="0.25">
      <c r="A306" t="s">
        <v>15</v>
      </c>
      <c r="B306">
        <v>7.0000000000000007E-2</v>
      </c>
      <c r="C306" s="1"/>
      <c r="D306">
        <v>253</v>
      </c>
      <c r="E306">
        <v>1210</v>
      </c>
      <c r="F306">
        <f t="shared" si="21"/>
        <v>6.4379947229551454E-2</v>
      </c>
      <c r="G306">
        <v>-70.989999999999995</v>
      </c>
      <c r="H306">
        <v>-5.19</v>
      </c>
      <c r="I306" s="2">
        <v>44935</v>
      </c>
      <c r="J306" s="6">
        <f t="shared" si="19"/>
        <v>220</v>
      </c>
      <c r="K306" t="s">
        <v>19</v>
      </c>
      <c r="L306">
        <v>20</v>
      </c>
    </row>
    <row r="307" spans="1:12" x14ac:dyDescent="0.25">
      <c r="A307" t="s">
        <v>21</v>
      </c>
      <c r="B307">
        <v>0</v>
      </c>
      <c r="F307">
        <v>0</v>
      </c>
      <c r="I307" s="2">
        <v>44935</v>
      </c>
      <c r="J307" s="6">
        <f t="shared" si="19"/>
        <v>220</v>
      </c>
      <c r="K307" t="s">
        <v>19</v>
      </c>
      <c r="L307">
        <v>20</v>
      </c>
    </row>
    <row r="308" spans="1:12" x14ac:dyDescent="0.25">
      <c r="A308" t="s">
        <v>0</v>
      </c>
      <c r="B308">
        <v>7.0999999999999994E-2</v>
      </c>
      <c r="C308" s="1"/>
      <c r="D308">
        <v>7.15</v>
      </c>
      <c r="E308">
        <v>83</v>
      </c>
      <c r="F308">
        <f t="shared" ref="F308:F315" si="22">(B308-0.003)/0.9475</f>
        <v>7.1767810026385215E-2</v>
      </c>
      <c r="G308">
        <v>-84.2</v>
      </c>
      <c r="I308" s="2">
        <v>44949</v>
      </c>
      <c r="J308" s="6">
        <f t="shared" si="19"/>
        <v>234</v>
      </c>
      <c r="K308" t="s">
        <v>18</v>
      </c>
      <c r="L308">
        <v>10</v>
      </c>
    </row>
    <row r="309" spans="1:12" x14ac:dyDescent="0.25">
      <c r="A309" t="s">
        <v>1</v>
      </c>
      <c r="B309">
        <v>7.0000000000000007E-2</v>
      </c>
      <c r="C309" s="1"/>
      <c r="D309">
        <v>9</v>
      </c>
      <c r="E309">
        <v>96</v>
      </c>
      <c r="F309">
        <f t="shared" si="22"/>
        <v>7.0712401055408977E-2</v>
      </c>
      <c r="G309">
        <v>-85.55</v>
      </c>
      <c r="I309" s="2">
        <v>44949</v>
      </c>
      <c r="J309" s="6">
        <f t="shared" si="19"/>
        <v>234</v>
      </c>
      <c r="K309" t="s">
        <v>18</v>
      </c>
      <c r="L309">
        <v>10</v>
      </c>
    </row>
    <row r="310" spans="1:12" x14ac:dyDescent="0.25">
      <c r="A310" t="s">
        <v>2</v>
      </c>
      <c r="B310">
        <v>7.0999999999999994E-2</v>
      </c>
      <c r="C310" s="1"/>
      <c r="D310">
        <v>7.7</v>
      </c>
      <c r="E310">
        <v>80.5</v>
      </c>
      <c r="F310">
        <f t="shared" si="22"/>
        <v>7.1767810026385215E-2</v>
      </c>
      <c r="G310">
        <v>-83.29</v>
      </c>
      <c r="I310" s="2">
        <v>44949</v>
      </c>
      <c r="J310" s="6">
        <f t="shared" si="19"/>
        <v>234</v>
      </c>
      <c r="K310" t="s">
        <v>18</v>
      </c>
      <c r="L310">
        <v>10</v>
      </c>
    </row>
    <row r="311" spans="1:12" x14ac:dyDescent="0.25">
      <c r="A311" t="s">
        <v>3</v>
      </c>
      <c r="B311">
        <v>7.0000000000000007E-2</v>
      </c>
      <c r="C311" s="1"/>
      <c r="D311">
        <v>7.6</v>
      </c>
      <c r="E311">
        <v>79</v>
      </c>
      <c r="F311">
        <f t="shared" si="22"/>
        <v>7.0712401055408977E-2</v>
      </c>
      <c r="G311">
        <v>-84</v>
      </c>
      <c r="I311" s="2">
        <v>44949</v>
      </c>
      <c r="J311" s="6">
        <f t="shared" si="19"/>
        <v>234</v>
      </c>
      <c r="K311" t="s">
        <v>18</v>
      </c>
      <c r="L311">
        <v>10</v>
      </c>
    </row>
    <row r="312" spans="1:12" x14ac:dyDescent="0.25">
      <c r="A312" t="s">
        <v>4</v>
      </c>
      <c r="B312">
        <v>7.0999999999999994E-2</v>
      </c>
      <c r="C312" s="1"/>
      <c r="D312">
        <v>373.2</v>
      </c>
      <c r="E312">
        <v>388.2</v>
      </c>
      <c r="F312">
        <f t="shared" si="22"/>
        <v>7.1767810026385215E-2</v>
      </c>
      <c r="G312">
        <v>-69.14</v>
      </c>
      <c r="H312">
        <v>16.88</v>
      </c>
      <c r="I312" s="2">
        <v>44949</v>
      </c>
      <c r="J312" s="6">
        <f t="shared" si="19"/>
        <v>234</v>
      </c>
      <c r="K312" t="s">
        <v>18</v>
      </c>
      <c r="L312">
        <v>20</v>
      </c>
    </row>
    <row r="313" spans="1:12" x14ac:dyDescent="0.25">
      <c r="A313" t="s">
        <v>5</v>
      </c>
      <c r="B313">
        <v>7.2999999999999995E-2</v>
      </c>
      <c r="C313" s="1"/>
      <c r="D313">
        <v>378.9</v>
      </c>
      <c r="E313">
        <v>394.3</v>
      </c>
      <c r="F313">
        <f t="shared" si="22"/>
        <v>7.3878627968337718E-2</v>
      </c>
      <c r="G313">
        <v>-67.510000000000005</v>
      </c>
      <c r="H313">
        <v>13.08</v>
      </c>
      <c r="I313" s="2">
        <v>44949</v>
      </c>
      <c r="J313" s="6">
        <f t="shared" si="19"/>
        <v>234</v>
      </c>
      <c r="K313" t="s">
        <v>18</v>
      </c>
      <c r="L313">
        <v>20</v>
      </c>
    </row>
    <row r="314" spans="1:12" x14ac:dyDescent="0.25">
      <c r="A314" t="s">
        <v>6</v>
      </c>
      <c r="B314">
        <v>7.3999999999999996E-2</v>
      </c>
      <c r="C314" s="1"/>
      <c r="D314">
        <v>410.3</v>
      </c>
      <c r="E314">
        <v>387.1</v>
      </c>
      <c r="F314">
        <f t="shared" si="22"/>
        <v>7.4934036939313983E-2</v>
      </c>
      <c r="G314">
        <v>-68.8</v>
      </c>
      <c r="H314">
        <v>13.94</v>
      </c>
      <c r="I314" s="2">
        <v>44949</v>
      </c>
      <c r="J314" s="6">
        <f t="shared" si="19"/>
        <v>234</v>
      </c>
      <c r="K314" t="s">
        <v>18</v>
      </c>
      <c r="L314">
        <v>20</v>
      </c>
    </row>
    <row r="315" spans="1:12" x14ac:dyDescent="0.25">
      <c r="A315" t="s">
        <v>7</v>
      </c>
      <c r="B315">
        <v>7.1999999999999995E-2</v>
      </c>
      <c r="C315" s="1"/>
      <c r="D315">
        <v>192.4</v>
      </c>
      <c r="E315">
        <v>284</v>
      </c>
      <c r="F315">
        <f t="shared" si="22"/>
        <v>7.2823218997361466E-2</v>
      </c>
      <c r="G315">
        <v>-61.6</v>
      </c>
      <c r="H315">
        <v>11.99</v>
      </c>
      <c r="I315" s="2">
        <v>44949</v>
      </c>
      <c r="J315" s="6">
        <f t="shared" si="19"/>
        <v>234</v>
      </c>
      <c r="K315" t="s">
        <v>18</v>
      </c>
      <c r="L315">
        <v>20</v>
      </c>
    </row>
    <row r="316" spans="1:12" x14ac:dyDescent="0.25">
      <c r="A316" t="s">
        <v>8</v>
      </c>
      <c r="B316">
        <v>7.8E-2</v>
      </c>
      <c r="C316" s="1"/>
      <c r="D316">
        <v>42.8</v>
      </c>
      <c r="E316">
        <v>985</v>
      </c>
      <c r="F316">
        <f t="shared" ref="F316:F323" si="23">(B316-0.009)/0.9475</f>
        <v>7.282321899736148E-2</v>
      </c>
      <c r="G316">
        <v>-98.99</v>
      </c>
      <c r="H316">
        <v>-19.53</v>
      </c>
      <c r="I316" s="2">
        <v>44949</v>
      </c>
      <c r="J316" s="6">
        <f t="shared" si="19"/>
        <v>234</v>
      </c>
      <c r="K316" t="s">
        <v>19</v>
      </c>
      <c r="L316">
        <v>10</v>
      </c>
    </row>
    <row r="317" spans="1:12" x14ac:dyDescent="0.25">
      <c r="A317" t="s">
        <v>9</v>
      </c>
      <c r="B317">
        <v>7.9000000000000001E-2</v>
      </c>
      <c r="C317" s="1"/>
      <c r="D317">
        <v>45.36</v>
      </c>
      <c r="E317">
        <v>923</v>
      </c>
      <c r="F317">
        <f t="shared" si="23"/>
        <v>7.3878627968337732E-2</v>
      </c>
      <c r="G317">
        <v>-99.1</v>
      </c>
      <c r="H317">
        <v>-19.25</v>
      </c>
      <c r="I317" s="2">
        <v>44949</v>
      </c>
      <c r="J317" s="6">
        <f t="shared" si="19"/>
        <v>234</v>
      </c>
      <c r="K317" t="s">
        <v>19</v>
      </c>
      <c r="L317">
        <v>10</v>
      </c>
    </row>
    <row r="318" spans="1:12" x14ac:dyDescent="0.25">
      <c r="A318" t="s">
        <v>10</v>
      </c>
      <c r="B318">
        <v>7.3999999999999996E-2</v>
      </c>
      <c r="C318" s="1"/>
      <c r="D318">
        <v>44</v>
      </c>
      <c r="E318">
        <v>918</v>
      </c>
      <c r="F318">
        <f t="shared" si="23"/>
        <v>6.860158311345646E-2</v>
      </c>
      <c r="G318">
        <v>-98.35</v>
      </c>
      <c r="H318" s="5">
        <v>-19.73</v>
      </c>
      <c r="I318" s="2">
        <v>44949</v>
      </c>
      <c r="J318" s="6">
        <f t="shared" si="19"/>
        <v>234</v>
      </c>
      <c r="K318" t="s">
        <v>19</v>
      </c>
      <c r="L318">
        <v>10</v>
      </c>
    </row>
    <row r="319" spans="1:12" x14ac:dyDescent="0.25">
      <c r="A319" t="s">
        <v>11</v>
      </c>
      <c r="B319">
        <v>7.1999999999999995E-2</v>
      </c>
      <c r="C319" s="1"/>
      <c r="F319">
        <f t="shared" si="23"/>
        <v>6.6490765171503957E-2</v>
      </c>
      <c r="I319" s="2">
        <v>44949</v>
      </c>
      <c r="J319" s="6">
        <f t="shared" si="19"/>
        <v>234</v>
      </c>
      <c r="K319" t="s">
        <v>19</v>
      </c>
      <c r="L319">
        <v>10</v>
      </c>
    </row>
    <row r="320" spans="1:12" x14ac:dyDescent="0.25">
      <c r="A320" t="s">
        <v>12</v>
      </c>
      <c r="B320">
        <v>6.5000000000000002E-2</v>
      </c>
      <c r="C320" s="1"/>
      <c r="D320">
        <v>176.8</v>
      </c>
      <c r="E320">
        <v>980</v>
      </c>
      <c r="F320">
        <f t="shared" si="23"/>
        <v>5.9102902374670183E-2</v>
      </c>
      <c r="G320">
        <v>-80.14</v>
      </c>
      <c r="H320">
        <v>-6.7</v>
      </c>
      <c r="I320" s="2">
        <v>44949</v>
      </c>
      <c r="J320" s="6">
        <f t="shared" si="19"/>
        <v>234</v>
      </c>
      <c r="K320" t="s">
        <v>19</v>
      </c>
      <c r="L320">
        <v>20</v>
      </c>
    </row>
    <row r="321" spans="1:12" x14ac:dyDescent="0.25">
      <c r="A321" t="s">
        <v>13</v>
      </c>
      <c r="B321">
        <v>6.4000000000000001E-2</v>
      </c>
      <c r="C321" s="1"/>
      <c r="D321">
        <v>167.1</v>
      </c>
      <c r="E321">
        <v>1086</v>
      </c>
      <c r="F321">
        <f t="shared" si="23"/>
        <v>5.8047493403693931E-2</v>
      </c>
      <c r="G321">
        <v>-77.31</v>
      </c>
      <c r="H321">
        <v>-5.64</v>
      </c>
      <c r="I321" s="2">
        <v>44949</v>
      </c>
      <c r="J321" s="6">
        <f t="shared" si="19"/>
        <v>234</v>
      </c>
      <c r="K321" t="s">
        <v>19</v>
      </c>
      <c r="L321">
        <v>20</v>
      </c>
    </row>
    <row r="322" spans="1:12" x14ac:dyDescent="0.25">
      <c r="A322" t="s">
        <v>14</v>
      </c>
      <c r="B322">
        <v>7.0000000000000007E-2</v>
      </c>
      <c r="C322" s="1"/>
      <c r="D322">
        <v>142.5</v>
      </c>
      <c r="E322">
        <v>1035</v>
      </c>
      <c r="F322">
        <f t="shared" si="23"/>
        <v>6.4379947229551454E-2</v>
      </c>
      <c r="G322">
        <v>-79.25</v>
      </c>
      <c r="H322">
        <v>-7.8</v>
      </c>
      <c r="I322" s="2">
        <v>44949</v>
      </c>
      <c r="J322" s="6">
        <f t="shared" si="19"/>
        <v>234</v>
      </c>
      <c r="K322" t="s">
        <v>19</v>
      </c>
      <c r="L322">
        <v>20</v>
      </c>
    </row>
    <row r="323" spans="1:12" x14ac:dyDescent="0.25">
      <c r="A323" t="s">
        <v>15</v>
      </c>
      <c r="B323">
        <v>6.6000000000000003E-2</v>
      </c>
      <c r="C323" s="1"/>
      <c r="D323">
        <v>157.30000000000001</v>
      </c>
      <c r="E323">
        <v>1065</v>
      </c>
      <c r="F323">
        <f t="shared" si="23"/>
        <v>6.0158311345646441E-2</v>
      </c>
      <c r="G323">
        <v>-72</v>
      </c>
      <c r="H323">
        <v>-8.48</v>
      </c>
      <c r="I323" s="2">
        <v>44949</v>
      </c>
      <c r="J323" s="6">
        <f t="shared" ref="J323:J375" si="24">I323-$I$2+5</f>
        <v>234</v>
      </c>
      <c r="K323" t="s">
        <v>19</v>
      </c>
      <c r="L323">
        <v>20</v>
      </c>
    </row>
    <row r="324" spans="1:12" x14ac:dyDescent="0.25">
      <c r="A324" t="s">
        <v>21</v>
      </c>
      <c r="B324">
        <v>0</v>
      </c>
      <c r="F324">
        <v>0</v>
      </c>
      <c r="I324" s="2">
        <v>44949</v>
      </c>
      <c r="J324" s="6">
        <f t="shared" si="24"/>
        <v>234</v>
      </c>
      <c r="K324" t="s">
        <v>19</v>
      </c>
      <c r="L324">
        <v>20</v>
      </c>
    </row>
    <row r="325" spans="1:12" x14ac:dyDescent="0.25">
      <c r="A325" t="s">
        <v>0</v>
      </c>
      <c r="B325">
        <v>7.0999999999999994E-2</v>
      </c>
      <c r="C325" s="1">
        <v>0.62430555555555556</v>
      </c>
      <c r="D325">
        <v>8.8800000000000008</v>
      </c>
      <c r="E325">
        <v>78.12</v>
      </c>
      <c r="F325">
        <f t="shared" ref="F325:F332" si="25">(B325-0.003)/0.9475</f>
        <v>7.1767810026385215E-2</v>
      </c>
      <c r="G325">
        <v>-85.37</v>
      </c>
      <c r="I325" s="2">
        <v>44963</v>
      </c>
      <c r="J325" s="6">
        <f t="shared" si="24"/>
        <v>248</v>
      </c>
      <c r="K325" t="s">
        <v>18</v>
      </c>
      <c r="L325">
        <v>10</v>
      </c>
    </row>
    <row r="326" spans="1:12" x14ac:dyDescent="0.25">
      <c r="A326" t="s">
        <v>1</v>
      </c>
      <c r="B326">
        <v>7.0000000000000007E-2</v>
      </c>
      <c r="C326" s="1"/>
      <c r="D326">
        <v>11.03</v>
      </c>
      <c r="E326">
        <v>95.19</v>
      </c>
      <c r="F326">
        <f t="shared" si="25"/>
        <v>7.0712401055408977E-2</v>
      </c>
      <c r="G326">
        <v>-86.45</v>
      </c>
      <c r="I326" s="2">
        <v>44963</v>
      </c>
      <c r="J326" s="6">
        <f t="shared" si="24"/>
        <v>248</v>
      </c>
      <c r="K326" t="s">
        <v>18</v>
      </c>
      <c r="L326">
        <v>10</v>
      </c>
    </row>
    <row r="327" spans="1:12" x14ac:dyDescent="0.25">
      <c r="A327" t="s">
        <v>2</v>
      </c>
      <c r="B327">
        <v>7.0999999999999994E-2</v>
      </c>
      <c r="C327" s="1"/>
      <c r="D327">
        <v>8.15</v>
      </c>
      <c r="E327">
        <v>74.900000000000006</v>
      </c>
      <c r="F327">
        <f t="shared" si="25"/>
        <v>7.1767810026385215E-2</v>
      </c>
      <c r="G327">
        <v>-83.91</v>
      </c>
      <c r="I327" s="2">
        <v>44963</v>
      </c>
      <c r="J327" s="6">
        <f t="shared" si="24"/>
        <v>248</v>
      </c>
      <c r="K327" t="s">
        <v>18</v>
      </c>
      <c r="L327">
        <v>10</v>
      </c>
    </row>
    <row r="328" spans="1:12" x14ac:dyDescent="0.25">
      <c r="A328" t="s">
        <v>3</v>
      </c>
      <c r="B328">
        <v>7.0000000000000007E-2</v>
      </c>
      <c r="C328" s="1"/>
      <c r="D328">
        <v>8.8000000000000007</v>
      </c>
      <c r="E328">
        <v>77.5</v>
      </c>
      <c r="F328">
        <f t="shared" si="25"/>
        <v>7.0712401055408977E-2</v>
      </c>
      <c r="G328">
        <v>-85.22</v>
      </c>
      <c r="I328" s="2">
        <v>44963</v>
      </c>
      <c r="J328" s="6">
        <f t="shared" si="24"/>
        <v>248</v>
      </c>
      <c r="K328" t="s">
        <v>18</v>
      </c>
      <c r="L328">
        <v>10</v>
      </c>
    </row>
    <row r="329" spans="1:12" x14ac:dyDescent="0.25">
      <c r="A329" t="s">
        <v>4</v>
      </c>
      <c r="B329">
        <v>7.0999999999999994E-2</v>
      </c>
      <c r="C329" s="1"/>
      <c r="D329">
        <v>393</v>
      </c>
      <c r="E329">
        <v>395</v>
      </c>
      <c r="F329">
        <f t="shared" si="25"/>
        <v>7.1767810026385215E-2</v>
      </c>
      <c r="G329">
        <v>-68.97</v>
      </c>
      <c r="H329">
        <v>15.52</v>
      </c>
      <c r="I329" s="2">
        <v>44963</v>
      </c>
      <c r="J329" s="6">
        <f t="shared" si="24"/>
        <v>248</v>
      </c>
      <c r="K329" t="s">
        <v>18</v>
      </c>
      <c r="L329">
        <v>20</v>
      </c>
    </row>
    <row r="330" spans="1:12" x14ac:dyDescent="0.25">
      <c r="A330" t="s">
        <v>5</v>
      </c>
      <c r="B330">
        <v>7.2999999999999995E-2</v>
      </c>
      <c r="C330" s="1"/>
      <c r="D330">
        <v>346</v>
      </c>
      <c r="E330">
        <v>381.5</v>
      </c>
      <c r="F330">
        <f t="shared" si="25"/>
        <v>7.3878627968337718E-2</v>
      </c>
      <c r="G330">
        <v>-66.3</v>
      </c>
      <c r="H330">
        <v>14.01</v>
      </c>
      <c r="I330" s="2">
        <v>44963</v>
      </c>
      <c r="J330" s="6">
        <f t="shared" si="24"/>
        <v>248</v>
      </c>
      <c r="K330" t="s">
        <v>18</v>
      </c>
      <c r="L330">
        <v>20</v>
      </c>
    </row>
    <row r="331" spans="1:12" x14ac:dyDescent="0.25">
      <c r="A331" t="s">
        <v>6</v>
      </c>
      <c r="B331">
        <v>7.3999999999999996E-2</v>
      </c>
      <c r="C331" s="1"/>
      <c r="D331">
        <v>408</v>
      </c>
      <c r="E331">
        <v>392.5</v>
      </c>
      <c r="F331">
        <f t="shared" si="25"/>
        <v>7.4934036939313983E-2</v>
      </c>
      <c r="G331">
        <v>-67.790000000000006</v>
      </c>
      <c r="H331">
        <v>15.92</v>
      </c>
      <c r="I331" s="2">
        <v>44963</v>
      </c>
      <c r="J331" s="6">
        <f t="shared" si="24"/>
        <v>248</v>
      </c>
      <c r="K331" t="s">
        <v>18</v>
      </c>
      <c r="L331">
        <v>20</v>
      </c>
    </row>
    <row r="332" spans="1:12" x14ac:dyDescent="0.25">
      <c r="A332" t="s">
        <v>7</v>
      </c>
      <c r="B332">
        <v>7.1999999999999995E-2</v>
      </c>
      <c r="C332" s="1"/>
      <c r="D332">
        <v>299.2</v>
      </c>
      <c r="E332">
        <v>301.3</v>
      </c>
      <c r="F332">
        <f t="shared" si="25"/>
        <v>7.2823218997361466E-2</v>
      </c>
      <c r="G332">
        <v>-64.75</v>
      </c>
      <c r="H332">
        <v>14.67</v>
      </c>
      <c r="I332" s="2">
        <v>44963</v>
      </c>
      <c r="J332" s="6">
        <f t="shared" si="24"/>
        <v>248</v>
      </c>
      <c r="K332" t="s">
        <v>18</v>
      </c>
      <c r="L332">
        <v>20</v>
      </c>
    </row>
    <row r="333" spans="1:12" x14ac:dyDescent="0.25">
      <c r="A333" t="s">
        <v>8</v>
      </c>
      <c r="B333">
        <v>7.8E-2</v>
      </c>
      <c r="C333" s="1"/>
      <c r="D333">
        <v>51.28</v>
      </c>
      <c r="E333">
        <v>935</v>
      </c>
      <c r="F333">
        <f t="shared" ref="F333:F340" si="26">(B333-0.009)/0.9475</f>
        <v>7.282321899736148E-2</v>
      </c>
      <c r="G333">
        <v>-98.8</v>
      </c>
      <c r="H333">
        <v>-18.39</v>
      </c>
      <c r="I333" s="2">
        <v>44963</v>
      </c>
      <c r="J333" s="6">
        <f t="shared" si="24"/>
        <v>248</v>
      </c>
      <c r="K333" t="s">
        <v>19</v>
      </c>
      <c r="L333">
        <v>10</v>
      </c>
    </row>
    <row r="334" spans="1:12" x14ac:dyDescent="0.25">
      <c r="A334" t="s">
        <v>9</v>
      </c>
      <c r="B334">
        <v>7.9000000000000001E-2</v>
      </c>
      <c r="C334" s="1"/>
      <c r="D334">
        <v>47.85</v>
      </c>
      <c r="E334">
        <v>921.5</v>
      </c>
      <c r="F334">
        <f t="shared" si="26"/>
        <v>7.3878627968337732E-2</v>
      </c>
      <c r="G334">
        <v>-98.16</v>
      </c>
      <c r="H334">
        <v>-18.12</v>
      </c>
      <c r="I334" s="2">
        <v>44963</v>
      </c>
      <c r="J334" s="6">
        <f t="shared" si="24"/>
        <v>248</v>
      </c>
      <c r="K334" t="s">
        <v>19</v>
      </c>
      <c r="L334">
        <v>10</v>
      </c>
    </row>
    <row r="335" spans="1:12" x14ac:dyDescent="0.25">
      <c r="A335" t="s">
        <v>10</v>
      </c>
      <c r="B335">
        <v>7.3999999999999996E-2</v>
      </c>
      <c r="C335" s="1"/>
      <c r="D335">
        <v>48.1</v>
      </c>
      <c r="E335">
        <v>906.8</v>
      </c>
      <c r="F335">
        <f t="shared" si="26"/>
        <v>6.860158311345646E-2</v>
      </c>
      <c r="G335">
        <v>-97.99</v>
      </c>
      <c r="H335" s="5">
        <v>-18.72</v>
      </c>
      <c r="I335" s="2">
        <v>44963</v>
      </c>
      <c r="J335" s="6">
        <f t="shared" si="24"/>
        <v>248</v>
      </c>
      <c r="K335" t="s">
        <v>19</v>
      </c>
      <c r="L335">
        <v>10</v>
      </c>
    </row>
    <row r="336" spans="1:12" x14ac:dyDescent="0.25">
      <c r="A336" t="s">
        <v>11</v>
      </c>
      <c r="B336">
        <v>7.1999999999999995E-2</v>
      </c>
      <c r="C336" s="1"/>
      <c r="F336">
        <f t="shared" si="26"/>
        <v>6.6490765171503957E-2</v>
      </c>
      <c r="I336" s="2">
        <v>44963</v>
      </c>
      <c r="J336" s="6">
        <f t="shared" si="24"/>
        <v>248</v>
      </c>
      <c r="K336" t="s">
        <v>19</v>
      </c>
      <c r="L336">
        <v>10</v>
      </c>
    </row>
    <row r="337" spans="1:12" x14ac:dyDescent="0.25">
      <c r="A337" t="s">
        <v>12</v>
      </c>
      <c r="B337">
        <v>6.5000000000000002E-2</v>
      </c>
      <c r="C337" s="1"/>
      <c r="D337">
        <v>119.4</v>
      </c>
      <c r="E337">
        <v>919.2</v>
      </c>
      <c r="F337">
        <f t="shared" si="26"/>
        <v>5.9102902374670183E-2</v>
      </c>
      <c r="G337">
        <v>-77.22</v>
      </c>
      <c r="H337">
        <v>-7.6970000000000001</v>
      </c>
      <c r="I337" s="2">
        <v>44963</v>
      </c>
      <c r="J337" s="6">
        <f t="shared" si="24"/>
        <v>248</v>
      </c>
      <c r="K337" t="s">
        <v>19</v>
      </c>
      <c r="L337">
        <v>20</v>
      </c>
    </row>
    <row r="338" spans="1:12" x14ac:dyDescent="0.25">
      <c r="A338" t="s">
        <v>13</v>
      </c>
      <c r="B338">
        <v>6.4000000000000001E-2</v>
      </c>
      <c r="C338" s="1"/>
      <c r="D338">
        <v>124.2</v>
      </c>
      <c r="E338">
        <v>978</v>
      </c>
      <c r="F338">
        <f t="shared" si="26"/>
        <v>5.8047493403693931E-2</v>
      </c>
      <c r="G338">
        <v>-79.13</v>
      </c>
      <c r="H338">
        <v>-6.98</v>
      </c>
      <c r="I338" s="2">
        <v>44963</v>
      </c>
      <c r="J338" s="6">
        <f t="shared" si="24"/>
        <v>248</v>
      </c>
      <c r="K338" t="s">
        <v>19</v>
      </c>
      <c r="L338">
        <v>20</v>
      </c>
    </row>
    <row r="339" spans="1:12" x14ac:dyDescent="0.25">
      <c r="A339" t="s">
        <v>14</v>
      </c>
      <c r="B339">
        <v>7.0000000000000007E-2</v>
      </c>
      <c r="C339" s="1"/>
      <c r="D339">
        <v>169.1</v>
      </c>
      <c r="E339">
        <v>956.2</v>
      </c>
      <c r="F339">
        <f t="shared" si="26"/>
        <v>6.4379947229551454E-2</v>
      </c>
      <c r="G339">
        <v>-80.45</v>
      </c>
      <c r="H339">
        <v>-8.43</v>
      </c>
      <c r="I339" s="2">
        <v>44963</v>
      </c>
      <c r="J339" s="6">
        <f t="shared" si="24"/>
        <v>248</v>
      </c>
      <c r="K339" t="s">
        <v>19</v>
      </c>
      <c r="L339">
        <v>20</v>
      </c>
    </row>
    <row r="340" spans="1:12" x14ac:dyDescent="0.25">
      <c r="A340" t="s">
        <v>15</v>
      </c>
      <c r="B340">
        <v>6.6000000000000003E-2</v>
      </c>
      <c r="C340" s="1"/>
      <c r="D340">
        <v>92.44</v>
      </c>
      <c r="E340">
        <v>905</v>
      </c>
      <c r="F340">
        <f t="shared" si="26"/>
        <v>6.0158311345646441E-2</v>
      </c>
      <c r="G340">
        <v>-67.459999999999994</v>
      </c>
      <c r="H340">
        <v>-10.92</v>
      </c>
      <c r="I340" s="2">
        <v>44963</v>
      </c>
      <c r="J340" s="6">
        <f t="shared" si="24"/>
        <v>248</v>
      </c>
      <c r="K340" t="s">
        <v>19</v>
      </c>
      <c r="L340">
        <v>20</v>
      </c>
    </row>
    <row r="341" spans="1:12" x14ac:dyDescent="0.25">
      <c r="A341" t="s">
        <v>21</v>
      </c>
      <c r="B341">
        <v>0</v>
      </c>
      <c r="F341">
        <v>0</v>
      </c>
      <c r="I341" s="2">
        <v>44963</v>
      </c>
      <c r="J341" s="6">
        <f t="shared" si="24"/>
        <v>248</v>
      </c>
      <c r="K341" s="2" t="s">
        <v>19</v>
      </c>
      <c r="L341">
        <v>20</v>
      </c>
    </row>
    <row r="342" spans="1:12" x14ac:dyDescent="0.25">
      <c r="A342" t="s">
        <v>0</v>
      </c>
      <c r="B342">
        <v>7.3999999999999996E-2</v>
      </c>
      <c r="C342" s="1"/>
      <c r="D342">
        <v>10.1</v>
      </c>
      <c r="E342">
        <v>92.2</v>
      </c>
      <c r="F342">
        <f>(B342-0.009)/0.9475</f>
        <v>6.860158311345646E-2</v>
      </c>
      <c r="G342">
        <v>-86.29</v>
      </c>
      <c r="I342" s="2">
        <v>44984</v>
      </c>
      <c r="J342" s="6">
        <f t="shared" si="24"/>
        <v>269</v>
      </c>
      <c r="K342" t="s">
        <v>18</v>
      </c>
      <c r="L342">
        <v>10</v>
      </c>
    </row>
    <row r="343" spans="1:12" x14ac:dyDescent="0.25">
      <c r="A343" t="s">
        <v>1</v>
      </c>
      <c r="B343">
        <v>7.2999999999999995E-2</v>
      </c>
      <c r="C343" s="1"/>
      <c r="D343">
        <v>9.9</v>
      </c>
      <c r="E343">
        <v>103.8</v>
      </c>
      <c r="F343">
        <f t="shared" ref="F343:F358" si="27">(B343-0.009)/0.9475</f>
        <v>6.7546174142480209E-2</v>
      </c>
      <c r="G343">
        <v>-86.77</v>
      </c>
      <c r="I343" s="2">
        <v>44984</v>
      </c>
      <c r="J343" s="6">
        <f t="shared" si="24"/>
        <v>269</v>
      </c>
      <c r="K343" t="s">
        <v>18</v>
      </c>
      <c r="L343">
        <v>10</v>
      </c>
    </row>
    <row r="344" spans="1:12" x14ac:dyDescent="0.25">
      <c r="A344" t="s">
        <v>2</v>
      </c>
      <c r="B344">
        <v>7.4999999999999997E-2</v>
      </c>
      <c r="C344" s="1"/>
      <c r="D344">
        <v>10.15</v>
      </c>
      <c r="E344">
        <v>97.44</v>
      </c>
      <c r="F344">
        <f t="shared" si="27"/>
        <v>6.9656992084432726E-2</v>
      </c>
      <c r="G344">
        <v>-86.34</v>
      </c>
      <c r="I344" s="2">
        <v>44984</v>
      </c>
      <c r="J344" s="6">
        <f t="shared" si="24"/>
        <v>269</v>
      </c>
      <c r="K344" t="s">
        <v>18</v>
      </c>
      <c r="L344">
        <v>10</v>
      </c>
    </row>
    <row r="345" spans="1:12" x14ac:dyDescent="0.25">
      <c r="A345" t="s">
        <v>3</v>
      </c>
      <c r="B345">
        <v>7.4999999999999997E-2</v>
      </c>
      <c r="C345" s="1"/>
      <c r="D345">
        <v>10.3</v>
      </c>
      <c r="E345">
        <v>96.1</v>
      </c>
      <c r="F345">
        <f t="shared" si="27"/>
        <v>6.9656992084432726E-2</v>
      </c>
      <c r="G345">
        <v>-86.22</v>
      </c>
      <c r="I345" s="2">
        <v>44984</v>
      </c>
      <c r="J345" s="6">
        <f t="shared" si="24"/>
        <v>269</v>
      </c>
      <c r="K345" t="s">
        <v>18</v>
      </c>
      <c r="L345">
        <v>10</v>
      </c>
    </row>
    <row r="346" spans="1:12" x14ac:dyDescent="0.25">
      <c r="A346" t="s">
        <v>4</v>
      </c>
      <c r="B346">
        <v>7.5999999999999998E-2</v>
      </c>
      <c r="C346" s="1"/>
      <c r="D346">
        <v>411.8</v>
      </c>
      <c r="E346">
        <v>397</v>
      </c>
      <c r="F346">
        <f t="shared" si="27"/>
        <v>7.0712401055408977E-2</v>
      </c>
      <c r="G346">
        <v>-67.290000000000006</v>
      </c>
      <c r="H346">
        <v>17.54</v>
      </c>
      <c r="I346" s="2">
        <v>44984</v>
      </c>
      <c r="J346" s="6">
        <f t="shared" si="24"/>
        <v>269</v>
      </c>
      <c r="K346" t="s">
        <v>18</v>
      </c>
      <c r="L346">
        <v>20</v>
      </c>
    </row>
    <row r="347" spans="1:12" x14ac:dyDescent="0.25">
      <c r="A347" t="s">
        <v>5</v>
      </c>
      <c r="B347">
        <v>7.6999999999999999E-2</v>
      </c>
      <c r="C347" s="1"/>
      <c r="D347">
        <v>372.7</v>
      </c>
      <c r="E347">
        <v>394</v>
      </c>
      <c r="F347">
        <f t="shared" si="27"/>
        <v>7.1767810026385229E-2</v>
      </c>
      <c r="G347">
        <v>-65.11</v>
      </c>
      <c r="H347">
        <v>16.32</v>
      </c>
      <c r="I347" s="2">
        <v>44984</v>
      </c>
      <c r="J347" s="6">
        <f t="shared" si="24"/>
        <v>269</v>
      </c>
      <c r="K347" t="s">
        <v>18</v>
      </c>
      <c r="L347">
        <v>20</v>
      </c>
    </row>
    <row r="348" spans="1:12" x14ac:dyDescent="0.25">
      <c r="A348" t="s">
        <v>6</v>
      </c>
      <c r="B348">
        <v>7.8E-2</v>
      </c>
      <c r="C348" s="1"/>
      <c r="D348">
        <v>436.5</v>
      </c>
      <c r="E348">
        <v>442</v>
      </c>
      <c r="F348">
        <f t="shared" si="27"/>
        <v>7.282321899736148E-2</v>
      </c>
      <c r="G348">
        <v>-67.739999999999995</v>
      </c>
      <c r="H348">
        <v>18.059999999999999</v>
      </c>
      <c r="I348" s="2">
        <v>44984</v>
      </c>
      <c r="J348" s="6">
        <f t="shared" si="24"/>
        <v>269</v>
      </c>
      <c r="K348" t="s">
        <v>18</v>
      </c>
      <c r="L348">
        <v>20</v>
      </c>
    </row>
    <row r="349" spans="1:12" x14ac:dyDescent="0.25">
      <c r="A349" t="s">
        <v>7</v>
      </c>
      <c r="B349">
        <v>7.8E-2</v>
      </c>
      <c r="C349" s="1"/>
      <c r="D349">
        <v>427.7</v>
      </c>
      <c r="E349">
        <v>453.4</v>
      </c>
      <c r="F349">
        <f t="shared" si="27"/>
        <v>7.282321899736148E-2</v>
      </c>
      <c r="G349">
        <v>-67.25</v>
      </c>
      <c r="H349">
        <v>15.56</v>
      </c>
      <c r="I349" s="2">
        <v>44984</v>
      </c>
      <c r="J349" s="6">
        <f t="shared" si="24"/>
        <v>269</v>
      </c>
      <c r="K349" t="s">
        <v>18</v>
      </c>
      <c r="L349">
        <v>20</v>
      </c>
    </row>
    <row r="350" spans="1:12" x14ac:dyDescent="0.25">
      <c r="A350" t="s">
        <v>8</v>
      </c>
      <c r="B350">
        <v>7.6999999999999999E-2</v>
      </c>
      <c r="C350" s="1"/>
      <c r="D350">
        <v>53.36</v>
      </c>
      <c r="E350">
        <v>902.2</v>
      </c>
      <c r="F350">
        <f t="shared" si="27"/>
        <v>7.1767810026385229E-2</v>
      </c>
      <c r="G350">
        <v>-97.97</v>
      </c>
      <c r="H350">
        <v>-17.37</v>
      </c>
      <c r="I350" s="2">
        <v>44984</v>
      </c>
      <c r="J350" s="6">
        <f t="shared" si="24"/>
        <v>269</v>
      </c>
      <c r="K350" t="s">
        <v>19</v>
      </c>
      <c r="L350">
        <v>10</v>
      </c>
    </row>
    <row r="351" spans="1:12" x14ac:dyDescent="0.25">
      <c r="A351" t="s">
        <v>9</v>
      </c>
      <c r="B351">
        <v>7.2999999999999995E-2</v>
      </c>
      <c r="C351" s="1"/>
      <c r="D351">
        <v>60.53</v>
      </c>
      <c r="E351">
        <v>950.1</v>
      </c>
      <c r="F351">
        <f t="shared" si="27"/>
        <v>6.7546174142480209E-2</v>
      </c>
      <c r="G351">
        <v>-97.44</v>
      </c>
      <c r="H351">
        <v>-18.010000000000002</v>
      </c>
      <c r="I351" s="2">
        <v>44984</v>
      </c>
      <c r="J351" s="6">
        <f t="shared" si="24"/>
        <v>269</v>
      </c>
      <c r="K351" t="s">
        <v>19</v>
      </c>
      <c r="L351">
        <v>10</v>
      </c>
    </row>
    <row r="352" spans="1:12" x14ac:dyDescent="0.25">
      <c r="A352" t="s">
        <v>10</v>
      </c>
      <c r="B352">
        <v>7.3999999999999996E-2</v>
      </c>
      <c r="C352" s="1"/>
      <c r="D352">
        <v>45.62</v>
      </c>
      <c r="E352">
        <v>890.2</v>
      </c>
      <c r="F352">
        <f t="shared" si="27"/>
        <v>6.860158311345646E-2</v>
      </c>
      <c r="G352">
        <v>-96.42</v>
      </c>
      <c r="H352" s="5">
        <v>-17.59</v>
      </c>
      <c r="I352" s="2">
        <v>44984</v>
      </c>
      <c r="J352" s="6">
        <f t="shared" si="24"/>
        <v>269</v>
      </c>
      <c r="K352" t="s">
        <v>19</v>
      </c>
      <c r="L352">
        <v>10</v>
      </c>
    </row>
    <row r="353" spans="1:12" x14ac:dyDescent="0.25">
      <c r="A353" t="s">
        <v>11</v>
      </c>
      <c r="B353">
        <v>6.7000000000000004E-2</v>
      </c>
      <c r="C353" s="1"/>
      <c r="D353">
        <v>48.77</v>
      </c>
      <c r="E353">
        <v>1023</v>
      </c>
      <c r="F353">
        <f t="shared" si="27"/>
        <v>6.1213720316622693E-2</v>
      </c>
      <c r="G353">
        <v>-96.73</v>
      </c>
      <c r="H353">
        <v>-18.510000000000002</v>
      </c>
      <c r="I353" s="2">
        <v>44984</v>
      </c>
      <c r="J353" s="6">
        <f t="shared" si="24"/>
        <v>269</v>
      </c>
      <c r="K353" t="s">
        <v>19</v>
      </c>
      <c r="L353">
        <v>10</v>
      </c>
    </row>
    <row r="354" spans="1:12" x14ac:dyDescent="0.25">
      <c r="A354" t="s">
        <v>12</v>
      </c>
      <c r="B354">
        <v>7.2999999999999995E-2</v>
      </c>
      <c r="C354" s="1"/>
      <c r="D354">
        <v>129</v>
      </c>
      <c r="E354">
        <v>887</v>
      </c>
      <c r="F354">
        <f t="shared" si="27"/>
        <v>6.7546174142480209E-2</v>
      </c>
      <c r="G354">
        <v>-76.7</v>
      </c>
      <c r="H354">
        <v>-9.65</v>
      </c>
      <c r="I354" s="2">
        <v>44984</v>
      </c>
      <c r="J354" s="6">
        <f t="shared" si="24"/>
        <v>269</v>
      </c>
      <c r="K354" t="s">
        <v>19</v>
      </c>
      <c r="L354">
        <v>20</v>
      </c>
    </row>
    <row r="355" spans="1:12" x14ac:dyDescent="0.25">
      <c r="A355" t="s">
        <v>13</v>
      </c>
      <c r="B355">
        <v>7.3999999999999996E-2</v>
      </c>
      <c r="C355" s="1"/>
      <c r="D355">
        <v>190.2</v>
      </c>
      <c r="E355">
        <v>959.9</v>
      </c>
      <c r="F355">
        <f t="shared" si="27"/>
        <v>6.860158311345646E-2</v>
      </c>
      <c r="G355">
        <v>-76.97</v>
      </c>
      <c r="H355">
        <v>-7.7990000000000004</v>
      </c>
      <c r="I355" s="2">
        <v>44984</v>
      </c>
      <c r="J355" s="6">
        <f t="shared" si="24"/>
        <v>269</v>
      </c>
      <c r="K355" t="s">
        <v>19</v>
      </c>
      <c r="L355">
        <v>20</v>
      </c>
    </row>
    <row r="356" spans="1:12" x14ac:dyDescent="0.25">
      <c r="A356" t="s">
        <v>14</v>
      </c>
      <c r="B356">
        <v>7.3999999999999996E-2</v>
      </c>
      <c r="C356" s="1"/>
      <c r="D356">
        <v>81.58</v>
      </c>
      <c r="E356">
        <v>921.5</v>
      </c>
      <c r="F356">
        <f t="shared" si="27"/>
        <v>6.860158311345646E-2</v>
      </c>
      <c r="G356">
        <v>-73.8</v>
      </c>
      <c r="H356">
        <v>-10.71</v>
      </c>
      <c r="I356" s="2">
        <v>44984</v>
      </c>
      <c r="J356" s="6">
        <f t="shared" si="24"/>
        <v>269</v>
      </c>
      <c r="K356" t="s">
        <v>19</v>
      </c>
      <c r="L356">
        <v>20</v>
      </c>
    </row>
    <row r="357" spans="1:12" x14ac:dyDescent="0.25">
      <c r="A357" t="s">
        <v>15</v>
      </c>
      <c r="B357">
        <v>6.5000000000000002E-2</v>
      </c>
      <c r="C357" s="1"/>
      <c r="D357">
        <v>92.45</v>
      </c>
      <c r="E357">
        <v>849.2</v>
      </c>
      <c r="F357">
        <f t="shared" si="27"/>
        <v>5.9102902374670183E-2</v>
      </c>
      <c r="G357">
        <v>-71.73</v>
      </c>
      <c r="H357">
        <v>-9.9049999999999994</v>
      </c>
      <c r="I357" s="2">
        <v>44984</v>
      </c>
      <c r="J357" s="6">
        <f t="shared" si="24"/>
        <v>269</v>
      </c>
      <c r="K357" t="s">
        <v>19</v>
      </c>
      <c r="L357">
        <v>20</v>
      </c>
    </row>
    <row r="358" spans="1:12" x14ac:dyDescent="0.25">
      <c r="A358" t="s">
        <v>21</v>
      </c>
      <c r="B358">
        <v>0</v>
      </c>
      <c r="F358">
        <f t="shared" si="27"/>
        <v>-9.4986807387862793E-3</v>
      </c>
      <c r="I358" s="2">
        <v>44984</v>
      </c>
      <c r="J358" s="6">
        <f t="shared" si="24"/>
        <v>269</v>
      </c>
      <c r="K358" s="2" t="s">
        <v>19</v>
      </c>
      <c r="L358">
        <v>20</v>
      </c>
    </row>
    <row r="359" spans="1:12" x14ac:dyDescent="0.25">
      <c r="A359" t="s">
        <v>0</v>
      </c>
      <c r="B359">
        <v>7.3999999999999996E-2</v>
      </c>
      <c r="C359" s="1">
        <v>0.31875000000000003</v>
      </c>
      <c r="D359">
        <v>10.46</v>
      </c>
      <c r="E359">
        <v>101.9</v>
      </c>
      <c r="F359">
        <f>(B359-0.009)/0.9475</f>
        <v>6.860158311345646E-2</v>
      </c>
      <c r="G359">
        <v>-86.49</v>
      </c>
      <c r="I359" s="2">
        <v>44998</v>
      </c>
      <c r="J359" s="6">
        <f t="shared" si="24"/>
        <v>283</v>
      </c>
      <c r="K359" t="s">
        <v>18</v>
      </c>
      <c r="L359">
        <v>10</v>
      </c>
    </row>
    <row r="360" spans="1:12" x14ac:dyDescent="0.25">
      <c r="A360" t="s">
        <v>1</v>
      </c>
      <c r="B360">
        <v>7.2999999999999995E-2</v>
      </c>
      <c r="C360" s="1"/>
      <c r="D360">
        <v>11.7</v>
      </c>
      <c r="E360">
        <v>98.71</v>
      </c>
      <c r="F360">
        <f t="shared" ref="F360:F375" si="28">(B360-0.009)/0.9475</f>
        <v>6.7546174142480209E-2</v>
      </c>
      <c r="G360">
        <v>-87.16</v>
      </c>
      <c r="I360" s="2">
        <v>44998</v>
      </c>
      <c r="J360" s="6">
        <f t="shared" si="24"/>
        <v>283</v>
      </c>
      <c r="K360" t="s">
        <v>18</v>
      </c>
      <c r="L360">
        <v>10</v>
      </c>
    </row>
    <row r="361" spans="1:12" x14ac:dyDescent="0.25">
      <c r="A361" t="s">
        <v>2</v>
      </c>
      <c r="B361">
        <v>7.4999999999999997E-2</v>
      </c>
      <c r="C361" s="1"/>
      <c r="D361">
        <v>10.07</v>
      </c>
      <c r="E361">
        <v>90.47</v>
      </c>
      <c r="F361">
        <f t="shared" si="28"/>
        <v>6.9656992084432726E-2</v>
      </c>
      <c r="G361">
        <v>-86.69</v>
      </c>
      <c r="I361" s="2">
        <v>44998</v>
      </c>
      <c r="J361" s="6">
        <f t="shared" si="24"/>
        <v>283</v>
      </c>
      <c r="K361" t="s">
        <v>18</v>
      </c>
      <c r="L361">
        <v>10</v>
      </c>
    </row>
    <row r="362" spans="1:12" x14ac:dyDescent="0.25">
      <c r="A362" t="s">
        <v>3</v>
      </c>
      <c r="B362">
        <v>7.4999999999999997E-2</v>
      </c>
      <c r="C362" s="1"/>
      <c r="D362">
        <v>12.99</v>
      </c>
      <c r="E362">
        <v>105.2</v>
      </c>
      <c r="F362">
        <f t="shared" si="28"/>
        <v>6.9656992084432726E-2</v>
      </c>
      <c r="G362">
        <v>-86.18</v>
      </c>
      <c r="I362" s="2">
        <v>44998</v>
      </c>
      <c r="J362" s="6">
        <f t="shared" si="24"/>
        <v>283</v>
      </c>
      <c r="K362" t="s">
        <v>18</v>
      </c>
      <c r="L362">
        <v>10</v>
      </c>
    </row>
    <row r="363" spans="1:12" x14ac:dyDescent="0.25">
      <c r="A363" t="s">
        <v>4</v>
      </c>
      <c r="B363">
        <v>7.5999999999999998E-2</v>
      </c>
      <c r="C363" s="1"/>
      <c r="D363">
        <v>475.5</v>
      </c>
      <c r="E363">
        <v>407.4</v>
      </c>
      <c r="F363">
        <f t="shared" si="28"/>
        <v>7.0712401055408977E-2</v>
      </c>
      <c r="G363">
        <v>-66.540000000000006</v>
      </c>
      <c r="H363">
        <v>19.829999999999998</v>
      </c>
      <c r="I363" s="2">
        <v>44998</v>
      </c>
      <c r="J363" s="6">
        <f t="shared" si="24"/>
        <v>283</v>
      </c>
      <c r="K363" t="s">
        <v>18</v>
      </c>
      <c r="L363">
        <v>20</v>
      </c>
    </row>
    <row r="364" spans="1:12" x14ac:dyDescent="0.25">
      <c r="A364" t="s">
        <v>5</v>
      </c>
      <c r="B364">
        <v>7.6999999999999999E-2</v>
      </c>
      <c r="C364" s="1"/>
      <c r="D364">
        <v>402.7</v>
      </c>
      <c r="E364">
        <v>384.9</v>
      </c>
      <c r="F364">
        <f t="shared" si="28"/>
        <v>7.1767810026385229E-2</v>
      </c>
      <c r="G364">
        <v>-64.28</v>
      </c>
      <c r="H364">
        <v>16.239999999999998</v>
      </c>
      <c r="I364" s="2">
        <v>44998</v>
      </c>
      <c r="J364" s="6">
        <f t="shared" si="24"/>
        <v>283</v>
      </c>
      <c r="K364" t="s">
        <v>18</v>
      </c>
      <c r="L364">
        <v>20</v>
      </c>
    </row>
    <row r="365" spans="1:12" x14ac:dyDescent="0.25">
      <c r="A365" t="s">
        <v>6</v>
      </c>
      <c r="B365">
        <v>7.8E-2</v>
      </c>
      <c r="C365" s="1"/>
      <c r="D365">
        <v>441.1</v>
      </c>
      <c r="E365">
        <v>440</v>
      </c>
      <c r="F365">
        <f t="shared" si="28"/>
        <v>7.282321899736148E-2</v>
      </c>
      <c r="G365">
        <v>-66.790000000000006</v>
      </c>
      <c r="H365">
        <v>16.940000000000001</v>
      </c>
      <c r="I365" s="2">
        <v>44998</v>
      </c>
      <c r="J365" s="6">
        <f t="shared" si="24"/>
        <v>283</v>
      </c>
      <c r="K365" t="s">
        <v>18</v>
      </c>
      <c r="L365">
        <v>20</v>
      </c>
    </row>
    <row r="366" spans="1:12" x14ac:dyDescent="0.25">
      <c r="A366" t="s">
        <v>7</v>
      </c>
      <c r="B366">
        <v>7.8E-2</v>
      </c>
      <c r="C366" s="1"/>
      <c r="D366">
        <v>526.9</v>
      </c>
      <c r="E366">
        <v>640</v>
      </c>
      <c r="F366">
        <f t="shared" si="28"/>
        <v>7.282321899736148E-2</v>
      </c>
      <c r="G366">
        <v>-69.16</v>
      </c>
      <c r="H366">
        <v>12.94</v>
      </c>
      <c r="I366" s="2">
        <v>44998</v>
      </c>
      <c r="J366" s="6">
        <f t="shared" si="24"/>
        <v>283</v>
      </c>
      <c r="K366" t="s">
        <v>18</v>
      </c>
      <c r="L366">
        <v>20</v>
      </c>
    </row>
    <row r="367" spans="1:12" x14ac:dyDescent="0.25">
      <c r="A367" t="s">
        <v>8</v>
      </c>
      <c r="B367">
        <v>7.6999999999999999E-2</v>
      </c>
      <c r="C367" s="1"/>
      <c r="D367">
        <v>56.13</v>
      </c>
      <c r="E367">
        <v>961.4</v>
      </c>
      <c r="F367">
        <f t="shared" si="28"/>
        <v>7.1767810026385229E-2</v>
      </c>
      <c r="G367">
        <v>-97.57</v>
      </c>
      <c r="H367">
        <v>-17.329999999999998</v>
      </c>
      <c r="I367" s="2">
        <v>44998</v>
      </c>
      <c r="J367" s="6">
        <f t="shared" si="24"/>
        <v>283</v>
      </c>
      <c r="K367" t="s">
        <v>19</v>
      </c>
      <c r="L367">
        <v>10</v>
      </c>
    </row>
    <row r="368" spans="1:12" x14ac:dyDescent="0.25">
      <c r="A368" t="s">
        <v>9</v>
      </c>
      <c r="B368">
        <v>7.2999999999999995E-2</v>
      </c>
      <c r="C368" s="1"/>
      <c r="D368">
        <v>55.36</v>
      </c>
      <c r="E368">
        <v>982</v>
      </c>
      <c r="F368">
        <f t="shared" si="28"/>
        <v>6.7546174142480209E-2</v>
      </c>
      <c r="G368">
        <v>-96.296000000000006</v>
      </c>
      <c r="H368">
        <v>-17.97</v>
      </c>
      <c r="I368" s="2">
        <v>44998</v>
      </c>
      <c r="J368" s="6">
        <f t="shared" si="24"/>
        <v>283</v>
      </c>
      <c r="K368" t="s">
        <v>19</v>
      </c>
      <c r="L368">
        <v>10</v>
      </c>
    </row>
    <row r="369" spans="1:12" x14ac:dyDescent="0.25">
      <c r="A369" t="s">
        <v>10</v>
      </c>
      <c r="B369">
        <v>7.3999999999999996E-2</v>
      </c>
      <c r="C369" s="1"/>
      <c r="D369">
        <v>53.8</v>
      </c>
      <c r="E369">
        <v>917.7</v>
      </c>
      <c r="F369">
        <f t="shared" si="28"/>
        <v>6.860158311345646E-2</v>
      </c>
      <c r="G369">
        <v>-95.92</v>
      </c>
      <c r="H369" s="5">
        <v>-17.260000000000002</v>
      </c>
      <c r="I369" s="2">
        <v>44998</v>
      </c>
      <c r="J369" s="6">
        <f t="shared" si="24"/>
        <v>283</v>
      </c>
      <c r="K369" t="s">
        <v>19</v>
      </c>
      <c r="L369">
        <v>10</v>
      </c>
    </row>
    <row r="370" spans="1:12" x14ac:dyDescent="0.25">
      <c r="A370" t="s">
        <v>11</v>
      </c>
      <c r="B370">
        <v>6.7000000000000004E-2</v>
      </c>
      <c r="C370" s="1"/>
      <c r="D370">
        <v>59.15</v>
      </c>
      <c r="E370">
        <v>1002</v>
      </c>
      <c r="F370">
        <f t="shared" si="28"/>
        <v>6.1213720316622693E-2</v>
      </c>
      <c r="G370">
        <v>-97.27</v>
      </c>
      <c r="H370">
        <v>-18.2</v>
      </c>
      <c r="I370" s="2">
        <v>44998</v>
      </c>
      <c r="J370" s="6">
        <f t="shared" si="24"/>
        <v>283</v>
      </c>
      <c r="K370" t="s">
        <v>19</v>
      </c>
      <c r="L370">
        <v>10</v>
      </c>
    </row>
    <row r="371" spans="1:12" x14ac:dyDescent="0.25">
      <c r="A371" t="s">
        <v>12</v>
      </c>
      <c r="B371">
        <v>7.2999999999999995E-2</v>
      </c>
      <c r="C371" s="1"/>
      <c r="D371">
        <v>48.32</v>
      </c>
      <c r="E371">
        <v>858.3</v>
      </c>
      <c r="F371">
        <f t="shared" si="28"/>
        <v>6.7546174142480209E-2</v>
      </c>
      <c r="G371">
        <v>-74.75</v>
      </c>
      <c r="H371">
        <v>-10.039999999999999</v>
      </c>
      <c r="I371" s="2">
        <v>44998</v>
      </c>
      <c r="J371" s="6">
        <f t="shared" si="24"/>
        <v>283</v>
      </c>
      <c r="K371" t="s">
        <v>19</v>
      </c>
      <c r="L371">
        <v>20</v>
      </c>
    </row>
    <row r="372" spans="1:12" x14ac:dyDescent="0.25">
      <c r="A372" t="s">
        <v>13</v>
      </c>
      <c r="B372">
        <v>7.3999999999999996E-2</v>
      </c>
      <c r="C372" s="1"/>
      <c r="D372">
        <v>49.97</v>
      </c>
      <c r="E372">
        <v>865.4</v>
      </c>
      <c r="F372">
        <f t="shared" si="28"/>
        <v>6.860158311345646E-2</v>
      </c>
      <c r="G372">
        <v>-67.569999999999993</v>
      </c>
      <c r="H372">
        <v>-10.34</v>
      </c>
      <c r="I372" s="2">
        <v>44998</v>
      </c>
      <c r="J372" s="6">
        <f t="shared" si="24"/>
        <v>283</v>
      </c>
      <c r="K372" t="s">
        <v>19</v>
      </c>
      <c r="L372">
        <v>20</v>
      </c>
    </row>
    <row r="373" spans="1:12" x14ac:dyDescent="0.25">
      <c r="A373" t="s">
        <v>14</v>
      </c>
      <c r="B373">
        <v>7.3999999999999996E-2</v>
      </c>
      <c r="C373" s="1"/>
      <c r="D373">
        <v>45.26</v>
      </c>
      <c r="E373">
        <v>837.2</v>
      </c>
      <c r="F373">
        <f t="shared" si="28"/>
        <v>6.860158311345646E-2</v>
      </c>
      <c r="G373">
        <v>-72.489999999999995</v>
      </c>
      <c r="H373">
        <v>-11.79</v>
      </c>
      <c r="I373" s="2">
        <v>44998</v>
      </c>
      <c r="J373" s="6">
        <f t="shared" si="24"/>
        <v>283</v>
      </c>
      <c r="K373" t="s">
        <v>19</v>
      </c>
      <c r="L373">
        <v>20</v>
      </c>
    </row>
    <row r="374" spans="1:12" x14ac:dyDescent="0.25">
      <c r="A374" t="s">
        <v>15</v>
      </c>
      <c r="B374">
        <v>6.5000000000000002E-2</v>
      </c>
      <c r="C374" s="1"/>
      <c r="D374">
        <v>105.8</v>
      </c>
      <c r="E374">
        <v>895</v>
      </c>
      <c r="F374">
        <f>(B374-0.009)/0.9475</f>
        <v>5.9102902374670183E-2</v>
      </c>
      <c r="G374">
        <v>-71.569999999999993</v>
      </c>
      <c r="H374">
        <v>-10</v>
      </c>
      <c r="I374" s="2">
        <v>44998</v>
      </c>
      <c r="J374" s="6">
        <f t="shared" si="24"/>
        <v>283</v>
      </c>
      <c r="K374" t="s">
        <v>19</v>
      </c>
      <c r="L374">
        <v>20</v>
      </c>
    </row>
    <row r="375" spans="1:12" x14ac:dyDescent="0.25">
      <c r="A375" t="s">
        <v>21</v>
      </c>
      <c r="B375">
        <v>0</v>
      </c>
      <c r="F375">
        <f t="shared" si="28"/>
        <v>-9.4986807387862793E-3</v>
      </c>
      <c r="I375" s="2">
        <v>44998</v>
      </c>
      <c r="J375" s="6">
        <f t="shared" si="24"/>
        <v>283</v>
      </c>
      <c r="K375" s="2" t="s">
        <v>19</v>
      </c>
      <c r="L375">
        <v>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D724"/>
  <sheetViews>
    <sheetView tabSelected="1" zoomScale="70" zoomScaleNormal="70" workbookViewId="0">
      <pane xSplit="8" ySplit="1" topLeftCell="AB207" activePane="bottomRight" state="frozen"/>
      <selection pane="topRight" activeCell="I1" sqref="I1"/>
      <selection pane="bottomLeft" activeCell="A2" sqref="A2"/>
      <selection pane="bottomRight" activeCell="AK221" sqref="AK221"/>
    </sheetView>
  </sheetViews>
  <sheetFormatPr defaultRowHeight="15" x14ac:dyDescent="0.25"/>
  <cols>
    <col min="4" max="4" width="11.42578125" bestFit="1" customWidth="1"/>
    <col min="6" max="6" width="10.140625" bestFit="1" customWidth="1"/>
    <col min="8" max="8" width="16.7109375" bestFit="1" customWidth="1"/>
    <col min="9" max="9" width="11.28515625" customWidth="1"/>
    <col min="10" max="10" width="12.28515625" bestFit="1" customWidth="1"/>
    <col min="11" max="11" width="8.5703125" bestFit="1" customWidth="1"/>
    <col min="20" max="22" width="9" bestFit="1" customWidth="1"/>
    <col min="23" max="24" width="10.42578125" bestFit="1" customWidth="1"/>
    <col min="25" max="25" width="12.28515625" bestFit="1" customWidth="1"/>
    <col min="26" max="26" width="10.42578125" bestFit="1" customWidth="1"/>
    <col min="27" max="27" width="12.28515625" bestFit="1" customWidth="1"/>
    <col min="28" max="28" width="9.85546875" bestFit="1" customWidth="1"/>
    <col min="29" max="29" width="10.5703125" bestFit="1" customWidth="1"/>
    <col min="30" max="30" width="9.28515625" bestFit="1" customWidth="1"/>
    <col min="32" max="32" width="16.7109375" bestFit="1" customWidth="1"/>
    <col min="34" max="34" width="15.7109375" bestFit="1" customWidth="1"/>
    <col min="35" max="37" width="15.7109375" customWidth="1"/>
    <col min="38" max="38" width="16.85546875" bestFit="1" customWidth="1"/>
    <col min="39" max="39" width="15.42578125" bestFit="1" customWidth="1"/>
    <col min="40" max="40" width="15.28515625" customWidth="1"/>
    <col min="41" max="41" width="14.85546875" customWidth="1"/>
    <col min="42" max="42" width="10.140625" bestFit="1" customWidth="1"/>
    <col min="43" max="43" width="10" bestFit="1" customWidth="1"/>
    <col min="44" max="44" width="10.85546875" bestFit="1" customWidth="1"/>
    <col min="45" max="45" width="9.28515625" bestFit="1" customWidth="1"/>
    <col min="46" max="46" width="10" bestFit="1" customWidth="1"/>
    <col min="47" max="48" width="9.28515625" bestFit="1" customWidth="1"/>
    <col min="49" max="49" width="11" bestFit="1" customWidth="1"/>
    <col min="50" max="50" width="13.140625" bestFit="1" customWidth="1"/>
    <col min="51" max="52" width="11" bestFit="1" customWidth="1"/>
    <col min="53" max="53" width="10.7109375" bestFit="1" customWidth="1"/>
  </cols>
  <sheetData>
    <row r="1" spans="1:56" x14ac:dyDescent="0.25">
      <c r="A1" t="s">
        <v>29</v>
      </c>
      <c r="B1" t="s">
        <v>16</v>
      </c>
      <c r="C1" t="s">
        <v>17</v>
      </c>
      <c r="D1" t="s">
        <v>48</v>
      </c>
      <c r="E1" t="s">
        <v>47</v>
      </c>
      <c r="F1" t="s">
        <v>57</v>
      </c>
      <c r="G1" t="s">
        <v>56</v>
      </c>
      <c r="H1" t="s">
        <v>93</v>
      </c>
      <c r="I1" t="s">
        <v>47</v>
      </c>
      <c r="J1" t="s">
        <v>94</v>
      </c>
      <c r="K1" t="s">
        <v>95</v>
      </c>
      <c r="L1" t="s">
        <v>53</v>
      </c>
      <c r="M1" t="s">
        <v>54</v>
      </c>
      <c r="N1" t="s">
        <v>82</v>
      </c>
      <c r="O1" t="s">
        <v>83</v>
      </c>
      <c r="P1" t="s">
        <v>84</v>
      </c>
      <c r="Q1" t="s">
        <v>147</v>
      </c>
      <c r="R1" t="s">
        <v>148</v>
      </c>
      <c r="S1" t="s">
        <v>85</v>
      </c>
      <c r="T1" t="s">
        <v>86</v>
      </c>
      <c r="U1" t="s">
        <v>87</v>
      </c>
      <c r="V1" t="s">
        <v>88</v>
      </c>
      <c r="W1" t="s">
        <v>134</v>
      </c>
      <c r="X1" t="s">
        <v>142</v>
      </c>
      <c r="Y1" t="s">
        <v>135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  <c r="AE1" t="s">
        <v>55</v>
      </c>
      <c r="AF1" t="s">
        <v>58</v>
      </c>
      <c r="AG1" t="s">
        <v>59</v>
      </c>
      <c r="AH1" t="s">
        <v>60</v>
      </c>
      <c r="AL1" t="s">
        <v>66</v>
      </c>
      <c r="AM1" t="s">
        <v>143</v>
      </c>
      <c r="AN1" t="s">
        <v>91</v>
      </c>
      <c r="AO1" t="s">
        <v>92</v>
      </c>
      <c r="AP1" t="s">
        <v>61</v>
      </c>
      <c r="AQ1" t="s">
        <v>62</v>
      </c>
      <c r="AR1" t="s">
        <v>63</v>
      </c>
      <c r="AS1" t="s">
        <v>73</v>
      </c>
      <c r="AT1" t="s">
        <v>77</v>
      </c>
      <c r="AU1" t="s">
        <v>74</v>
      </c>
      <c r="AV1" t="s">
        <v>75</v>
      </c>
      <c r="AW1" t="s">
        <v>76</v>
      </c>
      <c r="AX1" t="s">
        <v>78</v>
      </c>
      <c r="AY1" t="s">
        <v>79</v>
      </c>
      <c r="AZ1" t="s">
        <v>80</v>
      </c>
      <c r="BA1" t="s">
        <v>81</v>
      </c>
      <c r="BB1" t="s">
        <v>144</v>
      </c>
      <c r="BC1" t="s">
        <v>145</v>
      </c>
      <c r="BD1" t="s">
        <v>146</v>
      </c>
    </row>
    <row r="2" spans="1:56" x14ac:dyDescent="0.25">
      <c r="A2" t="s">
        <v>50</v>
      </c>
      <c r="B2" t="s">
        <v>89</v>
      </c>
      <c r="C2" t="s">
        <v>90</v>
      </c>
      <c r="G2">
        <v>0</v>
      </c>
      <c r="H2" s="2">
        <v>44715</v>
      </c>
      <c r="I2" s="5"/>
      <c r="J2" s="5"/>
      <c r="K2" s="5"/>
      <c r="L2">
        <f>(26.65-4.27)/(186.29-4.27) * 100</f>
        <v>12.295352159103395</v>
      </c>
      <c r="M2">
        <f>1-(27.01629-26.52583)/(29.15505-26.52583)</f>
        <v>0.81345798373662059</v>
      </c>
      <c r="N2">
        <v>10.077970441056754</v>
      </c>
      <c r="O2">
        <v>17.397881996974249</v>
      </c>
      <c r="P2">
        <v>19.734447991154063</v>
      </c>
      <c r="Q2">
        <v>47.210300429185068</v>
      </c>
      <c r="R2">
        <v>27.475852438031005</v>
      </c>
      <c r="S2">
        <v>9.2024032420116502</v>
      </c>
      <c r="T2">
        <v>3.32292266666667</v>
      </c>
      <c r="U2">
        <v>6.3910669999999996</v>
      </c>
      <c r="V2">
        <v>15.664</v>
      </c>
      <c r="W2">
        <v>8667</v>
      </c>
      <c r="X2">
        <v>2901</v>
      </c>
      <c r="Y2">
        <v>583.5</v>
      </c>
      <c r="Z2">
        <v>2093</v>
      </c>
      <c r="AA2">
        <v>741.7</v>
      </c>
      <c r="AB2">
        <v>489.8</v>
      </c>
      <c r="AC2">
        <v>27.9</v>
      </c>
      <c r="AD2">
        <v>160.1</v>
      </c>
      <c r="AE2">
        <v>7.25</v>
      </c>
    </row>
    <row r="3" spans="1:56" x14ac:dyDescent="0.25">
      <c r="A3" t="s">
        <v>51</v>
      </c>
      <c r="B3" t="s">
        <v>89</v>
      </c>
      <c r="C3" t="s">
        <v>90</v>
      </c>
      <c r="G3">
        <v>0</v>
      </c>
      <c r="H3" s="2">
        <v>44715</v>
      </c>
      <c r="I3" s="5"/>
      <c r="J3" s="5"/>
      <c r="K3" s="5"/>
      <c r="L3">
        <f>(27.48-4.34)/(194.26-4.34) * 100</f>
        <v>12.184077506318451</v>
      </c>
      <c r="M3">
        <f>1-(21.2596-20.87028)/(23.00274-20.87028)</f>
        <v>0.8174315110248267</v>
      </c>
      <c r="N3">
        <v>8.3808350023110627</v>
      </c>
      <c r="O3">
        <v>19.519334463102698</v>
      </c>
      <c r="P3">
        <v>20.798890095714313</v>
      </c>
      <c r="Q3">
        <v>48.699059561128074</v>
      </c>
      <c r="R3">
        <v>27.900169465413761</v>
      </c>
      <c r="S3">
        <v>9.3126599929960161</v>
      </c>
      <c r="T3">
        <v>3.3057979999999998</v>
      </c>
      <c r="U3">
        <v>6.4070456666666695</v>
      </c>
      <c r="V3">
        <v>15.9687</v>
      </c>
      <c r="W3">
        <v>8761.9</v>
      </c>
      <c r="X3">
        <v>2927.8</v>
      </c>
      <c r="Y3">
        <v>587.79999999999995</v>
      </c>
      <c r="Z3">
        <v>2115.1</v>
      </c>
      <c r="AA3">
        <v>748.8</v>
      </c>
      <c r="AB3">
        <v>496.1</v>
      </c>
      <c r="AC3">
        <v>27.6</v>
      </c>
      <c r="AD3">
        <v>303.60000000000002</v>
      </c>
      <c r="AE3">
        <v>7.25</v>
      </c>
    </row>
    <row r="4" spans="1:56" x14ac:dyDescent="0.25">
      <c r="A4" t="s">
        <v>52</v>
      </c>
      <c r="B4" t="s">
        <v>89</v>
      </c>
      <c r="C4" t="s">
        <v>90</v>
      </c>
      <c r="G4">
        <v>0</v>
      </c>
      <c r="H4" s="2">
        <v>44715</v>
      </c>
      <c r="I4" s="5"/>
      <c r="J4" s="5"/>
      <c r="K4" s="5"/>
      <c r="L4">
        <f>(26.01-4.31)/(183.68-4.31) * 100</f>
        <v>12.097898199252942</v>
      </c>
      <c r="M4">
        <f>1-(23.19321-22.77823)/(25.05555-22.77823)</f>
        <v>0.81777703616531716</v>
      </c>
      <c r="N4">
        <v>8.1679024156892588</v>
      </c>
      <c r="O4">
        <v>19.995216455393578</v>
      </c>
      <c r="P4">
        <v>17.427818054820214</v>
      </c>
      <c r="Q4">
        <v>45.590936925903051</v>
      </c>
      <c r="R4">
        <v>28.163118871082837</v>
      </c>
      <c r="S4">
        <v>9.5228570060067508</v>
      </c>
      <c r="T4">
        <v>3.23716633333333</v>
      </c>
      <c r="U4">
        <v>6.3221626666666699</v>
      </c>
      <c r="V4">
        <v>16.053799999999999</v>
      </c>
      <c r="W4">
        <v>8780.6</v>
      </c>
      <c r="X4">
        <v>2934.2</v>
      </c>
      <c r="Y4">
        <v>590.4</v>
      </c>
      <c r="Z4">
        <v>2122.8000000000002</v>
      </c>
      <c r="AA4">
        <v>753.4</v>
      </c>
      <c r="AB4">
        <v>495.8</v>
      </c>
      <c r="AC4">
        <v>28.3</v>
      </c>
      <c r="AD4">
        <v>348.3</v>
      </c>
      <c r="AE4">
        <v>7.25</v>
      </c>
    </row>
    <row r="5" spans="1:56" x14ac:dyDescent="0.25">
      <c r="A5" t="s">
        <v>0</v>
      </c>
      <c r="B5" t="s">
        <v>18</v>
      </c>
      <c r="C5">
        <v>10</v>
      </c>
      <c r="D5">
        <v>900.68</v>
      </c>
      <c r="E5">
        <v>551.78</v>
      </c>
      <c r="F5">
        <f>D5+E5</f>
        <v>1452.46</v>
      </c>
      <c r="G5">
        <v>0</v>
      </c>
      <c r="H5" s="2">
        <v>44715</v>
      </c>
      <c r="I5" s="5"/>
      <c r="J5" s="5"/>
      <c r="K5" s="5"/>
      <c r="L5">
        <f>AVERAGE(L$2:L$4)</f>
        <v>12.192442621558262</v>
      </c>
      <c r="M5">
        <f>AVERAGE(M$2:M$4)</f>
        <v>0.81622217697558808</v>
      </c>
      <c r="N5">
        <f t="shared" ref="N5:R20" si="0">AVERAGE(N$2:N$4)</f>
        <v>8.8755692863523574</v>
      </c>
      <c r="O5">
        <f t="shared" si="0"/>
        <v>18.970810971823507</v>
      </c>
      <c r="P5">
        <f t="shared" si="0"/>
        <v>19.320385380562865</v>
      </c>
      <c r="Q5">
        <f t="shared" si="0"/>
        <v>47.166765638738731</v>
      </c>
      <c r="R5">
        <f t="shared" si="0"/>
        <v>27.846380258175866</v>
      </c>
      <c r="S5">
        <v>9.3459734136714729</v>
      </c>
      <c r="T5" s="8">
        <f>AVERAGE(T$2:T$4)</f>
        <v>3.2886290000000002</v>
      </c>
      <c r="U5" s="8">
        <f t="shared" ref="U5:W20" si="1">AVERAGE(U$2:U$4)</f>
        <v>6.3734251111111133</v>
      </c>
      <c r="V5" s="8">
        <f t="shared" si="1"/>
        <v>15.895499999999998</v>
      </c>
      <c r="W5" s="8">
        <f>AVERAGE(W$2:W$4)</f>
        <v>8736.5</v>
      </c>
      <c r="X5" s="8">
        <f t="shared" ref="X5:AD20" si="2">AVERAGE(X$2:X$4)</f>
        <v>2921</v>
      </c>
      <c r="Y5" s="8">
        <f t="shared" si="2"/>
        <v>587.23333333333323</v>
      </c>
      <c r="Z5" s="8">
        <f t="shared" si="2"/>
        <v>2110.3000000000002</v>
      </c>
      <c r="AA5" s="8">
        <f t="shared" si="2"/>
        <v>747.9666666666667</v>
      </c>
      <c r="AB5" s="8">
        <f t="shared" si="2"/>
        <v>493.90000000000003</v>
      </c>
      <c r="AC5" s="8">
        <f t="shared" si="2"/>
        <v>27.933333333333334</v>
      </c>
      <c r="AD5" s="8">
        <f t="shared" si="2"/>
        <v>270.66666666666669</v>
      </c>
      <c r="AE5">
        <v>7.25</v>
      </c>
    </row>
    <row r="6" spans="1:56" x14ac:dyDescent="0.25">
      <c r="A6" t="s">
        <v>1</v>
      </c>
      <c r="B6" t="s">
        <v>18</v>
      </c>
      <c r="C6">
        <v>10</v>
      </c>
      <c r="D6">
        <v>900.99</v>
      </c>
      <c r="E6">
        <v>550.91999999999996</v>
      </c>
      <c r="F6">
        <f t="shared" ref="F6:F20" si="3">D6+E6</f>
        <v>1451.9099999999999</v>
      </c>
      <c r="G6">
        <v>0</v>
      </c>
      <c r="H6" s="2">
        <v>44715</v>
      </c>
      <c r="I6" s="5"/>
      <c r="J6" s="5"/>
      <c r="K6" s="5"/>
      <c r="L6">
        <f t="shared" ref="L6:M20" si="4">AVERAGE(L$2:L$4)</f>
        <v>12.192442621558262</v>
      </c>
      <c r="M6">
        <f t="shared" si="4"/>
        <v>0.81622217697558808</v>
      </c>
      <c r="N6">
        <f t="shared" si="0"/>
        <v>8.8755692863523574</v>
      </c>
      <c r="O6">
        <f t="shared" si="0"/>
        <v>18.970810971823507</v>
      </c>
      <c r="P6">
        <f t="shared" si="0"/>
        <v>19.320385380562865</v>
      </c>
      <c r="Q6">
        <f t="shared" si="0"/>
        <v>47.166765638738731</v>
      </c>
      <c r="R6">
        <f t="shared" si="0"/>
        <v>27.846380258175866</v>
      </c>
      <c r="S6">
        <v>9.3459734136714729</v>
      </c>
      <c r="T6" s="8">
        <f t="shared" ref="T6:T20" si="5">AVERAGE(T$2:T$4)</f>
        <v>3.2886290000000002</v>
      </c>
      <c r="U6" s="8">
        <f t="shared" si="1"/>
        <v>6.3734251111111133</v>
      </c>
      <c r="V6" s="8">
        <f t="shared" si="1"/>
        <v>15.895499999999998</v>
      </c>
      <c r="W6" s="8">
        <f>AVERAGE(W$2:W$4)</f>
        <v>8736.5</v>
      </c>
      <c r="X6" s="8">
        <f t="shared" si="2"/>
        <v>2921</v>
      </c>
      <c r="Y6" s="8">
        <f t="shared" si="2"/>
        <v>587.23333333333323</v>
      </c>
      <c r="Z6" s="8">
        <f t="shared" si="2"/>
        <v>2110.3000000000002</v>
      </c>
      <c r="AA6" s="8">
        <f t="shared" si="2"/>
        <v>747.9666666666667</v>
      </c>
      <c r="AB6" s="8">
        <f t="shared" si="2"/>
        <v>493.90000000000003</v>
      </c>
      <c r="AC6" s="8">
        <f t="shared" si="2"/>
        <v>27.933333333333334</v>
      </c>
      <c r="AD6" s="8">
        <f t="shared" si="2"/>
        <v>270.66666666666669</v>
      </c>
      <c r="AE6">
        <v>7.25</v>
      </c>
    </row>
    <row r="7" spans="1:56" x14ac:dyDescent="0.25">
      <c r="A7" t="s">
        <v>2</v>
      </c>
      <c r="B7" t="s">
        <v>18</v>
      </c>
      <c r="C7">
        <v>10</v>
      </c>
      <c r="D7">
        <v>902.43</v>
      </c>
      <c r="E7">
        <v>554.62</v>
      </c>
      <c r="F7">
        <f t="shared" si="3"/>
        <v>1457.05</v>
      </c>
      <c r="G7">
        <v>0</v>
      </c>
      <c r="H7" s="2">
        <v>44715</v>
      </c>
      <c r="I7" s="5"/>
      <c r="J7" s="5"/>
      <c r="K7" s="5"/>
      <c r="L7">
        <f t="shared" si="4"/>
        <v>12.192442621558262</v>
      </c>
      <c r="M7">
        <f t="shared" si="4"/>
        <v>0.81622217697558808</v>
      </c>
      <c r="N7">
        <f t="shared" si="0"/>
        <v>8.8755692863523574</v>
      </c>
      <c r="O7">
        <f t="shared" si="0"/>
        <v>18.970810971823507</v>
      </c>
      <c r="P7">
        <f t="shared" si="0"/>
        <v>19.320385380562865</v>
      </c>
      <c r="Q7">
        <f t="shared" si="0"/>
        <v>47.166765638738731</v>
      </c>
      <c r="R7">
        <f t="shared" si="0"/>
        <v>27.846380258175866</v>
      </c>
      <c r="S7">
        <v>9.3459734136714729</v>
      </c>
      <c r="T7" s="8">
        <f t="shared" si="5"/>
        <v>3.2886290000000002</v>
      </c>
      <c r="U7" s="8">
        <f t="shared" si="1"/>
        <v>6.3734251111111133</v>
      </c>
      <c r="V7" s="8">
        <f t="shared" si="1"/>
        <v>15.895499999999998</v>
      </c>
      <c r="W7" s="8">
        <f t="shared" si="1"/>
        <v>8736.5</v>
      </c>
      <c r="X7" s="8">
        <f t="shared" si="2"/>
        <v>2921</v>
      </c>
      <c r="Y7" s="8">
        <f t="shared" si="2"/>
        <v>587.23333333333323</v>
      </c>
      <c r="Z7" s="8">
        <f t="shared" si="2"/>
        <v>2110.3000000000002</v>
      </c>
      <c r="AA7" s="8">
        <f t="shared" si="2"/>
        <v>747.9666666666667</v>
      </c>
      <c r="AB7" s="8">
        <f t="shared" si="2"/>
        <v>493.90000000000003</v>
      </c>
      <c r="AC7" s="8">
        <f t="shared" si="2"/>
        <v>27.933333333333334</v>
      </c>
      <c r="AD7" s="8">
        <f t="shared" si="2"/>
        <v>270.66666666666669</v>
      </c>
      <c r="AE7">
        <v>7.25</v>
      </c>
    </row>
    <row r="8" spans="1:56" x14ac:dyDescent="0.25">
      <c r="A8" t="s">
        <v>3</v>
      </c>
      <c r="B8" t="s">
        <v>18</v>
      </c>
      <c r="C8">
        <v>10</v>
      </c>
      <c r="D8">
        <v>900.69</v>
      </c>
      <c r="E8">
        <v>569.14</v>
      </c>
      <c r="F8">
        <f t="shared" si="3"/>
        <v>1469.83</v>
      </c>
      <c r="G8">
        <v>0</v>
      </c>
      <c r="H8" s="2">
        <v>44715</v>
      </c>
      <c r="I8" s="5"/>
      <c r="J8" s="5"/>
      <c r="K8" s="5"/>
      <c r="L8">
        <f t="shared" si="4"/>
        <v>12.192442621558262</v>
      </c>
      <c r="M8">
        <f t="shared" si="4"/>
        <v>0.81622217697558808</v>
      </c>
      <c r="N8">
        <f t="shared" si="0"/>
        <v>8.8755692863523574</v>
      </c>
      <c r="O8">
        <f t="shared" si="0"/>
        <v>18.970810971823507</v>
      </c>
      <c r="P8">
        <f t="shared" si="0"/>
        <v>19.320385380562865</v>
      </c>
      <c r="Q8">
        <f t="shared" si="0"/>
        <v>47.166765638738731</v>
      </c>
      <c r="R8">
        <f t="shared" si="0"/>
        <v>27.846380258175866</v>
      </c>
      <c r="S8">
        <v>9.3459734136714729</v>
      </c>
      <c r="T8" s="8">
        <f t="shared" si="5"/>
        <v>3.2886290000000002</v>
      </c>
      <c r="U8" s="8">
        <f t="shared" si="1"/>
        <v>6.3734251111111133</v>
      </c>
      <c r="V8" s="8">
        <f t="shared" si="1"/>
        <v>15.895499999999998</v>
      </c>
      <c r="W8" s="8">
        <f t="shared" si="1"/>
        <v>8736.5</v>
      </c>
      <c r="X8" s="8">
        <f t="shared" si="2"/>
        <v>2921</v>
      </c>
      <c r="Y8" s="8">
        <f t="shared" si="2"/>
        <v>587.23333333333323</v>
      </c>
      <c r="Z8" s="8">
        <f t="shared" si="2"/>
        <v>2110.3000000000002</v>
      </c>
      <c r="AA8" s="8">
        <f t="shared" si="2"/>
        <v>747.9666666666667</v>
      </c>
      <c r="AB8" s="8">
        <f t="shared" si="2"/>
        <v>493.90000000000003</v>
      </c>
      <c r="AC8" s="8">
        <f t="shared" si="2"/>
        <v>27.933333333333334</v>
      </c>
      <c r="AD8" s="8">
        <f t="shared" si="2"/>
        <v>270.66666666666669</v>
      </c>
      <c r="AE8">
        <v>7.25</v>
      </c>
    </row>
    <row r="9" spans="1:56" x14ac:dyDescent="0.25">
      <c r="A9" t="s">
        <v>4</v>
      </c>
      <c r="B9" t="s">
        <v>18</v>
      </c>
      <c r="C9">
        <v>20</v>
      </c>
      <c r="D9">
        <v>901.75</v>
      </c>
      <c r="E9">
        <v>568.85</v>
      </c>
      <c r="F9">
        <f t="shared" si="3"/>
        <v>1470.6</v>
      </c>
      <c r="G9">
        <v>0</v>
      </c>
      <c r="H9" s="2">
        <v>44715</v>
      </c>
      <c r="I9" s="5"/>
      <c r="J9" s="5"/>
      <c r="K9" s="5"/>
      <c r="L9">
        <f t="shared" si="4"/>
        <v>12.192442621558262</v>
      </c>
      <c r="M9">
        <f t="shared" si="4"/>
        <v>0.81622217697558808</v>
      </c>
      <c r="N9">
        <f t="shared" si="0"/>
        <v>8.8755692863523574</v>
      </c>
      <c r="O9">
        <f t="shared" si="0"/>
        <v>18.970810971823507</v>
      </c>
      <c r="P9">
        <f t="shared" si="0"/>
        <v>19.320385380562865</v>
      </c>
      <c r="Q9">
        <f t="shared" si="0"/>
        <v>47.166765638738731</v>
      </c>
      <c r="R9">
        <f t="shared" si="0"/>
        <v>27.846380258175866</v>
      </c>
      <c r="S9">
        <v>9.3459734136714729</v>
      </c>
      <c r="T9" s="8">
        <f t="shared" si="5"/>
        <v>3.2886290000000002</v>
      </c>
      <c r="U9" s="8">
        <f t="shared" si="1"/>
        <v>6.3734251111111133</v>
      </c>
      <c r="V9" s="8">
        <f t="shared" si="1"/>
        <v>15.895499999999998</v>
      </c>
      <c r="W9" s="8">
        <f t="shared" si="1"/>
        <v>8736.5</v>
      </c>
      <c r="X9" s="8">
        <f t="shared" si="2"/>
        <v>2921</v>
      </c>
      <c r="Y9" s="8">
        <f t="shared" si="2"/>
        <v>587.23333333333323</v>
      </c>
      <c r="Z9" s="8">
        <f t="shared" si="2"/>
        <v>2110.3000000000002</v>
      </c>
      <c r="AA9" s="8">
        <f t="shared" si="2"/>
        <v>747.9666666666667</v>
      </c>
      <c r="AB9" s="8">
        <f t="shared" si="2"/>
        <v>493.90000000000003</v>
      </c>
      <c r="AC9" s="8">
        <f t="shared" si="2"/>
        <v>27.933333333333334</v>
      </c>
      <c r="AD9" s="8">
        <f t="shared" si="2"/>
        <v>270.66666666666669</v>
      </c>
      <c r="AE9">
        <v>7.25</v>
      </c>
    </row>
    <row r="10" spans="1:56" x14ac:dyDescent="0.25">
      <c r="A10" t="s">
        <v>5</v>
      </c>
      <c r="B10" t="s">
        <v>18</v>
      </c>
      <c r="C10">
        <v>20</v>
      </c>
      <c r="D10">
        <v>901.81</v>
      </c>
      <c r="E10">
        <v>574.69000000000005</v>
      </c>
      <c r="F10">
        <f t="shared" si="3"/>
        <v>1476.5</v>
      </c>
      <c r="G10">
        <v>0</v>
      </c>
      <c r="H10" s="2">
        <v>44715</v>
      </c>
      <c r="I10" s="5"/>
      <c r="J10" s="5"/>
      <c r="K10" s="5"/>
      <c r="L10">
        <f t="shared" si="4"/>
        <v>12.192442621558262</v>
      </c>
      <c r="M10">
        <f t="shared" si="4"/>
        <v>0.81622217697558808</v>
      </c>
      <c r="N10">
        <f t="shared" si="0"/>
        <v>8.8755692863523574</v>
      </c>
      <c r="O10">
        <f t="shared" si="0"/>
        <v>18.970810971823507</v>
      </c>
      <c r="P10">
        <f t="shared" si="0"/>
        <v>19.320385380562865</v>
      </c>
      <c r="Q10">
        <f t="shared" si="0"/>
        <v>47.166765638738731</v>
      </c>
      <c r="R10">
        <f t="shared" si="0"/>
        <v>27.846380258175866</v>
      </c>
      <c r="S10">
        <v>9.3459734136714729</v>
      </c>
      <c r="T10" s="8">
        <f t="shared" si="5"/>
        <v>3.2886290000000002</v>
      </c>
      <c r="U10" s="8">
        <f t="shared" si="1"/>
        <v>6.3734251111111133</v>
      </c>
      <c r="V10" s="8">
        <f t="shared" si="1"/>
        <v>15.895499999999998</v>
      </c>
      <c r="W10" s="8">
        <f t="shared" si="1"/>
        <v>8736.5</v>
      </c>
      <c r="X10" s="8">
        <f t="shared" si="2"/>
        <v>2921</v>
      </c>
      <c r="Y10" s="8">
        <f t="shared" si="2"/>
        <v>587.23333333333323</v>
      </c>
      <c r="Z10" s="8">
        <f t="shared" si="2"/>
        <v>2110.3000000000002</v>
      </c>
      <c r="AA10" s="8">
        <f t="shared" si="2"/>
        <v>747.9666666666667</v>
      </c>
      <c r="AB10" s="8">
        <f t="shared" si="2"/>
        <v>493.90000000000003</v>
      </c>
      <c r="AC10" s="8">
        <f t="shared" si="2"/>
        <v>27.933333333333334</v>
      </c>
      <c r="AD10" s="8">
        <f t="shared" si="2"/>
        <v>270.66666666666669</v>
      </c>
      <c r="AE10">
        <v>7.25</v>
      </c>
    </row>
    <row r="11" spans="1:56" x14ac:dyDescent="0.25">
      <c r="A11" t="s">
        <v>6</v>
      </c>
      <c r="B11" t="s">
        <v>18</v>
      </c>
      <c r="C11">
        <v>20</v>
      </c>
      <c r="D11">
        <v>900.61</v>
      </c>
      <c r="E11">
        <v>569.37</v>
      </c>
      <c r="F11">
        <f t="shared" si="3"/>
        <v>1469.98</v>
      </c>
      <c r="G11">
        <v>0</v>
      </c>
      <c r="H11" s="2">
        <v>44715</v>
      </c>
      <c r="I11" s="5"/>
      <c r="J11" s="5"/>
      <c r="K11" s="5"/>
      <c r="L11">
        <f t="shared" si="4"/>
        <v>12.192442621558262</v>
      </c>
      <c r="M11">
        <f t="shared" si="4"/>
        <v>0.81622217697558808</v>
      </c>
      <c r="N11">
        <f t="shared" si="0"/>
        <v>8.8755692863523574</v>
      </c>
      <c r="O11">
        <f t="shared" si="0"/>
        <v>18.970810971823507</v>
      </c>
      <c r="P11">
        <f t="shared" si="0"/>
        <v>19.320385380562865</v>
      </c>
      <c r="Q11">
        <f t="shared" si="0"/>
        <v>47.166765638738731</v>
      </c>
      <c r="R11">
        <f t="shared" si="0"/>
        <v>27.846380258175866</v>
      </c>
      <c r="S11">
        <v>9.3459734136714729</v>
      </c>
      <c r="T11" s="8">
        <f t="shared" si="5"/>
        <v>3.2886290000000002</v>
      </c>
      <c r="U11" s="8">
        <f t="shared" si="1"/>
        <v>6.3734251111111133</v>
      </c>
      <c r="V11" s="8">
        <f t="shared" si="1"/>
        <v>15.895499999999998</v>
      </c>
      <c r="W11" s="8">
        <f t="shared" si="1"/>
        <v>8736.5</v>
      </c>
      <c r="X11" s="8">
        <f t="shared" si="2"/>
        <v>2921</v>
      </c>
      <c r="Y11" s="8">
        <f t="shared" si="2"/>
        <v>587.23333333333323</v>
      </c>
      <c r="Z11" s="8">
        <f t="shared" si="2"/>
        <v>2110.3000000000002</v>
      </c>
      <c r="AA11" s="8">
        <f t="shared" si="2"/>
        <v>747.9666666666667</v>
      </c>
      <c r="AB11" s="8">
        <f t="shared" si="2"/>
        <v>493.90000000000003</v>
      </c>
      <c r="AC11" s="8">
        <f t="shared" si="2"/>
        <v>27.933333333333334</v>
      </c>
      <c r="AD11" s="8">
        <f t="shared" si="2"/>
        <v>270.66666666666669</v>
      </c>
      <c r="AE11">
        <v>7.25</v>
      </c>
    </row>
    <row r="12" spans="1:56" x14ac:dyDescent="0.25">
      <c r="A12" t="s">
        <v>7</v>
      </c>
      <c r="B12" t="s">
        <v>18</v>
      </c>
      <c r="C12">
        <v>20</v>
      </c>
      <c r="D12">
        <v>900.36</v>
      </c>
      <c r="E12">
        <v>567.73</v>
      </c>
      <c r="F12">
        <f t="shared" si="3"/>
        <v>1468.0900000000001</v>
      </c>
      <c r="G12">
        <v>0</v>
      </c>
      <c r="H12" s="2">
        <v>44715</v>
      </c>
      <c r="I12" s="5"/>
      <c r="J12" s="5"/>
      <c r="K12" s="5"/>
      <c r="L12">
        <f t="shared" si="4"/>
        <v>12.192442621558262</v>
      </c>
      <c r="M12">
        <f t="shared" si="4"/>
        <v>0.81622217697558808</v>
      </c>
      <c r="N12">
        <f t="shared" si="0"/>
        <v>8.8755692863523574</v>
      </c>
      <c r="O12">
        <f t="shared" si="0"/>
        <v>18.970810971823507</v>
      </c>
      <c r="P12">
        <f t="shared" si="0"/>
        <v>19.320385380562865</v>
      </c>
      <c r="Q12">
        <f t="shared" si="0"/>
        <v>47.166765638738731</v>
      </c>
      <c r="R12">
        <f t="shared" si="0"/>
        <v>27.846380258175866</v>
      </c>
      <c r="S12">
        <v>9.3459734136714729</v>
      </c>
      <c r="T12" s="8">
        <f t="shared" si="5"/>
        <v>3.2886290000000002</v>
      </c>
      <c r="U12" s="8">
        <f t="shared" si="1"/>
        <v>6.3734251111111133</v>
      </c>
      <c r="V12" s="8">
        <f t="shared" si="1"/>
        <v>15.895499999999998</v>
      </c>
      <c r="W12" s="8">
        <f t="shared" si="1"/>
        <v>8736.5</v>
      </c>
      <c r="X12" s="8">
        <f t="shared" si="2"/>
        <v>2921</v>
      </c>
      <c r="Y12" s="8">
        <f t="shared" si="2"/>
        <v>587.23333333333323</v>
      </c>
      <c r="Z12" s="8">
        <f t="shared" si="2"/>
        <v>2110.3000000000002</v>
      </c>
      <c r="AA12" s="8">
        <f t="shared" si="2"/>
        <v>747.9666666666667</v>
      </c>
      <c r="AB12" s="8">
        <f t="shared" si="2"/>
        <v>493.90000000000003</v>
      </c>
      <c r="AC12" s="8">
        <f t="shared" si="2"/>
        <v>27.933333333333334</v>
      </c>
      <c r="AD12" s="8">
        <f t="shared" si="2"/>
        <v>270.66666666666669</v>
      </c>
      <c r="AE12">
        <v>7.25</v>
      </c>
    </row>
    <row r="13" spans="1:56" x14ac:dyDescent="0.25">
      <c r="A13" t="s">
        <v>8</v>
      </c>
      <c r="B13" t="s">
        <v>19</v>
      </c>
      <c r="C13">
        <v>10</v>
      </c>
      <c r="D13">
        <v>900.69</v>
      </c>
      <c r="E13">
        <v>567.61</v>
      </c>
      <c r="F13">
        <f t="shared" si="3"/>
        <v>1468.3000000000002</v>
      </c>
      <c r="G13">
        <v>0</v>
      </c>
      <c r="H13" s="2">
        <v>44715</v>
      </c>
      <c r="I13" s="5"/>
      <c r="J13" s="5"/>
      <c r="K13" s="5"/>
      <c r="L13">
        <f t="shared" si="4"/>
        <v>12.192442621558262</v>
      </c>
      <c r="M13">
        <f t="shared" si="4"/>
        <v>0.81622217697558808</v>
      </c>
      <c r="N13">
        <f t="shared" si="0"/>
        <v>8.8755692863523574</v>
      </c>
      <c r="O13">
        <f t="shared" si="0"/>
        <v>18.970810971823507</v>
      </c>
      <c r="P13">
        <f t="shared" si="0"/>
        <v>19.320385380562865</v>
      </c>
      <c r="Q13">
        <f t="shared" si="0"/>
        <v>47.166765638738731</v>
      </c>
      <c r="R13">
        <f t="shared" si="0"/>
        <v>27.846380258175866</v>
      </c>
      <c r="S13">
        <v>9.3459734136714729</v>
      </c>
      <c r="T13" s="8">
        <f t="shared" si="5"/>
        <v>3.2886290000000002</v>
      </c>
      <c r="U13" s="8">
        <f t="shared" si="1"/>
        <v>6.3734251111111133</v>
      </c>
      <c r="V13" s="8">
        <f t="shared" si="1"/>
        <v>15.895499999999998</v>
      </c>
      <c r="W13" s="8">
        <f t="shared" si="1"/>
        <v>8736.5</v>
      </c>
      <c r="X13" s="8">
        <f t="shared" si="2"/>
        <v>2921</v>
      </c>
      <c r="Y13" s="8">
        <f t="shared" si="2"/>
        <v>587.23333333333323</v>
      </c>
      <c r="Z13" s="8">
        <f t="shared" si="2"/>
        <v>2110.3000000000002</v>
      </c>
      <c r="AA13" s="8">
        <f t="shared" si="2"/>
        <v>747.9666666666667</v>
      </c>
      <c r="AB13" s="8">
        <f t="shared" si="2"/>
        <v>493.90000000000003</v>
      </c>
      <c r="AC13" s="8">
        <f t="shared" si="2"/>
        <v>27.933333333333334</v>
      </c>
      <c r="AD13" s="8">
        <f t="shared" si="2"/>
        <v>270.66666666666669</v>
      </c>
      <c r="AE13">
        <v>7.25</v>
      </c>
      <c r="AF13" s="8"/>
    </row>
    <row r="14" spans="1:56" x14ac:dyDescent="0.25">
      <c r="A14" t="s">
        <v>9</v>
      </c>
      <c r="B14" t="s">
        <v>19</v>
      </c>
      <c r="C14">
        <v>10</v>
      </c>
      <c r="D14">
        <v>900.95</v>
      </c>
      <c r="E14">
        <v>569.41999999999996</v>
      </c>
      <c r="F14">
        <f t="shared" si="3"/>
        <v>1470.37</v>
      </c>
      <c r="G14">
        <v>0</v>
      </c>
      <c r="H14" s="2">
        <v>44715</v>
      </c>
      <c r="I14" s="5"/>
      <c r="J14" s="5"/>
      <c r="K14" s="5"/>
      <c r="L14">
        <f t="shared" si="4"/>
        <v>12.192442621558262</v>
      </c>
      <c r="M14">
        <f t="shared" si="4"/>
        <v>0.81622217697558808</v>
      </c>
      <c r="N14">
        <f t="shared" si="0"/>
        <v>8.8755692863523574</v>
      </c>
      <c r="O14">
        <f t="shared" si="0"/>
        <v>18.970810971823507</v>
      </c>
      <c r="P14">
        <f t="shared" si="0"/>
        <v>19.320385380562865</v>
      </c>
      <c r="Q14">
        <f t="shared" si="0"/>
        <v>47.166765638738731</v>
      </c>
      <c r="R14">
        <f t="shared" si="0"/>
        <v>27.846380258175866</v>
      </c>
      <c r="S14">
        <v>9.3459734136714729</v>
      </c>
      <c r="T14" s="8">
        <f t="shared" si="5"/>
        <v>3.2886290000000002</v>
      </c>
      <c r="U14" s="8">
        <f t="shared" si="1"/>
        <v>6.3734251111111133</v>
      </c>
      <c r="V14" s="8">
        <f t="shared" si="1"/>
        <v>15.895499999999998</v>
      </c>
      <c r="W14" s="8">
        <f t="shared" si="1"/>
        <v>8736.5</v>
      </c>
      <c r="X14" s="8">
        <f t="shared" si="2"/>
        <v>2921</v>
      </c>
      <c r="Y14" s="8">
        <f t="shared" si="2"/>
        <v>587.23333333333323</v>
      </c>
      <c r="Z14" s="8">
        <f t="shared" si="2"/>
        <v>2110.3000000000002</v>
      </c>
      <c r="AA14" s="8">
        <f t="shared" si="2"/>
        <v>747.9666666666667</v>
      </c>
      <c r="AB14" s="8">
        <f t="shared" si="2"/>
        <v>493.90000000000003</v>
      </c>
      <c r="AC14" s="8">
        <f t="shared" si="2"/>
        <v>27.933333333333334</v>
      </c>
      <c r="AD14" s="8">
        <f t="shared" si="2"/>
        <v>270.66666666666669</v>
      </c>
      <c r="AE14">
        <v>7.25</v>
      </c>
      <c r="AF14" s="8"/>
    </row>
    <row r="15" spans="1:56" x14ac:dyDescent="0.25">
      <c r="A15" t="s">
        <v>10</v>
      </c>
      <c r="B15" t="s">
        <v>19</v>
      </c>
      <c r="C15">
        <v>10</v>
      </c>
      <c r="D15">
        <v>901.19</v>
      </c>
      <c r="E15">
        <v>567.66</v>
      </c>
      <c r="F15">
        <f t="shared" si="3"/>
        <v>1468.85</v>
      </c>
      <c r="G15">
        <v>0</v>
      </c>
      <c r="H15" s="2">
        <v>44715</v>
      </c>
      <c r="I15" s="5"/>
      <c r="J15" s="5"/>
      <c r="K15" s="5"/>
      <c r="L15">
        <f t="shared" si="4"/>
        <v>12.192442621558262</v>
      </c>
      <c r="M15">
        <f t="shared" si="4"/>
        <v>0.81622217697558808</v>
      </c>
      <c r="N15">
        <f t="shared" si="0"/>
        <v>8.8755692863523574</v>
      </c>
      <c r="O15">
        <f t="shared" si="0"/>
        <v>18.970810971823507</v>
      </c>
      <c r="P15">
        <f t="shared" si="0"/>
        <v>19.320385380562865</v>
      </c>
      <c r="Q15">
        <f t="shared" si="0"/>
        <v>47.166765638738731</v>
      </c>
      <c r="R15">
        <f t="shared" si="0"/>
        <v>27.846380258175866</v>
      </c>
      <c r="S15">
        <v>9.3459734136714729</v>
      </c>
      <c r="T15" s="8">
        <f t="shared" si="5"/>
        <v>3.2886290000000002</v>
      </c>
      <c r="U15" s="8">
        <f t="shared" si="1"/>
        <v>6.3734251111111133</v>
      </c>
      <c r="V15" s="8">
        <f t="shared" si="1"/>
        <v>15.895499999999998</v>
      </c>
      <c r="W15" s="8">
        <f t="shared" si="1"/>
        <v>8736.5</v>
      </c>
      <c r="X15" s="8">
        <f t="shared" si="2"/>
        <v>2921</v>
      </c>
      <c r="Y15" s="8">
        <f t="shared" si="2"/>
        <v>587.23333333333323</v>
      </c>
      <c r="Z15" s="8">
        <f t="shared" si="2"/>
        <v>2110.3000000000002</v>
      </c>
      <c r="AA15" s="8">
        <f t="shared" si="2"/>
        <v>747.9666666666667</v>
      </c>
      <c r="AB15" s="8">
        <f t="shared" si="2"/>
        <v>493.90000000000003</v>
      </c>
      <c r="AC15" s="8">
        <f t="shared" si="2"/>
        <v>27.933333333333334</v>
      </c>
      <c r="AD15" s="8">
        <f t="shared" si="2"/>
        <v>270.66666666666669</v>
      </c>
      <c r="AE15">
        <v>7.25</v>
      </c>
      <c r="AF15" s="8"/>
    </row>
    <row r="16" spans="1:56" x14ac:dyDescent="0.25">
      <c r="A16" t="s">
        <v>11</v>
      </c>
      <c r="B16" t="s">
        <v>19</v>
      </c>
      <c r="C16">
        <v>10</v>
      </c>
      <c r="D16">
        <v>901.38</v>
      </c>
      <c r="E16">
        <v>567.13</v>
      </c>
      <c r="F16">
        <f t="shared" si="3"/>
        <v>1468.51</v>
      </c>
      <c r="G16">
        <v>0</v>
      </c>
      <c r="H16" s="2">
        <v>44715</v>
      </c>
      <c r="I16" s="5"/>
      <c r="J16" s="5"/>
      <c r="K16" s="5"/>
      <c r="L16">
        <f t="shared" si="4"/>
        <v>12.192442621558262</v>
      </c>
      <c r="M16">
        <f t="shared" si="4"/>
        <v>0.81622217697558808</v>
      </c>
      <c r="N16">
        <f t="shared" si="0"/>
        <v>8.8755692863523574</v>
      </c>
      <c r="O16">
        <f t="shared" si="0"/>
        <v>18.970810971823507</v>
      </c>
      <c r="P16">
        <f t="shared" si="0"/>
        <v>19.320385380562865</v>
      </c>
      <c r="Q16">
        <f t="shared" si="0"/>
        <v>47.166765638738731</v>
      </c>
      <c r="R16">
        <f t="shared" si="0"/>
        <v>27.846380258175866</v>
      </c>
      <c r="S16">
        <v>9.3459734136714729</v>
      </c>
      <c r="T16" s="8">
        <f t="shared" si="5"/>
        <v>3.2886290000000002</v>
      </c>
      <c r="U16" s="8">
        <f t="shared" si="1"/>
        <v>6.3734251111111133</v>
      </c>
      <c r="V16" s="8">
        <f t="shared" si="1"/>
        <v>15.895499999999998</v>
      </c>
      <c r="W16" s="8">
        <f t="shared" si="1"/>
        <v>8736.5</v>
      </c>
      <c r="X16" s="8">
        <f t="shared" si="2"/>
        <v>2921</v>
      </c>
      <c r="Y16" s="8">
        <f t="shared" si="2"/>
        <v>587.23333333333323</v>
      </c>
      <c r="Z16" s="8">
        <f t="shared" si="2"/>
        <v>2110.3000000000002</v>
      </c>
      <c r="AA16" s="8">
        <f t="shared" si="2"/>
        <v>747.9666666666667</v>
      </c>
      <c r="AB16" s="8">
        <f t="shared" si="2"/>
        <v>493.90000000000003</v>
      </c>
      <c r="AC16" s="8">
        <f t="shared" si="2"/>
        <v>27.933333333333334</v>
      </c>
      <c r="AD16" s="8">
        <f t="shared" si="2"/>
        <v>270.66666666666669</v>
      </c>
      <c r="AE16">
        <v>7.25</v>
      </c>
      <c r="AF16" s="8"/>
    </row>
    <row r="17" spans="1:56" x14ac:dyDescent="0.25">
      <c r="A17" t="s">
        <v>12</v>
      </c>
      <c r="B17" t="s">
        <v>19</v>
      </c>
      <c r="C17">
        <v>20</v>
      </c>
      <c r="D17">
        <v>901.11</v>
      </c>
      <c r="E17">
        <v>570.76</v>
      </c>
      <c r="F17">
        <f t="shared" si="3"/>
        <v>1471.87</v>
      </c>
      <c r="G17">
        <v>0</v>
      </c>
      <c r="H17" s="2">
        <v>44715</v>
      </c>
      <c r="I17" s="5"/>
      <c r="J17" s="5"/>
      <c r="K17" s="5"/>
      <c r="L17">
        <f t="shared" si="4"/>
        <v>12.192442621558262</v>
      </c>
      <c r="M17">
        <f t="shared" si="4"/>
        <v>0.81622217697558808</v>
      </c>
      <c r="N17">
        <f t="shared" si="0"/>
        <v>8.8755692863523574</v>
      </c>
      <c r="O17">
        <f t="shared" si="0"/>
        <v>18.970810971823507</v>
      </c>
      <c r="P17">
        <f t="shared" si="0"/>
        <v>19.320385380562865</v>
      </c>
      <c r="Q17">
        <f t="shared" si="0"/>
        <v>47.166765638738731</v>
      </c>
      <c r="R17">
        <f t="shared" si="0"/>
        <v>27.846380258175866</v>
      </c>
      <c r="S17">
        <v>9.3459734136714729</v>
      </c>
      <c r="T17" s="8">
        <f t="shared" si="5"/>
        <v>3.2886290000000002</v>
      </c>
      <c r="U17" s="8">
        <f t="shared" si="1"/>
        <v>6.3734251111111133</v>
      </c>
      <c r="V17" s="8">
        <f t="shared" si="1"/>
        <v>15.895499999999998</v>
      </c>
      <c r="W17" s="8">
        <f t="shared" si="1"/>
        <v>8736.5</v>
      </c>
      <c r="X17" s="8">
        <f t="shared" si="2"/>
        <v>2921</v>
      </c>
      <c r="Y17" s="8">
        <f t="shared" si="2"/>
        <v>587.23333333333323</v>
      </c>
      <c r="Z17" s="8">
        <f t="shared" si="2"/>
        <v>2110.3000000000002</v>
      </c>
      <c r="AA17" s="8">
        <f t="shared" si="2"/>
        <v>747.9666666666667</v>
      </c>
      <c r="AB17" s="8">
        <f t="shared" si="2"/>
        <v>493.90000000000003</v>
      </c>
      <c r="AC17" s="8">
        <f t="shared" si="2"/>
        <v>27.933333333333334</v>
      </c>
      <c r="AD17" s="8">
        <f t="shared" si="2"/>
        <v>270.66666666666669</v>
      </c>
      <c r="AE17">
        <v>7.25</v>
      </c>
    </row>
    <row r="18" spans="1:56" x14ac:dyDescent="0.25">
      <c r="A18" t="s">
        <v>13</v>
      </c>
      <c r="B18" t="s">
        <v>19</v>
      </c>
      <c r="C18">
        <v>20</v>
      </c>
      <c r="D18">
        <v>901.59</v>
      </c>
      <c r="E18">
        <v>570.77</v>
      </c>
      <c r="F18">
        <f t="shared" si="3"/>
        <v>1472.3600000000001</v>
      </c>
      <c r="G18">
        <v>0</v>
      </c>
      <c r="H18" s="2">
        <v>44715</v>
      </c>
      <c r="I18" s="5"/>
      <c r="J18" s="5"/>
      <c r="K18" s="5"/>
      <c r="L18">
        <f t="shared" si="4"/>
        <v>12.192442621558262</v>
      </c>
      <c r="M18">
        <f t="shared" si="4"/>
        <v>0.81622217697558808</v>
      </c>
      <c r="N18">
        <f t="shared" si="0"/>
        <v>8.8755692863523574</v>
      </c>
      <c r="O18">
        <f t="shared" si="0"/>
        <v>18.970810971823507</v>
      </c>
      <c r="P18">
        <f t="shared" si="0"/>
        <v>19.320385380562865</v>
      </c>
      <c r="Q18">
        <f t="shared" si="0"/>
        <v>47.166765638738731</v>
      </c>
      <c r="R18">
        <f t="shared" si="0"/>
        <v>27.846380258175866</v>
      </c>
      <c r="S18">
        <v>9.3459734136714729</v>
      </c>
      <c r="T18" s="8">
        <f t="shared" si="5"/>
        <v>3.2886290000000002</v>
      </c>
      <c r="U18" s="8">
        <f t="shared" si="1"/>
        <v>6.3734251111111133</v>
      </c>
      <c r="V18" s="8">
        <f t="shared" si="1"/>
        <v>15.895499999999998</v>
      </c>
      <c r="W18" s="8">
        <f t="shared" si="1"/>
        <v>8736.5</v>
      </c>
      <c r="X18" s="8">
        <f t="shared" si="2"/>
        <v>2921</v>
      </c>
      <c r="Y18" s="8">
        <f t="shared" si="2"/>
        <v>587.23333333333323</v>
      </c>
      <c r="Z18" s="8">
        <f t="shared" si="2"/>
        <v>2110.3000000000002</v>
      </c>
      <c r="AA18" s="8">
        <f t="shared" si="2"/>
        <v>747.9666666666667</v>
      </c>
      <c r="AB18" s="8">
        <f t="shared" si="2"/>
        <v>493.90000000000003</v>
      </c>
      <c r="AC18" s="8">
        <f t="shared" si="2"/>
        <v>27.933333333333334</v>
      </c>
      <c r="AD18" s="8">
        <f t="shared" si="2"/>
        <v>270.66666666666669</v>
      </c>
      <c r="AE18">
        <v>7.25</v>
      </c>
    </row>
    <row r="19" spans="1:56" x14ac:dyDescent="0.25">
      <c r="A19" t="s">
        <v>14</v>
      </c>
      <c r="B19" t="s">
        <v>19</v>
      </c>
      <c r="C19">
        <v>20</v>
      </c>
      <c r="D19">
        <v>900.6</v>
      </c>
      <c r="E19">
        <v>567.1</v>
      </c>
      <c r="F19">
        <f t="shared" si="3"/>
        <v>1467.7</v>
      </c>
      <c r="G19">
        <v>0</v>
      </c>
      <c r="H19" s="2">
        <v>44715</v>
      </c>
      <c r="I19" s="5"/>
      <c r="J19" s="5"/>
      <c r="K19" s="5"/>
      <c r="L19">
        <f t="shared" si="4"/>
        <v>12.192442621558262</v>
      </c>
      <c r="M19">
        <f t="shared" si="4"/>
        <v>0.81622217697558808</v>
      </c>
      <c r="N19">
        <f t="shared" si="0"/>
        <v>8.8755692863523574</v>
      </c>
      <c r="O19">
        <f t="shared" si="0"/>
        <v>18.970810971823507</v>
      </c>
      <c r="P19">
        <f t="shared" si="0"/>
        <v>19.320385380562865</v>
      </c>
      <c r="Q19">
        <f t="shared" si="0"/>
        <v>47.166765638738731</v>
      </c>
      <c r="R19">
        <f t="shared" si="0"/>
        <v>27.846380258175866</v>
      </c>
      <c r="S19">
        <v>9.3459734136714729</v>
      </c>
      <c r="T19" s="8">
        <f t="shared" si="5"/>
        <v>3.2886290000000002</v>
      </c>
      <c r="U19" s="8">
        <f t="shared" si="1"/>
        <v>6.3734251111111133</v>
      </c>
      <c r="V19" s="8">
        <f t="shared" si="1"/>
        <v>15.895499999999998</v>
      </c>
      <c r="W19" s="8">
        <f t="shared" si="1"/>
        <v>8736.5</v>
      </c>
      <c r="X19" s="8">
        <f t="shared" si="2"/>
        <v>2921</v>
      </c>
      <c r="Y19" s="8">
        <f t="shared" si="2"/>
        <v>587.23333333333323</v>
      </c>
      <c r="Z19" s="8">
        <f t="shared" si="2"/>
        <v>2110.3000000000002</v>
      </c>
      <c r="AA19" s="8">
        <f t="shared" si="2"/>
        <v>747.9666666666667</v>
      </c>
      <c r="AB19" s="8">
        <f t="shared" si="2"/>
        <v>493.90000000000003</v>
      </c>
      <c r="AC19" s="8">
        <f t="shared" si="2"/>
        <v>27.933333333333334</v>
      </c>
      <c r="AD19" s="8">
        <f t="shared" si="2"/>
        <v>270.66666666666669</v>
      </c>
      <c r="AE19">
        <v>7.25</v>
      </c>
    </row>
    <row r="20" spans="1:56" x14ac:dyDescent="0.25">
      <c r="A20" t="s">
        <v>15</v>
      </c>
      <c r="B20" t="s">
        <v>19</v>
      </c>
      <c r="C20">
        <v>20</v>
      </c>
      <c r="D20">
        <v>901.09</v>
      </c>
      <c r="E20">
        <v>568.79999999999995</v>
      </c>
      <c r="F20">
        <f t="shared" si="3"/>
        <v>1469.8899999999999</v>
      </c>
      <c r="G20">
        <v>0</v>
      </c>
      <c r="H20" s="2">
        <v>44715</v>
      </c>
      <c r="I20" s="5"/>
      <c r="J20" s="5"/>
      <c r="K20" s="5"/>
      <c r="L20">
        <f t="shared" si="4"/>
        <v>12.192442621558262</v>
      </c>
      <c r="M20">
        <f t="shared" si="4"/>
        <v>0.81622217697558808</v>
      </c>
      <c r="N20">
        <f t="shared" si="0"/>
        <v>8.8755692863523574</v>
      </c>
      <c r="O20">
        <f t="shared" si="0"/>
        <v>18.970810971823507</v>
      </c>
      <c r="P20">
        <f t="shared" si="0"/>
        <v>19.320385380562865</v>
      </c>
      <c r="Q20">
        <f t="shared" si="0"/>
        <v>47.166765638738731</v>
      </c>
      <c r="R20">
        <f t="shared" si="0"/>
        <v>27.846380258175866</v>
      </c>
      <c r="S20">
        <v>9.3459734136714729</v>
      </c>
      <c r="T20" s="8">
        <f t="shared" si="5"/>
        <v>3.2886290000000002</v>
      </c>
      <c r="U20" s="8">
        <f t="shared" si="1"/>
        <v>6.3734251111111133</v>
      </c>
      <c r="V20" s="8">
        <f t="shared" si="1"/>
        <v>15.895499999999998</v>
      </c>
      <c r="W20" s="8">
        <f t="shared" si="1"/>
        <v>8736.5</v>
      </c>
      <c r="X20" s="8">
        <f t="shared" si="2"/>
        <v>2921</v>
      </c>
      <c r="Y20" s="8">
        <f t="shared" si="2"/>
        <v>587.23333333333323</v>
      </c>
      <c r="Z20" s="8">
        <f t="shared" si="2"/>
        <v>2110.3000000000002</v>
      </c>
      <c r="AA20" s="8">
        <f t="shared" si="2"/>
        <v>747.9666666666667</v>
      </c>
      <c r="AB20" s="8">
        <f t="shared" si="2"/>
        <v>493.90000000000003</v>
      </c>
      <c r="AC20" s="8">
        <f t="shared" si="2"/>
        <v>27.933333333333334</v>
      </c>
      <c r="AD20" s="8">
        <f t="shared" si="2"/>
        <v>270.66666666666669</v>
      </c>
      <c r="AE20">
        <v>7.25</v>
      </c>
    </row>
    <row r="21" spans="1:56" x14ac:dyDescent="0.25">
      <c r="A21" t="s">
        <v>0</v>
      </c>
      <c r="B21" t="s">
        <v>18</v>
      </c>
      <c r="C21">
        <v>10</v>
      </c>
      <c r="D21">
        <f>F21-E21</f>
        <v>1030.3900000000001</v>
      </c>
      <c r="E21">
        <v>551.78</v>
      </c>
      <c r="F21">
        <v>1582.17</v>
      </c>
      <c r="G21">
        <v>283</v>
      </c>
      <c r="H21" s="2">
        <v>44998.583333333336</v>
      </c>
      <c r="I21" s="5">
        <v>4.29</v>
      </c>
      <c r="J21" s="5">
        <v>80.55</v>
      </c>
      <c r="K21" s="5">
        <v>11.57</v>
      </c>
      <c r="L21">
        <f>(K21-I21)/(J21-I21)*100</f>
        <v>9.5462890112772101</v>
      </c>
      <c r="M21">
        <v>0.82336434795451152</v>
      </c>
      <c r="N21">
        <v>9.2283628779978937</v>
      </c>
      <c r="O21">
        <v>20.375391032325275</v>
      </c>
      <c r="P21">
        <v>22.927536954612076</v>
      </c>
      <c r="Q21">
        <v>52.531290864935244</v>
      </c>
      <c r="R21">
        <v>29.603753910323167</v>
      </c>
      <c r="S21">
        <v>10.013240382539712</v>
      </c>
      <c r="T21">
        <v>2.9836353333333299</v>
      </c>
      <c r="U21">
        <v>5.3930586666666702</v>
      </c>
      <c r="V21">
        <v>19.01577</v>
      </c>
      <c r="W21">
        <v>10012.299999999999</v>
      </c>
      <c r="X21">
        <v>3636.2</v>
      </c>
      <c r="Y21">
        <v>858.1</v>
      </c>
      <c r="Z21">
        <v>2666.6</v>
      </c>
      <c r="AA21">
        <v>1060.6099999999999</v>
      </c>
      <c r="AB21">
        <v>449.6</v>
      </c>
      <c r="AC21">
        <v>70.86</v>
      </c>
      <c r="AD21">
        <v>261.5</v>
      </c>
      <c r="AE21">
        <v>6.88</v>
      </c>
      <c r="AF21">
        <f>AH21-AG21</f>
        <v>172.77</v>
      </c>
      <c r="AG21">
        <v>139.16999999999999</v>
      </c>
      <c r="AH21">
        <v>311.94</v>
      </c>
      <c r="AI21">
        <v>-4.0000000000020464E-2</v>
      </c>
      <c r="AJ21">
        <f>AL21-$AI21</f>
        <v>321.45000000000005</v>
      </c>
      <c r="AK21">
        <f>AM21-$AI21</f>
        <v>321.45000000000005</v>
      </c>
      <c r="AL21">
        <v>321.41000000000003</v>
      </c>
      <c r="AM21">
        <v>321.41000000000003</v>
      </c>
      <c r="AO21">
        <f>AL21-AM21</f>
        <v>0</v>
      </c>
      <c r="AP21">
        <v>0</v>
      </c>
      <c r="AQ21">
        <v>987</v>
      </c>
      <c r="AR21">
        <v>22</v>
      </c>
      <c r="AS21">
        <v>34</v>
      </c>
      <c r="AT21">
        <f>0.61094*EXP(17.625*AS21/(243.04+AS21))</f>
        <v>5.3137007027131622</v>
      </c>
      <c r="AU21">
        <f t="shared" ref="AU21:AU52" si="6">250-AF21</f>
        <v>77.22999999999999</v>
      </c>
      <c r="AV21">
        <v>987</v>
      </c>
      <c r="AW21">
        <f t="shared" ref="AW21:AW52" si="7">AP21/AU21*AV21+AV21</f>
        <v>987</v>
      </c>
      <c r="AX21">
        <f>18.02*(AT21/(AW21/10-AT21)*1/22300)</f>
        <v>4.5979457930884525E-5</v>
      </c>
      <c r="AY21" t="e">
        <f t="shared" ref="AY21:AY52" si="8">(AL21-AM21)/AP21-AX21</f>
        <v>#DIV/0!</v>
      </c>
      <c r="AZ21" t="e">
        <f>AY21*22300</f>
        <v>#DIV/0!</v>
      </c>
      <c r="BA21" t="e">
        <f>(44.01-AZ21)/(44.01-16.04)</f>
        <v>#DIV/0!</v>
      </c>
      <c r="BD21" t="e">
        <f>BB21/(BB21+BC21)</f>
        <v>#DIV/0!</v>
      </c>
    </row>
    <row r="22" spans="1:56" x14ac:dyDescent="0.25">
      <c r="A22" t="s">
        <v>1</v>
      </c>
      <c r="B22" t="s">
        <v>18</v>
      </c>
      <c r="C22">
        <v>10</v>
      </c>
      <c r="D22">
        <f t="shared" ref="D22:D36" si="9">F22-E22</f>
        <v>1023.39</v>
      </c>
      <c r="E22">
        <v>550.91999999999996</v>
      </c>
      <c r="F22">
        <v>1574.31</v>
      </c>
      <c r="G22">
        <v>283</v>
      </c>
      <c r="H22" s="2">
        <v>44998.583333333336</v>
      </c>
      <c r="I22" s="5">
        <v>4.3099999999999996</v>
      </c>
      <c r="J22" s="5">
        <v>110.24</v>
      </c>
      <c r="K22" s="5">
        <v>14.46</v>
      </c>
      <c r="L22">
        <f t="shared" ref="L22:L36" si="10">(K22-I22)/(J22-I22)*100</f>
        <v>9.5817993014254732</v>
      </c>
      <c r="M22">
        <v>0.82061237095208772</v>
      </c>
      <c r="N22">
        <v>9.8340752731674055</v>
      </c>
      <c r="O22">
        <v>20.012140833670671</v>
      </c>
      <c r="P22">
        <v>21.275244856515005</v>
      </c>
      <c r="Q22">
        <v>51.12146096335308</v>
      </c>
      <c r="R22">
        <v>29.846216106838074</v>
      </c>
      <c r="S22">
        <v>9.8083374272497554</v>
      </c>
      <c r="T22">
        <v>2.9179476666666702</v>
      </c>
      <c r="U22">
        <v>5.4188003333333299</v>
      </c>
      <c r="V22">
        <v>18.8489</v>
      </c>
      <c r="W22">
        <v>9850.4</v>
      </c>
      <c r="X22">
        <v>3522.9</v>
      </c>
      <c r="Y22">
        <v>870.9</v>
      </c>
      <c r="Z22">
        <v>2679.1</v>
      </c>
      <c r="AA22">
        <v>1062.5</v>
      </c>
      <c r="AB22">
        <v>453.4</v>
      </c>
      <c r="AC22">
        <v>69.3</v>
      </c>
      <c r="AD22">
        <v>340.4</v>
      </c>
      <c r="AE22">
        <v>6.93</v>
      </c>
      <c r="AF22">
        <f t="shared" ref="AF22:AF36" si="11">AH22-AG22</f>
        <v>173.93</v>
      </c>
      <c r="AG22">
        <v>141.25</v>
      </c>
      <c r="AH22">
        <v>315.18</v>
      </c>
      <c r="AI22">
        <v>-3.0000000000029559E-2</v>
      </c>
      <c r="AJ22">
        <f t="shared" ref="AJ22:AJ84" si="12">AL22-$AI22</f>
        <v>324.59000000000003</v>
      </c>
      <c r="AK22">
        <f t="shared" ref="AK22:AK84" si="13">AM22-$AI22</f>
        <v>324.59000000000003</v>
      </c>
      <c r="AL22">
        <v>324.56</v>
      </c>
      <c r="AM22">
        <v>324.56</v>
      </c>
      <c r="AO22">
        <f t="shared" ref="AO22:AO85" si="14">AL22-AM22</f>
        <v>0</v>
      </c>
      <c r="AP22">
        <v>0</v>
      </c>
      <c r="AQ22">
        <v>987</v>
      </c>
      <c r="AR22">
        <v>22</v>
      </c>
      <c r="AS22">
        <v>34</v>
      </c>
      <c r="AT22">
        <f t="shared" ref="AT22:AT68" si="15">0.61094*EXP(17.625*AS22/(243.04+AS22))</f>
        <v>5.3137007027131622</v>
      </c>
      <c r="AU22">
        <f t="shared" si="6"/>
        <v>76.069999999999993</v>
      </c>
      <c r="AV22">
        <v>987</v>
      </c>
      <c r="AW22">
        <f t="shared" si="7"/>
        <v>987</v>
      </c>
      <c r="AX22">
        <f t="shared" ref="AX22:AX85" si="16">18.02*(AT22/(AW22/10-AT22)*1/22300)</f>
        <v>4.5979457930884525E-5</v>
      </c>
      <c r="AY22" t="e">
        <f t="shared" si="8"/>
        <v>#DIV/0!</v>
      </c>
      <c r="AZ22" t="e">
        <f t="shared" ref="AZ22:AZ85" si="17">AY22*22300</f>
        <v>#DIV/0!</v>
      </c>
      <c r="BA22" t="e">
        <f t="shared" ref="BA22:BA85" si="18">(44.01-AZ22)/(44.01-16.04)</f>
        <v>#DIV/0!</v>
      </c>
      <c r="BD22" t="e">
        <f t="shared" ref="BD22:BD85" si="19">BB22/(BB22+BC22)</f>
        <v>#DIV/0!</v>
      </c>
    </row>
    <row r="23" spans="1:56" x14ac:dyDescent="0.25">
      <c r="A23" t="s">
        <v>2</v>
      </c>
      <c r="B23" t="s">
        <v>18</v>
      </c>
      <c r="C23">
        <v>10</v>
      </c>
      <c r="D23">
        <f t="shared" si="9"/>
        <v>1049.6799999999998</v>
      </c>
      <c r="E23">
        <v>554.62</v>
      </c>
      <c r="F23">
        <v>1604.3</v>
      </c>
      <c r="G23">
        <v>283</v>
      </c>
      <c r="H23" s="2">
        <v>44998.583333333336</v>
      </c>
      <c r="I23" s="5">
        <v>4.3</v>
      </c>
      <c r="J23" s="5">
        <v>116</v>
      </c>
      <c r="K23" s="5">
        <v>15.01</v>
      </c>
      <c r="L23">
        <f t="shared" si="10"/>
        <v>9.5881826320501347</v>
      </c>
      <c r="M23">
        <v>0.81712358572671862</v>
      </c>
      <c r="N23">
        <v>9.7267759562838112</v>
      </c>
      <c r="O23">
        <v>19.863387978142377</v>
      </c>
      <c r="P23">
        <v>19.123149549197979</v>
      </c>
      <c r="Q23">
        <v>48.713313483624169</v>
      </c>
      <c r="R23">
        <v>29.59016393442619</v>
      </c>
      <c r="S23">
        <v>10.258422984956161</v>
      </c>
      <c r="T23">
        <v>3.11875233333333</v>
      </c>
      <c r="U23">
        <v>5.4316633333333302</v>
      </c>
      <c r="V23">
        <v>21.781400000000001</v>
      </c>
      <c r="W23">
        <v>11463.6</v>
      </c>
      <c r="X23">
        <v>4119.8999999999996</v>
      </c>
      <c r="Y23">
        <v>971.4</v>
      </c>
      <c r="Z23">
        <v>3045.4</v>
      </c>
      <c r="AA23">
        <v>1207.2</v>
      </c>
      <c r="AB23">
        <v>513.5</v>
      </c>
      <c r="AC23">
        <v>80.3</v>
      </c>
      <c r="AD23">
        <v>380.1</v>
      </c>
      <c r="AE23">
        <v>6.88</v>
      </c>
      <c r="AF23">
        <f t="shared" si="11"/>
        <v>162.82000000000002</v>
      </c>
      <c r="AG23">
        <v>140.66</v>
      </c>
      <c r="AH23">
        <v>303.48</v>
      </c>
      <c r="AI23">
        <v>-2.4999999999977263E-2</v>
      </c>
      <c r="AJ23">
        <f t="shared" si="12"/>
        <v>312.91999999999996</v>
      </c>
      <c r="AK23">
        <f t="shared" si="13"/>
        <v>312.91999999999996</v>
      </c>
      <c r="AL23">
        <v>312.89499999999998</v>
      </c>
      <c r="AM23">
        <v>312.89499999999998</v>
      </c>
      <c r="AO23">
        <f t="shared" si="14"/>
        <v>0</v>
      </c>
      <c r="AP23">
        <v>0</v>
      </c>
      <c r="AQ23">
        <v>987</v>
      </c>
      <c r="AR23">
        <v>22</v>
      </c>
      <c r="AS23">
        <v>34</v>
      </c>
      <c r="AT23">
        <f t="shared" si="15"/>
        <v>5.3137007027131622</v>
      </c>
      <c r="AU23">
        <f t="shared" si="6"/>
        <v>87.179999999999978</v>
      </c>
      <c r="AV23">
        <v>987</v>
      </c>
      <c r="AW23">
        <f t="shared" si="7"/>
        <v>987</v>
      </c>
      <c r="AX23">
        <f t="shared" si="16"/>
        <v>4.5979457930884525E-5</v>
      </c>
      <c r="AY23" t="e">
        <f t="shared" si="8"/>
        <v>#DIV/0!</v>
      </c>
      <c r="AZ23" t="e">
        <f t="shared" si="17"/>
        <v>#DIV/0!</v>
      </c>
      <c r="BA23" t="e">
        <f t="shared" si="18"/>
        <v>#DIV/0!</v>
      </c>
      <c r="BD23" t="e">
        <f t="shared" si="19"/>
        <v>#DIV/0!</v>
      </c>
    </row>
    <row r="24" spans="1:56" x14ac:dyDescent="0.25">
      <c r="A24" t="s">
        <v>3</v>
      </c>
      <c r="B24" t="s">
        <v>18</v>
      </c>
      <c r="C24">
        <v>10</v>
      </c>
      <c r="D24">
        <f t="shared" si="9"/>
        <v>1040.8600000000001</v>
      </c>
      <c r="E24">
        <v>569.14</v>
      </c>
      <c r="F24">
        <v>1610</v>
      </c>
      <c r="G24">
        <v>283</v>
      </c>
      <c r="H24" s="2">
        <v>44998.583333333336</v>
      </c>
      <c r="I24" s="5">
        <v>4.32</v>
      </c>
      <c r="J24" s="5">
        <v>111.24</v>
      </c>
      <c r="K24" s="5">
        <v>14.68</v>
      </c>
      <c r="L24">
        <f t="shared" si="10"/>
        <v>9.6894874672652449</v>
      </c>
      <c r="M24">
        <v>0.81886245149151238</v>
      </c>
      <c r="N24">
        <v>8.8928571428567178</v>
      </c>
      <c r="O24">
        <v>20.625000000000142</v>
      </c>
      <c r="P24">
        <v>19.701141900815493</v>
      </c>
      <c r="Q24">
        <v>49.218999043672355</v>
      </c>
      <c r="R24">
        <v>29.517857142856862</v>
      </c>
      <c r="S24">
        <v>9.7294682121814322</v>
      </c>
      <c r="T24">
        <v>2.9016376666666703</v>
      </c>
      <c r="U24">
        <v>5.340808</v>
      </c>
      <c r="V24">
        <v>21.306999999999999</v>
      </c>
      <c r="W24">
        <v>11173.5</v>
      </c>
      <c r="X24">
        <v>4074.8</v>
      </c>
      <c r="Y24">
        <v>953</v>
      </c>
      <c r="Z24">
        <v>2969.2</v>
      </c>
      <c r="AA24">
        <v>1186.7</v>
      </c>
      <c r="AB24">
        <v>507.7</v>
      </c>
      <c r="AC24">
        <v>77.5</v>
      </c>
      <c r="AD24">
        <v>364.6</v>
      </c>
      <c r="AE24">
        <v>6.9</v>
      </c>
      <c r="AF24">
        <f t="shared" si="11"/>
        <v>187.81</v>
      </c>
      <c r="AG24">
        <v>140</v>
      </c>
      <c r="AH24">
        <v>327.81</v>
      </c>
      <c r="AI24">
        <v>-1.999999999998181E-2</v>
      </c>
      <c r="AJ24">
        <f t="shared" si="12"/>
        <v>337.23999999999995</v>
      </c>
      <c r="AK24">
        <f t="shared" si="13"/>
        <v>337.23999999999995</v>
      </c>
      <c r="AL24">
        <v>337.21999999999997</v>
      </c>
      <c r="AM24">
        <v>337.21999999999997</v>
      </c>
      <c r="AO24">
        <f t="shared" si="14"/>
        <v>0</v>
      </c>
      <c r="AP24">
        <v>0</v>
      </c>
      <c r="AQ24">
        <v>987</v>
      </c>
      <c r="AR24">
        <v>22</v>
      </c>
      <c r="AS24">
        <v>34</v>
      </c>
      <c r="AT24">
        <f t="shared" si="15"/>
        <v>5.3137007027131622</v>
      </c>
      <c r="AU24">
        <f t="shared" si="6"/>
        <v>62.19</v>
      </c>
      <c r="AV24">
        <v>987</v>
      </c>
      <c r="AW24">
        <f t="shared" si="7"/>
        <v>987</v>
      </c>
      <c r="AX24">
        <f t="shared" si="16"/>
        <v>4.5979457930884525E-5</v>
      </c>
      <c r="AY24" t="e">
        <f t="shared" si="8"/>
        <v>#DIV/0!</v>
      </c>
      <c r="AZ24" t="e">
        <f t="shared" si="17"/>
        <v>#DIV/0!</v>
      </c>
      <c r="BA24" t="e">
        <f t="shared" si="18"/>
        <v>#DIV/0!</v>
      </c>
      <c r="BD24" t="e">
        <f t="shared" si="19"/>
        <v>#DIV/0!</v>
      </c>
    </row>
    <row r="25" spans="1:56" x14ac:dyDescent="0.25">
      <c r="A25" t="s">
        <v>4</v>
      </c>
      <c r="B25" t="s">
        <v>18</v>
      </c>
      <c r="C25">
        <v>20</v>
      </c>
      <c r="D25">
        <f t="shared" si="9"/>
        <v>819.53000000000009</v>
      </c>
      <c r="E25">
        <v>568.85</v>
      </c>
      <c r="F25">
        <v>1388.38</v>
      </c>
      <c r="G25">
        <v>283</v>
      </c>
      <c r="H25" s="2">
        <v>44998.583333333336</v>
      </c>
      <c r="I25" s="5">
        <v>4.32</v>
      </c>
      <c r="J25" s="5">
        <v>114.2</v>
      </c>
      <c r="K25" s="5">
        <v>15.72</v>
      </c>
      <c r="L25">
        <f t="shared" si="10"/>
        <v>10.374954495813615</v>
      </c>
      <c r="M25">
        <v>0.77967689065792467</v>
      </c>
      <c r="N25">
        <v>10.140728476821085</v>
      </c>
      <c r="O25">
        <v>18.605132450331144</v>
      </c>
      <c r="P25">
        <v>15.741318560027203</v>
      </c>
      <c r="Q25">
        <v>44.487179487179432</v>
      </c>
      <c r="R25">
        <v>28.745860927152229</v>
      </c>
      <c r="S25">
        <v>10.7462869550347</v>
      </c>
      <c r="T25">
        <v>1.7841866666666699</v>
      </c>
      <c r="U25">
        <v>3.6494966666666699</v>
      </c>
      <c r="V25">
        <v>10.423399999999999</v>
      </c>
      <c r="W25">
        <v>152.80000000000001</v>
      </c>
      <c r="X25">
        <v>8577.6</v>
      </c>
      <c r="Y25">
        <v>53</v>
      </c>
      <c r="Z25">
        <v>6.7</v>
      </c>
      <c r="AA25">
        <v>905.9</v>
      </c>
      <c r="AB25">
        <v>5.4</v>
      </c>
      <c r="AC25">
        <v>80.599999999999994</v>
      </c>
      <c r="AD25">
        <v>641.4</v>
      </c>
      <c r="AE25">
        <v>7.42</v>
      </c>
      <c r="AF25">
        <f t="shared" si="11"/>
        <v>181.58</v>
      </c>
      <c r="AG25">
        <v>139.4</v>
      </c>
      <c r="AH25">
        <v>320.98</v>
      </c>
      <c r="AI25">
        <v>-2.4999999999977263E-2</v>
      </c>
      <c r="AJ25">
        <f t="shared" si="12"/>
        <v>330.42999999999995</v>
      </c>
      <c r="AK25">
        <f t="shared" si="13"/>
        <v>330.42999999999995</v>
      </c>
      <c r="AL25">
        <v>330.40499999999997</v>
      </c>
      <c r="AM25">
        <v>330.40499999999997</v>
      </c>
      <c r="AO25">
        <f t="shared" si="14"/>
        <v>0</v>
      </c>
      <c r="AP25">
        <v>0</v>
      </c>
      <c r="AQ25">
        <v>987</v>
      </c>
      <c r="AR25">
        <v>22</v>
      </c>
      <c r="AS25">
        <v>34</v>
      </c>
      <c r="AT25">
        <f t="shared" si="15"/>
        <v>5.3137007027131622</v>
      </c>
      <c r="AU25">
        <f t="shared" si="6"/>
        <v>68.419999999999987</v>
      </c>
      <c r="AV25">
        <v>987</v>
      </c>
      <c r="AW25">
        <f t="shared" si="7"/>
        <v>987</v>
      </c>
      <c r="AX25">
        <f t="shared" si="16"/>
        <v>4.5979457930884525E-5</v>
      </c>
      <c r="AY25" t="e">
        <f t="shared" si="8"/>
        <v>#DIV/0!</v>
      </c>
      <c r="AZ25" t="e">
        <f t="shared" si="17"/>
        <v>#DIV/0!</v>
      </c>
      <c r="BA25" t="e">
        <f t="shared" si="18"/>
        <v>#DIV/0!</v>
      </c>
      <c r="BD25" t="e">
        <f t="shared" si="19"/>
        <v>#DIV/0!</v>
      </c>
    </row>
    <row r="26" spans="1:56" x14ac:dyDescent="0.25">
      <c r="A26" t="s">
        <v>5</v>
      </c>
      <c r="B26" t="s">
        <v>18</v>
      </c>
      <c r="C26">
        <v>20</v>
      </c>
      <c r="D26">
        <f t="shared" si="9"/>
        <v>817.42999999999984</v>
      </c>
      <c r="E26">
        <v>574.69000000000005</v>
      </c>
      <c r="F26">
        <v>1392.12</v>
      </c>
      <c r="G26">
        <v>283</v>
      </c>
      <c r="H26" s="2">
        <v>44998.583333333336</v>
      </c>
      <c r="I26" s="5">
        <v>4.3099999999999996</v>
      </c>
      <c r="J26" s="5">
        <v>111.84</v>
      </c>
      <c r="K26" s="5">
        <v>15.76</v>
      </c>
      <c r="L26">
        <f t="shared" si="10"/>
        <v>10.648191202455127</v>
      </c>
      <c r="M26">
        <v>0.78408719790986314</v>
      </c>
      <c r="N26">
        <v>11.024988431281603</v>
      </c>
      <c r="O26">
        <v>19.655252198056683</v>
      </c>
      <c r="P26">
        <v>14.232910735425989</v>
      </c>
      <c r="Q26">
        <v>44.913151364764275</v>
      </c>
      <c r="R26">
        <v>30.680240629338286</v>
      </c>
      <c r="S26">
        <v>10.541217821352834</v>
      </c>
      <c r="T26">
        <v>2.0618206666666703</v>
      </c>
      <c r="U26">
        <v>4.0803756666666704</v>
      </c>
      <c r="V26">
        <v>9.6996000000000002</v>
      </c>
      <c r="W26">
        <v>140.4</v>
      </c>
      <c r="X26">
        <v>8374.7999999999993</v>
      </c>
      <c r="Y26">
        <v>34.6</v>
      </c>
      <c r="Z26">
        <v>9</v>
      </c>
      <c r="AA26">
        <v>868.5</v>
      </c>
      <c r="AB26">
        <v>4.5999999999999996</v>
      </c>
      <c r="AC26">
        <v>90.5</v>
      </c>
      <c r="AD26">
        <v>177.2</v>
      </c>
      <c r="AE26">
        <v>7.51</v>
      </c>
      <c r="AF26">
        <f t="shared" si="11"/>
        <v>201.8</v>
      </c>
      <c r="AG26">
        <v>139.81</v>
      </c>
      <c r="AH26">
        <v>341.61</v>
      </c>
      <c r="AI26">
        <v>-4.9999999999954525E-3</v>
      </c>
      <c r="AJ26">
        <f t="shared" si="12"/>
        <v>351.02</v>
      </c>
      <c r="AK26">
        <f t="shared" si="13"/>
        <v>351.02</v>
      </c>
      <c r="AL26">
        <v>351.01499999999999</v>
      </c>
      <c r="AM26">
        <v>351.01499999999999</v>
      </c>
      <c r="AO26">
        <f t="shared" si="14"/>
        <v>0</v>
      </c>
      <c r="AP26">
        <v>0</v>
      </c>
      <c r="AQ26">
        <v>987</v>
      </c>
      <c r="AR26">
        <v>22</v>
      </c>
      <c r="AS26">
        <v>34</v>
      </c>
      <c r="AT26">
        <f t="shared" si="15"/>
        <v>5.3137007027131622</v>
      </c>
      <c r="AU26">
        <f t="shared" si="6"/>
        <v>48.199999999999989</v>
      </c>
      <c r="AV26">
        <v>987</v>
      </c>
      <c r="AW26">
        <f t="shared" si="7"/>
        <v>987</v>
      </c>
      <c r="AX26">
        <f t="shared" si="16"/>
        <v>4.5979457930884525E-5</v>
      </c>
      <c r="AY26" t="e">
        <f t="shared" si="8"/>
        <v>#DIV/0!</v>
      </c>
      <c r="AZ26" t="e">
        <f t="shared" si="17"/>
        <v>#DIV/0!</v>
      </c>
      <c r="BA26" t="e">
        <f t="shared" si="18"/>
        <v>#DIV/0!</v>
      </c>
      <c r="BD26" t="e">
        <f t="shared" si="19"/>
        <v>#DIV/0!</v>
      </c>
    </row>
    <row r="27" spans="1:56" x14ac:dyDescent="0.25">
      <c r="A27" t="s">
        <v>6</v>
      </c>
      <c r="B27" t="s">
        <v>18</v>
      </c>
      <c r="C27">
        <v>20</v>
      </c>
      <c r="D27">
        <f t="shared" si="9"/>
        <v>822.68999999999994</v>
      </c>
      <c r="E27">
        <v>569.37</v>
      </c>
      <c r="F27">
        <v>1392.06</v>
      </c>
      <c r="G27">
        <v>283</v>
      </c>
      <c r="H27" s="2">
        <v>44998.583333333336</v>
      </c>
      <c r="I27" s="5">
        <v>4.29</v>
      </c>
      <c r="J27" s="5">
        <v>115.24</v>
      </c>
      <c r="K27" s="5">
        <v>16.03</v>
      </c>
      <c r="L27">
        <f t="shared" si="10"/>
        <v>10.58134294727355</v>
      </c>
      <c r="M27">
        <v>0.78148358791030204</v>
      </c>
      <c r="N27">
        <v>11.475720789073891</v>
      </c>
      <c r="O27">
        <v>18.493930197269293</v>
      </c>
      <c r="P27">
        <v>14.083529035217019</v>
      </c>
      <c r="Q27">
        <v>44.053180021560202</v>
      </c>
      <c r="R27">
        <v>29.969650986343183</v>
      </c>
      <c r="S27">
        <v>10.241867497287073</v>
      </c>
      <c r="T27">
        <v>1.9660806666666699</v>
      </c>
      <c r="U27">
        <v>3.8730756666666699</v>
      </c>
      <c r="V27">
        <v>9.6071999999999989</v>
      </c>
      <c r="W27">
        <v>117.7</v>
      </c>
      <c r="X27">
        <v>8495.9</v>
      </c>
      <c r="Y27">
        <v>43.3</v>
      </c>
      <c r="Z27">
        <v>0</v>
      </c>
      <c r="AA27">
        <v>877.1</v>
      </c>
      <c r="AB27">
        <v>4</v>
      </c>
      <c r="AC27">
        <v>67.400000000000006</v>
      </c>
      <c r="AD27">
        <v>1.8</v>
      </c>
      <c r="AE27">
        <v>7.5</v>
      </c>
      <c r="AF27">
        <f t="shared" si="11"/>
        <v>205.13</v>
      </c>
      <c r="AG27">
        <v>139.01</v>
      </c>
      <c r="AH27">
        <v>344.14</v>
      </c>
      <c r="AI27">
        <v>0</v>
      </c>
      <c r="AJ27">
        <f t="shared" si="12"/>
        <v>353.51</v>
      </c>
      <c r="AK27">
        <f t="shared" si="13"/>
        <v>353.51</v>
      </c>
      <c r="AL27">
        <v>353.51</v>
      </c>
      <c r="AM27">
        <v>353.51</v>
      </c>
      <c r="AO27">
        <f t="shared" si="14"/>
        <v>0</v>
      </c>
      <c r="AP27">
        <v>0</v>
      </c>
      <c r="AQ27">
        <v>987</v>
      </c>
      <c r="AR27">
        <v>22</v>
      </c>
      <c r="AS27">
        <v>34</v>
      </c>
      <c r="AT27">
        <f t="shared" si="15"/>
        <v>5.3137007027131622</v>
      </c>
      <c r="AU27">
        <f t="shared" si="6"/>
        <v>44.870000000000005</v>
      </c>
      <c r="AV27">
        <v>987</v>
      </c>
      <c r="AW27">
        <f t="shared" si="7"/>
        <v>987</v>
      </c>
      <c r="AX27">
        <f t="shared" si="16"/>
        <v>4.5979457930884525E-5</v>
      </c>
      <c r="AY27" t="e">
        <f t="shared" si="8"/>
        <v>#DIV/0!</v>
      </c>
      <c r="AZ27" t="e">
        <f t="shared" si="17"/>
        <v>#DIV/0!</v>
      </c>
      <c r="BA27" t="e">
        <f t="shared" si="18"/>
        <v>#DIV/0!</v>
      </c>
      <c r="BD27" t="e">
        <f t="shared" si="19"/>
        <v>#DIV/0!</v>
      </c>
    </row>
    <row r="28" spans="1:56" x14ac:dyDescent="0.25">
      <c r="A28" t="s">
        <v>7</v>
      </c>
      <c r="B28" t="s">
        <v>18</v>
      </c>
      <c r="C28">
        <v>20</v>
      </c>
      <c r="D28">
        <f t="shared" si="9"/>
        <v>827.86999999999989</v>
      </c>
      <c r="E28">
        <v>567.73</v>
      </c>
      <c r="F28">
        <v>1395.6</v>
      </c>
      <c r="G28">
        <v>283</v>
      </c>
      <c r="H28" s="2">
        <v>44998.583333333336</v>
      </c>
      <c r="I28" s="5">
        <v>4.3099999999999996</v>
      </c>
      <c r="J28" s="5">
        <v>98.38</v>
      </c>
      <c r="K28" s="5">
        <v>14.48</v>
      </c>
      <c r="L28">
        <f t="shared" si="10"/>
        <v>10.811098118422453</v>
      </c>
      <c r="M28">
        <v>0.76493101493101534</v>
      </c>
      <c r="N28">
        <v>10.242533573862126</v>
      </c>
      <c r="O28">
        <v>18.460613349369023</v>
      </c>
      <c r="P28">
        <v>14.483525439007227</v>
      </c>
      <c r="Q28">
        <v>43.186672362238376</v>
      </c>
      <c r="R28">
        <v>28.703146923231149</v>
      </c>
      <c r="S28">
        <v>10.590583330975846</v>
      </c>
      <c r="T28">
        <v>1.9681590000000002</v>
      </c>
      <c r="U28">
        <v>3.9233336666666703</v>
      </c>
      <c r="V28">
        <v>12.5305</v>
      </c>
      <c r="W28">
        <v>467.5</v>
      </c>
      <c r="X28">
        <v>10099</v>
      </c>
      <c r="Y28">
        <v>164.6</v>
      </c>
      <c r="Z28">
        <v>8.8000000000000007</v>
      </c>
      <c r="AA28">
        <v>1120.8</v>
      </c>
      <c r="AB28">
        <v>40.1</v>
      </c>
      <c r="AC28">
        <v>125.2</v>
      </c>
      <c r="AD28">
        <v>504.5</v>
      </c>
      <c r="AE28">
        <v>7.21</v>
      </c>
      <c r="AF28">
        <f t="shared" si="11"/>
        <v>177.85000000000002</v>
      </c>
      <c r="AG28">
        <v>139.94999999999999</v>
      </c>
      <c r="AH28">
        <v>317.8</v>
      </c>
      <c r="AI28">
        <v>-1.999999999998181E-2</v>
      </c>
      <c r="AJ28">
        <f t="shared" si="12"/>
        <v>327.23999999999995</v>
      </c>
      <c r="AK28">
        <f t="shared" si="13"/>
        <v>327.23999999999995</v>
      </c>
      <c r="AL28">
        <v>327.21999999999997</v>
      </c>
      <c r="AM28">
        <v>327.21999999999997</v>
      </c>
      <c r="AO28">
        <f t="shared" si="14"/>
        <v>0</v>
      </c>
      <c r="AP28">
        <v>0</v>
      </c>
      <c r="AQ28">
        <v>987</v>
      </c>
      <c r="AR28">
        <v>22</v>
      </c>
      <c r="AS28">
        <v>34</v>
      </c>
      <c r="AT28">
        <f t="shared" si="15"/>
        <v>5.3137007027131622</v>
      </c>
      <c r="AU28">
        <f t="shared" si="6"/>
        <v>72.149999999999977</v>
      </c>
      <c r="AV28">
        <v>987</v>
      </c>
      <c r="AW28">
        <f t="shared" si="7"/>
        <v>987</v>
      </c>
      <c r="AX28">
        <f t="shared" si="16"/>
        <v>4.5979457930884525E-5</v>
      </c>
      <c r="AY28" t="e">
        <f t="shared" si="8"/>
        <v>#DIV/0!</v>
      </c>
      <c r="AZ28" t="e">
        <f t="shared" si="17"/>
        <v>#DIV/0!</v>
      </c>
      <c r="BA28" t="e">
        <f t="shared" si="18"/>
        <v>#DIV/0!</v>
      </c>
      <c r="BD28" t="e">
        <f t="shared" si="19"/>
        <v>#DIV/0!</v>
      </c>
    </row>
    <row r="29" spans="1:56" x14ac:dyDescent="0.25">
      <c r="A29" t="s">
        <v>8</v>
      </c>
      <c r="B29" t="s">
        <v>19</v>
      </c>
      <c r="C29">
        <v>10</v>
      </c>
      <c r="D29">
        <f t="shared" si="9"/>
        <v>913.68999999999994</v>
      </c>
      <c r="E29">
        <v>567.61</v>
      </c>
      <c r="F29">
        <v>1481.3</v>
      </c>
      <c r="G29">
        <v>283</v>
      </c>
      <c r="H29" s="2">
        <v>44998.583333333336</v>
      </c>
      <c r="I29" s="5">
        <v>4.3</v>
      </c>
      <c r="J29" s="5">
        <v>100.31</v>
      </c>
      <c r="K29" s="5">
        <v>14.06</v>
      </c>
      <c r="L29">
        <f t="shared" si="10"/>
        <v>10.165607749192795</v>
      </c>
      <c r="M29">
        <v>0.79510108864696893</v>
      </c>
      <c r="N29">
        <v>10.077365602063558</v>
      </c>
      <c r="O29">
        <v>21.821067248561683</v>
      </c>
      <c r="P29">
        <v>18.044067560085864</v>
      </c>
      <c r="Q29">
        <v>49.942500410711105</v>
      </c>
      <c r="R29">
        <v>31.898432850625241</v>
      </c>
      <c r="S29">
        <v>9.4834474188204343</v>
      </c>
      <c r="T29">
        <v>2.102141</v>
      </c>
      <c r="U29">
        <v>4.1491096666666696</v>
      </c>
      <c r="V29">
        <v>5.9318</v>
      </c>
      <c r="W29">
        <v>3408.9</v>
      </c>
      <c r="X29">
        <v>1250.5999999999999</v>
      </c>
      <c r="Y29">
        <v>268.60000000000002</v>
      </c>
      <c r="Z29">
        <v>304.7</v>
      </c>
      <c r="AA29">
        <v>396.6</v>
      </c>
      <c r="AB29">
        <v>66.7</v>
      </c>
      <c r="AC29">
        <v>15.9</v>
      </c>
      <c r="AD29">
        <v>219.8</v>
      </c>
      <c r="AE29">
        <v>7.81</v>
      </c>
      <c r="AF29">
        <f t="shared" si="11"/>
        <v>142.11999999999998</v>
      </c>
      <c r="AG29">
        <v>139.71</v>
      </c>
      <c r="AH29">
        <v>281.83</v>
      </c>
      <c r="AI29">
        <v>-9.9999999999909051E-3</v>
      </c>
      <c r="AJ29">
        <f t="shared" si="12"/>
        <v>291.18</v>
      </c>
      <c r="AK29">
        <f t="shared" si="13"/>
        <v>291.18</v>
      </c>
      <c r="AL29">
        <v>291.17</v>
      </c>
      <c r="AM29">
        <v>291.17</v>
      </c>
      <c r="AO29">
        <f t="shared" si="14"/>
        <v>0</v>
      </c>
      <c r="AP29">
        <v>0</v>
      </c>
      <c r="AQ29">
        <v>987</v>
      </c>
      <c r="AR29">
        <v>22</v>
      </c>
      <c r="AS29">
        <v>34</v>
      </c>
      <c r="AT29">
        <f t="shared" si="15"/>
        <v>5.3137007027131622</v>
      </c>
      <c r="AU29">
        <f t="shared" si="6"/>
        <v>107.88000000000002</v>
      </c>
      <c r="AV29">
        <v>987</v>
      </c>
      <c r="AW29">
        <f t="shared" si="7"/>
        <v>987</v>
      </c>
      <c r="AX29">
        <f t="shared" si="16"/>
        <v>4.5979457930884525E-5</v>
      </c>
      <c r="AY29" t="e">
        <f t="shared" si="8"/>
        <v>#DIV/0!</v>
      </c>
      <c r="AZ29" t="e">
        <f t="shared" si="17"/>
        <v>#DIV/0!</v>
      </c>
      <c r="BA29" t="e">
        <f t="shared" si="18"/>
        <v>#DIV/0!</v>
      </c>
      <c r="BD29" t="e">
        <f t="shared" si="19"/>
        <v>#DIV/0!</v>
      </c>
    </row>
    <row r="30" spans="1:56" x14ac:dyDescent="0.25">
      <c r="A30" t="s">
        <v>9</v>
      </c>
      <c r="B30" t="s">
        <v>19</v>
      </c>
      <c r="C30">
        <v>10</v>
      </c>
      <c r="D30">
        <f t="shared" si="9"/>
        <v>920.25000000000011</v>
      </c>
      <c r="E30">
        <v>569.41999999999996</v>
      </c>
      <c r="F30">
        <v>1489.67</v>
      </c>
      <c r="G30">
        <v>283</v>
      </c>
      <c r="H30" s="2">
        <v>44998.583333333336</v>
      </c>
      <c r="I30" s="5">
        <v>4.28</v>
      </c>
      <c r="J30" s="5">
        <v>108.88</v>
      </c>
      <c r="K30" s="5">
        <v>14.99</v>
      </c>
      <c r="L30">
        <f t="shared" si="10"/>
        <v>10.239005736137669</v>
      </c>
      <c r="M30">
        <v>0.64581753853929735</v>
      </c>
      <c r="N30">
        <v>10.183390487550424</v>
      </c>
      <c r="O30">
        <v>19.576561801102727</v>
      </c>
      <c r="P30">
        <v>18.54672692112986</v>
      </c>
      <c r="Q30">
        <v>48.306679209783013</v>
      </c>
      <c r="R30">
        <v>29.759952288653153</v>
      </c>
      <c r="S30">
        <v>10.563593338987459</v>
      </c>
      <c r="T30">
        <v>2.3031973333333298</v>
      </c>
      <c r="U30">
        <v>4.4396006666666699</v>
      </c>
      <c r="V30">
        <v>4.9323000000000006</v>
      </c>
      <c r="W30">
        <v>2858.1</v>
      </c>
      <c r="X30">
        <v>1109.7</v>
      </c>
      <c r="Y30">
        <v>237.5</v>
      </c>
      <c r="Z30">
        <v>252.9</v>
      </c>
      <c r="AA30">
        <v>347</v>
      </c>
      <c r="AB30">
        <v>54.7</v>
      </c>
      <c r="AC30">
        <v>11.8</v>
      </c>
      <c r="AD30">
        <v>60.6</v>
      </c>
      <c r="AE30">
        <v>7.89</v>
      </c>
      <c r="AF30">
        <f t="shared" si="11"/>
        <v>136.42000000000002</v>
      </c>
      <c r="AG30">
        <v>139.75</v>
      </c>
      <c r="AH30">
        <v>276.17</v>
      </c>
      <c r="AI30">
        <v>0</v>
      </c>
      <c r="AJ30">
        <f t="shared" si="12"/>
        <v>285.55</v>
      </c>
      <c r="AK30">
        <f t="shared" si="13"/>
        <v>285.55</v>
      </c>
      <c r="AL30">
        <v>285.55</v>
      </c>
      <c r="AM30">
        <v>285.55</v>
      </c>
      <c r="AO30">
        <f t="shared" si="14"/>
        <v>0</v>
      </c>
      <c r="AP30">
        <v>0</v>
      </c>
      <c r="AQ30">
        <v>987</v>
      </c>
      <c r="AR30">
        <v>22</v>
      </c>
      <c r="AS30">
        <v>34</v>
      </c>
      <c r="AT30">
        <f t="shared" si="15"/>
        <v>5.3137007027131622</v>
      </c>
      <c r="AU30">
        <f t="shared" si="6"/>
        <v>113.57999999999998</v>
      </c>
      <c r="AV30">
        <v>987</v>
      </c>
      <c r="AW30">
        <f t="shared" si="7"/>
        <v>987</v>
      </c>
      <c r="AX30">
        <f t="shared" si="16"/>
        <v>4.5979457930884525E-5</v>
      </c>
      <c r="AY30" t="e">
        <f t="shared" si="8"/>
        <v>#DIV/0!</v>
      </c>
      <c r="AZ30" t="e">
        <f t="shared" si="17"/>
        <v>#DIV/0!</v>
      </c>
      <c r="BA30" t="e">
        <f t="shared" si="18"/>
        <v>#DIV/0!</v>
      </c>
      <c r="BD30" t="e">
        <f t="shared" si="19"/>
        <v>#DIV/0!</v>
      </c>
    </row>
    <row r="31" spans="1:56" x14ac:dyDescent="0.25">
      <c r="A31" t="s">
        <v>10</v>
      </c>
      <c r="B31" t="s">
        <v>19</v>
      </c>
      <c r="C31">
        <v>10</v>
      </c>
      <c r="D31">
        <f t="shared" si="9"/>
        <v>919.98000000000013</v>
      </c>
      <c r="E31">
        <v>567.66</v>
      </c>
      <c r="F31">
        <v>1487.64</v>
      </c>
      <c r="G31">
        <v>283</v>
      </c>
      <c r="H31" s="2">
        <v>44998.583333333336</v>
      </c>
      <c r="I31" s="5">
        <v>4.33</v>
      </c>
      <c r="J31" s="5">
        <v>115.18</v>
      </c>
      <c r="K31" s="5">
        <v>15.31</v>
      </c>
      <c r="L31">
        <f t="shared" si="10"/>
        <v>9.9052774018944518</v>
      </c>
      <c r="M31">
        <v>0.79143940094295995</v>
      </c>
      <c r="N31">
        <v>10.166846717080542</v>
      </c>
      <c r="O31">
        <v>20.045612771576238</v>
      </c>
      <c r="P31">
        <v>12.277060772172131</v>
      </c>
      <c r="Q31">
        <v>42.489520260828911</v>
      </c>
      <c r="R31">
        <v>30.21245948865678</v>
      </c>
      <c r="S31">
        <v>10.483719065185808</v>
      </c>
      <c r="T31">
        <v>2.2892253333333303</v>
      </c>
      <c r="U31">
        <v>4.4774343333333295</v>
      </c>
      <c r="V31">
        <v>5.0278</v>
      </c>
      <c r="W31">
        <v>2837.6</v>
      </c>
      <c r="X31">
        <v>1165.2</v>
      </c>
      <c r="Y31">
        <v>244.9</v>
      </c>
      <c r="Z31">
        <v>272.8</v>
      </c>
      <c r="AA31">
        <v>351</v>
      </c>
      <c r="AB31">
        <v>60.8</v>
      </c>
      <c r="AC31">
        <v>12.9</v>
      </c>
      <c r="AD31">
        <v>82.6</v>
      </c>
      <c r="AE31">
        <v>7.92</v>
      </c>
      <c r="AF31">
        <f t="shared" si="11"/>
        <v>117.85000000000002</v>
      </c>
      <c r="AG31">
        <v>140.44999999999999</v>
      </c>
      <c r="AH31">
        <v>258.3</v>
      </c>
      <c r="AI31">
        <v>-1.999999999998181E-2</v>
      </c>
      <c r="AJ31">
        <f t="shared" si="12"/>
        <v>267.72999999999996</v>
      </c>
      <c r="AK31">
        <f t="shared" si="13"/>
        <v>267.72999999999996</v>
      </c>
      <c r="AL31">
        <v>267.70999999999998</v>
      </c>
      <c r="AM31">
        <v>267.70999999999998</v>
      </c>
      <c r="AO31">
        <f t="shared" si="14"/>
        <v>0</v>
      </c>
      <c r="AP31">
        <v>0</v>
      </c>
      <c r="AQ31">
        <v>987</v>
      </c>
      <c r="AR31">
        <v>22</v>
      </c>
      <c r="AS31">
        <v>34</v>
      </c>
      <c r="AT31">
        <f t="shared" si="15"/>
        <v>5.3137007027131622</v>
      </c>
      <c r="AU31">
        <f t="shared" si="6"/>
        <v>132.14999999999998</v>
      </c>
      <c r="AV31">
        <v>987</v>
      </c>
      <c r="AW31">
        <f t="shared" si="7"/>
        <v>987</v>
      </c>
      <c r="AX31">
        <f t="shared" si="16"/>
        <v>4.5979457930884525E-5</v>
      </c>
      <c r="AY31" t="e">
        <f t="shared" si="8"/>
        <v>#DIV/0!</v>
      </c>
      <c r="AZ31" t="e">
        <f t="shared" si="17"/>
        <v>#DIV/0!</v>
      </c>
      <c r="BA31" t="e">
        <f t="shared" si="18"/>
        <v>#DIV/0!</v>
      </c>
      <c r="BD31" t="e">
        <f t="shared" si="19"/>
        <v>#DIV/0!</v>
      </c>
    </row>
    <row r="32" spans="1:56" x14ac:dyDescent="0.25">
      <c r="A32" t="s">
        <v>11</v>
      </c>
      <c r="B32" t="s">
        <v>19</v>
      </c>
      <c r="C32">
        <v>10</v>
      </c>
      <c r="D32">
        <f t="shared" si="9"/>
        <v>905.70999999999992</v>
      </c>
      <c r="E32">
        <v>567.13</v>
      </c>
      <c r="F32">
        <v>1472.84</v>
      </c>
      <c r="G32">
        <v>283</v>
      </c>
      <c r="H32" s="2">
        <v>44998.583333333336</v>
      </c>
      <c r="I32" s="5">
        <v>4.32</v>
      </c>
      <c r="J32" s="5">
        <v>106.53</v>
      </c>
      <c r="K32" s="5">
        <v>16.489999999999998</v>
      </c>
      <c r="L32">
        <f t="shared" si="10"/>
        <v>11.906858428725171</v>
      </c>
      <c r="M32">
        <v>0.77733727384127471</v>
      </c>
      <c r="N32">
        <v>9.519546404058568</v>
      </c>
      <c r="O32">
        <v>20.262608176664166</v>
      </c>
      <c r="P32">
        <v>16.519387754814499</v>
      </c>
      <c r="Q32">
        <v>46.301542335537235</v>
      </c>
      <c r="R32">
        <v>29.782154580722736</v>
      </c>
      <c r="S32">
        <v>9.2036559788483157</v>
      </c>
      <c r="T32">
        <v>2.7616183333333302</v>
      </c>
      <c r="U32">
        <v>5.4503140000000005</v>
      </c>
      <c r="V32">
        <v>5.9764999999999997</v>
      </c>
      <c r="W32">
        <v>3360.7</v>
      </c>
      <c r="X32">
        <v>1356</v>
      </c>
      <c r="Y32">
        <v>303.60000000000002</v>
      </c>
      <c r="Z32">
        <v>388.9</v>
      </c>
      <c r="AA32">
        <v>421.1</v>
      </c>
      <c r="AB32">
        <v>86.2</v>
      </c>
      <c r="AC32">
        <v>19.8</v>
      </c>
      <c r="AD32">
        <v>40.200000000000003</v>
      </c>
      <c r="AE32">
        <v>7.89</v>
      </c>
      <c r="AF32">
        <f t="shared" si="11"/>
        <v>107.53</v>
      </c>
      <c r="AG32">
        <v>140</v>
      </c>
      <c r="AH32">
        <v>247.53</v>
      </c>
      <c r="AI32">
        <v>-1.999999999998181E-2</v>
      </c>
      <c r="AJ32">
        <f t="shared" si="12"/>
        <v>256.98999999999995</v>
      </c>
      <c r="AK32">
        <f t="shared" si="13"/>
        <v>256.98999999999995</v>
      </c>
      <c r="AL32">
        <v>256.96999999999997</v>
      </c>
      <c r="AM32">
        <v>256.96999999999997</v>
      </c>
      <c r="AO32">
        <f t="shared" si="14"/>
        <v>0</v>
      </c>
      <c r="AP32">
        <v>0</v>
      </c>
      <c r="AQ32">
        <v>987</v>
      </c>
      <c r="AR32">
        <v>22</v>
      </c>
      <c r="AS32">
        <v>34</v>
      </c>
      <c r="AT32">
        <f t="shared" si="15"/>
        <v>5.3137007027131622</v>
      </c>
      <c r="AU32">
        <f t="shared" si="6"/>
        <v>142.47</v>
      </c>
      <c r="AV32">
        <v>987</v>
      </c>
      <c r="AW32">
        <f t="shared" si="7"/>
        <v>987</v>
      </c>
      <c r="AX32">
        <f t="shared" si="16"/>
        <v>4.5979457930884525E-5</v>
      </c>
      <c r="AY32" t="e">
        <f t="shared" si="8"/>
        <v>#DIV/0!</v>
      </c>
      <c r="AZ32" t="e">
        <f t="shared" si="17"/>
        <v>#DIV/0!</v>
      </c>
      <c r="BA32" t="e">
        <f t="shared" si="18"/>
        <v>#DIV/0!</v>
      </c>
      <c r="BD32" t="e">
        <f t="shared" si="19"/>
        <v>#DIV/0!</v>
      </c>
    </row>
    <row r="33" spans="1:56" x14ac:dyDescent="0.25">
      <c r="A33" t="s">
        <v>12</v>
      </c>
      <c r="B33" t="s">
        <v>19</v>
      </c>
      <c r="C33">
        <v>20</v>
      </c>
      <c r="D33">
        <f t="shared" si="9"/>
        <v>737.46</v>
      </c>
      <c r="E33">
        <v>570.76</v>
      </c>
      <c r="F33">
        <v>1308.22</v>
      </c>
      <c r="G33">
        <v>283</v>
      </c>
      <c r="H33" s="2">
        <v>44998.583333333336</v>
      </c>
      <c r="I33" s="5">
        <v>4.29</v>
      </c>
      <c r="J33" s="5">
        <v>99.05</v>
      </c>
      <c r="K33" s="5">
        <v>13.45</v>
      </c>
      <c r="L33">
        <f t="shared" si="10"/>
        <v>9.6665259603208114</v>
      </c>
      <c r="M33">
        <v>0.73256684727545074</v>
      </c>
      <c r="N33">
        <v>12.963790791238228</v>
      </c>
      <c r="O33">
        <v>20.786767992847818</v>
      </c>
      <c r="P33">
        <v>15.873722930957975</v>
      </c>
      <c r="Q33">
        <v>49.62428171504402</v>
      </c>
      <c r="R33">
        <v>33.750558784086046</v>
      </c>
      <c r="S33">
        <v>5.9528434791315732</v>
      </c>
      <c r="T33">
        <v>0.73721566666666694</v>
      </c>
      <c r="U33">
        <v>2.0284563333333301</v>
      </c>
      <c r="V33">
        <v>0.21397999999999995</v>
      </c>
      <c r="W33">
        <v>110.8</v>
      </c>
      <c r="X33">
        <v>17.18</v>
      </c>
      <c r="Y33">
        <v>0</v>
      </c>
      <c r="Z33">
        <v>6.7</v>
      </c>
      <c r="AA33">
        <v>3.2</v>
      </c>
      <c r="AB33">
        <v>0</v>
      </c>
      <c r="AC33">
        <v>4.5</v>
      </c>
      <c r="AD33">
        <v>71.599999999999994</v>
      </c>
      <c r="AE33">
        <v>7.51</v>
      </c>
      <c r="AF33">
        <f t="shared" si="11"/>
        <v>109.43</v>
      </c>
      <c r="AG33">
        <v>140.19999999999999</v>
      </c>
      <c r="AH33">
        <v>249.63</v>
      </c>
      <c r="AI33">
        <v>-9.9999999999909051E-3</v>
      </c>
      <c r="AJ33">
        <f t="shared" si="12"/>
        <v>259.02</v>
      </c>
      <c r="AK33">
        <f t="shared" si="13"/>
        <v>259.02</v>
      </c>
      <c r="AL33">
        <v>259.01</v>
      </c>
      <c r="AM33">
        <v>259.01</v>
      </c>
      <c r="AO33">
        <f t="shared" si="14"/>
        <v>0</v>
      </c>
      <c r="AP33">
        <v>0</v>
      </c>
      <c r="AQ33">
        <v>987</v>
      </c>
      <c r="AR33">
        <v>22</v>
      </c>
      <c r="AS33">
        <v>34</v>
      </c>
      <c r="AT33">
        <f t="shared" si="15"/>
        <v>5.3137007027131622</v>
      </c>
      <c r="AU33">
        <f t="shared" si="6"/>
        <v>140.57</v>
      </c>
      <c r="AV33">
        <v>987</v>
      </c>
      <c r="AW33">
        <f t="shared" si="7"/>
        <v>987</v>
      </c>
      <c r="AX33">
        <f t="shared" si="16"/>
        <v>4.5979457930884525E-5</v>
      </c>
      <c r="AY33" t="e">
        <f t="shared" si="8"/>
        <v>#DIV/0!</v>
      </c>
      <c r="AZ33" t="e">
        <f t="shared" si="17"/>
        <v>#DIV/0!</v>
      </c>
      <c r="BA33" t="e">
        <f t="shared" si="18"/>
        <v>#DIV/0!</v>
      </c>
      <c r="BD33" t="e">
        <f t="shared" si="19"/>
        <v>#DIV/0!</v>
      </c>
    </row>
    <row r="34" spans="1:56" x14ac:dyDescent="0.25">
      <c r="A34" t="s">
        <v>13</v>
      </c>
      <c r="B34" t="s">
        <v>19</v>
      </c>
      <c r="C34">
        <v>20</v>
      </c>
      <c r="D34">
        <f t="shared" si="9"/>
        <v>769.04</v>
      </c>
      <c r="E34">
        <v>570.77</v>
      </c>
      <c r="F34">
        <v>1339.81</v>
      </c>
      <c r="G34">
        <v>283</v>
      </c>
      <c r="H34" s="2">
        <v>44998.583333333336</v>
      </c>
      <c r="I34" s="5">
        <v>4.29</v>
      </c>
      <c r="J34" s="5">
        <v>109.67</v>
      </c>
      <c r="K34" s="5">
        <v>13.96</v>
      </c>
      <c r="L34">
        <f t="shared" si="10"/>
        <v>9.1763142911368405</v>
      </c>
      <c r="M34">
        <v>0.72592503796052066</v>
      </c>
      <c r="N34">
        <v>13.059290279921148</v>
      </c>
      <c r="O34">
        <v>20.24465505840805</v>
      </c>
      <c r="P34">
        <v>16.737514031488857</v>
      </c>
      <c r="Q34">
        <v>50.041459369818057</v>
      </c>
      <c r="R34">
        <v>33.3039453383292</v>
      </c>
      <c r="S34">
        <v>5.3841943162335975</v>
      </c>
      <c r="T34">
        <v>0.69623266666666705</v>
      </c>
      <c r="U34">
        <v>1.9552156666666698</v>
      </c>
      <c r="V34">
        <v>0.1032</v>
      </c>
      <c r="W34">
        <v>40.200000000000003</v>
      </c>
      <c r="X34">
        <v>8.8000000000000007</v>
      </c>
      <c r="Y34">
        <v>0</v>
      </c>
      <c r="Z34">
        <v>0</v>
      </c>
      <c r="AA34">
        <v>3.1</v>
      </c>
      <c r="AB34">
        <v>0</v>
      </c>
      <c r="AC34">
        <v>12.6</v>
      </c>
      <c r="AD34">
        <v>38.5</v>
      </c>
      <c r="AE34">
        <v>7.62</v>
      </c>
      <c r="AF34">
        <f t="shared" si="11"/>
        <v>129.52999999999997</v>
      </c>
      <c r="AG34">
        <v>140.24</v>
      </c>
      <c r="AH34">
        <v>269.77</v>
      </c>
      <c r="AI34">
        <v>-1.999999999998181E-2</v>
      </c>
      <c r="AJ34">
        <f t="shared" si="12"/>
        <v>279.17999999999995</v>
      </c>
      <c r="AK34">
        <f t="shared" si="13"/>
        <v>279.17999999999995</v>
      </c>
      <c r="AL34">
        <v>279.15999999999997</v>
      </c>
      <c r="AM34">
        <v>279.15999999999997</v>
      </c>
      <c r="AO34">
        <f t="shared" si="14"/>
        <v>0</v>
      </c>
      <c r="AP34">
        <v>0</v>
      </c>
      <c r="AQ34">
        <v>987</v>
      </c>
      <c r="AR34">
        <v>22</v>
      </c>
      <c r="AS34">
        <v>34</v>
      </c>
      <c r="AT34">
        <f t="shared" si="15"/>
        <v>5.3137007027131622</v>
      </c>
      <c r="AU34">
        <f t="shared" si="6"/>
        <v>120.47000000000003</v>
      </c>
      <c r="AV34">
        <v>987</v>
      </c>
      <c r="AW34">
        <f t="shared" si="7"/>
        <v>987</v>
      </c>
      <c r="AX34">
        <f t="shared" si="16"/>
        <v>4.5979457930884525E-5</v>
      </c>
      <c r="AY34" t="e">
        <f t="shared" si="8"/>
        <v>#DIV/0!</v>
      </c>
      <c r="AZ34" t="e">
        <f t="shared" si="17"/>
        <v>#DIV/0!</v>
      </c>
      <c r="BA34" t="e">
        <f t="shared" si="18"/>
        <v>#DIV/0!</v>
      </c>
      <c r="BD34" t="e">
        <f t="shared" si="19"/>
        <v>#DIV/0!</v>
      </c>
    </row>
    <row r="35" spans="1:56" x14ac:dyDescent="0.25">
      <c r="A35" t="s">
        <v>14</v>
      </c>
      <c r="B35" t="s">
        <v>19</v>
      </c>
      <c r="C35">
        <v>20</v>
      </c>
      <c r="D35">
        <f t="shared" si="9"/>
        <v>739.9799999999999</v>
      </c>
      <c r="E35">
        <v>567.1</v>
      </c>
      <c r="F35">
        <v>1307.08</v>
      </c>
      <c r="G35">
        <v>283</v>
      </c>
      <c r="H35" s="2">
        <v>44998.583333333336</v>
      </c>
      <c r="I35" s="5">
        <v>4.3</v>
      </c>
      <c r="J35" s="5">
        <v>114.32</v>
      </c>
      <c r="K35" s="5">
        <v>14.9</v>
      </c>
      <c r="L35">
        <f t="shared" si="10"/>
        <v>9.6346118887475019</v>
      </c>
      <c r="M35">
        <v>0.72194821208384707</v>
      </c>
      <c r="N35">
        <v>12.636273538156628</v>
      </c>
      <c r="O35">
        <v>19.499504459861136</v>
      </c>
      <c r="P35">
        <v>14.33243592730944</v>
      </c>
      <c r="Q35">
        <v>46.468213925327206</v>
      </c>
      <c r="R35">
        <v>32.135777998017765</v>
      </c>
      <c r="S35">
        <v>5.86110728653584</v>
      </c>
      <c r="T35">
        <v>0.17676599999999998</v>
      </c>
      <c r="U35">
        <v>1.16433266666667</v>
      </c>
      <c r="V35">
        <v>6.0600000000000001E-2</v>
      </c>
      <c r="W35">
        <v>32.1</v>
      </c>
      <c r="X35">
        <v>0</v>
      </c>
      <c r="Y35">
        <v>0</v>
      </c>
      <c r="Z35">
        <v>0</v>
      </c>
      <c r="AA35">
        <v>0</v>
      </c>
      <c r="AB35">
        <v>0</v>
      </c>
      <c r="AC35">
        <v>11.4</v>
      </c>
      <c r="AD35">
        <v>17.100000000000001</v>
      </c>
      <c r="AE35">
        <v>7.45</v>
      </c>
      <c r="AF35">
        <f t="shared" si="11"/>
        <v>94.359999999999985</v>
      </c>
      <c r="AG35">
        <v>138.74</v>
      </c>
      <c r="AH35">
        <v>233.1</v>
      </c>
      <c r="AI35">
        <v>-1.999999999998181E-2</v>
      </c>
      <c r="AJ35">
        <f t="shared" si="12"/>
        <v>242.49999999999997</v>
      </c>
      <c r="AK35">
        <f t="shared" si="13"/>
        <v>242.49999999999997</v>
      </c>
      <c r="AL35">
        <v>242.48</v>
      </c>
      <c r="AM35">
        <v>242.48</v>
      </c>
      <c r="AO35">
        <f t="shared" si="14"/>
        <v>0</v>
      </c>
      <c r="AP35">
        <v>0</v>
      </c>
      <c r="AQ35">
        <v>987</v>
      </c>
      <c r="AR35">
        <v>22</v>
      </c>
      <c r="AS35">
        <v>34</v>
      </c>
      <c r="AT35">
        <f t="shared" si="15"/>
        <v>5.3137007027131622</v>
      </c>
      <c r="AU35">
        <f t="shared" si="6"/>
        <v>155.64000000000001</v>
      </c>
      <c r="AV35">
        <v>987</v>
      </c>
      <c r="AW35">
        <f t="shared" si="7"/>
        <v>987</v>
      </c>
      <c r="AX35">
        <f t="shared" si="16"/>
        <v>4.5979457930884525E-5</v>
      </c>
      <c r="AY35" t="e">
        <f t="shared" si="8"/>
        <v>#DIV/0!</v>
      </c>
      <c r="AZ35" t="e">
        <f t="shared" si="17"/>
        <v>#DIV/0!</v>
      </c>
      <c r="BA35" t="e">
        <f t="shared" si="18"/>
        <v>#DIV/0!</v>
      </c>
      <c r="BD35" t="e">
        <f t="shared" si="19"/>
        <v>#DIV/0!</v>
      </c>
    </row>
    <row r="36" spans="1:56" x14ac:dyDescent="0.25">
      <c r="A36" t="s">
        <v>15</v>
      </c>
      <c r="B36" t="s">
        <v>19</v>
      </c>
      <c r="C36">
        <v>20</v>
      </c>
      <c r="D36">
        <f t="shared" si="9"/>
        <v>723.23</v>
      </c>
      <c r="E36">
        <v>568.79999999999995</v>
      </c>
      <c r="F36">
        <v>1292.03</v>
      </c>
      <c r="G36">
        <v>283</v>
      </c>
      <c r="H36" s="2">
        <v>44998.583333333336</v>
      </c>
      <c r="I36" s="5">
        <v>4.29</v>
      </c>
      <c r="J36" s="5">
        <v>108.02</v>
      </c>
      <c r="K36" s="5">
        <v>17.78</v>
      </c>
      <c r="L36">
        <f t="shared" si="10"/>
        <v>13.00491661043093</v>
      </c>
      <c r="M36">
        <v>0.68292127798799385</v>
      </c>
      <c r="N36">
        <v>11.818269882786</v>
      </c>
      <c r="O36">
        <v>19.219219219219511</v>
      </c>
      <c r="P36">
        <v>14.257764761128964</v>
      </c>
      <c r="Q36">
        <v>45.295253863134477</v>
      </c>
      <c r="R36">
        <v>31.037489102005512</v>
      </c>
      <c r="S36">
        <v>5.1154319353583038</v>
      </c>
      <c r="T36">
        <v>0.70371466666666693</v>
      </c>
      <c r="U36">
        <v>2.0664549999999999</v>
      </c>
      <c r="V36">
        <v>0.11580000000000001</v>
      </c>
      <c r="W36">
        <v>87</v>
      </c>
      <c r="X36">
        <v>6</v>
      </c>
      <c r="Y36">
        <v>0</v>
      </c>
      <c r="Z36">
        <v>0</v>
      </c>
      <c r="AA36">
        <v>10.199999999999999</v>
      </c>
      <c r="AB36">
        <v>7.2</v>
      </c>
      <c r="AC36">
        <v>5.4</v>
      </c>
      <c r="AD36">
        <v>0</v>
      </c>
      <c r="AE36">
        <v>7.49</v>
      </c>
      <c r="AF36">
        <f t="shared" si="11"/>
        <v>85.4</v>
      </c>
      <c r="AG36">
        <v>140.1</v>
      </c>
      <c r="AH36">
        <v>225.5</v>
      </c>
      <c r="AI36">
        <v>0</v>
      </c>
      <c r="AJ36">
        <f t="shared" si="12"/>
        <v>234.94</v>
      </c>
      <c r="AK36">
        <f t="shared" si="13"/>
        <v>234.94</v>
      </c>
      <c r="AL36">
        <v>234.94</v>
      </c>
      <c r="AM36">
        <v>234.94</v>
      </c>
      <c r="AO36">
        <f t="shared" si="14"/>
        <v>0</v>
      </c>
      <c r="AP36">
        <v>0</v>
      </c>
      <c r="AQ36">
        <v>987</v>
      </c>
      <c r="AR36">
        <v>22</v>
      </c>
      <c r="AS36">
        <v>34</v>
      </c>
      <c r="AT36">
        <f t="shared" si="15"/>
        <v>5.3137007027131622</v>
      </c>
      <c r="AU36">
        <f t="shared" si="6"/>
        <v>164.6</v>
      </c>
      <c r="AV36">
        <v>987</v>
      </c>
      <c r="AW36">
        <f t="shared" si="7"/>
        <v>987</v>
      </c>
      <c r="AX36">
        <f t="shared" si="16"/>
        <v>4.5979457930884525E-5</v>
      </c>
      <c r="AY36" t="e">
        <f t="shared" si="8"/>
        <v>#DIV/0!</v>
      </c>
      <c r="AZ36" t="e">
        <f t="shared" si="17"/>
        <v>#DIV/0!</v>
      </c>
      <c r="BA36" t="e">
        <f t="shared" si="18"/>
        <v>#DIV/0!</v>
      </c>
      <c r="BD36" t="e">
        <f t="shared" si="19"/>
        <v>#DIV/0!</v>
      </c>
    </row>
    <row r="37" spans="1:56" x14ac:dyDescent="0.25">
      <c r="A37" t="s">
        <v>0</v>
      </c>
      <c r="B37" t="s">
        <v>18</v>
      </c>
      <c r="C37">
        <v>10</v>
      </c>
      <c r="G37">
        <f>H37-$H$18</f>
        <v>284.56944444444525</v>
      </c>
      <c r="H37" s="2">
        <v>44999.569444444445</v>
      </c>
      <c r="I37" s="2"/>
      <c r="J37" s="2"/>
      <c r="K37" s="2"/>
      <c r="AF37">
        <v>172.77</v>
      </c>
      <c r="AG37">
        <v>139.16999999999999</v>
      </c>
      <c r="AI37">
        <v>-4.0000000000020464E-2</v>
      </c>
      <c r="AJ37">
        <f t="shared" si="12"/>
        <v>321.41000000000003</v>
      </c>
      <c r="AK37">
        <f t="shared" si="13"/>
        <v>321.38000000000005</v>
      </c>
      <c r="AL37">
        <v>321.37</v>
      </c>
      <c r="AM37">
        <v>321.34000000000003</v>
      </c>
      <c r="AN37">
        <f>AM21-AL37</f>
        <v>4.0000000000020464E-2</v>
      </c>
      <c r="AO37">
        <f t="shared" si="14"/>
        <v>2.9999999999972715E-2</v>
      </c>
      <c r="AP37">
        <v>18</v>
      </c>
      <c r="AQ37">
        <v>987</v>
      </c>
      <c r="AR37">
        <v>22</v>
      </c>
      <c r="AS37">
        <v>34</v>
      </c>
      <c r="AT37">
        <f t="shared" si="15"/>
        <v>5.3137007027131622</v>
      </c>
      <c r="AU37">
        <f t="shared" si="6"/>
        <v>77.22999999999999</v>
      </c>
      <c r="AV37">
        <v>987</v>
      </c>
      <c r="AW37">
        <f t="shared" si="7"/>
        <v>1217.0401398420304</v>
      </c>
      <c r="AX37">
        <f t="shared" si="16"/>
        <v>3.689182801214663E-5</v>
      </c>
      <c r="AY37">
        <f t="shared" si="8"/>
        <v>1.6297748386530043E-3</v>
      </c>
      <c r="AZ37">
        <f t="shared" si="17"/>
        <v>36.343978901961997</v>
      </c>
      <c r="BA37">
        <f t="shared" si="18"/>
        <v>0.27408012506392571</v>
      </c>
      <c r="BD37" t="e">
        <f t="shared" si="19"/>
        <v>#DIV/0!</v>
      </c>
    </row>
    <row r="38" spans="1:56" x14ac:dyDescent="0.25">
      <c r="A38" t="s">
        <v>1</v>
      </c>
      <c r="B38" t="s">
        <v>18</v>
      </c>
      <c r="C38">
        <v>10</v>
      </c>
      <c r="G38">
        <f t="shared" ref="G38:G101" si="20">H38-$H$18</f>
        <v>284.56944444444525</v>
      </c>
      <c r="H38" s="2">
        <v>44999.569444444445</v>
      </c>
      <c r="I38" s="2"/>
      <c r="J38" s="2"/>
      <c r="K38" s="2"/>
      <c r="AF38">
        <v>173.93</v>
      </c>
      <c r="AG38">
        <v>141.25</v>
      </c>
      <c r="AI38">
        <v>-3.0000000000029559E-2</v>
      </c>
      <c r="AJ38">
        <f t="shared" si="12"/>
        <v>324.55000000000007</v>
      </c>
      <c r="AK38">
        <f t="shared" si="13"/>
        <v>324.52000000000004</v>
      </c>
      <c r="AL38">
        <v>324.52000000000004</v>
      </c>
      <c r="AM38">
        <v>324.49</v>
      </c>
      <c r="AN38">
        <f t="shared" ref="AN38:AN56" si="21">AM22-AL38</f>
        <v>3.999999999996362E-2</v>
      </c>
      <c r="AO38">
        <f t="shared" si="14"/>
        <v>3.0000000000029559E-2</v>
      </c>
      <c r="AP38">
        <v>19</v>
      </c>
      <c r="AQ38">
        <v>987</v>
      </c>
      <c r="AR38">
        <v>22</v>
      </c>
      <c r="AS38">
        <v>34</v>
      </c>
      <c r="AT38">
        <f t="shared" si="15"/>
        <v>5.3137007027131622</v>
      </c>
      <c r="AU38">
        <f t="shared" si="6"/>
        <v>76.069999999999993</v>
      </c>
      <c r="AV38">
        <v>987</v>
      </c>
      <c r="AW38">
        <f t="shared" si="7"/>
        <v>1233.522939397923</v>
      </c>
      <c r="AX38">
        <f t="shared" si="16"/>
        <v>3.6376673951344377E-5</v>
      </c>
      <c r="AY38">
        <f t="shared" si="8"/>
        <v>1.542570694471264E-3</v>
      </c>
      <c r="AZ38">
        <f t="shared" si="17"/>
        <v>34.399326486709185</v>
      </c>
      <c r="BA38">
        <f t="shared" si="18"/>
        <v>0.34360648957064044</v>
      </c>
      <c r="BD38" t="e">
        <f t="shared" si="19"/>
        <v>#DIV/0!</v>
      </c>
    </row>
    <row r="39" spans="1:56" x14ac:dyDescent="0.25">
      <c r="A39" t="s">
        <v>2</v>
      </c>
      <c r="B39" t="s">
        <v>18</v>
      </c>
      <c r="C39">
        <v>10</v>
      </c>
      <c r="G39">
        <f t="shared" si="20"/>
        <v>284.56944444444525</v>
      </c>
      <c r="H39" s="2">
        <v>44999.569444444445</v>
      </c>
      <c r="I39" s="2"/>
      <c r="J39" s="2"/>
      <c r="K39" s="2"/>
      <c r="AF39">
        <v>162.82000000000002</v>
      </c>
      <c r="AG39">
        <v>140.66</v>
      </c>
      <c r="AI39">
        <v>-2.4999999999977263E-2</v>
      </c>
      <c r="AJ39">
        <f t="shared" si="12"/>
        <v>312.87999999999994</v>
      </c>
      <c r="AK39">
        <f t="shared" si="13"/>
        <v>312.85999999999996</v>
      </c>
      <c r="AL39">
        <v>312.85499999999996</v>
      </c>
      <c r="AM39">
        <v>312.83499999999998</v>
      </c>
      <c r="AN39">
        <f t="shared" si="21"/>
        <v>4.0000000000020464E-2</v>
      </c>
      <c r="AO39">
        <f t="shared" si="14"/>
        <v>1.999999999998181E-2</v>
      </c>
      <c r="AP39">
        <v>18</v>
      </c>
      <c r="AQ39">
        <v>987</v>
      </c>
      <c r="AR39">
        <v>22</v>
      </c>
      <c r="AS39">
        <v>34</v>
      </c>
      <c r="AT39">
        <f t="shared" si="15"/>
        <v>5.3137007027131622</v>
      </c>
      <c r="AU39">
        <f t="shared" si="6"/>
        <v>87.179999999999978</v>
      </c>
      <c r="AV39">
        <v>987</v>
      </c>
      <c r="AW39">
        <f t="shared" si="7"/>
        <v>1190.785271851342</v>
      </c>
      <c r="AX39">
        <f t="shared" si="16"/>
        <v>3.7743224796497864E-5</v>
      </c>
      <c r="AY39">
        <f t="shared" si="8"/>
        <v>1.0733678863136028E-3</v>
      </c>
      <c r="AZ39">
        <f t="shared" si="17"/>
        <v>23.936103864793342</v>
      </c>
      <c r="BA39">
        <f t="shared" si="18"/>
        <v>0.71769381963556156</v>
      </c>
      <c r="BD39" t="e">
        <f t="shared" si="19"/>
        <v>#DIV/0!</v>
      </c>
    </row>
    <row r="40" spans="1:56" x14ac:dyDescent="0.25">
      <c r="A40" t="s">
        <v>3</v>
      </c>
      <c r="B40" t="s">
        <v>18</v>
      </c>
      <c r="C40">
        <v>10</v>
      </c>
      <c r="G40">
        <f t="shared" si="20"/>
        <v>284.56944444444525</v>
      </c>
      <c r="H40" s="2">
        <v>44999.569444444445</v>
      </c>
      <c r="I40" s="2"/>
      <c r="J40" s="2"/>
      <c r="K40" s="2"/>
      <c r="AF40">
        <v>187.81</v>
      </c>
      <c r="AG40">
        <v>140</v>
      </c>
      <c r="AI40">
        <v>-1.999999999998181E-2</v>
      </c>
      <c r="AJ40">
        <f t="shared" si="12"/>
        <v>337.21</v>
      </c>
      <c r="AK40">
        <f t="shared" si="13"/>
        <v>337.18999999999994</v>
      </c>
      <c r="AL40">
        <v>337.19</v>
      </c>
      <c r="AM40">
        <v>337.16999999999996</v>
      </c>
      <c r="AN40">
        <f t="shared" si="21"/>
        <v>2.9999999999972715E-2</v>
      </c>
      <c r="AO40">
        <f t="shared" si="14"/>
        <v>2.0000000000038654E-2</v>
      </c>
      <c r="AP40">
        <v>17</v>
      </c>
      <c r="AQ40">
        <v>987</v>
      </c>
      <c r="AR40">
        <v>22</v>
      </c>
      <c r="AS40">
        <v>34</v>
      </c>
      <c r="AT40">
        <f t="shared" si="15"/>
        <v>5.3137007027131622</v>
      </c>
      <c r="AU40">
        <f t="shared" si="6"/>
        <v>62.19</v>
      </c>
      <c r="AV40">
        <v>987</v>
      </c>
      <c r="AW40">
        <f t="shared" si="7"/>
        <v>1256.8022190062711</v>
      </c>
      <c r="AX40">
        <f t="shared" si="16"/>
        <v>3.567313715746906E-5</v>
      </c>
      <c r="AY40">
        <f t="shared" si="8"/>
        <v>1.1407974510800987E-3</v>
      </c>
      <c r="AZ40">
        <f t="shared" si="17"/>
        <v>25.4397831590862</v>
      </c>
      <c r="BA40">
        <f t="shared" si="18"/>
        <v>0.66393338723324269</v>
      </c>
      <c r="BD40" t="e">
        <f t="shared" si="19"/>
        <v>#DIV/0!</v>
      </c>
    </row>
    <row r="41" spans="1:56" x14ac:dyDescent="0.25">
      <c r="A41" t="s">
        <v>4</v>
      </c>
      <c r="B41" t="s">
        <v>18</v>
      </c>
      <c r="C41">
        <v>20</v>
      </c>
      <c r="G41">
        <f t="shared" si="20"/>
        <v>284.56944444444525</v>
      </c>
      <c r="H41" s="2">
        <v>44999.569444444445</v>
      </c>
      <c r="I41" s="2"/>
      <c r="J41" s="2"/>
      <c r="K41" s="2"/>
      <c r="AF41">
        <v>181.58</v>
      </c>
      <c r="AG41">
        <v>139.4</v>
      </c>
      <c r="AI41">
        <v>-2.4999999999977263E-2</v>
      </c>
      <c r="AJ41">
        <f t="shared" si="12"/>
        <v>330.38999999999993</v>
      </c>
      <c r="AK41">
        <f t="shared" si="13"/>
        <v>330.34</v>
      </c>
      <c r="AL41">
        <v>330.36499999999995</v>
      </c>
      <c r="AM41">
        <v>330.315</v>
      </c>
      <c r="AN41">
        <f t="shared" si="21"/>
        <v>4.0000000000020464E-2</v>
      </c>
      <c r="AO41">
        <f t="shared" si="14"/>
        <v>4.9999999999954525E-2</v>
      </c>
      <c r="AP41">
        <v>52</v>
      </c>
      <c r="AQ41">
        <v>987</v>
      </c>
      <c r="AR41">
        <v>22</v>
      </c>
      <c r="AS41">
        <v>34</v>
      </c>
      <c r="AT41">
        <f t="shared" si="15"/>
        <v>5.3137007027131622</v>
      </c>
      <c r="AU41">
        <f t="shared" si="6"/>
        <v>68.419999999999987</v>
      </c>
      <c r="AV41">
        <v>987</v>
      </c>
      <c r="AW41">
        <f t="shared" si="7"/>
        <v>1737.1315404852385</v>
      </c>
      <c r="AX41">
        <f t="shared" si="16"/>
        <v>2.5498012817435375E-5</v>
      </c>
      <c r="AY41">
        <f t="shared" si="8"/>
        <v>9.3604044872015171E-4</v>
      </c>
      <c r="AZ41">
        <f t="shared" si="17"/>
        <v>20.873702006459382</v>
      </c>
      <c r="BA41">
        <f t="shared" si="18"/>
        <v>0.82718262400931775</v>
      </c>
      <c r="BD41" t="e">
        <f t="shared" si="19"/>
        <v>#DIV/0!</v>
      </c>
    </row>
    <row r="42" spans="1:56" x14ac:dyDescent="0.25">
      <c r="A42" t="s">
        <v>5</v>
      </c>
      <c r="B42" t="s">
        <v>18</v>
      </c>
      <c r="C42">
        <v>20</v>
      </c>
      <c r="G42">
        <f t="shared" si="20"/>
        <v>284.56944444444525</v>
      </c>
      <c r="H42" s="2">
        <v>44999.569444444445</v>
      </c>
      <c r="I42" s="2"/>
      <c r="J42" s="2"/>
      <c r="K42" s="2"/>
      <c r="AF42">
        <v>201.8</v>
      </c>
      <c r="AG42">
        <v>139.81</v>
      </c>
      <c r="AI42">
        <v>-4.9999999999954525E-3</v>
      </c>
      <c r="AJ42">
        <f t="shared" si="12"/>
        <v>350.98</v>
      </c>
      <c r="AK42">
        <f t="shared" si="13"/>
        <v>350.92</v>
      </c>
      <c r="AL42">
        <v>350.97500000000002</v>
      </c>
      <c r="AM42">
        <v>350.91500000000002</v>
      </c>
      <c r="AN42">
        <f t="shared" si="21"/>
        <v>3.999999999996362E-2</v>
      </c>
      <c r="AO42">
        <f t="shared" si="14"/>
        <v>6.0000000000002274E-2</v>
      </c>
      <c r="AP42">
        <v>51</v>
      </c>
      <c r="AQ42">
        <v>987</v>
      </c>
      <c r="AR42">
        <v>22</v>
      </c>
      <c r="AS42">
        <v>34</v>
      </c>
      <c r="AT42">
        <f t="shared" si="15"/>
        <v>5.3137007027131622</v>
      </c>
      <c r="AU42">
        <f t="shared" si="6"/>
        <v>48.199999999999989</v>
      </c>
      <c r="AV42">
        <v>987</v>
      </c>
      <c r="AW42">
        <f t="shared" si="7"/>
        <v>2031.3360995850626</v>
      </c>
      <c r="AX42">
        <f t="shared" si="16"/>
        <v>2.1705860830763913E-5</v>
      </c>
      <c r="AY42">
        <f t="shared" si="8"/>
        <v>1.1547647274045747E-3</v>
      </c>
      <c r="AZ42">
        <f t="shared" si="17"/>
        <v>25.751253421122016</v>
      </c>
      <c r="BA42">
        <f t="shared" si="18"/>
        <v>0.65279751801494401</v>
      </c>
      <c r="BD42" t="e">
        <f t="shared" si="19"/>
        <v>#DIV/0!</v>
      </c>
    </row>
    <row r="43" spans="1:56" x14ac:dyDescent="0.25">
      <c r="A43" t="s">
        <v>6</v>
      </c>
      <c r="B43" t="s">
        <v>18</v>
      </c>
      <c r="C43">
        <v>20</v>
      </c>
      <c r="G43">
        <f t="shared" si="20"/>
        <v>284.56944444444525</v>
      </c>
      <c r="H43" s="2">
        <v>44999.569444444445</v>
      </c>
      <c r="I43" s="2"/>
      <c r="J43" s="2"/>
      <c r="K43" s="2"/>
      <c r="AF43">
        <v>205.13</v>
      </c>
      <c r="AG43">
        <v>139.01</v>
      </c>
      <c r="AI43">
        <v>0</v>
      </c>
      <c r="AJ43">
        <f t="shared" si="12"/>
        <v>353.47</v>
      </c>
      <c r="AK43">
        <f t="shared" si="13"/>
        <v>353.42</v>
      </c>
      <c r="AL43">
        <v>353.47</v>
      </c>
      <c r="AM43">
        <v>353.42</v>
      </c>
      <c r="AN43">
        <f t="shared" si="21"/>
        <v>3.999999999996362E-2</v>
      </c>
      <c r="AO43">
        <f t="shared" si="14"/>
        <v>5.0000000000011369E-2</v>
      </c>
      <c r="AP43">
        <v>52</v>
      </c>
      <c r="AQ43">
        <v>987</v>
      </c>
      <c r="AR43">
        <v>22</v>
      </c>
      <c r="AS43">
        <v>34</v>
      </c>
      <c r="AT43">
        <f t="shared" si="15"/>
        <v>5.3137007027131622</v>
      </c>
      <c r="AU43">
        <f t="shared" si="6"/>
        <v>44.870000000000005</v>
      </c>
      <c r="AV43">
        <v>987</v>
      </c>
      <c r="AW43">
        <f t="shared" si="7"/>
        <v>2130.8377535101399</v>
      </c>
      <c r="AX43">
        <f t="shared" si="16"/>
        <v>2.0666361251151946E-5</v>
      </c>
      <c r="AY43">
        <f t="shared" si="8"/>
        <v>9.4087210028752821E-4</v>
      </c>
      <c r="AZ43">
        <f t="shared" si="17"/>
        <v>20.981447836411878</v>
      </c>
      <c r="BA43">
        <f t="shared" si="18"/>
        <v>0.82333043130454486</v>
      </c>
      <c r="BD43" t="e">
        <f t="shared" si="19"/>
        <v>#DIV/0!</v>
      </c>
    </row>
    <row r="44" spans="1:56" x14ac:dyDescent="0.25">
      <c r="A44" t="s">
        <v>7</v>
      </c>
      <c r="B44" t="s">
        <v>18</v>
      </c>
      <c r="C44">
        <v>20</v>
      </c>
      <c r="G44">
        <f t="shared" si="20"/>
        <v>284.56944444444525</v>
      </c>
      <c r="H44" s="2">
        <v>44999.569444444445</v>
      </c>
      <c r="I44" s="2"/>
      <c r="J44" s="2"/>
      <c r="K44" s="2"/>
      <c r="AF44">
        <v>177.85000000000002</v>
      </c>
      <c r="AG44">
        <v>139.94999999999999</v>
      </c>
      <c r="AI44">
        <v>-1.999999999998181E-2</v>
      </c>
      <c r="AJ44">
        <f t="shared" si="12"/>
        <v>327.2</v>
      </c>
      <c r="AK44">
        <f t="shared" si="13"/>
        <v>327.14</v>
      </c>
      <c r="AL44">
        <v>327.18</v>
      </c>
      <c r="AM44">
        <v>327.12</v>
      </c>
      <c r="AN44">
        <f t="shared" si="21"/>
        <v>3.999999999996362E-2</v>
      </c>
      <c r="AO44">
        <f t="shared" si="14"/>
        <v>6.0000000000002274E-2</v>
      </c>
      <c r="AP44">
        <v>60</v>
      </c>
      <c r="AQ44">
        <v>987</v>
      </c>
      <c r="AR44">
        <v>22</v>
      </c>
      <c r="AS44">
        <v>34</v>
      </c>
      <c r="AT44">
        <f t="shared" si="15"/>
        <v>5.3137007027131622</v>
      </c>
      <c r="AU44">
        <f t="shared" si="6"/>
        <v>72.149999999999977</v>
      </c>
      <c r="AV44">
        <v>987</v>
      </c>
      <c r="AW44">
        <f t="shared" si="7"/>
        <v>1807.7900207900211</v>
      </c>
      <c r="AX44">
        <f t="shared" si="16"/>
        <v>2.4471228135597805E-5</v>
      </c>
      <c r="AY44">
        <f t="shared" si="8"/>
        <v>9.7552877186444012E-4</v>
      </c>
      <c r="AZ44">
        <f t="shared" si="17"/>
        <v>21.754291612577013</v>
      </c>
      <c r="BA44">
        <f t="shared" si="18"/>
        <v>0.79569926304694261</v>
      </c>
      <c r="BD44" t="e">
        <f t="shared" si="19"/>
        <v>#DIV/0!</v>
      </c>
    </row>
    <row r="45" spans="1:56" x14ac:dyDescent="0.25">
      <c r="A45" t="s">
        <v>8</v>
      </c>
      <c r="B45" t="s">
        <v>19</v>
      </c>
      <c r="C45">
        <v>10</v>
      </c>
      <c r="G45">
        <f t="shared" si="20"/>
        <v>284.56944444444525</v>
      </c>
      <c r="H45" s="2">
        <v>44999.569444444445</v>
      </c>
      <c r="I45" s="2"/>
      <c r="J45" s="2"/>
      <c r="K45" s="2"/>
      <c r="AF45">
        <v>142.11999999999998</v>
      </c>
      <c r="AG45">
        <v>139.71</v>
      </c>
      <c r="AI45">
        <v>-9.9999999999909051E-3</v>
      </c>
      <c r="AJ45">
        <f t="shared" si="12"/>
        <v>291.14999999999998</v>
      </c>
      <c r="AK45">
        <f t="shared" si="13"/>
        <v>291.10499999999996</v>
      </c>
      <c r="AL45">
        <v>291.14</v>
      </c>
      <c r="AM45">
        <v>291.09499999999997</v>
      </c>
      <c r="AN45">
        <f t="shared" si="21"/>
        <v>3.0000000000029559E-2</v>
      </c>
      <c r="AO45">
        <f t="shared" si="14"/>
        <v>4.5000000000015916E-2</v>
      </c>
      <c r="AP45">
        <v>35</v>
      </c>
      <c r="AQ45">
        <v>987</v>
      </c>
      <c r="AR45">
        <v>22</v>
      </c>
      <c r="AS45">
        <v>34</v>
      </c>
      <c r="AT45">
        <f t="shared" si="15"/>
        <v>5.3137007027131622</v>
      </c>
      <c r="AU45">
        <f t="shared" si="6"/>
        <v>107.88000000000002</v>
      </c>
      <c r="AV45">
        <v>987</v>
      </c>
      <c r="AW45">
        <f t="shared" si="7"/>
        <v>1307.2169076751945</v>
      </c>
      <c r="AX45">
        <f t="shared" si="16"/>
        <v>3.4239057795613221E-5</v>
      </c>
      <c r="AY45">
        <f t="shared" si="8"/>
        <v>1.2514752279191271E-3</v>
      </c>
      <c r="AZ45">
        <f t="shared" si="17"/>
        <v>27.907897582596533</v>
      </c>
      <c r="BA45">
        <f t="shared" si="18"/>
        <v>0.57569189908485752</v>
      </c>
      <c r="BD45" t="e">
        <f t="shared" si="19"/>
        <v>#DIV/0!</v>
      </c>
    </row>
    <row r="46" spans="1:56" x14ac:dyDescent="0.25">
      <c r="A46" t="s">
        <v>9</v>
      </c>
      <c r="B46" t="s">
        <v>19</v>
      </c>
      <c r="C46">
        <v>10</v>
      </c>
      <c r="G46">
        <f t="shared" si="20"/>
        <v>284.56944444444525</v>
      </c>
      <c r="H46" s="2">
        <v>44999.569444444445</v>
      </c>
      <c r="I46" s="2"/>
      <c r="J46" s="2"/>
      <c r="K46" s="2"/>
      <c r="AF46">
        <v>136.42000000000002</v>
      </c>
      <c r="AG46">
        <v>139.75</v>
      </c>
      <c r="AI46">
        <v>0</v>
      </c>
      <c r="AJ46">
        <f t="shared" si="12"/>
        <v>285.52999999999997</v>
      </c>
      <c r="AK46">
        <f t="shared" si="13"/>
        <v>285.48</v>
      </c>
      <c r="AL46">
        <v>285.52999999999997</v>
      </c>
      <c r="AM46">
        <v>285.48</v>
      </c>
      <c r="AN46">
        <f t="shared" si="21"/>
        <v>2.0000000000038654E-2</v>
      </c>
      <c r="AO46">
        <f t="shared" si="14"/>
        <v>4.9999999999954525E-2</v>
      </c>
      <c r="AP46">
        <v>35.5</v>
      </c>
      <c r="AQ46">
        <v>987</v>
      </c>
      <c r="AR46">
        <v>22</v>
      </c>
      <c r="AS46">
        <v>34</v>
      </c>
      <c r="AT46">
        <f t="shared" si="15"/>
        <v>5.3137007027131622</v>
      </c>
      <c r="AU46">
        <f t="shared" si="6"/>
        <v>113.57999999999998</v>
      </c>
      <c r="AV46">
        <v>987</v>
      </c>
      <c r="AW46">
        <f t="shared" si="7"/>
        <v>1295.4918119387216</v>
      </c>
      <c r="AX46">
        <f t="shared" si="16"/>
        <v>3.4562199163113917E-5</v>
      </c>
      <c r="AY46">
        <f t="shared" si="8"/>
        <v>1.3738885050609572E-3</v>
      </c>
      <c r="AZ46">
        <f t="shared" si="17"/>
        <v>30.637713662859348</v>
      </c>
      <c r="BA46">
        <f t="shared" si="18"/>
        <v>0.47809389836040939</v>
      </c>
      <c r="BD46" t="e">
        <f t="shared" si="19"/>
        <v>#DIV/0!</v>
      </c>
    </row>
    <row r="47" spans="1:56" x14ac:dyDescent="0.25">
      <c r="A47" t="s">
        <v>10</v>
      </c>
      <c r="B47" t="s">
        <v>19</v>
      </c>
      <c r="C47">
        <v>10</v>
      </c>
      <c r="G47">
        <f t="shared" si="20"/>
        <v>284.56944444444525</v>
      </c>
      <c r="H47" s="2">
        <v>44999.569444444445</v>
      </c>
      <c r="I47" s="2"/>
      <c r="J47" s="2"/>
      <c r="K47" s="2"/>
      <c r="AF47">
        <v>117.85000000000002</v>
      </c>
      <c r="AG47">
        <v>140.44999999999999</v>
      </c>
      <c r="AI47">
        <v>-1.999999999998181E-2</v>
      </c>
      <c r="AJ47">
        <f t="shared" si="12"/>
        <v>267.7</v>
      </c>
      <c r="AK47">
        <f t="shared" si="13"/>
        <v>267.65999999999997</v>
      </c>
      <c r="AL47">
        <v>267.68</v>
      </c>
      <c r="AM47">
        <v>267.64</v>
      </c>
      <c r="AN47">
        <f t="shared" si="21"/>
        <v>2.9999999999972715E-2</v>
      </c>
      <c r="AO47">
        <f t="shared" si="14"/>
        <v>4.0000000000020464E-2</v>
      </c>
      <c r="AP47">
        <v>37</v>
      </c>
      <c r="AQ47">
        <v>987</v>
      </c>
      <c r="AR47">
        <v>22</v>
      </c>
      <c r="AS47">
        <v>34</v>
      </c>
      <c r="AT47">
        <f t="shared" si="15"/>
        <v>5.3137007027131622</v>
      </c>
      <c r="AU47">
        <f t="shared" si="6"/>
        <v>132.14999999999998</v>
      </c>
      <c r="AV47">
        <v>987</v>
      </c>
      <c r="AW47">
        <f t="shared" si="7"/>
        <v>1263.3450624290581</v>
      </c>
      <c r="AX47">
        <f t="shared" si="16"/>
        <v>3.5480274657687225E-5</v>
      </c>
      <c r="AY47">
        <f t="shared" si="8"/>
        <v>1.045600806423947E-3</v>
      </c>
      <c r="AZ47">
        <f t="shared" si="17"/>
        <v>23.316897983254016</v>
      </c>
      <c r="BA47">
        <f t="shared" si="18"/>
        <v>0.73983203492120064</v>
      </c>
      <c r="BD47" t="e">
        <f t="shared" si="19"/>
        <v>#DIV/0!</v>
      </c>
    </row>
    <row r="48" spans="1:56" x14ac:dyDescent="0.25">
      <c r="A48" t="s">
        <v>11</v>
      </c>
      <c r="B48" t="s">
        <v>19</v>
      </c>
      <c r="C48">
        <v>10</v>
      </c>
      <c r="G48">
        <f t="shared" si="20"/>
        <v>284.56944444444525</v>
      </c>
      <c r="H48" s="2">
        <v>44999.569444444445</v>
      </c>
      <c r="I48" s="2"/>
      <c r="J48" s="2"/>
      <c r="K48" s="2"/>
      <c r="AF48">
        <v>107.53</v>
      </c>
      <c r="AG48">
        <v>140</v>
      </c>
      <c r="AI48">
        <v>-1.999999999998181E-2</v>
      </c>
      <c r="AJ48">
        <f t="shared" si="12"/>
        <v>256.95999999999998</v>
      </c>
      <c r="AK48">
        <f t="shared" si="13"/>
        <v>256.90999999999997</v>
      </c>
      <c r="AL48">
        <v>256.94</v>
      </c>
      <c r="AM48">
        <v>256.89</v>
      </c>
      <c r="AN48">
        <f t="shared" si="21"/>
        <v>2.9999999999972715E-2</v>
      </c>
      <c r="AO48">
        <f t="shared" si="14"/>
        <v>5.0000000000011369E-2</v>
      </c>
      <c r="AP48">
        <v>44</v>
      </c>
      <c r="AQ48">
        <v>987</v>
      </c>
      <c r="AR48">
        <v>22</v>
      </c>
      <c r="AS48">
        <v>34</v>
      </c>
      <c r="AT48">
        <f t="shared" si="15"/>
        <v>5.3137007027131622</v>
      </c>
      <c r="AU48">
        <f t="shared" si="6"/>
        <v>142.47</v>
      </c>
      <c r="AV48">
        <v>987</v>
      </c>
      <c r="AW48">
        <f t="shared" si="7"/>
        <v>1291.8220678037483</v>
      </c>
      <c r="AX48">
        <f t="shared" si="16"/>
        <v>3.4664593574483584E-5</v>
      </c>
      <c r="AY48">
        <f t="shared" si="8"/>
        <v>1.1016990427894112E-3</v>
      </c>
      <c r="AZ48">
        <f t="shared" si="17"/>
        <v>24.56788865420387</v>
      </c>
      <c r="BA48">
        <f t="shared" si="18"/>
        <v>0.69510587578820626</v>
      </c>
      <c r="BD48" t="e">
        <f t="shared" si="19"/>
        <v>#DIV/0!</v>
      </c>
    </row>
    <row r="49" spans="1:56" x14ac:dyDescent="0.25">
      <c r="A49" t="s">
        <v>12</v>
      </c>
      <c r="B49" t="s">
        <v>19</v>
      </c>
      <c r="C49">
        <v>20</v>
      </c>
      <c r="G49">
        <f t="shared" si="20"/>
        <v>284.56944444444525</v>
      </c>
      <c r="H49" s="2">
        <v>44999.569444444445</v>
      </c>
      <c r="I49" s="2"/>
      <c r="J49" s="2"/>
      <c r="K49" s="2"/>
      <c r="AF49">
        <v>109.43</v>
      </c>
      <c r="AG49">
        <v>140.19999999999999</v>
      </c>
      <c r="AI49">
        <v>-9.9999999999909051E-3</v>
      </c>
      <c r="AJ49">
        <f t="shared" si="12"/>
        <v>258.99</v>
      </c>
      <c r="AK49">
        <f t="shared" si="13"/>
        <v>258.95</v>
      </c>
      <c r="AL49">
        <v>258.98</v>
      </c>
      <c r="AM49">
        <v>258.94</v>
      </c>
      <c r="AN49">
        <f t="shared" si="21"/>
        <v>2.9999999999972715E-2</v>
      </c>
      <c r="AO49">
        <f t="shared" si="14"/>
        <v>4.0000000000020464E-2</v>
      </c>
      <c r="AP49">
        <v>34</v>
      </c>
      <c r="AQ49">
        <v>987</v>
      </c>
      <c r="AR49">
        <v>22</v>
      </c>
      <c r="AS49">
        <v>34</v>
      </c>
      <c r="AT49">
        <f t="shared" si="15"/>
        <v>5.3137007027131622</v>
      </c>
      <c r="AU49">
        <f t="shared" si="6"/>
        <v>140.57</v>
      </c>
      <c r="AV49">
        <v>987</v>
      </c>
      <c r="AW49">
        <f t="shared" si="7"/>
        <v>1225.7280358540229</v>
      </c>
      <c r="AX49">
        <f t="shared" si="16"/>
        <v>3.661849113886142E-5</v>
      </c>
      <c r="AY49">
        <f t="shared" si="8"/>
        <v>1.1398520970970346E-3</v>
      </c>
      <c r="AZ49">
        <f t="shared" si="17"/>
        <v>25.418701765263872</v>
      </c>
      <c r="BA49">
        <f t="shared" si="18"/>
        <v>0.66468710170669021</v>
      </c>
      <c r="BD49" t="e">
        <f t="shared" si="19"/>
        <v>#DIV/0!</v>
      </c>
    </row>
    <row r="50" spans="1:56" x14ac:dyDescent="0.25">
      <c r="A50" t="s">
        <v>13</v>
      </c>
      <c r="B50" t="s">
        <v>19</v>
      </c>
      <c r="C50">
        <v>20</v>
      </c>
      <c r="G50">
        <f t="shared" si="20"/>
        <v>284.56944444444525</v>
      </c>
      <c r="H50" s="2">
        <v>44999.569444444445</v>
      </c>
      <c r="I50" s="2"/>
      <c r="J50" s="2"/>
      <c r="K50" s="2"/>
      <c r="AF50">
        <v>129.52999999999997</v>
      </c>
      <c r="AG50">
        <v>140.24</v>
      </c>
      <c r="AI50">
        <v>-1.999999999998181E-2</v>
      </c>
      <c r="AJ50">
        <f t="shared" si="12"/>
        <v>279.14499999999998</v>
      </c>
      <c r="AK50">
        <f t="shared" si="13"/>
        <v>279.10499999999996</v>
      </c>
      <c r="AL50">
        <v>279.125</v>
      </c>
      <c r="AM50">
        <v>279.08499999999998</v>
      </c>
      <c r="AN50">
        <f t="shared" si="21"/>
        <v>3.4999999999968168E-2</v>
      </c>
      <c r="AO50">
        <f t="shared" si="14"/>
        <v>4.0000000000020464E-2</v>
      </c>
      <c r="AP50">
        <v>31.9</v>
      </c>
      <c r="AQ50">
        <v>987</v>
      </c>
      <c r="AR50">
        <v>22</v>
      </c>
      <c r="AS50">
        <v>34</v>
      </c>
      <c r="AT50">
        <f t="shared" si="15"/>
        <v>5.3137007027131622</v>
      </c>
      <c r="AU50">
        <f t="shared" si="6"/>
        <v>120.47000000000003</v>
      </c>
      <c r="AV50">
        <v>987</v>
      </c>
      <c r="AW50">
        <f t="shared" si="7"/>
        <v>1248.3538640325391</v>
      </c>
      <c r="AX50">
        <f t="shared" si="16"/>
        <v>3.5925291671494254E-5</v>
      </c>
      <c r="AY50">
        <f t="shared" si="8"/>
        <v>1.2179932036269529E-3</v>
      </c>
      <c r="AZ50">
        <f t="shared" si="17"/>
        <v>27.16124844088105</v>
      </c>
      <c r="BA50">
        <f t="shared" si="18"/>
        <v>0.60238654126274394</v>
      </c>
      <c r="BD50" t="e">
        <f t="shared" si="19"/>
        <v>#DIV/0!</v>
      </c>
    </row>
    <row r="51" spans="1:56" x14ac:dyDescent="0.25">
      <c r="A51" t="s">
        <v>14</v>
      </c>
      <c r="B51" t="s">
        <v>19</v>
      </c>
      <c r="C51">
        <v>20</v>
      </c>
      <c r="G51">
        <f t="shared" si="20"/>
        <v>284.56944444444525</v>
      </c>
      <c r="H51" s="2">
        <v>44999.569444444445</v>
      </c>
      <c r="I51" s="2"/>
      <c r="J51" s="2"/>
      <c r="K51" s="2"/>
      <c r="AF51">
        <v>94.359999999999985</v>
      </c>
      <c r="AG51">
        <v>138.74</v>
      </c>
      <c r="AI51">
        <v>-1.999999999998181E-2</v>
      </c>
      <c r="AJ51">
        <f t="shared" si="12"/>
        <v>242.47999999999996</v>
      </c>
      <c r="AK51">
        <f t="shared" si="13"/>
        <v>242.43999999999997</v>
      </c>
      <c r="AL51">
        <v>242.45999999999998</v>
      </c>
      <c r="AM51">
        <v>242.42</v>
      </c>
      <c r="AN51">
        <f t="shared" si="21"/>
        <v>2.0000000000010232E-2</v>
      </c>
      <c r="AO51">
        <f t="shared" si="14"/>
        <v>3.9999999999992042E-2</v>
      </c>
      <c r="AP51">
        <v>35</v>
      </c>
      <c r="AQ51">
        <v>987</v>
      </c>
      <c r="AR51">
        <v>22</v>
      </c>
      <c r="AS51">
        <v>34</v>
      </c>
      <c r="AT51">
        <f t="shared" si="15"/>
        <v>5.3137007027131622</v>
      </c>
      <c r="AU51">
        <f t="shared" si="6"/>
        <v>155.64000000000001</v>
      </c>
      <c r="AV51">
        <v>987</v>
      </c>
      <c r="AW51">
        <f t="shared" si="7"/>
        <v>1208.9545104086353</v>
      </c>
      <c r="AX51">
        <f t="shared" si="16"/>
        <v>3.7149908245015627E-5</v>
      </c>
      <c r="AY51">
        <f t="shared" si="8"/>
        <v>1.1057072346118998E-3</v>
      </c>
      <c r="AZ51">
        <f t="shared" si="17"/>
        <v>24.657271331845365</v>
      </c>
      <c r="BA51">
        <f t="shared" si="18"/>
        <v>0.69191021337699798</v>
      </c>
      <c r="BD51" t="e">
        <f t="shared" si="19"/>
        <v>#DIV/0!</v>
      </c>
    </row>
    <row r="52" spans="1:56" x14ac:dyDescent="0.25">
      <c r="A52" t="s">
        <v>15</v>
      </c>
      <c r="B52" t="s">
        <v>19</v>
      </c>
      <c r="C52">
        <v>20</v>
      </c>
      <c r="G52">
        <f t="shared" si="20"/>
        <v>284.56944444444525</v>
      </c>
      <c r="H52" s="2">
        <v>44999.569444444445</v>
      </c>
      <c r="I52" s="2"/>
      <c r="J52" s="2"/>
      <c r="K52" s="2"/>
      <c r="AF52">
        <v>85.4</v>
      </c>
      <c r="AG52">
        <v>140.1</v>
      </c>
      <c r="AI52">
        <v>0</v>
      </c>
      <c r="AJ52">
        <f t="shared" si="12"/>
        <v>234.9</v>
      </c>
      <c r="AK52">
        <f t="shared" si="13"/>
        <v>234.85</v>
      </c>
      <c r="AL52">
        <v>234.9</v>
      </c>
      <c r="AM52">
        <v>234.85</v>
      </c>
      <c r="AN52">
        <f t="shared" si="21"/>
        <v>3.9999999999992042E-2</v>
      </c>
      <c r="AO52">
        <f t="shared" si="14"/>
        <v>5.0000000000011369E-2</v>
      </c>
      <c r="AP52">
        <v>43.5</v>
      </c>
      <c r="AQ52">
        <v>987</v>
      </c>
      <c r="AR52">
        <v>22</v>
      </c>
      <c r="AS52">
        <v>34</v>
      </c>
      <c r="AT52">
        <f t="shared" si="15"/>
        <v>5.3137007027131622</v>
      </c>
      <c r="AU52">
        <f t="shared" si="6"/>
        <v>164.6</v>
      </c>
      <c r="AV52">
        <v>987</v>
      </c>
      <c r="AW52">
        <f t="shared" si="7"/>
        <v>1247.8414337788579</v>
      </c>
      <c r="AX52">
        <f t="shared" si="16"/>
        <v>3.5940700676359881E-5</v>
      </c>
      <c r="AY52">
        <f t="shared" si="8"/>
        <v>1.1134845866802232E-3</v>
      </c>
      <c r="AZ52">
        <f t="shared" si="17"/>
        <v>24.830706282968976</v>
      </c>
      <c r="BA52">
        <f t="shared" si="18"/>
        <v>0.68570946432002233</v>
      </c>
      <c r="BD52" t="e">
        <f t="shared" si="19"/>
        <v>#DIV/0!</v>
      </c>
    </row>
    <row r="53" spans="1:56" x14ac:dyDescent="0.25">
      <c r="A53" t="s">
        <v>0</v>
      </c>
      <c r="B53" t="s">
        <v>18</v>
      </c>
      <c r="C53">
        <v>10</v>
      </c>
      <c r="G53">
        <f t="shared" si="20"/>
        <v>285.54166666666424</v>
      </c>
      <c r="H53" s="2">
        <v>45000.541666666664</v>
      </c>
      <c r="I53" s="2"/>
      <c r="J53" s="2"/>
      <c r="K53" s="2"/>
      <c r="AF53">
        <v>172.77</v>
      </c>
      <c r="AG53">
        <v>139.16999999999999</v>
      </c>
      <c r="AI53">
        <v>-4.0000000000020464E-2</v>
      </c>
      <c r="AJ53">
        <f t="shared" si="12"/>
        <v>321.36</v>
      </c>
      <c r="AK53">
        <f t="shared" si="13"/>
        <v>321.35500000000002</v>
      </c>
      <c r="AL53">
        <v>321.32</v>
      </c>
      <c r="AM53">
        <v>321.315</v>
      </c>
      <c r="AN53">
        <f t="shared" si="21"/>
        <v>2.0000000000038654E-2</v>
      </c>
      <c r="AO53">
        <f t="shared" si="14"/>
        <v>4.9999999999954525E-3</v>
      </c>
      <c r="AP53">
        <v>7.5</v>
      </c>
      <c r="AQ53">
        <v>1010</v>
      </c>
      <c r="AR53">
        <v>22</v>
      </c>
      <c r="AS53">
        <v>34</v>
      </c>
      <c r="AT53">
        <f t="shared" si="15"/>
        <v>5.3137007027131622</v>
      </c>
      <c r="AU53">
        <f t="shared" ref="AU53:AU84" si="22">250-AF53</f>
        <v>77.22999999999999</v>
      </c>
      <c r="AV53">
        <v>1010</v>
      </c>
      <c r="AW53">
        <f t="shared" ref="AW53:AW84" si="23">AP53/AU53*AV53+AV53</f>
        <v>1108.0836462514567</v>
      </c>
      <c r="AX53">
        <f t="shared" si="16"/>
        <v>4.0702072125825709E-5</v>
      </c>
      <c r="AY53">
        <f t="shared" ref="AY53:AY84" si="24">(AL53-AM53)/AP53-AX53</f>
        <v>6.2596459454023466E-4</v>
      </c>
      <c r="AZ53">
        <f t="shared" si="17"/>
        <v>13.959010458247233</v>
      </c>
      <c r="BA53">
        <f t="shared" si="18"/>
        <v>1.074400770173499</v>
      </c>
      <c r="BD53" t="e">
        <f t="shared" si="19"/>
        <v>#DIV/0!</v>
      </c>
    </row>
    <row r="54" spans="1:56" x14ac:dyDescent="0.25">
      <c r="A54" t="s">
        <v>1</v>
      </c>
      <c r="B54" t="s">
        <v>18</v>
      </c>
      <c r="C54">
        <v>10</v>
      </c>
      <c r="G54">
        <f t="shared" si="20"/>
        <v>285.54166666666424</v>
      </c>
      <c r="H54" s="2">
        <v>45000.541666666664</v>
      </c>
      <c r="I54" s="2"/>
      <c r="J54" s="2"/>
      <c r="K54" s="2"/>
      <c r="AF54">
        <v>173.93</v>
      </c>
      <c r="AG54">
        <v>141.25</v>
      </c>
      <c r="AI54">
        <v>-3.0000000000029559E-2</v>
      </c>
      <c r="AJ54">
        <f t="shared" si="12"/>
        <v>324.52000000000004</v>
      </c>
      <c r="AK54">
        <f t="shared" si="13"/>
        <v>324.52000000000004</v>
      </c>
      <c r="AL54">
        <v>324.49</v>
      </c>
      <c r="AM54">
        <v>324.49</v>
      </c>
      <c r="AN54">
        <f t="shared" si="21"/>
        <v>0</v>
      </c>
      <c r="AO54">
        <f t="shared" si="14"/>
        <v>0</v>
      </c>
      <c r="AP54">
        <v>0</v>
      </c>
      <c r="AQ54">
        <v>1010</v>
      </c>
      <c r="AR54">
        <v>22</v>
      </c>
      <c r="AS54">
        <v>34</v>
      </c>
      <c r="AT54">
        <f t="shared" si="15"/>
        <v>5.3137007027131622</v>
      </c>
      <c r="AU54">
        <f t="shared" si="22"/>
        <v>76.069999999999993</v>
      </c>
      <c r="AV54">
        <v>1010</v>
      </c>
      <c r="AW54">
        <f t="shared" si="23"/>
        <v>1010</v>
      </c>
      <c r="AX54">
        <f t="shared" si="16"/>
        <v>4.4874255263233305E-5</v>
      </c>
      <c r="AY54" t="e">
        <f t="shared" si="24"/>
        <v>#DIV/0!</v>
      </c>
      <c r="AZ54" t="e">
        <f t="shared" si="17"/>
        <v>#DIV/0!</v>
      </c>
      <c r="BA54" t="e">
        <f t="shared" si="18"/>
        <v>#DIV/0!</v>
      </c>
      <c r="BD54" t="e">
        <f t="shared" si="19"/>
        <v>#DIV/0!</v>
      </c>
    </row>
    <row r="55" spans="1:56" x14ac:dyDescent="0.25">
      <c r="A55" t="s">
        <v>2</v>
      </c>
      <c r="B55" t="s">
        <v>18</v>
      </c>
      <c r="C55">
        <v>10</v>
      </c>
      <c r="G55">
        <f t="shared" si="20"/>
        <v>285.54166666666424</v>
      </c>
      <c r="H55" s="2">
        <v>45000.541666666664</v>
      </c>
      <c r="I55" s="2"/>
      <c r="J55" s="2"/>
      <c r="K55" s="2"/>
      <c r="AF55">
        <v>162.82000000000002</v>
      </c>
      <c r="AG55">
        <v>140.66</v>
      </c>
      <c r="AI55">
        <v>-2.4999999999977263E-2</v>
      </c>
      <c r="AJ55">
        <f t="shared" si="12"/>
        <v>312.85999999999996</v>
      </c>
      <c r="AK55">
        <f t="shared" si="13"/>
        <v>312.85999999999996</v>
      </c>
      <c r="AL55">
        <v>312.83499999999998</v>
      </c>
      <c r="AM55">
        <v>312.83499999999998</v>
      </c>
      <c r="AN55">
        <f t="shared" si="21"/>
        <v>0</v>
      </c>
      <c r="AO55">
        <f t="shared" si="14"/>
        <v>0</v>
      </c>
      <c r="AP55">
        <v>0</v>
      </c>
      <c r="AQ55">
        <v>1010</v>
      </c>
      <c r="AR55">
        <v>22</v>
      </c>
      <c r="AS55">
        <v>34</v>
      </c>
      <c r="AT55">
        <f t="shared" si="15"/>
        <v>5.3137007027131622</v>
      </c>
      <c r="AU55">
        <f t="shared" si="22"/>
        <v>87.179999999999978</v>
      </c>
      <c r="AV55">
        <v>1010</v>
      </c>
      <c r="AW55">
        <f t="shared" si="23"/>
        <v>1010</v>
      </c>
      <c r="AX55">
        <f t="shared" si="16"/>
        <v>4.4874255263233305E-5</v>
      </c>
      <c r="AY55" t="e">
        <f t="shared" si="24"/>
        <v>#DIV/0!</v>
      </c>
      <c r="AZ55" t="e">
        <f t="shared" si="17"/>
        <v>#DIV/0!</v>
      </c>
      <c r="BA55" t="e">
        <f t="shared" si="18"/>
        <v>#DIV/0!</v>
      </c>
      <c r="BD55" t="e">
        <f t="shared" si="19"/>
        <v>#DIV/0!</v>
      </c>
    </row>
    <row r="56" spans="1:56" x14ac:dyDescent="0.25">
      <c r="A56" t="s">
        <v>3</v>
      </c>
      <c r="B56" t="s">
        <v>18</v>
      </c>
      <c r="C56">
        <v>10</v>
      </c>
      <c r="G56">
        <f t="shared" si="20"/>
        <v>285.54166666666424</v>
      </c>
      <c r="H56" s="2">
        <v>45000.541666666664</v>
      </c>
      <c r="I56" s="2"/>
      <c r="J56" s="2"/>
      <c r="K56" s="2"/>
      <c r="AF56">
        <v>187.81</v>
      </c>
      <c r="AG56">
        <v>140</v>
      </c>
      <c r="AI56">
        <v>-1.999999999998181E-2</v>
      </c>
      <c r="AJ56">
        <f t="shared" si="12"/>
        <v>337.18999999999994</v>
      </c>
      <c r="AK56">
        <f t="shared" si="13"/>
        <v>337.18999999999994</v>
      </c>
      <c r="AL56">
        <v>337.16999999999996</v>
      </c>
      <c r="AM56">
        <v>337.16999999999996</v>
      </c>
      <c r="AN56">
        <f t="shared" si="21"/>
        <v>0</v>
      </c>
      <c r="AO56">
        <f t="shared" si="14"/>
        <v>0</v>
      </c>
      <c r="AP56">
        <v>0</v>
      </c>
      <c r="AQ56">
        <v>1010</v>
      </c>
      <c r="AR56">
        <v>22</v>
      </c>
      <c r="AS56">
        <v>34</v>
      </c>
      <c r="AT56">
        <f t="shared" si="15"/>
        <v>5.3137007027131622</v>
      </c>
      <c r="AU56">
        <f t="shared" si="22"/>
        <v>62.19</v>
      </c>
      <c r="AV56">
        <v>1010</v>
      </c>
      <c r="AW56">
        <f t="shared" si="23"/>
        <v>1010</v>
      </c>
      <c r="AX56">
        <f t="shared" si="16"/>
        <v>4.4874255263233305E-5</v>
      </c>
      <c r="AY56" t="e">
        <f t="shared" si="24"/>
        <v>#DIV/0!</v>
      </c>
      <c r="AZ56" t="e">
        <f t="shared" si="17"/>
        <v>#DIV/0!</v>
      </c>
      <c r="BA56" t="e">
        <f t="shared" si="18"/>
        <v>#DIV/0!</v>
      </c>
      <c r="BD56" t="e">
        <f t="shared" si="19"/>
        <v>#DIV/0!</v>
      </c>
    </row>
    <row r="57" spans="1:56" x14ac:dyDescent="0.25">
      <c r="A57" t="s">
        <v>4</v>
      </c>
      <c r="B57" t="s">
        <v>18</v>
      </c>
      <c r="C57">
        <v>20</v>
      </c>
      <c r="G57">
        <f t="shared" si="20"/>
        <v>285.54166666666424</v>
      </c>
      <c r="H57" s="2">
        <v>45000.541666666664</v>
      </c>
      <c r="I57" s="2"/>
      <c r="J57" s="2"/>
      <c r="K57" s="2"/>
      <c r="AF57">
        <v>181.58</v>
      </c>
      <c r="AG57">
        <v>139.4</v>
      </c>
      <c r="AI57">
        <v>-2.4999999999977263E-2</v>
      </c>
      <c r="AJ57">
        <f t="shared" si="12"/>
        <v>330.31999999999994</v>
      </c>
      <c r="AK57">
        <f t="shared" si="13"/>
        <v>330.27</v>
      </c>
      <c r="AL57">
        <v>330.29499999999996</v>
      </c>
      <c r="AM57">
        <v>330.245</v>
      </c>
      <c r="AN57">
        <f t="shared" ref="AN57:AN64" si="25">AM41-AL57</f>
        <v>2.0000000000038654E-2</v>
      </c>
      <c r="AO57">
        <f t="shared" si="14"/>
        <v>4.9999999999954525E-2</v>
      </c>
      <c r="AP57">
        <v>42</v>
      </c>
      <c r="AQ57">
        <v>1010</v>
      </c>
      <c r="AR57">
        <v>22</v>
      </c>
      <c r="AS57">
        <v>34</v>
      </c>
      <c r="AT57">
        <f t="shared" si="15"/>
        <v>5.3137007027131622</v>
      </c>
      <c r="AU57">
        <f t="shared" si="22"/>
        <v>68.419999999999987</v>
      </c>
      <c r="AV57">
        <v>1010</v>
      </c>
      <c r="AW57">
        <f t="shared" si="23"/>
        <v>1629.9941537562117</v>
      </c>
      <c r="AX57">
        <f t="shared" si="16"/>
        <v>2.7230440175049779E-5</v>
      </c>
      <c r="AY57">
        <f t="shared" si="24"/>
        <v>1.163245750300058E-3</v>
      </c>
      <c r="AZ57">
        <f t="shared" si="17"/>
        <v>25.940380231691293</v>
      </c>
      <c r="BA57">
        <f t="shared" si="18"/>
        <v>0.64603574430849864</v>
      </c>
      <c r="BD57" t="e">
        <f t="shared" si="19"/>
        <v>#DIV/0!</v>
      </c>
    </row>
    <row r="58" spans="1:56" x14ac:dyDescent="0.25">
      <c r="A58" t="s">
        <v>5</v>
      </c>
      <c r="B58" t="s">
        <v>18</v>
      </c>
      <c r="C58">
        <v>20</v>
      </c>
      <c r="G58">
        <f t="shared" si="20"/>
        <v>285.54166666666424</v>
      </c>
      <c r="H58" s="2">
        <v>45000.541666666664</v>
      </c>
      <c r="I58" s="2"/>
      <c r="J58" s="2"/>
      <c r="K58" s="2"/>
      <c r="AF58">
        <v>201.8</v>
      </c>
      <c r="AG58">
        <v>139.81</v>
      </c>
      <c r="AI58">
        <v>-4.9999999999954525E-3</v>
      </c>
      <c r="AJ58">
        <f t="shared" si="12"/>
        <v>350.90999999999997</v>
      </c>
      <c r="AK58">
        <f t="shared" si="13"/>
        <v>350.87</v>
      </c>
      <c r="AL58">
        <v>350.90499999999997</v>
      </c>
      <c r="AM58">
        <v>350.86500000000001</v>
      </c>
      <c r="AN58">
        <f t="shared" si="25"/>
        <v>1.0000000000047748E-2</v>
      </c>
      <c r="AO58">
        <f t="shared" si="14"/>
        <v>3.999999999996362E-2</v>
      </c>
      <c r="AP58">
        <v>46</v>
      </c>
      <c r="AQ58">
        <v>1010</v>
      </c>
      <c r="AR58">
        <v>22</v>
      </c>
      <c r="AS58">
        <v>34</v>
      </c>
      <c r="AT58">
        <f t="shared" si="15"/>
        <v>5.3137007027131622</v>
      </c>
      <c r="AU58">
        <f t="shared" si="22"/>
        <v>48.199999999999989</v>
      </c>
      <c r="AV58">
        <v>1010</v>
      </c>
      <c r="AW58">
        <f t="shared" si="23"/>
        <v>1973.9004149377597</v>
      </c>
      <c r="AX58">
        <f t="shared" si="16"/>
        <v>2.2354920976609842E-5</v>
      </c>
      <c r="AY58">
        <f t="shared" si="24"/>
        <v>8.4721029641390366E-4</v>
      </c>
      <c r="AZ58">
        <f t="shared" si="17"/>
        <v>18.89278961003005</v>
      </c>
      <c r="BA58">
        <f t="shared" si="18"/>
        <v>0.89800537683124593</v>
      </c>
      <c r="BD58" t="e">
        <f t="shared" si="19"/>
        <v>#DIV/0!</v>
      </c>
    </row>
    <row r="59" spans="1:56" x14ac:dyDescent="0.25">
      <c r="A59" t="s">
        <v>6</v>
      </c>
      <c r="B59" t="s">
        <v>18</v>
      </c>
      <c r="C59">
        <v>20</v>
      </c>
      <c r="G59">
        <f t="shared" si="20"/>
        <v>285.54166666666424</v>
      </c>
      <c r="H59" s="2">
        <v>45000.541666666664</v>
      </c>
      <c r="I59" s="2"/>
      <c r="J59" s="2"/>
      <c r="K59" s="2"/>
      <c r="AF59">
        <v>205.13</v>
      </c>
      <c r="AG59">
        <v>139.01</v>
      </c>
      <c r="AI59">
        <v>0</v>
      </c>
      <c r="AJ59">
        <f t="shared" si="12"/>
        <v>353.4</v>
      </c>
      <c r="AK59">
        <f t="shared" si="13"/>
        <v>353.36</v>
      </c>
      <c r="AL59">
        <v>353.4</v>
      </c>
      <c r="AM59">
        <v>353.36</v>
      </c>
      <c r="AN59">
        <f t="shared" si="25"/>
        <v>2.0000000000038654E-2</v>
      </c>
      <c r="AO59">
        <f t="shared" si="14"/>
        <v>3.999999999996362E-2</v>
      </c>
      <c r="AP59">
        <v>42.5</v>
      </c>
      <c r="AQ59">
        <v>1010</v>
      </c>
      <c r="AR59">
        <v>22</v>
      </c>
      <c r="AS59">
        <v>34</v>
      </c>
      <c r="AT59">
        <f t="shared" si="15"/>
        <v>5.3137007027131622</v>
      </c>
      <c r="AU59">
        <f t="shared" si="22"/>
        <v>44.870000000000005</v>
      </c>
      <c r="AV59">
        <v>1010</v>
      </c>
      <c r="AW59">
        <f t="shared" si="23"/>
        <v>1966.6525518163585</v>
      </c>
      <c r="AX59">
        <f t="shared" si="16"/>
        <v>2.243959518151475E-5</v>
      </c>
      <c r="AY59">
        <f t="shared" si="24"/>
        <v>9.1873687540586463E-4</v>
      </c>
      <c r="AZ59">
        <f t="shared" si="17"/>
        <v>20.48783232155078</v>
      </c>
      <c r="BA59">
        <f t="shared" si="18"/>
        <v>0.84097846544330424</v>
      </c>
      <c r="BD59" t="e">
        <f t="shared" si="19"/>
        <v>#DIV/0!</v>
      </c>
    </row>
    <row r="60" spans="1:56" x14ac:dyDescent="0.25">
      <c r="A60" t="s">
        <v>7</v>
      </c>
      <c r="B60" t="s">
        <v>18</v>
      </c>
      <c r="C60">
        <v>20</v>
      </c>
      <c r="G60">
        <f t="shared" si="20"/>
        <v>285.54166666666424</v>
      </c>
      <c r="H60" s="2">
        <v>45000.541666666664</v>
      </c>
      <c r="I60" s="2"/>
      <c r="J60" s="2"/>
      <c r="K60" s="2"/>
      <c r="AF60">
        <v>177.85000000000002</v>
      </c>
      <c r="AG60">
        <v>139.94999999999999</v>
      </c>
      <c r="AI60">
        <v>-1.999999999998181E-2</v>
      </c>
      <c r="AJ60">
        <f t="shared" si="12"/>
        <v>327.11999999999995</v>
      </c>
      <c r="AK60">
        <f t="shared" si="13"/>
        <v>327.06999999999994</v>
      </c>
      <c r="AL60">
        <v>327.09999999999997</v>
      </c>
      <c r="AM60">
        <v>327.04999999999995</v>
      </c>
      <c r="AN60">
        <f t="shared" si="25"/>
        <v>2.0000000000038654E-2</v>
      </c>
      <c r="AO60">
        <f t="shared" si="14"/>
        <v>5.0000000000011369E-2</v>
      </c>
      <c r="AP60">
        <v>44.5</v>
      </c>
      <c r="AQ60">
        <v>1010</v>
      </c>
      <c r="AR60">
        <v>22</v>
      </c>
      <c r="AS60">
        <v>34</v>
      </c>
      <c r="AT60">
        <f t="shared" si="15"/>
        <v>5.3137007027131622</v>
      </c>
      <c r="AU60">
        <f t="shared" si="22"/>
        <v>72.149999999999977</v>
      </c>
      <c r="AV60">
        <v>1010</v>
      </c>
      <c r="AW60">
        <f t="shared" si="23"/>
        <v>1632.9383229383232</v>
      </c>
      <c r="AX60">
        <f t="shared" si="16"/>
        <v>2.7179692639919092E-5</v>
      </c>
      <c r="AY60">
        <f t="shared" si="24"/>
        <v>1.0964158129783139E-3</v>
      </c>
      <c r="AZ60">
        <f t="shared" si="17"/>
        <v>24.4500726294164</v>
      </c>
      <c r="BA60">
        <f t="shared" si="18"/>
        <v>0.69931810406090811</v>
      </c>
      <c r="BD60" t="e">
        <f t="shared" si="19"/>
        <v>#DIV/0!</v>
      </c>
    </row>
    <row r="61" spans="1:56" x14ac:dyDescent="0.25">
      <c r="A61" t="s">
        <v>8</v>
      </c>
      <c r="B61" t="s">
        <v>19</v>
      </c>
      <c r="C61">
        <v>10</v>
      </c>
      <c r="G61">
        <f t="shared" si="20"/>
        <v>285.54166666666424</v>
      </c>
      <c r="H61" s="2">
        <v>45000.541666666664</v>
      </c>
      <c r="I61" s="2"/>
      <c r="J61" s="2"/>
      <c r="K61" s="2"/>
      <c r="AF61">
        <v>142.11999999999998</v>
      </c>
      <c r="AG61">
        <v>139.71</v>
      </c>
      <c r="AI61">
        <v>-9.9999999999909051E-3</v>
      </c>
      <c r="AJ61">
        <f t="shared" si="12"/>
        <v>291.08999999999997</v>
      </c>
      <c r="AK61">
        <f t="shared" si="13"/>
        <v>291.07499999999999</v>
      </c>
      <c r="AL61">
        <v>291.08</v>
      </c>
      <c r="AM61">
        <v>291.065</v>
      </c>
      <c r="AN61">
        <f t="shared" si="25"/>
        <v>1.4999999999986358E-2</v>
      </c>
      <c r="AO61">
        <f t="shared" si="14"/>
        <v>1.4999999999986358E-2</v>
      </c>
      <c r="AP61">
        <v>16.5</v>
      </c>
      <c r="AQ61">
        <v>1010</v>
      </c>
      <c r="AR61">
        <v>22</v>
      </c>
      <c r="AS61">
        <v>34</v>
      </c>
      <c r="AT61">
        <f t="shared" si="15"/>
        <v>5.3137007027131622</v>
      </c>
      <c r="AU61">
        <f t="shared" si="22"/>
        <v>107.88000000000002</v>
      </c>
      <c r="AV61">
        <v>1010</v>
      </c>
      <c r="AW61">
        <f t="shared" si="23"/>
        <v>1164.4771968854282</v>
      </c>
      <c r="AX61">
        <f t="shared" si="16"/>
        <v>3.8636697017212042E-5</v>
      </c>
      <c r="AY61">
        <f t="shared" si="24"/>
        <v>8.7045421207287022E-4</v>
      </c>
      <c r="AZ61">
        <f t="shared" si="17"/>
        <v>19.411128929225004</v>
      </c>
      <c r="BA61">
        <f t="shared" si="18"/>
        <v>0.87947340260189466</v>
      </c>
      <c r="BD61" t="e">
        <f t="shared" si="19"/>
        <v>#DIV/0!</v>
      </c>
    </row>
    <row r="62" spans="1:56" x14ac:dyDescent="0.25">
      <c r="A62" t="s">
        <v>9</v>
      </c>
      <c r="B62" t="s">
        <v>19</v>
      </c>
      <c r="C62">
        <v>10</v>
      </c>
      <c r="G62">
        <f t="shared" si="20"/>
        <v>285.54166666666424</v>
      </c>
      <c r="H62" s="2">
        <v>45000.541666666664</v>
      </c>
      <c r="I62" s="2"/>
      <c r="J62" s="2"/>
      <c r="K62" s="2"/>
      <c r="AF62">
        <v>136.42000000000002</v>
      </c>
      <c r="AG62">
        <v>139.75</v>
      </c>
      <c r="AI62">
        <v>0</v>
      </c>
      <c r="AJ62">
        <f t="shared" si="12"/>
        <v>285.48</v>
      </c>
      <c r="AK62">
        <f t="shared" si="13"/>
        <v>285.48</v>
      </c>
      <c r="AL62">
        <v>285.48</v>
      </c>
      <c r="AM62">
        <v>285.48</v>
      </c>
      <c r="AN62">
        <f t="shared" si="25"/>
        <v>0</v>
      </c>
      <c r="AO62">
        <f t="shared" si="14"/>
        <v>0</v>
      </c>
      <c r="AP62">
        <v>0</v>
      </c>
      <c r="AQ62">
        <v>1010</v>
      </c>
      <c r="AR62">
        <v>22</v>
      </c>
      <c r="AS62">
        <v>34</v>
      </c>
      <c r="AT62">
        <f t="shared" si="15"/>
        <v>5.3137007027131622</v>
      </c>
      <c r="AU62">
        <f t="shared" si="22"/>
        <v>113.57999999999998</v>
      </c>
      <c r="AV62">
        <v>1010</v>
      </c>
      <c r="AW62">
        <f t="shared" si="23"/>
        <v>1010</v>
      </c>
      <c r="AX62">
        <f t="shared" si="16"/>
        <v>4.4874255263233305E-5</v>
      </c>
      <c r="AY62" t="e">
        <f t="shared" si="24"/>
        <v>#DIV/0!</v>
      </c>
      <c r="AZ62" t="e">
        <f t="shared" si="17"/>
        <v>#DIV/0!</v>
      </c>
      <c r="BA62" t="e">
        <f t="shared" si="18"/>
        <v>#DIV/0!</v>
      </c>
      <c r="BD62" t="e">
        <f t="shared" si="19"/>
        <v>#DIV/0!</v>
      </c>
    </row>
    <row r="63" spans="1:56" x14ac:dyDescent="0.25">
      <c r="A63" t="s">
        <v>10</v>
      </c>
      <c r="B63" t="s">
        <v>19</v>
      </c>
      <c r="C63">
        <v>10</v>
      </c>
      <c r="G63">
        <f t="shared" si="20"/>
        <v>285.54166666666424</v>
      </c>
      <c r="H63" s="2">
        <v>45000.541666666664</v>
      </c>
      <c r="I63" s="2"/>
      <c r="J63" s="2"/>
      <c r="K63" s="2"/>
      <c r="AF63">
        <v>117.85000000000002</v>
      </c>
      <c r="AG63">
        <v>140.44999999999999</v>
      </c>
      <c r="AI63">
        <v>-1.999999999998181E-2</v>
      </c>
      <c r="AJ63">
        <f t="shared" si="12"/>
        <v>267.65999999999997</v>
      </c>
      <c r="AK63">
        <f t="shared" si="13"/>
        <v>267.65999999999997</v>
      </c>
      <c r="AL63">
        <v>267.64</v>
      </c>
      <c r="AM63">
        <v>267.64</v>
      </c>
      <c r="AN63">
        <f t="shared" si="25"/>
        <v>0</v>
      </c>
      <c r="AO63">
        <f t="shared" si="14"/>
        <v>0</v>
      </c>
      <c r="AP63">
        <v>0</v>
      </c>
      <c r="AQ63">
        <v>1010</v>
      </c>
      <c r="AR63">
        <v>22</v>
      </c>
      <c r="AS63">
        <v>34</v>
      </c>
      <c r="AT63">
        <f t="shared" si="15"/>
        <v>5.3137007027131622</v>
      </c>
      <c r="AU63">
        <f t="shared" si="22"/>
        <v>132.14999999999998</v>
      </c>
      <c r="AV63">
        <v>1010</v>
      </c>
      <c r="AW63">
        <f t="shared" si="23"/>
        <v>1010</v>
      </c>
      <c r="AX63">
        <f t="shared" si="16"/>
        <v>4.4874255263233305E-5</v>
      </c>
      <c r="AY63" t="e">
        <f t="shared" si="24"/>
        <v>#DIV/0!</v>
      </c>
      <c r="AZ63" t="e">
        <f t="shared" si="17"/>
        <v>#DIV/0!</v>
      </c>
      <c r="BA63" t="e">
        <f t="shared" si="18"/>
        <v>#DIV/0!</v>
      </c>
      <c r="BD63" t="e">
        <f t="shared" si="19"/>
        <v>#DIV/0!</v>
      </c>
    </row>
    <row r="64" spans="1:56" x14ac:dyDescent="0.25">
      <c r="A64" t="s">
        <v>11</v>
      </c>
      <c r="B64" t="s">
        <v>19</v>
      </c>
      <c r="C64">
        <v>10</v>
      </c>
      <c r="G64">
        <f t="shared" si="20"/>
        <v>285.54166666666424</v>
      </c>
      <c r="H64" s="2">
        <v>45000.541666666664</v>
      </c>
      <c r="I64" s="2"/>
      <c r="J64" s="2"/>
      <c r="K64" s="2"/>
      <c r="AF64">
        <v>107.53</v>
      </c>
      <c r="AG64">
        <v>140</v>
      </c>
      <c r="AI64">
        <v>-1.999999999998181E-2</v>
      </c>
      <c r="AJ64">
        <f t="shared" si="12"/>
        <v>256.90999999999997</v>
      </c>
      <c r="AK64">
        <f t="shared" si="13"/>
        <v>256.90999999999997</v>
      </c>
      <c r="AL64">
        <v>256.89</v>
      </c>
      <c r="AM64">
        <v>256.89</v>
      </c>
      <c r="AN64">
        <f t="shared" si="25"/>
        <v>0</v>
      </c>
      <c r="AO64">
        <f t="shared" si="14"/>
        <v>0</v>
      </c>
      <c r="AP64">
        <v>0</v>
      </c>
      <c r="AQ64">
        <v>1010</v>
      </c>
      <c r="AR64">
        <v>22</v>
      </c>
      <c r="AS64">
        <v>34</v>
      </c>
      <c r="AT64">
        <f t="shared" si="15"/>
        <v>5.3137007027131622</v>
      </c>
      <c r="AU64">
        <f t="shared" si="22"/>
        <v>142.47</v>
      </c>
      <c r="AV64">
        <v>1010</v>
      </c>
      <c r="AW64">
        <f t="shared" si="23"/>
        <v>1010</v>
      </c>
      <c r="AX64">
        <f t="shared" si="16"/>
        <v>4.4874255263233305E-5</v>
      </c>
      <c r="AY64" t="e">
        <f t="shared" si="24"/>
        <v>#DIV/0!</v>
      </c>
      <c r="AZ64" t="e">
        <f t="shared" si="17"/>
        <v>#DIV/0!</v>
      </c>
      <c r="BA64" t="e">
        <f t="shared" si="18"/>
        <v>#DIV/0!</v>
      </c>
      <c r="BD64" t="e">
        <f t="shared" si="19"/>
        <v>#DIV/0!</v>
      </c>
    </row>
    <row r="65" spans="1:56" x14ac:dyDescent="0.25">
      <c r="A65" t="s">
        <v>12</v>
      </c>
      <c r="B65" t="s">
        <v>19</v>
      </c>
      <c r="C65">
        <v>20</v>
      </c>
      <c r="G65">
        <f t="shared" si="20"/>
        <v>285.54166666666424</v>
      </c>
      <c r="H65" s="2">
        <v>45000.541666666664</v>
      </c>
      <c r="I65" s="2"/>
      <c r="J65" s="2"/>
      <c r="K65" s="2"/>
      <c r="AF65">
        <v>109.43</v>
      </c>
      <c r="AG65">
        <v>140.19999999999999</v>
      </c>
      <c r="AI65">
        <v>-9.9999999999909051E-3</v>
      </c>
      <c r="AJ65">
        <f t="shared" si="12"/>
        <v>258.93</v>
      </c>
      <c r="AK65">
        <f t="shared" si="13"/>
        <v>258.89999999999998</v>
      </c>
      <c r="AL65">
        <v>258.92</v>
      </c>
      <c r="AM65">
        <v>258.89</v>
      </c>
      <c r="AN65">
        <f t="shared" ref="AN65:AN128" si="26">AM49-AL65</f>
        <v>1.999999999998181E-2</v>
      </c>
      <c r="AO65">
        <f t="shared" si="14"/>
        <v>3.0000000000029559E-2</v>
      </c>
      <c r="AP65">
        <v>27</v>
      </c>
      <c r="AQ65">
        <v>1010</v>
      </c>
      <c r="AR65">
        <v>22</v>
      </c>
      <c r="AS65">
        <v>34</v>
      </c>
      <c r="AT65">
        <f t="shared" si="15"/>
        <v>5.3137007027131622</v>
      </c>
      <c r="AU65">
        <f t="shared" si="22"/>
        <v>140.57</v>
      </c>
      <c r="AV65">
        <v>1010</v>
      </c>
      <c r="AW65">
        <f t="shared" si="23"/>
        <v>1203.9958739418084</v>
      </c>
      <c r="AX65">
        <f t="shared" si="16"/>
        <v>3.7309973823045082E-5</v>
      </c>
      <c r="AY65">
        <f t="shared" si="24"/>
        <v>1.0738011372891608E-3</v>
      </c>
      <c r="AZ65">
        <f t="shared" si="17"/>
        <v>23.945765361548286</v>
      </c>
      <c r="BA65">
        <f t="shared" si="18"/>
        <v>0.71734839608336476</v>
      </c>
      <c r="BD65" t="e">
        <f t="shared" si="19"/>
        <v>#DIV/0!</v>
      </c>
    </row>
    <row r="66" spans="1:56" x14ac:dyDescent="0.25">
      <c r="A66" t="s">
        <v>13</v>
      </c>
      <c r="B66" t="s">
        <v>19</v>
      </c>
      <c r="C66">
        <v>20</v>
      </c>
      <c r="G66">
        <f t="shared" si="20"/>
        <v>285.54166666666424</v>
      </c>
      <c r="H66" s="2">
        <v>45000.541666666664</v>
      </c>
      <c r="I66" s="2"/>
      <c r="J66" s="2"/>
      <c r="K66" s="2"/>
      <c r="AF66">
        <v>129.52999999999997</v>
      </c>
      <c r="AG66">
        <v>140.24</v>
      </c>
      <c r="AI66">
        <v>-1.999999999998181E-2</v>
      </c>
      <c r="AJ66">
        <f t="shared" si="12"/>
        <v>279.09999999999997</v>
      </c>
      <c r="AK66">
        <f t="shared" si="13"/>
        <v>279.06999999999994</v>
      </c>
      <c r="AL66">
        <v>279.08</v>
      </c>
      <c r="AM66">
        <v>279.04999999999995</v>
      </c>
      <c r="AN66">
        <f t="shared" si="26"/>
        <v>4.9999999999954525E-3</v>
      </c>
      <c r="AO66">
        <f t="shared" si="14"/>
        <v>3.0000000000029559E-2</v>
      </c>
      <c r="AP66">
        <v>26.5</v>
      </c>
      <c r="AQ66">
        <v>1010</v>
      </c>
      <c r="AR66">
        <v>22</v>
      </c>
      <c r="AS66">
        <v>34</v>
      </c>
      <c r="AT66">
        <f t="shared" si="15"/>
        <v>5.3137007027131622</v>
      </c>
      <c r="AU66">
        <f t="shared" si="22"/>
        <v>120.47000000000003</v>
      </c>
      <c r="AV66">
        <v>1010</v>
      </c>
      <c r="AW66">
        <f t="shared" si="23"/>
        <v>1232.1714949780028</v>
      </c>
      <c r="AX66">
        <f t="shared" si="16"/>
        <v>3.6418369977651667E-5</v>
      </c>
      <c r="AY66">
        <f t="shared" si="24"/>
        <v>1.095657101721577E-3</v>
      </c>
      <c r="AZ66">
        <f t="shared" si="17"/>
        <v>24.433153368391167</v>
      </c>
      <c r="BA66">
        <f t="shared" si="18"/>
        <v>0.69992301149834935</v>
      </c>
      <c r="BD66" t="e">
        <f t="shared" si="19"/>
        <v>#DIV/0!</v>
      </c>
    </row>
    <row r="67" spans="1:56" x14ac:dyDescent="0.25">
      <c r="A67" t="s">
        <v>14</v>
      </c>
      <c r="B67" t="s">
        <v>19</v>
      </c>
      <c r="C67">
        <v>20</v>
      </c>
      <c r="G67">
        <f t="shared" si="20"/>
        <v>285.54166666666424</v>
      </c>
      <c r="H67" s="2">
        <v>45000.541666666664</v>
      </c>
      <c r="I67" s="2"/>
      <c r="J67" s="2"/>
      <c r="K67" s="2"/>
      <c r="AF67">
        <v>94.359999999999985</v>
      </c>
      <c r="AG67">
        <v>138.74</v>
      </c>
      <c r="AI67">
        <v>-1.999999999998181E-2</v>
      </c>
      <c r="AJ67">
        <f t="shared" si="12"/>
        <v>242.41999999999996</v>
      </c>
      <c r="AK67">
        <f t="shared" si="13"/>
        <v>242.39499999999995</v>
      </c>
      <c r="AL67">
        <v>242.39999999999998</v>
      </c>
      <c r="AM67">
        <v>242.37499999999997</v>
      </c>
      <c r="AN67">
        <f t="shared" si="26"/>
        <v>2.0000000000010232E-2</v>
      </c>
      <c r="AO67">
        <f t="shared" si="14"/>
        <v>2.5000000000005684E-2</v>
      </c>
      <c r="AP67">
        <v>20</v>
      </c>
      <c r="AQ67">
        <v>1010</v>
      </c>
      <c r="AR67">
        <v>22</v>
      </c>
      <c r="AS67">
        <v>34</v>
      </c>
      <c r="AT67">
        <f t="shared" si="15"/>
        <v>5.3137007027131622</v>
      </c>
      <c r="AU67">
        <f t="shared" si="22"/>
        <v>155.64000000000001</v>
      </c>
      <c r="AV67">
        <v>1010</v>
      </c>
      <c r="AW67">
        <f t="shared" si="23"/>
        <v>1139.786687226934</v>
      </c>
      <c r="AX67">
        <f t="shared" si="16"/>
        <v>3.9514587802308836E-5</v>
      </c>
      <c r="AY67">
        <f t="shared" si="24"/>
        <v>1.2104854121979755E-3</v>
      </c>
      <c r="AZ67">
        <f t="shared" si="17"/>
        <v>26.993824692014854</v>
      </c>
      <c r="BA67">
        <f t="shared" si="18"/>
        <v>0.6083723742576026</v>
      </c>
      <c r="BD67" t="e">
        <f t="shared" si="19"/>
        <v>#DIV/0!</v>
      </c>
    </row>
    <row r="68" spans="1:56" x14ac:dyDescent="0.25">
      <c r="A68" t="s">
        <v>15</v>
      </c>
      <c r="B68" t="s">
        <v>19</v>
      </c>
      <c r="C68">
        <v>20</v>
      </c>
      <c r="G68">
        <f t="shared" si="20"/>
        <v>285.54166666666424</v>
      </c>
      <c r="H68" s="2">
        <v>45000.541666666664</v>
      </c>
      <c r="I68" s="2"/>
      <c r="J68" s="2"/>
      <c r="K68" s="2"/>
      <c r="AF68">
        <v>85.4</v>
      </c>
      <c r="AG68">
        <v>140.1</v>
      </c>
      <c r="AI68">
        <v>0</v>
      </c>
      <c r="AJ68">
        <f t="shared" si="12"/>
        <v>234.84</v>
      </c>
      <c r="AK68">
        <f t="shared" si="13"/>
        <v>234.80500000000001</v>
      </c>
      <c r="AL68">
        <v>234.84</v>
      </c>
      <c r="AM68">
        <v>234.80500000000001</v>
      </c>
      <c r="AN68">
        <f t="shared" si="26"/>
        <v>9.9999999999909051E-3</v>
      </c>
      <c r="AO68">
        <f t="shared" si="14"/>
        <v>3.4999999999996589E-2</v>
      </c>
      <c r="AP68">
        <v>28.5</v>
      </c>
      <c r="AQ68">
        <v>1010</v>
      </c>
      <c r="AR68">
        <v>22</v>
      </c>
      <c r="AS68">
        <v>34</v>
      </c>
      <c r="AT68">
        <f t="shared" si="15"/>
        <v>5.3137007027131622</v>
      </c>
      <c r="AU68">
        <f t="shared" si="22"/>
        <v>164.6</v>
      </c>
      <c r="AV68">
        <v>1010</v>
      </c>
      <c r="AW68">
        <f t="shared" si="23"/>
        <v>1184.8784933171323</v>
      </c>
      <c r="AX68">
        <f t="shared" si="16"/>
        <v>3.7940214014212804E-5</v>
      </c>
      <c r="AY68">
        <f t="shared" si="24"/>
        <v>1.190129961424264E-3</v>
      </c>
      <c r="AZ68">
        <f t="shared" si="17"/>
        <v>26.539898139761089</v>
      </c>
      <c r="BA68">
        <f t="shared" si="18"/>
        <v>0.62460142510686123</v>
      </c>
      <c r="BD68" t="e">
        <f t="shared" si="19"/>
        <v>#DIV/0!</v>
      </c>
    </row>
    <row r="69" spans="1:56" x14ac:dyDescent="0.25">
      <c r="A69" t="s">
        <v>0</v>
      </c>
      <c r="B69" t="s">
        <v>18</v>
      </c>
      <c r="C69">
        <v>10</v>
      </c>
      <c r="G69">
        <f t="shared" si="20"/>
        <v>287.35416666666424</v>
      </c>
      <c r="H69" s="2">
        <v>45002.354166666664</v>
      </c>
      <c r="I69" s="2"/>
      <c r="J69" s="2"/>
      <c r="K69" s="2"/>
      <c r="AF69">
        <v>172.77</v>
      </c>
      <c r="AG69">
        <v>139.16999999999999</v>
      </c>
      <c r="AI69">
        <v>-4.0000000000020464E-2</v>
      </c>
      <c r="AJ69">
        <f t="shared" si="12"/>
        <v>321.35500000000002</v>
      </c>
      <c r="AK69">
        <f t="shared" si="13"/>
        <v>321.35000000000002</v>
      </c>
      <c r="AL69">
        <v>321.315</v>
      </c>
      <c r="AM69">
        <v>321.31</v>
      </c>
      <c r="AN69">
        <f t="shared" si="26"/>
        <v>0</v>
      </c>
      <c r="AO69">
        <f t="shared" si="14"/>
        <v>4.9999999999954525E-3</v>
      </c>
      <c r="AP69">
        <v>7.5</v>
      </c>
      <c r="AQ69">
        <v>1008</v>
      </c>
      <c r="AR69">
        <v>22</v>
      </c>
      <c r="AS69">
        <v>34</v>
      </c>
      <c r="AT69">
        <f t="shared" ref="AT69:AT84" si="27">0.61094*EXP(17.625*AS69/(243.04+AS69))</f>
        <v>5.3137007027131622</v>
      </c>
      <c r="AU69">
        <f t="shared" si="22"/>
        <v>77.22999999999999</v>
      </c>
      <c r="AV69">
        <v>1008</v>
      </c>
      <c r="AW69">
        <f t="shared" si="23"/>
        <v>1105.8894212093746</v>
      </c>
      <c r="AX69">
        <f t="shared" si="16"/>
        <v>4.0786906418029628E-5</v>
      </c>
      <c r="AY69">
        <f t="shared" si="24"/>
        <v>6.2587976024803074E-4</v>
      </c>
      <c r="AZ69">
        <f t="shared" si="17"/>
        <v>13.957118653531085</v>
      </c>
      <c r="BA69">
        <f t="shared" si="18"/>
        <v>1.0744684070957782</v>
      </c>
      <c r="BD69" t="e">
        <f t="shared" si="19"/>
        <v>#DIV/0!</v>
      </c>
    </row>
    <row r="70" spans="1:56" x14ac:dyDescent="0.25">
      <c r="A70" t="s">
        <v>1</v>
      </c>
      <c r="B70" t="s">
        <v>18</v>
      </c>
      <c r="C70">
        <v>10</v>
      </c>
      <c r="G70">
        <f t="shared" si="20"/>
        <v>287.35416666666424</v>
      </c>
      <c r="H70" s="2">
        <v>45002.354166666664</v>
      </c>
      <c r="I70" s="2"/>
      <c r="J70" s="2"/>
      <c r="K70" s="2"/>
      <c r="AF70">
        <v>173.93</v>
      </c>
      <c r="AG70">
        <v>141.25</v>
      </c>
      <c r="AI70">
        <v>-3.0000000000029559E-2</v>
      </c>
      <c r="AJ70">
        <f t="shared" si="12"/>
        <v>324.52000000000004</v>
      </c>
      <c r="AK70">
        <f t="shared" si="13"/>
        <v>324.50000000000006</v>
      </c>
      <c r="AL70">
        <v>324.49</v>
      </c>
      <c r="AM70">
        <v>324.47000000000003</v>
      </c>
      <c r="AN70">
        <f t="shared" si="26"/>
        <v>0</v>
      </c>
      <c r="AO70">
        <f t="shared" si="14"/>
        <v>1.999999999998181E-2</v>
      </c>
      <c r="AP70">
        <v>14.5</v>
      </c>
      <c r="AQ70">
        <v>1008</v>
      </c>
      <c r="AR70">
        <v>22</v>
      </c>
      <c r="AS70">
        <v>34</v>
      </c>
      <c r="AT70">
        <f t="shared" si="27"/>
        <v>5.3137007027131622</v>
      </c>
      <c r="AU70">
        <f t="shared" si="22"/>
        <v>76.069999999999993</v>
      </c>
      <c r="AV70">
        <v>1008</v>
      </c>
      <c r="AW70">
        <f t="shared" si="23"/>
        <v>1200.1388195083475</v>
      </c>
      <c r="AX70">
        <f t="shared" si="16"/>
        <v>3.7435437094663791E-5</v>
      </c>
      <c r="AY70">
        <f t="shared" si="24"/>
        <v>1.3418749077316679E-3</v>
      </c>
      <c r="AZ70">
        <f t="shared" si="17"/>
        <v>29.923810442416194</v>
      </c>
      <c r="BA70">
        <f t="shared" si="18"/>
        <v>0.50361778897332155</v>
      </c>
      <c r="BD70" t="e">
        <f t="shared" si="19"/>
        <v>#DIV/0!</v>
      </c>
    </row>
    <row r="71" spans="1:56" x14ac:dyDescent="0.25">
      <c r="A71" t="s">
        <v>2</v>
      </c>
      <c r="B71" t="s">
        <v>18</v>
      </c>
      <c r="C71">
        <v>10</v>
      </c>
      <c r="G71">
        <f t="shared" si="20"/>
        <v>287.35416666666424</v>
      </c>
      <c r="H71" s="2">
        <v>45002.354166666664</v>
      </c>
      <c r="I71" s="2"/>
      <c r="J71" s="2"/>
      <c r="K71" s="2"/>
      <c r="AF71">
        <v>162.82000000000002</v>
      </c>
      <c r="AG71">
        <v>140.66</v>
      </c>
      <c r="AI71">
        <v>-2.4999999999977263E-2</v>
      </c>
      <c r="AJ71">
        <f t="shared" si="12"/>
        <v>312.85999999999996</v>
      </c>
      <c r="AK71">
        <f t="shared" si="13"/>
        <v>312.83499999999998</v>
      </c>
      <c r="AL71">
        <v>312.83499999999998</v>
      </c>
      <c r="AM71">
        <v>312.81</v>
      </c>
      <c r="AN71">
        <f t="shared" si="26"/>
        <v>0</v>
      </c>
      <c r="AO71">
        <f t="shared" si="14"/>
        <v>2.4999999999977263E-2</v>
      </c>
      <c r="AP71">
        <v>13.5</v>
      </c>
      <c r="AQ71">
        <v>1008</v>
      </c>
      <c r="AR71">
        <v>22</v>
      </c>
      <c r="AS71">
        <v>34</v>
      </c>
      <c r="AT71">
        <f t="shared" si="27"/>
        <v>5.3137007027131622</v>
      </c>
      <c r="AU71">
        <f t="shared" si="22"/>
        <v>87.179999999999978</v>
      </c>
      <c r="AV71">
        <v>1008</v>
      </c>
      <c r="AW71">
        <f t="shared" si="23"/>
        <v>1164.0908465244322</v>
      </c>
      <c r="AX71">
        <f t="shared" si="16"/>
        <v>3.8650133490726588E-5</v>
      </c>
      <c r="AY71">
        <f t="shared" si="24"/>
        <v>1.8132017183594409E-3</v>
      </c>
      <c r="AZ71">
        <f t="shared" si="17"/>
        <v>40.434398319415536</v>
      </c>
      <c r="BA71">
        <f t="shared" si="18"/>
        <v>0.12783702826544377</v>
      </c>
      <c r="BD71" t="e">
        <f t="shared" si="19"/>
        <v>#DIV/0!</v>
      </c>
    </row>
    <row r="72" spans="1:56" x14ac:dyDescent="0.25">
      <c r="A72" t="s">
        <v>3</v>
      </c>
      <c r="B72" t="s">
        <v>18</v>
      </c>
      <c r="C72">
        <v>10</v>
      </c>
      <c r="G72">
        <f t="shared" si="20"/>
        <v>287.35416666666424</v>
      </c>
      <c r="H72" s="2">
        <v>45002.354166666664</v>
      </c>
      <c r="I72" s="2"/>
      <c r="J72" s="2"/>
      <c r="K72" s="2"/>
      <c r="AF72">
        <v>187.81</v>
      </c>
      <c r="AG72">
        <v>140</v>
      </c>
      <c r="AI72">
        <v>-1.999999999998181E-2</v>
      </c>
      <c r="AJ72">
        <f t="shared" si="12"/>
        <v>337.17499999999995</v>
      </c>
      <c r="AK72">
        <f t="shared" si="13"/>
        <v>337.16999999999996</v>
      </c>
      <c r="AL72">
        <v>337.15499999999997</v>
      </c>
      <c r="AM72">
        <v>337.15</v>
      </c>
      <c r="AN72">
        <f t="shared" si="26"/>
        <v>1.4999999999986358E-2</v>
      </c>
      <c r="AO72">
        <f t="shared" si="14"/>
        <v>4.9999999999954525E-3</v>
      </c>
      <c r="AP72">
        <v>13</v>
      </c>
      <c r="AQ72">
        <v>1008</v>
      </c>
      <c r="AR72">
        <v>22</v>
      </c>
      <c r="AS72">
        <v>34</v>
      </c>
      <c r="AT72">
        <f t="shared" si="27"/>
        <v>5.3137007027131622</v>
      </c>
      <c r="AU72">
        <f t="shared" si="22"/>
        <v>62.19</v>
      </c>
      <c r="AV72">
        <v>1008</v>
      </c>
      <c r="AW72">
        <f t="shared" si="23"/>
        <v>1218.7091172214182</v>
      </c>
      <c r="AX72">
        <f t="shared" si="16"/>
        <v>3.6839002772165328E-5</v>
      </c>
      <c r="AY72">
        <f t="shared" si="24"/>
        <v>3.4777638184286944E-4</v>
      </c>
      <c r="AZ72">
        <f t="shared" si="17"/>
        <v>7.7554133150959883</v>
      </c>
      <c r="BA72">
        <f t="shared" si="18"/>
        <v>1.2961954481553097</v>
      </c>
      <c r="BD72" t="e">
        <f t="shared" si="19"/>
        <v>#DIV/0!</v>
      </c>
    </row>
    <row r="73" spans="1:56" x14ac:dyDescent="0.25">
      <c r="A73" t="s">
        <v>4</v>
      </c>
      <c r="B73" t="s">
        <v>18</v>
      </c>
      <c r="C73">
        <v>20</v>
      </c>
      <c r="G73">
        <f t="shared" si="20"/>
        <v>287.35416666666424</v>
      </c>
      <c r="H73" s="2">
        <v>45002.354166666664</v>
      </c>
      <c r="I73" s="2"/>
      <c r="J73" s="2"/>
      <c r="K73" s="2"/>
      <c r="AF73">
        <v>181.58</v>
      </c>
      <c r="AG73">
        <v>139.4</v>
      </c>
      <c r="AI73">
        <v>-2.4999999999977263E-2</v>
      </c>
      <c r="AJ73">
        <f t="shared" si="12"/>
        <v>330.28</v>
      </c>
      <c r="AK73">
        <f t="shared" si="13"/>
        <v>330.21999999999997</v>
      </c>
      <c r="AL73">
        <v>330.255</v>
      </c>
      <c r="AM73">
        <v>330.19499999999999</v>
      </c>
      <c r="AN73">
        <f t="shared" si="26"/>
        <v>-9.9999999999909051E-3</v>
      </c>
      <c r="AO73">
        <f t="shared" si="14"/>
        <v>6.0000000000002274E-2</v>
      </c>
      <c r="AP73">
        <v>55</v>
      </c>
      <c r="AQ73">
        <v>1008</v>
      </c>
      <c r="AR73">
        <v>22</v>
      </c>
      <c r="AS73">
        <v>34</v>
      </c>
      <c r="AT73">
        <f t="shared" si="27"/>
        <v>5.3137007027131622</v>
      </c>
      <c r="AU73">
        <f t="shared" si="22"/>
        <v>68.419999999999987</v>
      </c>
      <c r="AV73">
        <v>1008</v>
      </c>
      <c r="AW73">
        <f t="shared" si="23"/>
        <v>1818.2893890675243</v>
      </c>
      <c r="AX73">
        <f t="shared" si="16"/>
        <v>2.4325669916934875E-5</v>
      </c>
      <c r="AY73">
        <f t="shared" si="24"/>
        <v>1.0665834209921973E-3</v>
      </c>
      <c r="AZ73">
        <f t="shared" si="17"/>
        <v>23.784810288126</v>
      </c>
      <c r="BA73">
        <f t="shared" si="18"/>
        <v>0.72310295716388984</v>
      </c>
      <c r="BD73" t="e">
        <f t="shared" si="19"/>
        <v>#DIV/0!</v>
      </c>
    </row>
    <row r="74" spans="1:56" x14ac:dyDescent="0.25">
      <c r="A74" t="s">
        <v>5</v>
      </c>
      <c r="B74" t="s">
        <v>18</v>
      </c>
      <c r="C74">
        <v>20</v>
      </c>
      <c r="G74">
        <f t="shared" si="20"/>
        <v>287.35416666666424</v>
      </c>
      <c r="H74" s="2">
        <v>45002.354166666664</v>
      </c>
      <c r="I74" s="2"/>
      <c r="J74" s="2"/>
      <c r="K74" s="2"/>
      <c r="AF74">
        <v>201.8</v>
      </c>
      <c r="AG74">
        <v>139.81</v>
      </c>
      <c r="AI74">
        <v>-4.9999999999954525E-3</v>
      </c>
      <c r="AJ74">
        <f t="shared" si="12"/>
        <v>350.87</v>
      </c>
      <c r="AK74">
        <f t="shared" si="13"/>
        <v>350.82499999999999</v>
      </c>
      <c r="AL74">
        <v>350.86500000000001</v>
      </c>
      <c r="AM74">
        <v>350.82</v>
      </c>
      <c r="AN74">
        <f t="shared" si="26"/>
        <v>0</v>
      </c>
      <c r="AO74">
        <f t="shared" si="14"/>
        <v>4.5000000000015916E-2</v>
      </c>
      <c r="AP74">
        <v>60</v>
      </c>
      <c r="AQ74">
        <v>1008</v>
      </c>
      <c r="AR74">
        <v>22</v>
      </c>
      <c r="AS74">
        <v>34</v>
      </c>
      <c r="AT74">
        <f t="shared" si="27"/>
        <v>5.3137007027131622</v>
      </c>
      <c r="AU74">
        <f t="shared" si="22"/>
        <v>48.199999999999989</v>
      </c>
      <c r="AV74">
        <v>1008</v>
      </c>
      <c r="AW74">
        <f t="shared" si="23"/>
        <v>2262.7717842323655</v>
      </c>
      <c r="AX74">
        <f t="shared" si="16"/>
        <v>1.9432403328171245E-5</v>
      </c>
      <c r="AY74">
        <f t="shared" si="24"/>
        <v>7.3056759667209411E-4</v>
      </c>
      <c r="AZ74">
        <f t="shared" si="17"/>
        <v>16.291657405787699</v>
      </c>
      <c r="BA74">
        <f t="shared" si="18"/>
        <v>0.99100259543125846</v>
      </c>
      <c r="BD74" t="e">
        <f t="shared" si="19"/>
        <v>#DIV/0!</v>
      </c>
    </row>
    <row r="75" spans="1:56" x14ac:dyDescent="0.25">
      <c r="A75" t="s">
        <v>6</v>
      </c>
      <c r="B75" t="s">
        <v>18</v>
      </c>
      <c r="C75">
        <v>20</v>
      </c>
      <c r="G75">
        <f t="shared" si="20"/>
        <v>287.35416666666424</v>
      </c>
      <c r="H75" s="2">
        <v>45002.354166666664</v>
      </c>
      <c r="I75" s="2"/>
      <c r="J75" s="2"/>
      <c r="K75" s="2"/>
      <c r="AF75">
        <v>205.13</v>
      </c>
      <c r="AG75">
        <v>139.01</v>
      </c>
      <c r="AI75">
        <v>0</v>
      </c>
      <c r="AJ75">
        <f t="shared" si="12"/>
        <v>353.37</v>
      </c>
      <c r="AK75">
        <f t="shared" si="13"/>
        <v>353.33</v>
      </c>
      <c r="AL75">
        <v>353.37</v>
      </c>
      <c r="AM75">
        <v>353.33</v>
      </c>
      <c r="AN75">
        <f t="shared" si="26"/>
        <v>-9.9999999999909051E-3</v>
      </c>
      <c r="AO75">
        <f t="shared" si="14"/>
        <v>4.0000000000020464E-2</v>
      </c>
      <c r="AP75">
        <v>49.5</v>
      </c>
      <c r="AQ75">
        <v>1008</v>
      </c>
      <c r="AR75">
        <v>22</v>
      </c>
      <c r="AS75">
        <v>34</v>
      </c>
      <c r="AT75">
        <f t="shared" si="27"/>
        <v>5.3137007027131622</v>
      </c>
      <c r="AU75">
        <f t="shared" si="22"/>
        <v>44.870000000000005</v>
      </c>
      <c r="AV75">
        <v>1008</v>
      </c>
      <c r="AW75">
        <f t="shared" si="23"/>
        <v>2120.0124804992201</v>
      </c>
      <c r="AX75">
        <f t="shared" si="16"/>
        <v>2.0774601445376221E-5</v>
      </c>
      <c r="AY75">
        <f t="shared" si="24"/>
        <v>7.8730620663584525E-4</v>
      </c>
      <c r="AZ75">
        <f t="shared" si="17"/>
        <v>17.556928407979349</v>
      </c>
      <c r="BA75">
        <f t="shared" si="18"/>
        <v>0.94576587744085272</v>
      </c>
      <c r="BD75" t="e">
        <f t="shared" si="19"/>
        <v>#DIV/0!</v>
      </c>
    </row>
    <row r="76" spans="1:56" x14ac:dyDescent="0.25">
      <c r="A76" t="s">
        <v>7</v>
      </c>
      <c r="B76" t="s">
        <v>18</v>
      </c>
      <c r="C76">
        <v>20</v>
      </c>
      <c r="G76">
        <f t="shared" si="20"/>
        <v>287.35416666666424</v>
      </c>
      <c r="H76" s="2">
        <v>45002.354166666664</v>
      </c>
      <c r="I76" s="2"/>
      <c r="J76" s="2"/>
      <c r="K76" s="2"/>
      <c r="AF76">
        <v>177.85000000000002</v>
      </c>
      <c r="AG76">
        <v>139.94999999999999</v>
      </c>
      <c r="AI76">
        <v>-1.999999999998181E-2</v>
      </c>
      <c r="AJ76">
        <f t="shared" si="12"/>
        <v>327.08</v>
      </c>
      <c r="AK76">
        <f t="shared" si="13"/>
        <v>327.03999999999996</v>
      </c>
      <c r="AL76">
        <v>327.06</v>
      </c>
      <c r="AM76">
        <v>327.02</v>
      </c>
      <c r="AN76">
        <f t="shared" si="26"/>
        <v>-1.0000000000047748E-2</v>
      </c>
      <c r="AO76">
        <f t="shared" si="14"/>
        <v>4.0000000000020464E-2</v>
      </c>
      <c r="AP76">
        <v>40</v>
      </c>
      <c r="AQ76">
        <v>1008</v>
      </c>
      <c r="AR76">
        <v>22</v>
      </c>
      <c r="AS76">
        <v>34</v>
      </c>
      <c r="AT76">
        <f t="shared" si="27"/>
        <v>5.3137007027131622</v>
      </c>
      <c r="AU76">
        <f t="shared" si="22"/>
        <v>72.149999999999977</v>
      </c>
      <c r="AV76">
        <v>1008</v>
      </c>
      <c r="AW76">
        <f t="shared" si="23"/>
        <v>1566.835758835759</v>
      </c>
      <c r="AX76">
        <f t="shared" si="16"/>
        <v>2.8366617959684033E-5</v>
      </c>
      <c r="AY76">
        <f t="shared" si="24"/>
        <v>9.7163338204082753E-4</v>
      </c>
      <c r="AZ76">
        <f t="shared" si="17"/>
        <v>21.667424419510454</v>
      </c>
      <c r="BA76">
        <f t="shared" si="18"/>
        <v>0.79880499036430264</v>
      </c>
      <c r="BD76" t="e">
        <f t="shared" si="19"/>
        <v>#DIV/0!</v>
      </c>
    </row>
    <row r="77" spans="1:56" x14ac:dyDescent="0.25">
      <c r="A77" t="s">
        <v>8</v>
      </c>
      <c r="B77" t="s">
        <v>19</v>
      </c>
      <c r="C77">
        <v>10</v>
      </c>
      <c r="G77">
        <f t="shared" si="20"/>
        <v>287.35416666666424</v>
      </c>
      <c r="H77" s="2">
        <v>45002.354166666664</v>
      </c>
      <c r="I77" s="2"/>
      <c r="J77" s="2"/>
      <c r="K77" s="2"/>
      <c r="AF77">
        <v>142.11999999999998</v>
      </c>
      <c r="AG77">
        <v>139.71</v>
      </c>
      <c r="AI77">
        <v>-9.9999999999909051E-3</v>
      </c>
      <c r="AJ77">
        <f t="shared" si="12"/>
        <v>291.07499999999999</v>
      </c>
      <c r="AK77">
        <f t="shared" si="13"/>
        <v>291.06</v>
      </c>
      <c r="AL77">
        <v>291.065</v>
      </c>
      <c r="AM77">
        <v>291.05</v>
      </c>
      <c r="AN77">
        <f t="shared" si="26"/>
        <v>0</v>
      </c>
      <c r="AO77">
        <f t="shared" si="14"/>
        <v>1.4999999999986358E-2</v>
      </c>
      <c r="AP77">
        <v>17.5</v>
      </c>
      <c r="AQ77">
        <v>1008</v>
      </c>
      <c r="AR77">
        <v>22</v>
      </c>
      <c r="AS77">
        <v>34</v>
      </c>
      <c r="AT77">
        <f t="shared" si="27"/>
        <v>5.3137007027131622</v>
      </c>
      <c r="AU77">
        <f t="shared" si="22"/>
        <v>107.88000000000002</v>
      </c>
      <c r="AV77">
        <v>1008</v>
      </c>
      <c r="AW77">
        <f t="shared" si="23"/>
        <v>1171.5150166852059</v>
      </c>
      <c r="AX77">
        <f t="shared" si="16"/>
        <v>3.8393560878162887E-5</v>
      </c>
      <c r="AY77">
        <f t="shared" si="24"/>
        <v>8.1874929626391468E-4</v>
      </c>
      <c r="AZ77">
        <f t="shared" si="17"/>
        <v>18.258109306685299</v>
      </c>
      <c r="BA77">
        <f t="shared" si="18"/>
        <v>0.92069684280710407</v>
      </c>
      <c r="BD77" t="e">
        <f t="shared" si="19"/>
        <v>#DIV/0!</v>
      </c>
    </row>
    <row r="78" spans="1:56" x14ac:dyDescent="0.25">
      <c r="A78" t="s">
        <v>9</v>
      </c>
      <c r="B78" t="s">
        <v>19</v>
      </c>
      <c r="C78">
        <v>10</v>
      </c>
      <c r="G78">
        <f t="shared" si="20"/>
        <v>287.35416666666424</v>
      </c>
      <c r="H78" s="2">
        <v>45002.354166666664</v>
      </c>
      <c r="I78" s="2"/>
      <c r="J78" s="2"/>
      <c r="K78" s="2"/>
      <c r="AF78">
        <v>136.42000000000002</v>
      </c>
      <c r="AG78">
        <v>139.75</v>
      </c>
      <c r="AI78">
        <v>0</v>
      </c>
      <c r="AJ78">
        <f t="shared" si="12"/>
        <v>285.47000000000003</v>
      </c>
      <c r="AK78">
        <f t="shared" si="13"/>
        <v>285.44</v>
      </c>
      <c r="AL78">
        <v>285.47000000000003</v>
      </c>
      <c r="AM78">
        <v>285.44</v>
      </c>
      <c r="AN78">
        <f t="shared" si="26"/>
        <v>9.9999999999909051E-3</v>
      </c>
      <c r="AO78">
        <f t="shared" si="14"/>
        <v>3.0000000000029559E-2</v>
      </c>
      <c r="AP78">
        <v>30</v>
      </c>
      <c r="AQ78">
        <v>1008</v>
      </c>
      <c r="AR78">
        <v>22</v>
      </c>
      <c r="AS78">
        <v>34</v>
      </c>
      <c r="AT78">
        <f t="shared" si="27"/>
        <v>5.3137007027131622</v>
      </c>
      <c r="AU78">
        <f t="shared" si="22"/>
        <v>113.57999999999998</v>
      </c>
      <c r="AV78">
        <v>1008</v>
      </c>
      <c r="AW78">
        <f t="shared" si="23"/>
        <v>1274.2440570522981</v>
      </c>
      <c r="AX78">
        <f t="shared" si="16"/>
        <v>3.5163595360227394E-5</v>
      </c>
      <c r="AY78">
        <f t="shared" si="24"/>
        <v>9.6483640464075792E-4</v>
      </c>
      <c r="AZ78">
        <f t="shared" si="17"/>
        <v>21.515851823488902</v>
      </c>
      <c r="BA78">
        <f t="shared" si="18"/>
        <v>0.80422410355777962</v>
      </c>
      <c r="BD78" t="e">
        <f t="shared" si="19"/>
        <v>#DIV/0!</v>
      </c>
    </row>
    <row r="79" spans="1:56" x14ac:dyDescent="0.25">
      <c r="A79" t="s">
        <v>10</v>
      </c>
      <c r="B79" t="s">
        <v>19</v>
      </c>
      <c r="C79">
        <v>10</v>
      </c>
      <c r="G79">
        <f t="shared" si="20"/>
        <v>287.35416666666424</v>
      </c>
      <c r="H79" s="2">
        <v>45002.354166666664</v>
      </c>
      <c r="I79" s="2"/>
      <c r="J79" s="2"/>
      <c r="K79" s="2"/>
      <c r="AF79">
        <v>117.85000000000002</v>
      </c>
      <c r="AG79">
        <v>140.44999999999999</v>
      </c>
      <c r="AI79">
        <v>-1.999999999998181E-2</v>
      </c>
      <c r="AJ79">
        <f t="shared" si="12"/>
        <v>267.64</v>
      </c>
      <c r="AK79">
        <f t="shared" si="13"/>
        <v>267.60999999999996</v>
      </c>
      <c r="AL79">
        <v>267.62</v>
      </c>
      <c r="AM79">
        <v>267.58999999999997</v>
      </c>
      <c r="AN79">
        <f t="shared" si="26"/>
        <v>1.999999999998181E-2</v>
      </c>
      <c r="AO79">
        <f t="shared" si="14"/>
        <v>3.0000000000029559E-2</v>
      </c>
      <c r="AP79">
        <v>26.5</v>
      </c>
      <c r="AQ79">
        <v>1008</v>
      </c>
      <c r="AR79">
        <v>22</v>
      </c>
      <c r="AS79">
        <v>34</v>
      </c>
      <c r="AT79">
        <f t="shared" si="27"/>
        <v>5.3137007027131622</v>
      </c>
      <c r="AU79">
        <f t="shared" si="22"/>
        <v>132.14999999999998</v>
      </c>
      <c r="AV79">
        <v>1008</v>
      </c>
      <c r="AW79">
        <f t="shared" si="23"/>
        <v>1210.1339387060159</v>
      </c>
      <c r="AX79">
        <f t="shared" si="16"/>
        <v>3.7112038090108934E-5</v>
      </c>
      <c r="AY79">
        <f t="shared" si="24"/>
        <v>1.0949634336091198E-3</v>
      </c>
      <c r="AZ79">
        <f t="shared" si="17"/>
        <v>24.41768456948337</v>
      </c>
      <c r="BA79">
        <f t="shared" si="18"/>
        <v>0.70047606115540328</v>
      </c>
      <c r="BD79" t="e">
        <f t="shared" si="19"/>
        <v>#DIV/0!</v>
      </c>
    </row>
    <row r="80" spans="1:56" x14ac:dyDescent="0.25">
      <c r="A80" t="s">
        <v>11</v>
      </c>
      <c r="B80" t="s">
        <v>19</v>
      </c>
      <c r="C80">
        <v>10</v>
      </c>
      <c r="G80">
        <f t="shared" si="20"/>
        <v>287.35416666666424</v>
      </c>
      <c r="H80" s="2">
        <v>45002.354166666664</v>
      </c>
      <c r="I80" s="2"/>
      <c r="J80" s="2"/>
      <c r="K80" s="2"/>
      <c r="AF80">
        <v>107.53</v>
      </c>
      <c r="AG80">
        <v>140</v>
      </c>
      <c r="AI80">
        <v>-1.999999999998181E-2</v>
      </c>
      <c r="AJ80">
        <f t="shared" si="12"/>
        <v>256.89</v>
      </c>
      <c r="AK80">
        <f t="shared" si="13"/>
        <v>256.84999999999997</v>
      </c>
      <c r="AL80">
        <v>256.87</v>
      </c>
      <c r="AM80">
        <v>256.83</v>
      </c>
      <c r="AN80">
        <f t="shared" si="26"/>
        <v>1.999999999998181E-2</v>
      </c>
      <c r="AO80">
        <f t="shared" si="14"/>
        <v>4.0000000000020464E-2</v>
      </c>
      <c r="AP80">
        <v>30</v>
      </c>
      <c r="AQ80">
        <v>1008</v>
      </c>
      <c r="AR80">
        <v>22</v>
      </c>
      <c r="AS80">
        <v>34</v>
      </c>
      <c r="AT80">
        <f t="shared" si="27"/>
        <v>5.3137007027131622</v>
      </c>
      <c r="AU80">
        <f t="shared" si="22"/>
        <v>142.47</v>
      </c>
      <c r="AV80">
        <v>1008</v>
      </c>
      <c r="AW80">
        <f t="shared" si="23"/>
        <v>1220.2552116234997</v>
      </c>
      <c r="AX80">
        <f t="shared" si="16"/>
        <v>3.6790201737497196E-5</v>
      </c>
      <c r="AY80">
        <f t="shared" si="24"/>
        <v>1.2965431315965182E-3</v>
      </c>
      <c r="AZ80">
        <f t="shared" si="17"/>
        <v>28.912911834602358</v>
      </c>
      <c r="BA80">
        <f t="shared" si="18"/>
        <v>0.53976003451546806</v>
      </c>
      <c r="BD80" t="e">
        <f t="shared" si="19"/>
        <v>#DIV/0!</v>
      </c>
    </row>
    <row r="81" spans="1:56" x14ac:dyDescent="0.25">
      <c r="A81" t="s">
        <v>12</v>
      </c>
      <c r="B81" t="s">
        <v>19</v>
      </c>
      <c r="C81">
        <v>20</v>
      </c>
      <c r="G81">
        <f t="shared" si="20"/>
        <v>287.35416666666424</v>
      </c>
      <c r="H81" s="2">
        <v>45002.354166666664</v>
      </c>
      <c r="I81" s="2"/>
      <c r="J81" s="2"/>
      <c r="K81" s="2"/>
      <c r="AF81">
        <v>109.43</v>
      </c>
      <c r="AG81">
        <v>140.19999999999999</v>
      </c>
      <c r="AI81">
        <v>-9.9999999999909051E-3</v>
      </c>
      <c r="AJ81">
        <f t="shared" si="12"/>
        <v>258.90999999999997</v>
      </c>
      <c r="AK81">
        <f t="shared" si="13"/>
        <v>258.84999999999997</v>
      </c>
      <c r="AL81">
        <v>258.89999999999998</v>
      </c>
      <c r="AM81">
        <v>258.83999999999997</v>
      </c>
      <c r="AN81">
        <f t="shared" si="26"/>
        <v>-9.9999999999909051E-3</v>
      </c>
      <c r="AO81">
        <f t="shared" si="14"/>
        <v>6.0000000000002274E-2</v>
      </c>
      <c r="AP81">
        <v>42.5</v>
      </c>
      <c r="AQ81">
        <v>1008</v>
      </c>
      <c r="AR81">
        <v>22</v>
      </c>
      <c r="AS81">
        <v>34</v>
      </c>
      <c r="AT81">
        <f t="shared" si="27"/>
        <v>5.3137007027131622</v>
      </c>
      <c r="AU81">
        <f t="shared" si="22"/>
        <v>140.57</v>
      </c>
      <c r="AV81">
        <v>1008</v>
      </c>
      <c r="AW81">
        <f t="shared" si="23"/>
        <v>1312.7591947072633</v>
      </c>
      <c r="AX81">
        <f t="shared" si="16"/>
        <v>3.4088407316551428E-5</v>
      </c>
      <c r="AY81">
        <f t="shared" si="24"/>
        <v>1.377676298565855E-3</v>
      </c>
      <c r="AZ81">
        <f t="shared" si="17"/>
        <v>30.722181458018564</v>
      </c>
      <c r="BA81">
        <f t="shared" si="18"/>
        <v>0.47507395573762723</v>
      </c>
      <c r="BD81" t="e">
        <f t="shared" si="19"/>
        <v>#DIV/0!</v>
      </c>
    </row>
    <row r="82" spans="1:56" x14ac:dyDescent="0.25">
      <c r="A82" t="s">
        <v>13</v>
      </c>
      <c r="B82" t="s">
        <v>19</v>
      </c>
      <c r="C82">
        <v>20</v>
      </c>
      <c r="G82">
        <f t="shared" si="20"/>
        <v>287.35416666666424</v>
      </c>
      <c r="H82" s="2">
        <v>45002.354166666664</v>
      </c>
      <c r="I82" s="2"/>
      <c r="J82" s="2"/>
      <c r="K82" s="2"/>
      <c r="AF82">
        <v>129.52999999999997</v>
      </c>
      <c r="AG82">
        <v>140.24</v>
      </c>
      <c r="AI82">
        <v>-1.999999999998181E-2</v>
      </c>
      <c r="AJ82">
        <f t="shared" si="12"/>
        <v>279.05999999999995</v>
      </c>
      <c r="AK82">
        <f t="shared" si="13"/>
        <v>279.02999999999997</v>
      </c>
      <c r="AL82">
        <v>279.03999999999996</v>
      </c>
      <c r="AM82">
        <v>279.01</v>
      </c>
      <c r="AN82">
        <f t="shared" si="26"/>
        <v>9.9999999999909051E-3</v>
      </c>
      <c r="AO82">
        <f t="shared" si="14"/>
        <v>2.9999999999972715E-2</v>
      </c>
      <c r="AP82">
        <v>37.5</v>
      </c>
      <c r="AQ82">
        <v>1008</v>
      </c>
      <c r="AR82">
        <v>22</v>
      </c>
      <c r="AS82">
        <v>34</v>
      </c>
      <c r="AT82">
        <f t="shared" si="27"/>
        <v>5.3137007027131622</v>
      </c>
      <c r="AU82">
        <f t="shared" si="22"/>
        <v>120.47000000000003</v>
      </c>
      <c r="AV82">
        <v>1008</v>
      </c>
      <c r="AW82">
        <f t="shared" si="23"/>
        <v>1321.7710633352701</v>
      </c>
      <c r="AX82">
        <f t="shared" si="16"/>
        <v>3.3846256913172906E-5</v>
      </c>
      <c r="AY82">
        <f t="shared" si="24"/>
        <v>7.6615374308609948E-4</v>
      </c>
      <c r="AZ82">
        <f t="shared" si="17"/>
        <v>17.08522847082002</v>
      </c>
      <c r="BA82">
        <f t="shared" si="18"/>
        <v>0.96263037287021735</v>
      </c>
      <c r="BD82" t="e">
        <f t="shared" si="19"/>
        <v>#DIV/0!</v>
      </c>
    </row>
    <row r="83" spans="1:56" x14ac:dyDescent="0.25">
      <c r="A83" t="s">
        <v>14</v>
      </c>
      <c r="B83" t="s">
        <v>19</v>
      </c>
      <c r="C83">
        <v>20</v>
      </c>
      <c r="G83">
        <f t="shared" si="20"/>
        <v>287.35416666666424</v>
      </c>
      <c r="H83" s="2">
        <v>45002.354166666664</v>
      </c>
      <c r="I83" s="2"/>
      <c r="J83" s="2"/>
      <c r="K83" s="2"/>
      <c r="AF83">
        <v>94.359999999999985</v>
      </c>
      <c r="AG83">
        <v>138.74</v>
      </c>
      <c r="AI83">
        <v>-1.999999999998181E-2</v>
      </c>
      <c r="AJ83">
        <f t="shared" si="12"/>
        <v>242.36999999999998</v>
      </c>
      <c r="AK83">
        <f t="shared" si="13"/>
        <v>242.33999999999997</v>
      </c>
      <c r="AL83">
        <v>242.35</v>
      </c>
      <c r="AM83">
        <v>242.32</v>
      </c>
      <c r="AN83">
        <f t="shared" si="26"/>
        <v>2.4999999999977263E-2</v>
      </c>
      <c r="AO83">
        <f t="shared" si="14"/>
        <v>3.0000000000001137E-2</v>
      </c>
      <c r="AP83">
        <v>33</v>
      </c>
      <c r="AQ83">
        <v>1008</v>
      </c>
      <c r="AR83">
        <v>22</v>
      </c>
      <c r="AS83">
        <v>34</v>
      </c>
      <c r="AT83">
        <f t="shared" si="27"/>
        <v>5.3137007027131622</v>
      </c>
      <c r="AU83">
        <f t="shared" si="22"/>
        <v>155.64000000000001</v>
      </c>
      <c r="AV83">
        <v>1008</v>
      </c>
      <c r="AW83">
        <f t="shared" si="23"/>
        <v>1221.7239784117194</v>
      </c>
      <c r="AX83">
        <f t="shared" si="16"/>
        <v>3.674396108295703E-5</v>
      </c>
      <c r="AY83">
        <f t="shared" si="24"/>
        <v>8.7234694800798654E-4</v>
      </c>
      <c r="AZ83">
        <f t="shared" si="17"/>
        <v>19.453336940578101</v>
      </c>
      <c r="BA83">
        <f t="shared" si="18"/>
        <v>0.87796435679020013</v>
      </c>
      <c r="BD83" t="e">
        <f t="shared" si="19"/>
        <v>#DIV/0!</v>
      </c>
    </row>
    <row r="84" spans="1:56" x14ac:dyDescent="0.25">
      <c r="A84" t="s">
        <v>15</v>
      </c>
      <c r="B84" t="s">
        <v>19</v>
      </c>
      <c r="C84">
        <v>20</v>
      </c>
      <c r="G84">
        <f t="shared" si="20"/>
        <v>287.35416666666424</v>
      </c>
      <c r="H84" s="2">
        <v>45002.354166666664</v>
      </c>
      <c r="I84" s="2"/>
      <c r="J84" s="2"/>
      <c r="K84" s="2"/>
      <c r="AF84">
        <v>85.4</v>
      </c>
      <c r="AG84">
        <v>140.1</v>
      </c>
      <c r="AI84">
        <v>0</v>
      </c>
      <c r="AJ84">
        <f t="shared" si="12"/>
        <v>234.8</v>
      </c>
      <c r="AK84">
        <f t="shared" si="13"/>
        <v>234.75</v>
      </c>
      <c r="AL84">
        <v>234.8</v>
      </c>
      <c r="AM84">
        <v>234.75</v>
      </c>
      <c r="AN84">
        <f t="shared" si="26"/>
        <v>4.9999999999954525E-3</v>
      </c>
      <c r="AO84">
        <f t="shared" si="14"/>
        <v>5.0000000000011369E-2</v>
      </c>
      <c r="AP84">
        <v>44.5</v>
      </c>
      <c r="AQ84">
        <v>1008</v>
      </c>
      <c r="AR84">
        <v>22</v>
      </c>
      <c r="AS84">
        <v>34</v>
      </c>
      <c r="AT84">
        <f t="shared" si="27"/>
        <v>5.3137007027131622</v>
      </c>
      <c r="AU84">
        <f t="shared" si="22"/>
        <v>164.6</v>
      </c>
      <c r="AV84">
        <v>1008</v>
      </c>
      <c r="AW84">
        <f t="shared" si="23"/>
        <v>1280.5151883353585</v>
      </c>
      <c r="AX84">
        <f t="shared" si="16"/>
        <v>3.4983931482991645E-5</v>
      </c>
      <c r="AY84">
        <f t="shared" si="24"/>
        <v>1.0886115741352415E-3</v>
      </c>
      <c r="AZ84">
        <f t="shared" si="17"/>
        <v>24.276038103215885</v>
      </c>
      <c r="BA84">
        <f t="shared" si="18"/>
        <v>0.70554028948101943</v>
      </c>
      <c r="BD84" t="e">
        <f t="shared" si="19"/>
        <v>#DIV/0!</v>
      </c>
    </row>
    <row r="85" spans="1:56" x14ac:dyDescent="0.25">
      <c r="A85" t="s">
        <v>0</v>
      </c>
      <c r="B85" t="s">
        <v>18</v>
      </c>
      <c r="C85">
        <v>10</v>
      </c>
      <c r="G85">
        <f t="shared" si="20"/>
        <v>290.39583333333576</v>
      </c>
      <c r="H85" s="2">
        <v>45005.395833333336</v>
      </c>
      <c r="AF85">
        <v>172.77</v>
      </c>
      <c r="AG85">
        <v>139.16999999999999</v>
      </c>
      <c r="AL85">
        <v>321.31</v>
      </c>
      <c r="AM85">
        <v>321.29000000000002</v>
      </c>
      <c r="AN85">
        <f t="shared" si="26"/>
        <v>0</v>
      </c>
      <c r="AO85">
        <f t="shared" si="14"/>
        <v>1.999999999998181E-2</v>
      </c>
      <c r="AP85">
        <v>11</v>
      </c>
      <c r="AQ85">
        <v>1012</v>
      </c>
      <c r="AR85">
        <v>22</v>
      </c>
      <c r="AS85">
        <v>34</v>
      </c>
      <c r="AT85">
        <f t="shared" ref="AT85:AT100" si="28">0.61094*EXP(17.625*AS85/(243.04+AS85))</f>
        <v>5.3137007027131622</v>
      </c>
      <c r="AU85">
        <f t="shared" ref="AU85:AU116" si="29">250-AF85</f>
        <v>77.22999999999999</v>
      </c>
      <c r="AV85">
        <v>1012</v>
      </c>
      <c r="AW85">
        <f t="shared" ref="AW85:AW116" si="30">AP85/AU85*AV85+AV85</f>
        <v>1156.1408778971902</v>
      </c>
      <c r="AX85">
        <f t="shared" si="16"/>
        <v>3.8928706718622531E-5</v>
      </c>
      <c r="AY85">
        <f t="shared" ref="AY85:AY116" si="31">(AL85-AM85)/AP85-AX85</f>
        <v>1.779253111461542E-3</v>
      </c>
      <c r="AZ85">
        <f t="shared" si="17"/>
        <v>39.677344385592384</v>
      </c>
      <c r="BA85">
        <f t="shared" si="18"/>
        <v>0.15490366873105518</v>
      </c>
      <c r="BB85">
        <v>4.1550500000000001</v>
      </c>
      <c r="BC85">
        <v>4.84335</v>
      </c>
      <c r="BD85">
        <f t="shared" si="19"/>
        <v>0.46175431187766713</v>
      </c>
    </row>
    <row r="86" spans="1:56" x14ac:dyDescent="0.25">
      <c r="A86" t="s">
        <v>1</v>
      </c>
      <c r="B86" t="s">
        <v>18</v>
      </c>
      <c r="C86">
        <v>10</v>
      </c>
      <c r="G86">
        <f t="shared" si="20"/>
        <v>290.39583333333576</v>
      </c>
      <c r="H86" s="2">
        <v>45005.395833333336</v>
      </c>
      <c r="AF86">
        <v>173.93</v>
      </c>
      <c r="AG86">
        <v>141.25</v>
      </c>
      <c r="AL86">
        <v>324.47000000000003</v>
      </c>
      <c r="AM86">
        <v>324.45</v>
      </c>
      <c r="AN86">
        <f t="shared" si="26"/>
        <v>0</v>
      </c>
      <c r="AO86">
        <f t="shared" ref="AO86:AO149" si="32">AL86-AM86</f>
        <v>2.0000000000038654E-2</v>
      </c>
      <c r="AP86">
        <v>13</v>
      </c>
      <c r="AQ86">
        <v>1012</v>
      </c>
      <c r="AR86">
        <v>22</v>
      </c>
      <c r="AS86">
        <v>34</v>
      </c>
      <c r="AT86">
        <f t="shared" si="28"/>
        <v>5.3137007027131622</v>
      </c>
      <c r="AU86">
        <f t="shared" si="29"/>
        <v>76.069999999999993</v>
      </c>
      <c r="AV86">
        <v>1012</v>
      </c>
      <c r="AW86">
        <f t="shared" si="30"/>
        <v>1184.9459708163533</v>
      </c>
      <c r="AX86">
        <f t="shared" ref="AX86:AX149" si="33">18.02*(AT86/(AW86/10-AT86)*1/22300)</f>
        <v>3.7937952050539166E-5</v>
      </c>
      <c r="AY86">
        <f t="shared" si="31"/>
        <v>1.5005235864139726E-3</v>
      </c>
      <c r="AZ86">
        <f t="shared" ref="AZ86:AZ149" si="34">AY86*22300</f>
        <v>33.461675977031589</v>
      </c>
      <c r="BA86">
        <f t="shared" ref="BA86:BA149" si="35">(44.01-AZ86)/(44.01-16.04)</f>
        <v>0.37712992574073684</v>
      </c>
      <c r="BB86">
        <v>4.7176299999999998</v>
      </c>
      <c r="BC86">
        <v>6.15646</v>
      </c>
      <c r="BD86">
        <f t="shared" ref="BD86:BD149" si="36">BB86/(BB86+BC86)</f>
        <v>0.43384136051844341</v>
      </c>
    </row>
    <row r="87" spans="1:56" x14ac:dyDescent="0.25">
      <c r="A87" t="s">
        <v>2</v>
      </c>
      <c r="B87" t="s">
        <v>18</v>
      </c>
      <c r="C87">
        <v>10</v>
      </c>
      <c r="G87">
        <f t="shared" si="20"/>
        <v>290.39583333333576</v>
      </c>
      <c r="H87" s="2">
        <v>45005.395833333336</v>
      </c>
      <c r="AF87">
        <v>162.82000000000002</v>
      </c>
      <c r="AG87">
        <v>140.66</v>
      </c>
      <c r="AL87">
        <v>312.81</v>
      </c>
      <c r="AM87">
        <v>312.77999999999997</v>
      </c>
      <c r="AN87">
        <f t="shared" si="26"/>
        <v>0</v>
      </c>
      <c r="AO87">
        <f t="shared" si="32"/>
        <v>3.0000000000029559E-2</v>
      </c>
      <c r="AP87">
        <v>12.5</v>
      </c>
      <c r="AQ87">
        <v>1012</v>
      </c>
      <c r="AR87">
        <v>22</v>
      </c>
      <c r="AS87">
        <v>34</v>
      </c>
      <c r="AT87">
        <f t="shared" si="28"/>
        <v>5.3137007027131622</v>
      </c>
      <c r="AU87">
        <f t="shared" si="29"/>
        <v>87.179999999999978</v>
      </c>
      <c r="AV87">
        <v>1012</v>
      </c>
      <c r="AW87">
        <f t="shared" si="30"/>
        <v>1157.1020876347786</v>
      </c>
      <c r="AX87">
        <f t="shared" si="33"/>
        <v>3.8894811940040345E-5</v>
      </c>
      <c r="AY87">
        <f t="shared" si="31"/>
        <v>2.3611051880623245E-3</v>
      </c>
      <c r="AZ87">
        <f t="shared" si="34"/>
        <v>52.652645693789836</v>
      </c>
      <c r="BA87">
        <f t="shared" si="35"/>
        <v>-0.30899698583445973</v>
      </c>
      <c r="BB87">
        <v>6.8081199999999997</v>
      </c>
      <c r="BC87">
        <v>5.88375</v>
      </c>
      <c r="BD87">
        <f t="shared" si="36"/>
        <v>0.53641583155200923</v>
      </c>
    </row>
    <row r="88" spans="1:56" x14ac:dyDescent="0.25">
      <c r="A88" t="s">
        <v>3</v>
      </c>
      <c r="B88" t="s">
        <v>18</v>
      </c>
      <c r="C88">
        <v>10</v>
      </c>
      <c r="G88">
        <f t="shared" si="20"/>
        <v>290.39583333333576</v>
      </c>
      <c r="H88" s="2">
        <v>45005.395833333336</v>
      </c>
      <c r="AF88">
        <v>187.81</v>
      </c>
      <c r="AG88">
        <v>140</v>
      </c>
      <c r="AL88">
        <v>337.15</v>
      </c>
      <c r="AM88">
        <v>337.14</v>
      </c>
      <c r="AN88">
        <f t="shared" si="26"/>
        <v>0</v>
      </c>
      <c r="AO88">
        <f t="shared" si="32"/>
        <v>9.9999999999909051E-3</v>
      </c>
      <c r="AP88">
        <v>13</v>
      </c>
      <c r="AQ88">
        <v>1012</v>
      </c>
      <c r="AR88">
        <v>22</v>
      </c>
      <c r="AS88">
        <v>34</v>
      </c>
      <c r="AT88">
        <f t="shared" si="28"/>
        <v>5.3137007027131622</v>
      </c>
      <c r="AU88">
        <f t="shared" si="29"/>
        <v>62.19</v>
      </c>
      <c r="AV88">
        <v>1012</v>
      </c>
      <c r="AW88">
        <f t="shared" si="30"/>
        <v>1223.5452645119794</v>
      </c>
      <c r="AX88">
        <f t="shared" si="33"/>
        <v>3.6686783371538028E-5</v>
      </c>
      <c r="AY88">
        <f t="shared" si="31"/>
        <v>7.3254398585853153E-4</v>
      </c>
      <c r="AZ88">
        <f t="shared" si="34"/>
        <v>16.335730884645255</v>
      </c>
      <c r="BA88">
        <f t="shared" si="35"/>
        <v>0.98942685432087041</v>
      </c>
      <c r="BB88">
        <v>5.3450699999999998</v>
      </c>
      <c r="BC88">
        <v>5.7894800000000002</v>
      </c>
      <c r="BD88">
        <f t="shared" si="36"/>
        <v>0.48004364792470278</v>
      </c>
    </row>
    <row r="89" spans="1:56" x14ac:dyDescent="0.25">
      <c r="A89" t="s">
        <v>4</v>
      </c>
      <c r="B89" t="s">
        <v>18</v>
      </c>
      <c r="C89">
        <v>20</v>
      </c>
      <c r="G89">
        <f t="shared" si="20"/>
        <v>290.39583333333576</v>
      </c>
      <c r="H89" s="2">
        <v>45005.395833333336</v>
      </c>
      <c r="AF89">
        <v>181.58</v>
      </c>
      <c r="AG89">
        <v>139.4</v>
      </c>
      <c r="AL89">
        <v>330.19499999999999</v>
      </c>
      <c r="AM89">
        <v>330.1</v>
      </c>
      <c r="AN89">
        <f t="shared" si="26"/>
        <v>0</v>
      </c>
      <c r="AO89">
        <f t="shared" si="32"/>
        <v>9.4999999999970441E-2</v>
      </c>
      <c r="AP89">
        <v>86.5</v>
      </c>
      <c r="AQ89">
        <v>1012</v>
      </c>
      <c r="AR89">
        <v>22</v>
      </c>
      <c r="AS89">
        <v>34</v>
      </c>
      <c r="AT89">
        <f t="shared" si="28"/>
        <v>5.3137007027131622</v>
      </c>
      <c r="AU89">
        <f t="shared" si="29"/>
        <v>68.419999999999987</v>
      </c>
      <c r="AV89">
        <v>1012</v>
      </c>
      <c r="AW89">
        <f t="shared" si="30"/>
        <v>2291.4212218649518</v>
      </c>
      <c r="AX89">
        <f t="shared" si="33"/>
        <v>1.9183673777423803E-5</v>
      </c>
      <c r="AY89">
        <f t="shared" si="31"/>
        <v>1.0790822221759919E-3</v>
      </c>
      <c r="AZ89">
        <f t="shared" si="34"/>
        <v>24.063533554524618</v>
      </c>
      <c r="BA89">
        <f t="shared" si="35"/>
        <v>0.7131378779218942</v>
      </c>
      <c r="BB89">
        <v>27.496110000000002</v>
      </c>
      <c r="BC89">
        <v>6.7118000000000002</v>
      </c>
      <c r="BD89">
        <f t="shared" si="36"/>
        <v>0.80379391783947052</v>
      </c>
    </row>
    <row r="90" spans="1:56" x14ac:dyDescent="0.25">
      <c r="A90" t="s">
        <v>5</v>
      </c>
      <c r="B90" t="s">
        <v>18</v>
      </c>
      <c r="C90">
        <v>20</v>
      </c>
      <c r="G90">
        <f t="shared" si="20"/>
        <v>290.39583333333576</v>
      </c>
      <c r="H90" s="2">
        <v>45005.395833333336</v>
      </c>
      <c r="AF90">
        <v>201.8</v>
      </c>
      <c r="AG90">
        <v>139.81</v>
      </c>
      <c r="AL90">
        <v>350.82</v>
      </c>
      <c r="AM90">
        <v>350.7</v>
      </c>
      <c r="AN90">
        <f t="shared" si="26"/>
        <v>0</v>
      </c>
      <c r="AO90">
        <f t="shared" si="32"/>
        <v>0.12000000000000455</v>
      </c>
      <c r="AP90">
        <v>98.5</v>
      </c>
      <c r="AQ90">
        <v>1012</v>
      </c>
      <c r="AR90">
        <v>22</v>
      </c>
      <c r="AS90">
        <v>34</v>
      </c>
      <c r="AT90">
        <f t="shared" si="28"/>
        <v>5.3137007027131622</v>
      </c>
      <c r="AU90">
        <f t="shared" si="29"/>
        <v>48.199999999999989</v>
      </c>
      <c r="AV90">
        <v>1012</v>
      </c>
      <c r="AW90">
        <f t="shared" si="30"/>
        <v>3080.0912863070544</v>
      </c>
      <c r="AX90">
        <f t="shared" si="33"/>
        <v>1.4185385782840593E-5</v>
      </c>
      <c r="AY90">
        <f t="shared" si="31"/>
        <v>1.2040887258923324E-3</v>
      </c>
      <c r="AZ90">
        <f t="shared" si="34"/>
        <v>26.851178587399012</v>
      </c>
      <c r="BA90">
        <f t="shared" si="35"/>
        <v>0.61347234224529801</v>
      </c>
      <c r="BB90">
        <v>32.547780000000003</v>
      </c>
      <c r="BC90">
        <v>6.4264200000000002</v>
      </c>
      <c r="BD90">
        <f t="shared" si="36"/>
        <v>0.83511091953138228</v>
      </c>
    </row>
    <row r="91" spans="1:56" x14ac:dyDescent="0.25">
      <c r="A91" t="s">
        <v>6</v>
      </c>
      <c r="B91" t="s">
        <v>18</v>
      </c>
      <c r="C91">
        <v>20</v>
      </c>
      <c r="G91">
        <f t="shared" si="20"/>
        <v>290.39583333333576</v>
      </c>
      <c r="H91" s="2">
        <v>45005.395833333336</v>
      </c>
      <c r="AF91">
        <v>205.13</v>
      </c>
      <c r="AG91">
        <v>139.01</v>
      </c>
      <c r="AL91">
        <v>353.33</v>
      </c>
      <c r="AM91">
        <v>353.26</v>
      </c>
      <c r="AN91">
        <f t="shared" si="26"/>
        <v>0</v>
      </c>
      <c r="AO91">
        <f t="shared" si="32"/>
        <v>6.9999999999993179E-2</v>
      </c>
      <c r="AP91">
        <v>70.5</v>
      </c>
      <c r="AQ91">
        <v>1012</v>
      </c>
      <c r="AR91">
        <v>22</v>
      </c>
      <c r="AS91">
        <v>34</v>
      </c>
      <c r="AT91">
        <f t="shared" si="28"/>
        <v>5.3137007027131622</v>
      </c>
      <c r="AU91">
        <f t="shared" si="29"/>
        <v>44.870000000000005</v>
      </c>
      <c r="AV91">
        <v>1012</v>
      </c>
      <c r="AW91">
        <f t="shared" si="30"/>
        <v>2602.0601738355244</v>
      </c>
      <c r="AX91">
        <f t="shared" si="33"/>
        <v>1.6845746767789366E-5</v>
      </c>
      <c r="AY91">
        <f t="shared" si="31"/>
        <v>9.760620546505537E-4</v>
      </c>
      <c r="AZ91">
        <f t="shared" si="34"/>
        <v>21.766183818707347</v>
      </c>
      <c r="BA91">
        <f t="shared" si="35"/>
        <v>0.79527408585243664</v>
      </c>
      <c r="BB91">
        <v>34.382300000000001</v>
      </c>
      <c r="BC91">
        <v>6.6650600000000004</v>
      </c>
      <c r="BD91">
        <f t="shared" si="36"/>
        <v>0.83762512375948184</v>
      </c>
    </row>
    <row r="92" spans="1:56" x14ac:dyDescent="0.25">
      <c r="A92" t="s">
        <v>7</v>
      </c>
      <c r="B92" t="s">
        <v>18</v>
      </c>
      <c r="C92">
        <v>20</v>
      </c>
      <c r="G92">
        <f t="shared" si="20"/>
        <v>290.39583333333576</v>
      </c>
      <c r="H92" s="2">
        <v>45005.395833333336</v>
      </c>
      <c r="AF92">
        <v>177.85000000000002</v>
      </c>
      <c r="AG92">
        <v>139.94999999999999</v>
      </c>
      <c r="AL92">
        <v>327.02</v>
      </c>
      <c r="AM92">
        <v>326.95999999999998</v>
      </c>
      <c r="AN92">
        <f t="shared" si="26"/>
        <v>0</v>
      </c>
      <c r="AO92">
        <f t="shared" si="32"/>
        <v>6.0000000000002274E-2</v>
      </c>
      <c r="AP92">
        <v>49.5</v>
      </c>
      <c r="AQ92">
        <v>1012</v>
      </c>
      <c r="AR92">
        <v>22</v>
      </c>
      <c r="AS92">
        <v>34</v>
      </c>
      <c r="AT92">
        <f t="shared" si="28"/>
        <v>5.3137007027131622</v>
      </c>
      <c r="AU92">
        <f t="shared" si="29"/>
        <v>72.149999999999977</v>
      </c>
      <c r="AV92">
        <v>1012</v>
      </c>
      <c r="AW92">
        <f t="shared" si="30"/>
        <v>1706.3035343035344</v>
      </c>
      <c r="AX92">
        <f t="shared" si="33"/>
        <v>2.5973496009108803E-5</v>
      </c>
      <c r="AY92">
        <f t="shared" si="31"/>
        <v>1.1861477161121492E-3</v>
      </c>
      <c r="AZ92">
        <f t="shared" si="34"/>
        <v>26.451094069300929</v>
      </c>
      <c r="BA92">
        <f t="shared" si="35"/>
        <v>0.62777640081155062</v>
      </c>
      <c r="BB92">
        <v>27.877459999999999</v>
      </c>
      <c r="BC92">
        <v>7.8962899999999996</v>
      </c>
      <c r="BD92">
        <f t="shared" si="36"/>
        <v>0.77927139313043781</v>
      </c>
    </row>
    <row r="93" spans="1:56" x14ac:dyDescent="0.25">
      <c r="A93" t="s">
        <v>8</v>
      </c>
      <c r="B93" t="s">
        <v>19</v>
      </c>
      <c r="C93">
        <v>10</v>
      </c>
      <c r="G93">
        <f t="shared" si="20"/>
        <v>290.39583333333576</v>
      </c>
      <c r="H93" s="2">
        <v>45005.395833333336</v>
      </c>
      <c r="AF93">
        <v>142.11999999999998</v>
      </c>
      <c r="AG93">
        <v>139.71</v>
      </c>
      <c r="AL93">
        <v>291.05</v>
      </c>
      <c r="AM93">
        <v>291</v>
      </c>
      <c r="AN93">
        <f t="shared" si="26"/>
        <v>0</v>
      </c>
      <c r="AO93">
        <f t="shared" si="32"/>
        <v>5.0000000000011369E-2</v>
      </c>
      <c r="AP93">
        <v>21.5</v>
      </c>
      <c r="AQ93">
        <v>1012</v>
      </c>
      <c r="AR93">
        <v>22</v>
      </c>
      <c r="AS93">
        <v>34</v>
      </c>
      <c r="AT93">
        <f t="shared" si="28"/>
        <v>5.3137007027131622</v>
      </c>
      <c r="AU93">
        <f t="shared" si="29"/>
        <v>107.88000000000002</v>
      </c>
      <c r="AV93">
        <v>1012</v>
      </c>
      <c r="AW93">
        <f t="shared" si="30"/>
        <v>1213.6870596959584</v>
      </c>
      <c r="AX93">
        <f t="shared" si="33"/>
        <v>3.6998416483514479E-5</v>
      </c>
      <c r="AY93">
        <f t="shared" si="31"/>
        <v>2.2885829788658512E-3</v>
      </c>
      <c r="AZ93">
        <f t="shared" si="34"/>
        <v>51.035400428708478</v>
      </c>
      <c r="BA93">
        <f t="shared" si="35"/>
        <v>-0.25117627560630962</v>
      </c>
      <c r="BB93">
        <v>6.7866799999999996</v>
      </c>
      <c r="BC93">
        <v>11.99816</v>
      </c>
      <c r="BD93">
        <f t="shared" si="36"/>
        <v>0.36128495105627728</v>
      </c>
    </row>
    <row r="94" spans="1:56" x14ac:dyDescent="0.25">
      <c r="A94" t="s">
        <v>9</v>
      </c>
      <c r="B94" t="s">
        <v>19</v>
      </c>
      <c r="C94">
        <v>10</v>
      </c>
      <c r="G94">
        <f t="shared" si="20"/>
        <v>290.39583333333576</v>
      </c>
      <c r="H94" s="2">
        <v>45005.395833333336</v>
      </c>
      <c r="AF94">
        <v>136.42000000000002</v>
      </c>
      <c r="AG94">
        <v>139.75</v>
      </c>
      <c r="AL94">
        <v>285.44</v>
      </c>
      <c r="AM94">
        <v>285.39999999999998</v>
      </c>
      <c r="AN94">
        <f t="shared" si="26"/>
        <v>0</v>
      </c>
      <c r="AO94">
        <f t="shared" si="32"/>
        <v>4.0000000000020464E-2</v>
      </c>
      <c r="AP94">
        <v>25.5</v>
      </c>
      <c r="AQ94">
        <v>1012</v>
      </c>
      <c r="AR94">
        <v>22</v>
      </c>
      <c r="AS94">
        <v>34</v>
      </c>
      <c r="AT94">
        <f t="shared" si="28"/>
        <v>5.3137007027131622</v>
      </c>
      <c r="AU94">
        <f t="shared" si="29"/>
        <v>113.57999999999998</v>
      </c>
      <c r="AV94">
        <v>1012</v>
      </c>
      <c r="AW94">
        <f t="shared" si="30"/>
        <v>1239.2054939249867</v>
      </c>
      <c r="AX94">
        <f t="shared" si="33"/>
        <v>3.6202390226985094E-5</v>
      </c>
      <c r="AY94">
        <f t="shared" si="31"/>
        <v>1.5324250607542096E-3</v>
      </c>
      <c r="AZ94">
        <f t="shared" si="34"/>
        <v>34.173078854818876</v>
      </c>
      <c r="BA94">
        <f t="shared" si="35"/>
        <v>0.35169542885881738</v>
      </c>
      <c r="BB94">
        <v>6.8787900000000004</v>
      </c>
      <c r="BC94">
        <v>13.16558</v>
      </c>
      <c r="BD94">
        <f t="shared" si="36"/>
        <v>0.34317815925369566</v>
      </c>
    </row>
    <row r="95" spans="1:56" x14ac:dyDescent="0.25">
      <c r="A95" t="s">
        <v>10</v>
      </c>
      <c r="B95" t="s">
        <v>19</v>
      </c>
      <c r="C95">
        <v>10</v>
      </c>
      <c r="G95">
        <f t="shared" si="20"/>
        <v>290.39583333333576</v>
      </c>
      <c r="H95" s="2">
        <v>45005.395833333336</v>
      </c>
      <c r="AF95">
        <v>117.85000000000002</v>
      </c>
      <c r="AG95">
        <v>140.44999999999999</v>
      </c>
      <c r="AL95">
        <v>267.58999999999997</v>
      </c>
      <c r="AM95">
        <v>267.52</v>
      </c>
      <c r="AN95">
        <f t="shared" si="26"/>
        <v>0</v>
      </c>
      <c r="AO95">
        <f t="shared" si="32"/>
        <v>6.9999999999993179E-2</v>
      </c>
      <c r="AP95">
        <v>20.5</v>
      </c>
      <c r="AQ95">
        <v>1012</v>
      </c>
      <c r="AR95">
        <v>22</v>
      </c>
      <c r="AS95">
        <v>34</v>
      </c>
      <c r="AT95">
        <f t="shared" si="28"/>
        <v>5.3137007027131622</v>
      </c>
      <c r="AU95">
        <f t="shared" si="29"/>
        <v>132.14999999999998</v>
      </c>
      <c r="AV95">
        <v>1012</v>
      </c>
      <c r="AW95">
        <f t="shared" si="30"/>
        <v>1168.9882709042754</v>
      </c>
      <c r="AX95">
        <f t="shared" si="33"/>
        <v>3.8480499676463581E-5</v>
      </c>
      <c r="AY95">
        <f t="shared" si="31"/>
        <v>3.3761536466646674E-3</v>
      </c>
      <c r="AZ95">
        <f t="shared" si="34"/>
        <v>75.288226320622087</v>
      </c>
      <c r="BA95">
        <f t="shared" si="35"/>
        <v>-1.1182776660930314</v>
      </c>
      <c r="BB95">
        <v>7.4894999999999996</v>
      </c>
      <c r="BC95">
        <v>11.11843</v>
      </c>
      <c r="BD95">
        <f t="shared" si="36"/>
        <v>0.40248969122304307</v>
      </c>
    </row>
    <row r="96" spans="1:56" x14ac:dyDescent="0.25">
      <c r="A96" t="s">
        <v>11</v>
      </c>
      <c r="B96" t="s">
        <v>19</v>
      </c>
      <c r="C96">
        <v>10</v>
      </c>
      <c r="G96">
        <f t="shared" si="20"/>
        <v>290.39583333333576</v>
      </c>
      <c r="H96" s="2">
        <v>45005.395833333336</v>
      </c>
      <c r="AF96">
        <v>107.53</v>
      </c>
      <c r="AG96">
        <v>140</v>
      </c>
      <c r="AL96">
        <v>256.83</v>
      </c>
      <c r="AM96">
        <v>256.8</v>
      </c>
      <c r="AN96">
        <f t="shared" si="26"/>
        <v>0</v>
      </c>
      <c r="AO96">
        <f t="shared" si="32"/>
        <v>2.9999999999972715E-2</v>
      </c>
      <c r="AP96">
        <v>24</v>
      </c>
      <c r="AQ96">
        <v>1012</v>
      </c>
      <c r="AR96">
        <v>22</v>
      </c>
      <c r="AS96">
        <v>34</v>
      </c>
      <c r="AT96">
        <f t="shared" si="28"/>
        <v>5.3137007027131622</v>
      </c>
      <c r="AU96">
        <f t="shared" si="29"/>
        <v>142.47</v>
      </c>
      <c r="AV96">
        <v>1012</v>
      </c>
      <c r="AW96">
        <f t="shared" si="30"/>
        <v>1182.4779953674458</v>
      </c>
      <c r="AX96">
        <f t="shared" si="33"/>
        <v>3.8020858750295244E-5</v>
      </c>
      <c r="AY96">
        <f t="shared" si="31"/>
        <v>1.2119791412485679E-3</v>
      </c>
      <c r="AZ96">
        <f t="shared" si="34"/>
        <v>27.027134849843065</v>
      </c>
      <c r="BA96">
        <f t="shared" si="35"/>
        <v>0.60718144977321897</v>
      </c>
      <c r="BB96">
        <v>4.78789</v>
      </c>
      <c r="BC96">
        <v>12.30744</v>
      </c>
      <c r="BD96">
        <f t="shared" si="36"/>
        <v>0.28007005421948566</v>
      </c>
    </row>
    <row r="97" spans="1:56" x14ac:dyDescent="0.25">
      <c r="A97" t="s">
        <v>12</v>
      </c>
      <c r="B97" t="s">
        <v>19</v>
      </c>
      <c r="C97">
        <v>20</v>
      </c>
      <c r="G97">
        <f t="shared" si="20"/>
        <v>290.39583333333576</v>
      </c>
      <c r="H97" s="2">
        <v>45005.395833333336</v>
      </c>
      <c r="AF97">
        <v>109.43</v>
      </c>
      <c r="AG97">
        <v>140.19999999999999</v>
      </c>
      <c r="AL97">
        <v>258.83999999999997</v>
      </c>
      <c r="AM97">
        <v>258.755</v>
      </c>
      <c r="AN97">
        <f t="shared" si="26"/>
        <v>0</v>
      </c>
      <c r="AO97">
        <f t="shared" si="32"/>
        <v>8.4999999999979536E-2</v>
      </c>
      <c r="AP97">
        <v>53</v>
      </c>
      <c r="AQ97">
        <v>1012</v>
      </c>
      <c r="AR97">
        <v>22</v>
      </c>
      <c r="AS97">
        <v>34</v>
      </c>
      <c r="AT97">
        <f t="shared" si="28"/>
        <v>5.3137007027131622</v>
      </c>
      <c r="AU97">
        <f t="shared" si="29"/>
        <v>140.57</v>
      </c>
      <c r="AV97">
        <v>1012</v>
      </c>
      <c r="AW97">
        <f t="shared" si="30"/>
        <v>1393.5607882193924</v>
      </c>
      <c r="AX97">
        <f t="shared" si="33"/>
        <v>3.2033536558426009E-5</v>
      </c>
      <c r="AY97">
        <f t="shared" si="31"/>
        <v>1.5717400483468483E-3</v>
      </c>
      <c r="AZ97">
        <f t="shared" si="34"/>
        <v>35.049803078134715</v>
      </c>
      <c r="BA97">
        <f t="shared" si="35"/>
        <v>0.32035026535092181</v>
      </c>
      <c r="BB97">
        <v>16.26182</v>
      </c>
      <c r="BC97">
        <v>7.2178899999999997</v>
      </c>
      <c r="BD97">
        <f t="shared" si="36"/>
        <v>0.69259032586007241</v>
      </c>
    </row>
    <row r="98" spans="1:56" x14ac:dyDescent="0.25">
      <c r="A98" t="s">
        <v>13</v>
      </c>
      <c r="B98" t="s">
        <v>19</v>
      </c>
      <c r="C98">
        <v>20</v>
      </c>
      <c r="G98">
        <f t="shared" si="20"/>
        <v>290.39583333333576</v>
      </c>
      <c r="H98" s="2">
        <v>45005.395833333336</v>
      </c>
      <c r="AF98">
        <v>129.52999999999997</v>
      </c>
      <c r="AG98">
        <v>140.24</v>
      </c>
      <c r="AL98">
        <v>279.01</v>
      </c>
      <c r="AM98">
        <v>278.92500000000001</v>
      </c>
      <c r="AN98">
        <f t="shared" si="26"/>
        <v>0</v>
      </c>
      <c r="AO98">
        <f t="shared" si="32"/>
        <v>8.4999999999979536E-2</v>
      </c>
      <c r="AP98">
        <v>53</v>
      </c>
      <c r="AQ98">
        <v>1012</v>
      </c>
      <c r="AR98">
        <v>22</v>
      </c>
      <c r="AS98">
        <v>34</v>
      </c>
      <c r="AT98">
        <f t="shared" si="28"/>
        <v>5.3137007027131622</v>
      </c>
      <c r="AU98">
        <f t="shared" si="29"/>
        <v>120.47000000000003</v>
      </c>
      <c r="AV98">
        <v>1012</v>
      </c>
      <c r="AW98">
        <f t="shared" si="30"/>
        <v>1457.2228770648294</v>
      </c>
      <c r="AX98">
        <f t="shared" si="33"/>
        <v>3.0581116949387909E-5</v>
      </c>
      <c r="AY98">
        <f t="shared" si="31"/>
        <v>1.5731924679558864E-3</v>
      </c>
      <c r="AZ98">
        <f t="shared" si="34"/>
        <v>35.08219203541627</v>
      </c>
      <c r="BA98">
        <f t="shared" si="35"/>
        <v>0.3191922761738909</v>
      </c>
      <c r="BB98">
        <v>19.384219999999999</v>
      </c>
      <c r="BC98">
        <v>7.0858499999999998</v>
      </c>
      <c r="BD98">
        <f t="shared" si="36"/>
        <v>0.73230709250107762</v>
      </c>
    </row>
    <row r="99" spans="1:56" x14ac:dyDescent="0.25">
      <c r="A99" t="s">
        <v>14</v>
      </c>
      <c r="B99" t="s">
        <v>19</v>
      </c>
      <c r="C99">
        <v>20</v>
      </c>
      <c r="G99">
        <f t="shared" si="20"/>
        <v>290.39583333333576</v>
      </c>
      <c r="H99" s="2">
        <v>45005.395833333336</v>
      </c>
      <c r="AF99">
        <v>94.359999999999985</v>
      </c>
      <c r="AG99">
        <v>138.74</v>
      </c>
      <c r="AL99">
        <v>242.32</v>
      </c>
      <c r="AM99">
        <v>242.24</v>
      </c>
      <c r="AN99">
        <f t="shared" si="26"/>
        <v>0</v>
      </c>
      <c r="AO99">
        <f t="shared" si="32"/>
        <v>7.9999999999984084E-2</v>
      </c>
      <c r="AP99">
        <v>45</v>
      </c>
      <c r="AQ99">
        <v>1012</v>
      </c>
      <c r="AR99">
        <v>22</v>
      </c>
      <c r="AS99">
        <v>34</v>
      </c>
      <c r="AT99">
        <f t="shared" si="28"/>
        <v>5.3137007027131622</v>
      </c>
      <c r="AU99">
        <f t="shared" si="29"/>
        <v>155.64000000000001</v>
      </c>
      <c r="AV99">
        <v>1012</v>
      </c>
      <c r="AW99">
        <f t="shared" si="30"/>
        <v>1304.598303777949</v>
      </c>
      <c r="AX99">
        <f t="shared" si="33"/>
        <v>3.4310700866329337E-5</v>
      </c>
      <c r="AY99">
        <f t="shared" si="31"/>
        <v>1.7434670769110947E-3</v>
      </c>
      <c r="AZ99">
        <f t="shared" si="34"/>
        <v>38.879315815117415</v>
      </c>
      <c r="BA99">
        <f t="shared" si="35"/>
        <v>0.1834352586658056</v>
      </c>
      <c r="BB99">
        <v>14.91315</v>
      </c>
      <c r="BC99">
        <v>7.07925</v>
      </c>
      <c r="BD99">
        <f t="shared" si="36"/>
        <v>0.67810470889943797</v>
      </c>
    </row>
    <row r="100" spans="1:56" x14ac:dyDescent="0.25">
      <c r="A100" t="s">
        <v>15</v>
      </c>
      <c r="B100" t="s">
        <v>19</v>
      </c>
      <c r="C100">
        <v>20</v>
      </c>
      <c r="G100">
        <f t="shared" si="20"/>
        <v>290.39583333333576</v>
      </c>
      <c r="H100" s="2">
        <v>45005.395833333336</v>
      </c>
      <c r="AF100">
        <v>85.4</v>
      </c>
      <c r="AG100">
        <v>140.1</v>
      </c>
      <c r="AL100">
        <v>234.75</v>
      </c>
      <c r="AM100">
        <v>234.64500000000001</v>
      </c>
      <c r="AN100">
        <f t="shared" si="26"/>
        <v>0</v>
      </c>
      <c r="AO100">
        <f t="shared" si="32"/>
        <v>0.10499999999998977</v>
      </c>
      <c r="AP100">
        <v>62.5</v>
      </c>
      <c r="AQ100">
        <v>1012</v>
      </c>
      <c r="AR100">
        <v>22</v>
      </c>
      <c r="AS100">
        <v>34</v>
      </c>
      <c r="AT100">
        <f t="shared" si="28"/>
        <v>5.3137007027131622</v>
      </c>
      <c r="AU100">
        <f t="shared" si="29"/>
        <v>164.6</v>
      </c>
      <c r="AV100">
        <v>1012</v>
      </c>
      <c r="AW100">
        <f t="shared" si="30"/>
        <v>1396.2648845686513</v>
      </c>
      <c r="AX100">
        <f t="shared" si="33"/>
        <v>3.1969043987979144E-5</v>
      </c>
      <c r="AY100">
        <f t="shared" si="31"/>
        <v>1.6480309560118571E-3</v>
      </c>
      <c r="AZ100">
        <f t="shared" si="34"/>
        <v>36.751090319064417</v>
      </c>
      <c r="BA100">
        <f t="shared" si="35"/>
        <v>0.25952483664410375</v>
      </c>
      <c r="BB100">
        <v>16.858360000000001</v>
      </c>
      <c r="BC100">
        <v>8.4517000000000007</v>
      </c>
      <c r="BD100">
        <f t="shared" si="36"/>
        <v>0.66607349014581563</v>
      </c>
    </row>
    <row r="101" spans="1:56" x14ac:dyDescent="0.25">
      <c r="A101" t="s">
        <v>0</v>
      </c>
      <c r="B101" t="s">
        <v>18</v>
      </c>
      <c r="C101">
        <v>10</v>
      </c>
      <c r="G101">
        <f t="shared" si="20"/>
        <v>292.4375</v>
      </c>
      <c r="H101" s="2">
        <v>45007.4375</v>
      </c>
      <c r="AF101">
        <v>172.77</v>
      </c>
      <c r="AG101">
        <v>139.16999999999999</v>
      </c>
      <c r="AL101">
        <v>321.29000000000002</v>
      </c>
      <c r="AM101">
        <v>321.29000000000002</v>
      </c>
      <c r="AN101">
        <f t="shared" si="26"/>
        <v>0</v>
      </c>
      <c r="AO101">
        <f t="shared" si="32"/>
        <v>0</v>
      </c>
      <c r="AP101">
        <v>0</v>
      </c>
      <c r="AQ101">
        <v>1000</v>
      </c>
      <c r="AR101">
        <v>22</v>
      </c>
      <c r="AS101">
        <v>34</v>
      </c>
      <c r="AT101">
        <f t="shared" ref="AT101:AT116" si="37">0.61094*EXP(17.625*AS101/(243.04+AS101))</f>
        <v>5.3137007027131622</v>
      </c>
      <c r="AU101">
        <f t="shared" si="29"/>
        <v>77.22999999999999</v>
      </c>
      <c r="AV101">
        <v>1000</v>
      </c>
      <c r="AW101">
        <f t="shared" si="30"/>
        <v>1000</v>
      </c>
      <c r="AX101">
        <f t="shared" si="33"/>
        <v>4.5348180800468015E-5</v>
      </c>
      <c r="AY101" t="e">
        <f t="shared" si="31"/>
        <v>#DIV/0!</v>
      </c>
      <c r="AZ101" t="e">
        <f t="shared" si="34"/>
        <v>#DIV/0!</v>
      </c>
      <c r="BA101" t="e">
        <f t="shared" si="35"/>
        <v>#DIV/0!</v>
      </c>
      <c r="BD101" t="e">
        <f t="shared" si="36"/>
        <v>#DIV/0!</v>
      </c>
    </row>
    <row r="102" spans="1:56" x14ac:dyDescent="0.25">
      <c r="A102" t="s">
        <v>1</v>
      </c>
      <c r="B102" t="s">
        <v>18</v>
      </c>
      <c r="C102">
        <v>10</v>
      </c>
      <c r="G102">
        <f t="shared" ref="G102:G166" si="38">H102-$H$18</f>
        <v>292.4375</v>
      </c>
      <c r="H102" s="2">
        <v>45007.4375</v>
      </c>
      <c r="AF102">
        <v>173.93</v>
      </c>
      <c r="AG102">
        <v>141.25</v>
      </c>
      <c r="AL102">
        <v>324.45</v>
      </c>
      <c r="AM102">
        <v>324.45</v>
      </c>
      <c r="AN102">
        <f t="shared" si="26"/>
        <v>0</v>
      </c>
      <c r="AO102">
        <f t="shared" si="32"/>
        <v>0</v>
      </c>
      <c r="AP102">
        <v>0</v>
      </c>
      <c r="AQ102">
        <v>1000</v>
      </c>
      <c r="AR102">
        <v>22</v>
      </c>
      <c r="AS102">
        <v>34</v>
      </c>
      <c r="AT102">
        <f t="shared" si="37"/>
        <v>5.3137007027131622</v>
      </c>
      <c r="AU102">
        <f t="shared" si="29"/>
        <v>76.069999999999993</v>
      </c>
      <c r="AV102">
        <v>1000</v>
      </c>
      <c r="AW102">
        <f t="shared" si="30"/>
        <v>1000</v>
      </c>
      <c r="AX102">
        <f t="shared" si="33"/>
        <v>4.5348180800468015E-5</v>
      </c>
      <c r="AY102" t="e">
        <f t="shared" si="31"/>
        <v>#DIV/0!</v>
      </c>
      <c r="AZ102" t="e">
        <f t="shared" si="34"/>
        <v>#DIV/0!</v>
      </c>
      <c r="BA102" t="e">
        <f t="shared" si="35"/>
        <v>#DIV/0!</v>
      </c>
      <c r="BD102" t="e">
        <f t="shared" si="36"/>
        <v>#DIV/0!</v>
      </c>
    </row>
    <row r="103" spans="1:56" x14ac:dyDescent="0.25">
      <c r="A103" t="s">
        <v>2</v>
      </c>
      <c r="B103" t="s">
        <v>18</v>
      </c>
      <c r="C103">
        <v>10</v>
      </c>
      <c r="G103">
        <f t="shared" si="38"/>
        <v>292.4375</v>
      </c>
      <c r="H103" s="2">
        <v>45007.4375</v>
      </c>
      <c r="AF103">
        <v>162.82000000000002</v>
      </c>
      <c r="AG103">
        <v>140.66</v>
      </c>
      <c r="AL103">
        <v>312.77999999999997</v>
      </c>
      <c r="AM103">
        <v>312.77999999999997</v>
      </c>
      <c r="AN103">
        <f t="shared" si="26"/>
        <v>0</v>
      </c>
      <c r="AO103">
        <f t="shared" si="32"/>
        <v>0</v>
      </c>
      <c r="AP103">
        <v>0</v>
      </c>
      <c r="AQ103">
        <v>1000</v>
      </c>
      <c r="AR103">
        <v>22</v>
      </c>
      <c r="AS103">
        <v>34</v>
      </c>
      <c r="AT103">
        <f t="shared" si="37"/>
        <v>5.3137007027131622</v>
      </c>
      <c r="AU103">
        <f t="shared" si="29"/>
        <v>87.179999999999978</v>
      </c>
      <c r="AV103">
        <v>1000</v>
      </c>
      <c r="AW103">
        <f t="shared" si="30"/>
        <v>1000</v>
      </c>
      <c r="AX103">
        <f t="shared" si="33"/>
        <v>4.5348180800468015E-5</v>
      </c>
      <c r="AY103" t="e">
        <f t="shared" si="31"/>
        <v>#DIV/0!</v>
      </c>
      <c r="AZ103" t="e">
        <f t="shared" si="34"/>
        <v>#DIV/0!</v>
      </c>
      <c r="BA103" t="e">
        <f t="shared" si="35"/>
        <v>#DIV/0!</v>
      </c>
      <c r="BD103" t="e">
        <f t="shared" si="36"/>
        <v>#DIV/0!</v>
      </c>
    </row>
    <row r="104" spans="1:56" x14ac:dyDescent="0.25">
      <c r="A104" t="s">
        <v>3</v>
      </c>
      <c r="B104" t="s">
        <v>18</v>
      </c>
      <c r="C104">
        <v>10</v>
      </c>
      <c r="G104">
        <f t="shared" si="38"/>
        <v>292.4375</v>
      </c>
      <c r="H104" s="2">
        <v>45007.4375</v>
      </c>
      <c r="AF104">
        <v>187.81</v>
      </c>
      <c r="AG104">
        <v>140</v>
      </c>
      <c r="AL104">
        <v>337.14</v>
      </c>
      <c r="AM104">
        <v>337.14</v>
      </c>
      <c r="AN104">
        <f t="shared" si="26"/>
        <v>0</v>
      </c>
      <c r="AO104">
        <f t="shared" si="32"/>
        <v>0</v>
      </c>
      <c r="AP104">
        <v>0</v>
      </c>
      <c r="AQ104">
        <v>1000</v>
      </c>
      <c r="AR104">
        <v>22</v>
      </c>
      <c r="AS104">
        <v>34</v>
      </c>
      <c r="AT104">
        <f t="shared" si="37"/>
        <v>5.3137007027131622</v>
      </c>
      <c r="AU104">
        <f t="shared" si="29"/>
        <v>62.19</v>
      </c>
      <c r="AV104">
        <v>1000</v>
      </c>
      <c r="AW104">
        <f t="shared" si="30"/>
        <v>1000</v>
      </c>
      <c r="AX104">
        <f t="shared" si="33"/>
        <v>4.5348180800468015E-5</v>
      </c>
      <c r="AY104" t="e">
        <f t="shared" si="31"/>
        <v>#DIV/0!</v>
      </c>
      <c r="AZ104" t="e">
        <f t="shared" si="34"/>
        <v>#DIV/0!</v>
      </c>
      <c r="BA104" t="e">
        <f t="shared" si="35"/>
        <v>#DIV/0!</v>
      </c>
      <c r="BD104" t="e">
        <f t="shared" si="36"/>
        <v>#DIV/0!</v>
      </c>
    </row>
    <row r="105" spans="1:56" x14ac:dyDescent="0.25">
      <c r="A105" t="s">
        <v>4</v>
      </c>
      <c r="B105" t="s">
        <v>18</v>
      </c>
      <c r="C105">
        <v>20</v>
      </c>
      <c r="G105">
        <f t="shared" si="38"/>
        <v>292.4375</v>
      </c>
      <c r="H105" s="2">
        <v>45007.4375</v>
      </c>
      <c r="AF105">
        <v>181.58</v>
      </c>
      <c r="AG105">
        <v>139.4</v>
      </c>
      <c r="AL105">
        <v>330.1</v>
      </c>
      <c r="AM105">
        <v>330.02</v>
      </c>
      <c r="AN105">
        <f t="shared" si="26"/>
        <v>0</v>
      </c>
      <c r="AO105">
        <f t="shared" si="32"/>
        <v>8.0000000000040927E-2</v>
      </c>
      <c r="AP105">
        <v>59</v>
      </c>
      <c r="AQ105">
        <v>1000</v>
      </c>
      <c r="AR105">
        <v>22</v>
      </c>
      <c r="AS105">
        <v>34</v>
      </c>
      <c r="AT105">
        <f t="shared" si="37"/>
        <v>5.3137007027131622</v>
      </c>
      <c r="AU105">
        <f t="shared" si="29"/>
        <v>68.419999999999987</v>
      </c>
      <c r="AV105">
        <v>1000</v>
      </c>
      <c r="AW105">
        <f t="shared" si="30"/>
        <v>1862.3209587839815</v>
      </c>
      <c r="AX105">
        <f t="shared" si="33"/>
        <v>2.3733636459083927E-5</v>
      </c>
      <c r="AY105">
        <f t="shared" si="31"/>
        <v>1.3321985669314403E-3</v>
      </c>
      <c r="AZ105">
        <f t="shared" si="34"/>
        <v>29.708028042571119</v>
      </c>
      <c r="BA105">
        <f t="shared" si="35"/>
        <v>0.51133256908934144</v>
      </c>
      <c r="BD105" t="e">
        <f t="shared" si="36"/>
        <v>#DIV/0!</v>
      </c>
    </row>
    <row r="106" spans="1:56" x14ac:dyDescent="0.25">
      <c r="A106" t="s">
        <v>5</v>
      </c>
      <c r="B106" t="s">
        <v>18</v>
      </c>
      <c r="C106">
        <v>20</v>
      </c>
      <c r="G106">
        <f t="shared" si="38"/>
        <v>292.4375</v>
      </c>
      <c r="H106" s="2">
        <v>45007.4375</v>
      </c>
      <c r="AF106">
        <v>201.8</v>
      </c>
      <c r="AG106">
        <v>139.81</v>
      </c>
      <c r="AL106">
        <v>350.68</v>
      </c>
      <c r="AM106">
        <v>350.57</v>
      </c>
      <c r="AN106">
        <f t="shared" si="26"/>
        <v>1.999999999998181E-2</v>
      </c>
      <c r="AO106">
        <f t="shared" si="32"/>
        <v>0.11000000000001364</v>
      </c>
      <c r="AP106">
        <f>35+29.5</f>
        <v>64.5</v>
      </c>
      <c r="AQ106">
        <v>1000</v>
      </c>
      <c r="AR106">
        <v>22</v>
      </c>
      <c r="AS106">
        <v>34</v>
      </c>
      <c r="AT106">
        <f t="shared" si="37"/>
        <v>5.3137007027131622</v>
      </c>
      <c r="AU106">
        <f t="shared" si="29"/>
        <v>48.199999999999989</v>
      </c>
      <c r="AV106">
        <v>1000</v>
      </c>
      <c r="AW106">
        <f t="shared" si="30"/>
        <v>2338.1742738589214</v>
      </c>
      <c r="AX106">
        <f t="shared" si="33"/>
        <v>1.8791165825553593E-5</v>
      </c>
      <c r="AY106">
        <f t="shared" si="31"/>
        <v>1.6866351907638053E-3</v>
      </c>
      <c r="AZ106">
        <f t="shared" si="34"/>
        <v>37.611964754032854</v>
      </c>
      <c r="BA106">
        <f t="shared" si="35"/>
        <v>0.22874634415327652</v>
      </c>
      <c r="BD106" t="e">
        <f t="shared" si="36"/>
        <v>#DIV/0!</v>
      </c>
    </row>
    <row r="107" spans="1:56" x14ac:dyDescent="0.25">
      <c r="A107" t="s">
        <v>6</v>
      </c>
      <c r="B107" t="s">
        <v>18</v>
      </c>
      <c r="C107">
        <v>20</v>
      </c>
      <c r="G107">
        <f t="shared" si="38"/>
        <v>292.4375</v>
      </c>
      <c r="H107" s="2">
        <v>45007.4375</v>
      </c>
      <c r="AF107">
        <v>205.13</v>
      </c>
      <c r="AG107">
        <v>139.01</v>
      </c>
      <c r="AL107">
        <v>353.25</v>
      </c>
      <c r="AM107">
        <v>353.18</v>
      </c>
      <c r="AN107">
        <f t="shared" si="26"/>
        <v>9.9999999999909051E-3</v>
      </c>
      <c r="AO107">
        <f t="shared" si="32"/>
        <v>6.9999999999993179E-2</v>
      </c>
      <c r="AP107">
        <f>38.5+8.5</f>
        <v>47</v>
      </c>
      <c r="AQ107">
        <v>1000</v>
      </c>
      <c r="AR107">
        <v>22</v>
      </c>
      <c r="AS107">
        <v>34</v>
      </c>
      <c r="AT107">
        <f t="shared" si="37"/>
        <v>5.3137007027131622</v>
      </c>
      <c r="AU107">
        <f t="shared" si="29"/>
        <v>44.870000000000005</v>
      </c>
      <c r="AV107">
        <v>1000</v>
      </c>
      <c r="AW107">
        <f t="shared" si="30"/>
        <v>2047.4704702473812</v>
      </c>
      <c r="AX107">
        <f t="shared" si="33"/>
        <v>2.1530258099000707E-5</v>
      </c>
      <c r="AY107">
        <f t="shared" si="31"/>
        <v>1.4678314440285136E-3</v>
      </c>
      <c r="AZ107">
        <f t="shared" si="34"/>
        <v>32.732641201835854</v>
      </c>
      <c r="BA107">
        <f t="shared" si="35"/>
        <v>0.4031948086579959</v>
      </c>
      <c r="BD107" t="e">
        <f t="shared" si="36"/>
        <v>#DIV/0!</v>
      </c>
    </row>
    <row r="108" spans="1:56" x14ac:dyDescent="0.25">
      <c r="A108" t="s">
        <v>7</v>
      </c>
      <c r="B108" t="s">
        <v>18</v>
      </c>
      <c r="C108">
        <v>20</v>
      </c>
      <c r="G108">
        <f t="shared" si="38"/>
        <v>292.4375</v>
      </c>
      <c r="H108" s="2">
        <v>45007.4375</v>
      </c>
      <c r="AF108">
        <v>177.85000000000002</v>
      </c>
      <c r="AG108">
        <v>139.94999999999999</v>
      </c>
      <c r="AL108">
        <v>326.95999999999998</v>
      </c>
      <c r="AM108">
        <v>326.91000000000003</v>
      </c>
      <c r="AN108">
        <f t="shared" si="26"/>
        <v>0</v>
      </c>
      <c r="AO108">
        <f t="shared" si="32"/>
        <v>4.9999999999954525E-2</v>
      </c>
      <c r="AP108">
        <v>29.5</v>
      </c>
      <c r="AQ108">
        <v>1000</v>
      </c>
      <c r="AR108">
        <v>22</v>
      </c>
      <c r="AS108">
        <v>34</v>
      </c>
      <c r="AT108">
        <f t="shared" si="37"/>
        <v>5.3137007027131622</v>
      </c>
      <c r="AU108">
        <f t="shared" si="29"/>
        <v>72.149999999999977</v>
      </c>
      <c r="AV108">
        <v>1000</v>
      </c>
      <c r="AW108">
        <f t="shared" si="30"/>
        <v>1408.8704088704089</v>
      </c>
      <c r="AX108">
        <f t="shared" si="33"/>
        <v>3.1671797818233301E-5</v>
      </c>
      <c r="AY108">
        <f t="shared" si="31"/>
        <v>1.6632434564175132E-3</v>
      </c>
      <c r="AZ108">
        <f t="shared" si="34"/>
        <v>37.090329078110543</v>
      </c>
      <c r="BA108">
        <f t="shared" si="35"/>
        <v>0.24739617167999484</v>
      </c>
      <c r="BD108" t="e">
        <f t="shared" si="36"/>
        <v>#DIV/0!</v>
      </c>
    </row>
    <row r="109" spans="1:56" x14ac:dyDescent="0.25">
      <c r="A109" t="s">
        <v>8</v>
      </c>
      <c r="B109" t="s">
        <v>19</v>
      </c>
      <c r="C109">
        <v>10</v>
      </c>
      <c r="G109">
        <f t="shared" si="38"/>
        <v>292.4375</v>
      </c>
      <c r="H109" s="2">
        <v>45007.4375</v>
      </c>
      <c r="AF109">
        <v>142.11999999999998</v>
      </c>
      <c r="AG109">
        <v>139.71</v>
      </c>
      <c r="AL109">
        <v>291</v>
      </c>
      <c r="AM109">
        <v>291</v>
      </c>
      <c r="AN109">
        <f t="shared" si="26"/>
        <v>0</v>
      </c>
      <c r="AO109">
        <f t="shared" si="32"/>
        <v>0</v>
      </c>
      <c r="AP109">
        <v>0</v>
      </c>
      <c r="AQ109">
        <v>1000</v>
      </c>
      <c r="AR109">
        <v>22</v>
      </c>
      <c r="AS109">
        <v>34</v>
      </c>
      <c r="AT109">
        <f t="shared" si="37"/>
        <v>5.3137007027131622</v>
      </c>
      <c r="AU109">
        <f t="shared" si="29"/>
        <v>107.88000000000002</v>
      </c>
      <c r="AV109">
        <v>1000</v>
      </c>
      <c r="AW109">
        <f t="shared" si="30"/>
        <v>1000</v>
      </c>
      <c r="AX109">
        <f t="shared" si="33"/>
        <v>4.5348180800468015E-5</v>
      </c>
      <c r="AY109" t="e">
        <f t="shared" si="31"/>
        <v>#DIV/0!</v>
      </c>
      <c r="AZ109" t="e">
        <f t="shared" si="34"/>
        <v>#DIV/0!</v>
      </c>
      <c r="BA109" t="e">
        <f t="shared" si="35"/>
        <v>#DIV/0!</v>
      </c>
      <c r="BD109" t="e">
        <f t="shared" si="36"/>
        <v>#DIV/0!</v>
      </c>
    </row>
    <row r="110" spans="1:56" x14ac:dyDescent="0.25">
      <c r="A110" t="s">
        <v>9</v>
      </c>
      <c r="B110" t="s">
        <v>19</v>
      </c>
      <c r="C110">
        <v>10</v>
      </c>
      <c r="G110">
        <f t="shared" si="38"/>
        <v>292.4375</v>
      </c>
      <c r="H110" s="2">
        <v>45007.4375</v>
      </c>
      <c r="AF110">
        <v>136.42000000000002</v>
      </c>
      <c r="AG110">
        <v>139.75</v>
      </c>
      <c r="AL110">
        <v>285.39999999999998</v>
      </c>
      <c r="AM110">
        <v>285.39999999999998</v>
      </c>
      <c r="AN110">
        <f t="shared" si="26"/>
        <v>0</v>
      </c>
      <c r="AO110">
        <f t="shared" si="32"/>
        <v>0</v>
      </c>
      <c r="AP110">
        <v>0</v>
      </c>
      <c r="AQ110">
        <v>1000</v>
      </c>
      <c r="AR110">
        <v>22</v>
      </c>
      <c r="AS110">
        <v>34</v>
      </c>
      <c r="AT110">
        <f t="shared" si="37"/>
        <v>5.3137007027131622</v>
      </c>
      <c r="AU110">
        <f t="shared" si="29"/>
        <v>113.57999999999998</v>
      </c>
      <c r="AV110">
        <v>1000</v>
      </c>
      <c r="AW110">
        <f t="shared" si="30"/>
        <v>1000</v>
      </c>
      <c r="AX110">
        <f t="shared" si="33"/>
        <v>4.5348180800468015E-5</v>
      </c>
      <c r="AY110" t="e">
        <f t="shared" si="31"/>
        <v>#DIV/0!</v>
      </c>
      <c r="AZ110" t="e">
        <f t="shared" si="34"/>
        <v>#DIV/0!</v>
      </c>
      <c r="BA110" t="e">
        <f t="shared" si="35"/>
        <v>#DIV/0!</v>
      </c>
      <c r="BD110" t="e">
        <f t="shared" si="36"/>
        <v>#DIV/0!</v>
      </c>
    </row>
    <row r="111" spans="1:56" x14ac:dyDescent="0.25">
      <c r="A111" t="s">
        <v>10</v>
      </c>
      <c r="B111" t="s">
        <v>19</v>
      </c>
      <c r="C111">
        <v>10</v>
      </c>
      <c r="G111">
        <f t="shared" si="38"/>
        <v>292.4375</v>
      </c>
      <c r="H111" s="2">
        <v>45007.4375</v>
      </c>
      <c r="AF111">
        <v>117.85000000000002</v>
      </c>
      <c r="AG111">
        <v>140.44999999999999</v>
      </c>
      <c r="AL111">
        <v>267.52</v>
      </c>
      <c r="AM111">
        <v>267.52</v>
      </c>
      <c r="AN111">
        <f t="shared" si="26"/>
        <v>0</v>
      </c>
      <c r="AO111">
        <f t="shared" si="32"/>
        <v>0</v>
      </c>
      <c r="AP111">
        <v>0</v>
      </c>
      <c r="AQ111">
        <v>1000</v>
      </c>
      <c r="AR111">
        <v>22</v>
      </c>
      <c r="AS111">
        <v>34</v>
      </c>
      <c r="AT111">
        <f t="shared" si="37"/>
        <v>5.3137007027131622</v>
      </c>
      <c r="AU111">
        <f t="shared" si="29"/>
        <v>132.14999999999998</v>
      </c>
      <c r="AV111">
        <v>1000</v>
      </c>
      <c r="AW111">
        <f t="shared" si="30"/>
        <v>1000</v>
      </c>
      <c r="AX111">
        <f t="shared" si="33"/>
        <v>4.5348180800468015E-5</v>
      </c>
      <c r="AY111" t="e">
        <f t="shared" si="31"/>
        <v>#DIV/0!</v>
      </c>
      <c r="AZ111" t="e">
        <f t="shared" si="34"/>
        <v>#DIV/0!</v>
      </c>
      <c r="BA111" t="e">
        <f t="shared" si="35"/>
        <v>#DIV/0!</v>
      </c>
      <c r="BD111" t="e">
        <f t="shared" si="36"/>
        <v>#DIV/0!</v>
      </c>
    </row>
    <row r="112" spans="1:56" x14ac:dyDescent="0.25">
      <c r="A112" t="s">
        <v>11</v>
      </c>
      <c r="B112" t="s">
        <v>19</v>
      </c>
      <c r="C112">
        <v>10</v>
      </c>
      <c r="G112">
        <f t="shared" si="38"/>
        <v>292.4375</v>
      </c>
      <c r="H112" s="2">
        <v>45007.4375</v>
      </c>
      <c r="AF112">
        <v>107.53</v>
      </c>
      <c r="AG112">
        <v>140</v>
      </c>
      <c r="AL112">
        <v>256.8</v>
      </c>
      <c r="AM112">
        <v>256.8</v>
      </c>
      <c r="AN112">
        <f t="shared" si="26"/>
        <v>0</v>
      </c>
      <c r="AO112">
        <f t="shared" si="32"/>
        <v>0</v>
      </c>
      <c r="AP112">
        <v>0</v>
      </c>
      <c r="AQ112">
        <v>1000</v>
      </c>
      <c r="AR112">
        <v>22</v>
      </c>
      <c r="AS112">
        <v>34</v>
      </c>
      <c r="AT112">
        <f t="shared" si="37"/>
        <v>5.3137007027131622</v>
      </c>
      <c r="AU112">
        <f t="shared" si="29"/>
        <v>142.47</v>
      </c>
      <c r="AV112">
        <v>1000</v>
      </c>
      <c r="AW112">
        <f t="shared" si="30"/>
        <v>1000</v>
      </c>
      <c r="AX112">
        <f t="shared" si="33"/>
        <v>4.5348180800468015E-5</v>
      </c>
      <c r="AY112" t="e">
        <f t="shared" si="31"/>
        <v>#DIV/0!</v>
      </c>
      <c r="AZ112" t="e">
        <f t="shared" si="34"/>
        <v>#DIV/0!</v>
      </c>
      <c r="BA112" t="e">
        <f t="shared" si="35"/>
        <v>#DIV/0!</v>
      </c>
      <c r="BD112" t="e">
        <f t="shared" si="36"/>
        <v>#DIV/0!</v>
      </c>
    </row>
    <row r="113" spans="1:56" x14ac:dyDescent="0.25">
      <c r="A113" t="s">
        <v>12</v>
      </c>
      <c r="B113" t="s">
        <v>19</v>
      </c>
      <c r="C113">
        <v>20</v>
      </c>
      <c r="G113">
        <f t="shared" si="38"/>
        <v>292.4375</v>
      </c>
      <c r="H113" s="2">
        <v>45007.4375</v>
      </c>
      <c r="AF113">
        <v>109.43</v>
      </c>
      <c r="AG113">
        <v>140.19999999999999</v>
      </c>
      <c r="AL113">
        <v>258.755</v>
      </c>
      <c r="AM113">
        <v>258.755</v>
      </c>
      <c r="AN113">
        <f t="shared" si="26"/>
        <v>0</v>
      </c>
      <c r="AO113">
        <f t="shared" si="32"/>
        <v>0</v>
      </c>
      <c r="AP113">
        <v>0</v>
      </c>
      <c r="AQ113">
        <v>1000</v>
      </c>
      <c r="AR113">
        <v>22</v>
      </c>
      <c r="AS113">
        <v>34</v>
      </c>
      <c r="AT113">
        <f t="shared" si="37"/>
        <v>5.3137007027131622</v>
      </c>
      <c r="AU113">
        <f t="shared" si="29"/>
        <v>140.57</v>
      </c>
      <c r="AV113">
        <v>1000</v>
      </c>
      <c r="AW113">
        <f t="shared" si="30"/>
        <v>1000</v>
      </c>
      <c r="AX113">
        <f t="shared" si="33"/>
        <v>4.5348180800468015E-5</v>
      </c>
      <c r="AY113" t="e">
        <f t="shared" si="31"/>
        <v>#DIV/0!</v>
      </c>
      <c r="AZ113" t="e">
        <f t="shared" si="34"/>
        <v>#DIV/0!</v>
      </c>
      <c r="BA113" t="e">
        <f t="shared" si="35"/>
        <v>#DIV/0!</v>
      </c>
      <c r="BD113" t="e">
        <f t="shared" si="36"/>
        <v>#DIV/0!</v>
      </c>
    </row>
    <row r="114" spans="1:56" x14ac:dyDescent="0.25">
      <c r="A114" t="s">
        <v>13</v>
      </c>
      <c r="B114" t="s">
        <v>19</v>
      </c>
      <c r="C114">
        <v>20</v>
      </c>
      <c r="G114">
        <f t="shared" si="38"/>
        <v>292.4375</v>
      </c>
      <c r="H114" s="2">
        <v>45007.4375</v>
      </c>
      <c r="AF114">
        <v>129.52999999999997</v>
      </c>
      <c r="AG114">
        <v>140.24</v>
      </c>
      <c r="AL114">
        <v>278.92500000000001</v>
      </c>
      <c r="AM114">
        <v>278.92500000000001</v>
      </c>
      <c r="AN114">
        <f t="shared" si="26"/>
        <v>0</v>
      </c>
      <c r="AO114">
        <f t="shared" si="32"/>
        <v>0</v>
      </c>
      <c r="AP114">
        <v>0</v>
      </c>
      <c r="AQ114">
        <v>1000</v>
      </c>
      <c r="AR114">
        <v>22</v>
      </c>
      <c r="AS114">
        <v>34</v>
      </c>
      <c r="AT114">
        <f t="shared" si="37"/>
        <v>5.3137007027131622</v>
      </c>
      <c r="AU114">
        <f t="shared" si="29"/>
        <v>120.47000000000003</v>
      </c>
      <c r="AV114">
        <v>1000</v>
      </c>
      <c r="AW114">
        <f t="shared" si="30"/>
        <v>1000</v>
      </c>
      <c r="AX114">
        <f t="shared" si="33"/>
        <v>4.5348180800468015E-5</v>
      </c>
      <c r="AY114" t="e">
        <f t="shared" si="31"/>
        <v>#DIV/0!</v>
      </c>
      <c r="AZ114" t="e">
        <f t="shared" si="34"/>
        <v>#DIV/0!</v>
      </c>
      <c r="BA114" t="e">
        <f t="shared" si="35"/>
        <v>#DIV/0!</v>
      </c>
      <c r="BD114" t="e">
        <f t="shared" si="36"/>
        <v>#DIV/0!</v>
      </c>
    </row>
    <row r="115" spans="1:56" x14ac:dyDescent="0.25">
      <c r="A115" t="s">
        <v>14</v>
      </c>
      <c r="B115" t="s">
        <v>19</v>
      </c>
      <c r="C115">
        <v>20</v>
      </c>
      <c r="G115">
        <f t="shared" si="38"/>
        <v>292.4375</v>
      </c>
      <c r="H115" s="2">
        <v>45007.4375</v>
      </c>
      <c r="AF115">
        <v>94.359999999999985</v>
      </c>
      <c r="AG115">
        <v>138.74</v>
      </c>
      <c r="AL115">
        <v>242.24</v>
      </c>
      <c r="AM115">
        <v>242.24</v>
      </c>
      <c r="AN115">
        <f t="shared" si="26"/>
        <v>0</v>
      </c>
      <c r="AO115">
        <f t="shared" si="32"/>
        <v>0</v>
      </c>
      <c r="AP115">
        <v>0</v>
      </c>
      <c r="AQ115">
        <v>1000</v>
      </c>
      <c r="AR115">
        <v>22</v>
      </c>
      <c r="AS115">
        <v>34</v>
      </c>
      <c r="AT115">
        <f t="shared" si="37"/>
        <v>5.3137007027131622</v>
      </c>
      <c r="AU115">
        <f t="shared" si="29"/>
        <v>155.64000000000001</v>
      </c>
      <c r="AV115">
        <v>1000</v>
      </c>
      <c r="AW115">
        <f t="shared" si="30"/>
        <v>1000</v>
      </c>
      <c r="AX115">
        <f t="shared" si="33"/>
        <v>4.5348180800468015E-5</v>
      </c>
      <c r="AY115" t="e">
        <f t="shared" si="31"/>
        <v>#DIV/0!</v>
      </c>
      <c r="AZ115" t="e">
        <f t="shared" si="34"/>
        <v>#DIV/0!</v>
      </c>
      <c r="BA115" t="e">
        <f t="shared" si="35"/>
        <v>#DIV/0!</v>
      </c>
      <c r="BD115" t="e">
        <f t="shared" si="36"/>
        <v>#DIV/0!</v>
      </c>
    </row>
    <row r="116" spans="1:56" x14ac:dyDescent="0.25">
      <c r="A116" t="s">
        <v>15</v>
      </c>
      <c r="B116" t="s">
        <v>19</v>
      </c>
      <c r="C116">
        <v>20</v>
      </c>
      <c r="G116">
        <f t="shared" si="38"/>
        <v>292.4375</v>
      </c>
      <c r="H116" s="2">
        <v>45007.4375</v>
      </c>
      <c r="AF116">
        <v>85.4</v>
      </c>
      <c r="AG116">
        <v>140.1</v>
      </c>
      <c r="AL116">
        <v>234.64500000000001</v>
      </c>
      <c r="AM116">
        <v>234.64500000000001</v>
      </c>
      <c r="AN116">
        <f t="shared" si="26"/>
        <v>0</v>
      </c>
      <c r="AO116">
        <f t="shared" si="32"/>
        <v>0</v>
      </c>
      <c r="AP116">
        <v>0</v>
      </c>
      <c r="AQ116">
        <v>1000</v>
      </c>
      <c r="AR116">
        <v>22</v>
      </c>
      <c r="AS116">
        <v>34</v>
      </c>
      <c r="AT116">
        <f t="shared" si="37"/>
        <v>5.3137007027131622</v>
      </c>
      <c r="AU116">
        <f t="shared" si="29"/>
        <v>164.6</v>
      </c>
      <c r="AV116">
        <v>1000</v>
      </c>
      <c r="AW116">
        <f t="shared" si="30"/>
        <v>1000</v>
      </c>
      <c r="AX116">
        <f t="shared" si="33"/>
        <v>4.5348180800468015E-5</v>
      </c>
      <c r="AY116" t="e">
        <f t="shared" si="31"/>
        <v>#DIV/0!</v>
      </c>
      <c r="AZ116" t="e">
        <f t="shared" si="34"/>
        <v>#DIV/0!</v>
      </c>
      <c r="BA116" t="e">
        <f t="shared" si="35"/>
        <v>#DIV/0!</v>
      </c>
      <c r="BD116" t="e">
        <f t="shared" si="36"/>
        <v>#DIV/0!</v>
      </c>
    </row>
    <row r="117" spans="1:56" x14ac:dyDescent="0.25">
      <c r="A117" t="s">
        <v>0</v>
      </c>
      <c r="B117" t="s">
        <v>18</v>
      </c>
      <c r="C117">
        <v>10</v>
      </c>
      <c r="G117">
        <f t="shared" si="38"/>
        <v>294.58333333333576</v>
      </c>
      <c r="H117" s="2">
        <v>45009.583333333336</v>
      </c>
      <c r="AF117">
        <v>172.77</v>
      </c>
      <c r="AG117">
        <v>139.16999999999999</v>
      </c>
      <c r="AL117">
        <v>321.3</v>
      </c>
      <c r="AM117">
        <v>321.27999999999997</v>
      </c>
      <c r="AN117">
        <f t="shared" si="26"/>
        <v>-9.9999999999909051E-3</v>
      </c>
      <c r="AO117">
        <f t="shared" si="32"/>
        <v>2.0000000000038654E-2</v>
      </c>
      <c r="AP117">
        <v>15</v>
      </c>
      <c r="AQ117">
        <v>993</v>
      </c>
      <c r="AR117">
        <v>22</v>
      </c>
      <c r="AS117">
        <v>34</v>
      </c>
      <c r="AT117">
        <f t="shared" ref="AT117:AT132" si="39">0.61094*EXP(17.625*AS117/(243.04+AS117))</f>
        <v>5.3137007027131622</v>
      </c>
      <c r="AU117">
        <f t="shared" ref="AU117:AU148" si="40">250-AF117</f>
        <v>77.22999999999999</v>
      </c>
      <c r="AV117">
        <v>993</v>
      </c>
      <c r="AW117">
        <f t="shared" ref="AW117:AW148" si="41">AP117/AU117*AV117+AV117</f>
        <v>1185.8654667875178</v>
      </c>
      <c r="AX117">
        <f t="shared" si="33"/>
        <v>3.7907155795916873E-5</v>
      </c>
      <c r="AY117">
        <f t="shared" ref="AY117:AY148" si="42">(AL117-AM117)/AP117-AX117</f>
        <v>1.2954261775399933E-3</v>
      </c>
      <c r="AZ117">
        <f t="shared" si="34"/>
        <v>28.888003759141849</v>
      </c>
      <c r="BA117">
        <f t="shared" si="35"/>
        <v>0.54065056277648016</v>
      </c>
      <c r="BD117" t="e">
        <f t="shared" si="36"/>
        <v>#DIV/0!</v>
      </c>
    </row>
    <row r="118" spans="1:56" x14ac:dyDescent="0.25">
      <c r="A118" t="s">
        <v>1</v>
      </c>
      <c r="B118" t="s">
        <v>18</v>
      </c>
      <c r="C118">
        <v>10</v>
      </c>
      <c r="G118">
        <f t="shared" si="38"/>
        <v>294.58333333333576</v>
      </c>
      <c r="H118" s="2">
        <v>45009.583333333336</v>
      </c>
      <c r="AF118">
        <v>173.93</v>
      </c>
      <c r="AG118">
        <v>141.25</v>
      </c>
      <c r="AL118">
        <v>324.44499999999999</v>
      </c>
      <c r="AM118">
        <v>324.41500000000002</v>
      </c>
      <c r="AN118">
        <f t="shared" si="26"/>
        <v>4.9999999999954525E-3</v>
      </c>
      <c r="AO118">
        <f t="shared" si="32"/>
        <v>2.9999999999972715E-2</v>
      </c>
      <c r="AP118">
        <v>15</v>
      </c>
      <c r="AQ118">
        <v>993</v>
      </c>
      <c r="AR118">
        <v>22</v>
      </c>
      <c r="AS118">
        <v>34</v>
      </c>
      <c r="AT118">
        <f t="shared" si="39"/>
        <v>5.3137007027131622</v>
      </c>
      <c r="AU118">
        <f t="shared" si="40"/>
        <v>76.069999999999993</v>
      </c>
      <c r="AV118">
        <v>993</v>
      </c>
      <c r="AW118">
        <f t="shared" si="41"/>
        <v>1188.8064940186671</v>
      </c>
      <c r="AX118">
        <f t="shared" si="33"/>
        <v>3.7808988169923372E-5</v>
      </c>
      <c r="AY118">
        <f t="shared" si="42"/>
        <v>1.9621910118282578E-3</v>
      </c>
      <c r="AZ118">
        <f t="shared" si="34"/>
        <v>43.756859563770149</v>
      </c>
      <c r="BA118">
        <f t="shared" si="35"/>
        <v>9.0504267511565557E-3</v>
      </c>
      <c r="BD118" t="e">
        <f t="shared" si="36"/>
        <v>#DIV/0!</v>
      </c>
    </row>
    <row r="119" spans="1:56" x14ac:dyDescent="0.25">
      <c r="A119" t="s">
        <v>2</v>
      </c>
      <c r="B119" t="s">
        <v>18</v>
      </c>
      <c r="C119">
        <v>10</v>
      </c>
      <c r="G119">
        <f t="shared" si="38"/>
        <v>294.58333333333576</v>
      </c>
      <c r="H119" s="2">
        <v>45009.583333333336</v>
      </c>
      <c r="AF119">
        <v>162.82000000000002</v>
      </c>
      <c r="AG119">
        <v>140.66</v>
      </c>
      <c r="AL119">
        <v>312.77999999999997</v>
      </c>
      <c r="AM119">
        <v>312.76</v>
      </c>
      <c r="AN119">
        <f t="shared" si="26"/>
        <v>0</v>
      </c>
      <c r="AO119">
        <f t="shared" si="32"/>
        <v>1.999999999998181E-2</v>
      </c>
      <c r="AP119">
        <v>15</v>
      </c>
      <c r="AQ119">
        <v>993</v>
      </c>
      <c r="AR119">
        <v>22</v>
      </c>
      <c r="AS119">
        <v>34</v>
      </c>
      <c r="AT119">
        <f t="shared" si="39"/>
        <v>5.3137007027131622</v>
      </c>
      <c r="AU119">
        <f t="shared" si="40"/>
        <v>87.179999999999978</v>
      </c>
      <c r="AV119">
        <v>993</v>
      </c>
      <c r="AW119">
        <f t="shared" si="41"/>
        <v>1163.8534067446662</v>
      </c>
      <c r="AX119">
        <f t="shared" si="33"/>
        <v>3.8658395797095973E-5</v>
      </c>
      <c r="AY119">
        <f t="shared" si="42"/>
        <v>1.2946749375350247E-3</v>
      </c>
      <c r="AZ119">
        <f t="shared" si="34"/>
        <v>28.87125110703105</v>
      </c>
      <c r="BA119">
        <f t="shared" si="35"/>
        <v>0.54124951351336958</v>
      </c>
      <c r="BD119" t="e">
        <f t="shared" si="36"/>
        <v>#DIV/0!</v>
      </c>
    </row>
    <row r="120" spans="1:56" x14ac:dyDescent="0.25">
      <c r="A120" t="s">
        <v>3</v>
      </c>
      <c r="B120" t="s">
        <v>18</v>
      </c>
      <c r="C120">
        <v>10</v>
      </c>
      <c r="G120">
        <f t="shared" si="38"/>
        <v>294.58333333333576</v>
      </c>
      <c r="H120" s="2">
        <v>45009.583333333336</v>
      </c>
      <c r="AF120">
        <v>187.81</v>
      </c>
      <c r="AG120">
        <v>140</v>
      </c>
      <c r="AL120">
        <v>337.11</v>
      </c>
      <c r="AM120">
        <v>337.08</v>
      </c>
      <c r="AN120">
        <f t="shared" si="26"/>
        <v>2.9999999999972715E-2</v>
      </c>
      <c r="AO120">
        <f t="shared" si="32"/>
        <v>3.0000000000029559E-2</v>
      </c>
      <c r="AP120">
        <v>15</v>
      </c>
      <c r="AQ120">
        <v>993</v>
      </c>
      <c r="AR120">
        <v>22</v>
      </c>
      <c r="AS120">
        <v>34</v>
      </c>
      <c r="AT120">
        <f t="shared" si="39"/>
        <v>5.3137007027131622</v>
      </c>
      <c r="AU120">
        <f t="shared" si="40"/>
        <v>62.19</v>
      </c>
      <c r="AV120">
        <v>993</v>
      </c>
      <c r="AW120">
        <f t="shared" si="41"/>
        <v>1232.5079594790159</v>
      </c>
      <c r="AX120">
        <f t="shared" si="33"/>
        <v>3.6407980126471444E-5</v>
      </c>
      <c r="AY120">
        <f t="shared" si="42"/>
        <v>1.9635920198754994E-3</v>
      </c>
      <c r="AZ120">
        <f t="shared" si="34"/>
        <v>43.788102043223638</v>
      </c>
      <c r="BA120">
        <f t="shared" si="35"/>
        <v>7.9334271282216554E-3</v>
      </c>
      <c r="BD120" t="e">
        <f t="shared" si="36"/>
        <v>#DIV/0!</v>
      </c>
    </row>
    <row r="121" spans="1:56" x14ac:dyDescent="0.25">
      <c r="A121" t="s">
        <v>4</v>
      </c>
      <c r="B121" t="s">
        <v>18</v>
      </c>
      <c r="C121">
        <v>20</v>
      </c>
      <c r="G121">
        <f t="shared" si="38"/>
        <v>294.58333333333576</v>
      </c>
      <c r="H121" s="2">
        <v>45009.583333333336</v>
      </c>
      <c r="AF121">
        <v>181.58</v>
      </c>
      <c r="AG121">
        <v>139.4</v>
      </c>
      <c r="AL121">
        <v>330.02</v>
      </c>
      <c r="AM121">
        <v>329.95</v>
      </c>
      <c r="AN121">
        <f t="shared" si="26"/>
        <v>0</v>
      </c>
      <c r="AO121">
        <f t="shared" si="32"/>
        <v>6.9999999999993179E-2</v>
      </c>
      <c r="AP121">
        <v>65</v>
      </c>
      <c r="AQ121">
        <v>993</v>
      </c>
      <c r="AR121">
        <v>22</v>
      </c>
      <c r="AS121">
        <v>34</v>
      </c>
      <c r="AT121">
        <f t="shared" si="39"/>
        <v>5.3137007027131622</v>
      </c>
      <c r="AU121">
        <f t="shared" si="40"/>
        <v>68.419999999999987</v>
      </c>
      <c r="AV121">
        <v>993</v>
      </c>
      <c r="AW121">
        <f t="shared" si="41"/>
        <v>1936.3645133002046</v>
      </c>
      <c r="AX121">
        <f t="shared" si="33"/>
        <v>2.2800492269562101E-5</v>
      </c>
      <c r="AY121">
        <f t="shared" si="42"/>
        <v>1.0541225846534099E-3</v>
      </c>
      <c r="AZ121">
        <f t="shared" si="34"/>
        <v>23.506933637771041</v>
      </c>
      <c r="BA121">
        <f t="shared" si="35"/>
        <v>0.73303776768784257</v>
      </c>
      <c r="BD121" t="e">
        <f t="shared" si="36"/>
        <v>#DIV/0!</v>
      </c>
    </row>
    <row r="122" spans="1:56" x14ac:dyDescent="0.25">
      <c r="A122" t="s">
        <v>5</v>
      </c>
      <c r="B122" t="s">
        <v>18</v>
      </c>
      <c r="C122">
        <v>20</v>
      </c>
      <c r="G122">
        <f t="shared" si="38"/>
        <v>294.58333333333576</v>
      </c>
      <c r="H122" s="2">
        <v>45009.583333333336</v>
      </c>
      <c r="AF122">
        <v>201.8</v>
      </c>
      <c r="AG122">
        <v>139.81</v>
      </c>
      <c r="AL122">
        <v>350.59</v>
      </c>
      <c r="AM122">
        <v>350.53</v>
      </c>
      <c r="AN122">
        <f t="shared" si="26"/>
        <v>-1.999999999998181E-2</v>
      </c>
      <c r="AO122">
        <f t="shared" si="32"/>
        <v>6.0000000000002274E-2</v>
      </c>
      <c r="AP122">
        <v>49.5</v>
      </c>
      <c r="AQ122">
        <v>993</v>
      </c>
      <c r="AR122">
        <v>22</v>
      </c>
      <c r="AS122">
        <v>34</v>
      </c>
      <c r="AT122">
        <f t="shared" si="39"/>
        <v>5.3137007027131622</v>
      </c>
      <c r="AU122">
        <f t="shared" si="40"/>
        <v>48.199999999999989</v>
      </c>
      <c r="AV122">
        <v>993</v>
      </c>
      <c r="AW122">
        <f t="shared" si="41"/>
        <v>2012.782157676349</v>
      </c>
      <c r="AX122">
        <f t="shared" si="33"/>
        <v>2.1911372160608091E-5</v>
      </c>
      <c r="AY122">
        <f t="shared" si="42"/>
        <v>1.1902098399606501E-3</v>
      </c>
      <c r="AZ122">
        <f t="shared" si="34"/>
        <v>26.541679431122496</v>
      </c>
      <c r="BA122">
        <f t="shared" si="35"/>
        <v>0.62453773932347167</v>
      </c>
      <c r="BD122" t="e">
        <f t="shared" si="36"/>
        <v>#DIV/0!</v>
      </c>
    </row>
    <row r="123" spans="1:56" x14ac:dyDescent="0.25">
      <c r="A123" t="s">
        <v>6</v>
      </c>
      <c r="B123" t="s">
        <v>18</v>
      </c>
      <c r="C123">
        <v>20</v>
      </c>
      <c r="G123">
        <f t="shared" si="38"/>
        <v>294.58333333333576</v>
      </c>
      <c r="H123" s="2">
        <v>45009.583333333336</v>
      </c>
      <c r="AF123">
        <v>205.13</v>
      </c>
      <c r="AG123">
        <v>139.01</v>
      </c>
      <c r="AL123">
        <v>353.19</v>
      </c>
      <c r="AM123">
        <v>353.13</v>
      </c>
      <c r="AN123">
        <f t="shared" si="26"/>
        <v>-9.9999999999909051E-3</v>
      </c>
      <c r="AO123">
        <f t="shared" si="32"/>
        <v>6.0000000000002274E-2</v>
      </c>
      <c r="AP123">
        <v>52</v>
      </c>
      <c r="AQ123">
        <v>993</v>
      </c>
      <c r="AR123">
        <v>22</v>
      </c>
      <c r="AS123">
        <v>34</v>
      </c>
      <c r="AT123">
        <f t="shared" si="39"/>
        <v>5.3137007027131622</v>
      </c>
      <c r="AU123">
        <f t="shared" si="40"/>
        <v>44.870000000000005</v>
      </c>
      <c r="AV123">
        <v>993</v>
      </c>
      <c r="AW123">
        <f t="shared" si="41"/>
        <v>2143.7911745041229</v>
      </c>
      <c r="AX123">
        <f t="shared" si="33"/>
        <v>2.053831516784254E-5</v>
      </c>
      <c r="AY123">
        <f t="shared" si="42"/>
        <v>1.1333078386783549E-3</v>
      </c>
      <c r="AZ123">
        <f t="shared" si="34"/>
        <v>25.272764802527316</v>
      </c>
      <c r="BA123">
        <f t="shared" si="35"/>
        <v>0.66990472640231258</v>
      </c>
      <c r="BD123" t="e">
        <f t="shared" si="36"/>
        <v>#DIV/0!</v>
      </c>
    </row>
    <row r="124" spans="1:56" x14ac:dyDescent="0.25">
      <c r="A124" t="s">
        <v>7</v>
      </c>
      <c r="B124" t="s">
        <v>18</v>
      </c>
      <c r="C124">
        <v>20</v>
      </c>
      <c r="G124">
        <f t="shared" si="38"/>
        <v>294.58333333333576</v>
      </c>
      <c r="H124" s="2">
        <v>45009.583333333336</v>
      </c>
      <c r="AF124">
        <v>177.85000000000002</v>
      </c>
      <c r="AG124">
        <v>139.94999999999999</v>
      </c>
      <c r="AL124">
        <v>326.92</v>
      </c>
      <c r="AM124">
        <v>326.87</v>
      </c>
      <c r="AN124">
        <f t="shared" si="26"/>
        <v>-9.9999999999909051E-3</v>
      </c>
      <c r="AO124">
        <f t="shared" si="32"/>
        <v>5.0000000000011369E-2</v>
      </c>
      <c r="AP124">
        <v>27.5</v>
      </c>
      <c r="AQ124">
        <v>993</v>
      </c>
      <c r="AR124">
        <v>22</v>
      </c>
      <c r="AS124">
        <v>34</v>
      </c>
      <c r="AT124">
        <f t="shared" si="39"/>
        <v>5.3137007027131622</v>
      </c>
      <c r="AU124">
        <f t="shared" si="40"/>
        <v>72.149999999999977</v>
      </c>
      <c r="AV124">
        <v>993</v>
      </c>
      <c r="AW124">
        <f t="shared" si="41"/>
        <v>1371.4823284823285</v>
      </c>
      <c r="AX124">
        <f t="shared" si="33"/>
        <v>3.2570005369465826E-5</v>
      </c>
      <c r="AY124">
        <f t="shared" si="42"/>
        <v>1.7856118128127658E-3</v>
      </c>
      <c r="AZ124">
        <f t="shared" si="34"/>
        <v>39.819143425724675</v>
      </c>
      <c r="BA124">
        <f t="shared" si="35"/>
        <v>0.14983398549429111</v>
      </c>
      <c r="BD124" t="e">
        <f t="shared" si="36"/>
        <v>#DIV/0!</v>
      </c>
    </row>
    <row r="125" spans="1:56" x14ac:dyDescent="0.25">
      <c r="A125" t="s">
        <v>8</v>
      </c>
      <c r="B125" t="s">
        <v>19</v>
      </c>
      <c r="C125">
        <v>10</v>
      </c>
      <c r="G125">
        <f t="shared" si="38"/>
        <v>294.58333333333576</v>
      </c>
      <c r="H125" s="2">
        <v>45009.583333333336</v>
      </c>
      <c r="AF125">
        <v>142.11999999999998</v>
      </c>
      <c r="AG125">
        <v>139.71</v>
      </c>
      <c r="AL125">
        <v>291.01</v>
      </c>
      <c r="AM125">
        <v>290.92</v>
      </c>
      <c r="AN125">
        <f t="shared" si="26"/>
        <v>-9.9999999999909051E-3</v>
      </c>
      <c r="AO125">
        <f t="shared" si="32"/>
        <v>8.9999999999974989E-2</v>
      </c>
      <c r="AP125">
        <v>53.5</v>
      </c>
      <c r="AQ125">
        <v>993</v>
      </c>
      <c r="AR125">
        <v>22</v>
      </c>
      <c r="AS125">
        <v>34</v>
      </c>
      <c r="AT125">
        <f t="shared" si="39"/>
        <v>5.3137007027131622</v>
      </c>
      <c r="AU125">
        <f t="shared" si="40"/>
        <v>107.88000000000002</v>
      </c>
      <c r="AV125">
        <v>993</v>
      </c>
      <c r="AW125">
        <f t="shared" si="41"/>
        <v>1485.4499443826473</v>
      </c>
      <c r="AX125">
        <f t="shared" si="33"/>
        <v>2.9978444709075544E-5</v>
      </c>
      <c r="AY125">
        <f t="shared" si="42"/>
        <v>1.6522645459446626E-3</v>
      </c>
      <c r="AZ125">
        <f t="shared" si="34"/>
        <v>36.845499374565975</v>
      </c>
      <c r="BA125">
        <f t="shared" si="35"/>
        <v>0.25614946819571055</v>
      </c>
      <c r="BD125" t="e">
        <f t="shared" si="36"/>
        <v>#DIV/0!</v>
      </c>
    </row>
    <row r="126" spans="1:56" x14ac:dyDescent="0.25">
      <c r="A126" t="s">
        <v>9</v>
      </c>
      <c r="B126" t="s">
        <v>19</v>
      </c>
      <c r="C126">
        <v>10</v>
      </c>
      <c r="G126">
        <f t="shared" si="38"/>
        <v>294.58333333333576</v>
      </c>
      <c r="H126" s="2">
        <v>45009.583333333336</v>
      </c>
      <c r="AF126">
        <v>136.42000000000002</v>
      </c>
      <c r="AG126">
        <v>139.75</v>
      </c>
      <c r="AL126">
        <v>285.39999999999998</v>
      </c>
      <c r="AM126">
        <v>285.32</v>
      </c>
      <c r="AN126">
        <f t="shared" si="26"/>
        <v>0</v>
      </c>
      <c r="AO126">
        <f t="shared" si="32"/>
        <v>7.9999999999984084E-2</v>
      </c>
      <c r="AP126">
        <v>52.5</v>
      </c>
      <c r="AQ126">
        <v>993</v>
      </c>
      <c r="AR126">
        <v>22</v>
      </c>
      <c r="AS126">
        <v>34</v>
      </c>
      <c r="AT126">
        <f t="shared" si="39"/>
        <v>5.3137007027131622</v>
      </c>
      <c r="AU126">
        <f t="shared" si="40"/>
        <v>113.57999999999998</v>
      </c>
      <c r="AV126">
        <v>993</v>
      </c>
      <c r="AW126">
        <f t="shared" si="41"/>
        <v>1451.9936608557846</v>
      </c>
      <c r="AX126">
        <f t="shared" si="33"/>
        <v>3.0695435505191863E-5</v>
      </c>
      <c r="AY126">
        <f t="shared" si="42"/>
        <v>1.4931140883040288E-3</v>
      </c>
      <c r="AZ126">
        <f t="shared" si="34"/>
        <v>33.296444169179843</v>
      </c>
      <c r="BA126">
        <f t="shared" si="35"/>
        <v>0.38303739116267987</v>
      </c>
      <c r="BD126" t="e">
        <f t="shared" si="36"/>
        <v>#DIV/0!</v>
      </c>
    </row>
    <row r="127" spans="1:56" x14ac:dyDescent="0.25">
      <c r="A127" t="s">
        <v>10</v>
      </c>
      <c r="B127" t="s">
        <v>19</v>
      </c>
      <c r="C127">
        <v>10</v>
      </c>
      <c r="G127">
        <f t="shared" si="38"/>
        <v>294.58333333333576</v>
      </c>
      <c r="H127" s="2">
        <v>45009.583333333336</v>
      </c>
      <c r="AF127">
        <v>117.85000000000002</v>
      </c>
      <c r="AG127">
        <v>140.44999999999999</v>
      </c>
      <c r="AL127">
        <v>267.52</v>
      </c>
      <c r="AM127">
        <v>267.36500000000001</v>
      </c>
      <c r="AN127">
        <f t="shared" si="26"/>
        <v>0</v>
      </c>
      <c r="AO127">
        <f t="shared" si="32"/>
        <v>0.15499999999997272</v>
      </c>
      <c r="AP127">
        <v>52.5</v>
      </c>
      <c r="AQ127">
        <v>993</v>
      </c>
      <c r="AR127">
        <v>22</v>
      </c>
      <c r="AS127">
        <v>34</v>
      </c>
      <c r="AT127">
        <f t="shared" si="39"/>
        <v>5.3137007027131622</v>
      </c>
      <c r="AU127">
        <f t="shared" si="40"/>
        <v>132.14999999999998</v>
      </c>
      <c r="AV127">
        <v>993</v>
      </c>
      <c r="AW127">
        <f t="shared" si="41"/>
        <v>1387.4948921679909</v>
      </c>
      <c r="AX127">
        <f t="shared" si="33"/>
        <v>3.2179158737517547E-5</v>
      </c>
      <c r="AY127">
        <f t="shared" si="42"/>
        <v>2.9202017936429151E-3</v>
      </c>
      <c r="AZ127">
        <f t="shared" si="34"/>
        <v>65.120499998237008</v>
      </c>
      <c r="BA127">
        <f t="shared" si="35"/>
        <v>-0.7547550946813375</v>
      </c>
      <c r="BD127" t="e">
        <f t="shared" si="36"/>
        <v>#DIV/0!</v>
      </c>
    </row>
    <row r="128" spans="1:56" x14ac:dyDescent="0.25">
      <c r="A128" t="s">
        <v>11</v>
      </c>
      <c r="B128" t="s">
        <v>19</v>
      </c>
      <c r="C128">
        <v>10</v>
      </c>
      <c r="G128">
        <f t="shared" si="38"/>
        <v>294.58333333333576</v>
      </c>
      <c r="H128" s="2">
        <v>45009.583333333336</v>
      </c>
      <c r="AF128">
        <v>107.53</v>
      </c>
      <c r="AG128">
        <v>140</v>
      </c>
      <c r="AL128">
        <v>256.8</v>
      </c>
      <c r="AM128">
        <v>256.72000000000003</v>
      </c>
      <c r="AN128">
        <f t="shared" si="26"/>
        <v>0</v>
      </c>
      <c r="AO128">
        <f t="shared" si="32"/>
        <v>7.9999999999984084E-2</v>
      </c>
      <c r="AP128">
        <v>61.5</v>
      </c>
      <c r="AQ128">
        <v>993</v>
      </c>
      <c r="AR128">
        <v>22</v>
      </c>
      <c r="AS128">
        <v>34</v>
      </c>
      <c r="AT128">
        <f t="shared" si="39"/>
        <v>5.3137007027131622</v>
      </c>
      <c r="AU128">
        <f t="shared" si="40"/>
        <v>142.47</v>
      </c>
      <c r="AV128">
        <v>993</v>
      </c>
      <c r="AW128">
        <f t="shared" si="41"/>
        <v>1421.648136449779</v>
      </c>
      <c r="AX128">
        <f t="shared" si="33"/>
        <v>3.137607964994846E-5</v>
      </c>
      <c r="AY128">
        <f t="shared" si="42"/>
        <v>1.2694369284798742E-3</v>
      </c>
      <c r="AZ128">
        <f t="shared" si="34"/>
        <v>28.308443505101195</v>
      </c>
      <c r="BA128">
        <f t="shared" si="35"/>
        <v>0.56137134411508061</v>
      </c>
      <c r="BD128" t="e">
        <f t="shared" si="36"/>
        <v>#DIV/0!</v>
      </c>
    </row>
    <row r="129" spans="1:56" x14ac:dyDescent="0.25">
      <c r="A129" t="s">
        <v>12</v>
      </c>
      <c r="B129" t="s">
        <v>19</v>
      </c>
      <c r="C129">
        <v>20</v>
      </c>
      <c r="G129">
        <f t="shared" si="38"/>
        <v>294.58333333333576</v>
      </c>
      <c r="H129" s="2">
        <v>45009.583333333336</v>
      </c>
      <c r="AF129">
        <v>109.43</v>
      </c>
      <c r="AG129">
        <v>140.19999999999999</v>
      </c>
      <c r="AL129">
        <v>258.76</v>
      </c>
      <c r="AM129">
        <v>258.67</v>
      </c>
      <c r="AN129">
        <f t="shared" ref="AN129:AN192" si="43">AM113-AL129</f>
        <v>-4.9999999999954525E-3</v>
      </c>
      <c r="AO129">
        <f t="shared" si="32"/>
        <v>8.9999999999974989E-2</v>
      </c>
      <c r="AP129">
        <v>65</v>
      </c>
      <c r="AQ129">
        <v>993</v>
      </c>
      <c r="AR129">
        <v>22</v>
      </c>
      <c r="AS129">
        <v>34</v>
      </c>
      <c r="AT129">
        <f t="shared" si="39"/>
        <v>5.3137007027131622</v>
      </c>
      <c r="AU129">
        <f t="shared" si="40"/>
        <v>140.57</v>
      </c>
      <c r="AV129">
        <v>993</v>
      </c>
      <c r="AW129">
        <f t="shared" si="41"/>
        <v>1452.1662516895497</v>
      </c>
      <c r="AX129">
        <f t="shared" si="33"/>
        <v>3.0691648771764489E-5</v>
      </c>
      <c r="AY129">
        <f t="shared" si="42"/>
        <v>1.3539237358432355E-3</v>
      </c>
      <c r="AZ129">
        <f t="shared" si="34"/>
        <v>30.19249930930415</v>
      </c>
      <c r="BA129">
        <f t="shared" si="35"/>
        <v>0.49401146552362707</v>
      </c>
      <c r="BD129" t="e">
        <f t="shared" si="36"/>
        <v>#DIV/0!</v>
      </c>
    </row>
    <row r="130" spans="1:56" x14ac:dyDescent="0.25">
      <c r="A130" t="s">
        <v>13</v>
      </c>
      <c r="B130" t="s">
        <v>19</v>
      </c>
      <c r="C130">
        <v>20</v>
      </c>
      <c r="G130">
        <f t="shared" si="38"/>
        <v>294.58333333333576</v>
      </c>
      <c r="H130" s="2">
        <v>45009.583333333336</v>
      </c>
      <c r="AF130">
        <v>129.52999999999997</v>
      </c>
      <c r="AG130">
        <v>140.24</v>
      </c>
      <c r="AL130">
        <v>278.92</v>
      </c>
      <c r="AM130">
        <v>278.82</v>
      </c>
      <c r="AN130">
        <f t="shared" si="43"/>
        <v>4.9999999999954525E-3</v>
      </c>
      <c r="AO130">
        <f t="shared" si="32"/>
        <v>0.10000000000002274</v>
      </c>
      <c r="AP130">
        <v>66.5</v>
      </c>
      <c r="AQ130">
        <v>993</v>
      </c>
      <c r="AR130">
        <v>22</v>
      </c>
      <c r="AS130">
        <v>34</v>
      </c>
      <c r="AT130">
        <f t="shared" si="39"/>
        <v>5.3137007027131622</v>
      </c>
      <c r="AU130">
        <f t="shared" si="40"/>
        <v>120.47000000000003</v>
      </c>
      <c r="AV130">
        <v>993</v>
      </c>
      <c r="AW130">
        <f t="shared" si="41"/>
        <v>1541.140615920976</v>
      </c>
      <c r="AX130">
        <f t="shared" si="33"/>
        <v>2.8856458372789597E-5</v>
      </c>
      <c r="AY130">
        <f t="shared" si="42"/>
        <v>1.4749029401237928E-3</v>
      </c>
      <c r="AZ130">
        <f t="shared" si="34"/>
        <v>32.890335564760576</v>
      </c>
      <c r="BA130">
        <f t="shared" si="35"/>
        <v>0.39755682642972551</v>
      </c>
      <c r="BD130" t="e">
        <f t="shared" si="36"/>
        <v>#DIV/0!</v>
      </c>
    </row>
    <row r="131" spans="1:56" x14ac:dyDescent="0.25">
      <c r="A131" t="s">
        <v>14</v>
      </c>
      <c r="B131" t="s">
        <v>19</v>
      </c>
      <c r="C131">
        <v>20</v>
      </c>
      <c r="G131">
        <f t="shared" si="38"/>
        <v>294.58333333333576</v>
      </c>
      <c r="H131" s="2">
        <v>45009.583333333336</v>
      </c>
      <c r="AF131">
        <v>94.359999999999985</v>
      </c>
      <c r="AG131">
        <v>138.74</v>
      </c>
      <c r="AL131">
        <v>242.24</v>
      </c>
      <c r="AM131">
        <v>242.13</v>
      </c>
      <c r="AN131">
        <f t="shared" si="43"/>
        <v>0</v>
      </c>
      <c r="AO131">
        <f t="shared" si="32"/>
        <v>0.11000000000001364</v>
      </c>
      <c r="AP131">
        <v>57.5</v>
      </c>
      <c r="AQ131">
        <v>993</v>
      </c>
      <c r="AR131">
        <v>22</v>
      </c>
      <c r="AS131">
        <v>34</v>
      </c>
      <c r="AT131">
        <f t="shared" si="39"/>
        <v>5.3137007027131622</v>
      </c>
      <c r="AU131">
        <f t="shared" si="40"/>
        <v>155.64000000000001</v>
      </c>
      <c r="AV131">
        <v>993</v>
      </c>
      <c r="AW131">
        <f t="shared" si="41"/>
        <v>1359.8562066306863</v>
      </c>
      <c r="AX131">
        <f t="shared" si="33"/>
        <v>3.2859786717477647E-5</v>
      </c>
      <c r="AY131">
        <f t="shared" si="42"/>
        <v>1.8801836915436291E-3</v>
      </c>
      <c r="AZ131">
        <f t="shared" si="34"/>
        <v>41.928096321422927</v>
      </c>
      <c r="BA131">
        <f t="shared" si="35"/>
        <v>7.4433452934468028E-2</v>
      </c>
      <c r="BD131" t="e">
        <f t="shared" si="36"/>
        <v>#DIV/0!</v>
      </c>
    </row>
    <row r="132" spans="1:56" x14ac:dyDescent="0.25">
      <c r="A132" t="s">
        <v>15</v>
      </c>
      <c r="B132" t="s">
        <v>19</v>
      </c>
      <c r="C132">
        <v>20</v>
      </c>
      <c r="G132">
        <f t="shared" si="38"/>
        <v>294.58333333333576</v>
      </c>
      <c r="H132" s="2">
        <v>45009.583333333336</v>
      </c>
      <c r="AF132">
        <v>85.4</v>
      </c>
      <c r="AG132">
        <v>140.1</v>
      </c>
      <c r="AL132">
        <v>234.65</v>
      </c>
      <c r="AM132">
        <v>234.57</v>
      </c>
      <c r="AN132">
        <f t="shared" si="43"/>
        <v>-4.9999999999954525E-3</v>
      </c>
      <c r="AO132">
        <f t="shared" si="32"/>
        <v>8.0000000000012506E-2</v>
      </c>
      <c r="AP132">
        <v>69</v>
      </c>
      <c r="AQ132">
        <v>993</v>
      </c>
      <c r="AR132">
        <v>22</v>
      </c>
      <c r="AS132">
        <v>34</v>
      </c>
      <c r="AT132">
        <f t="shared" si="39"/>
        <v>5.3137007027131622</v>
      </c>
      <c r="AU132">
        <f t="shared" si="40"/>
        <v>164.6</v>
      </c>
      <c r="AV132">
        <v>993</v>
      </c>
      <c r="AW132">
        <f t="shared" si="41"/>
        <v>1409.2636695018227</v>
      </c>
      <c r="AX132">
        <f t="shared" si="33"/>
        <v>3.1662613372891523E-5</v>
      </c>
      <c r="AY132">
        <f t="shared" si="42"/>
        <v>1.1277576764823622E-3</v>
      </c>
      <c r="AZ132">
        <f t="shared" si="34"/>
        <v>25.148996185556676</v>
      </c>
      <c r="BA132">
        <f t="shared" si="35"/>
        <v>0.67432977527505622</v>
      </c>
      <c r="BD132" t="e">
        <f t="shared" si="36"/>
        <v>#DIV/0!</v>
      </c>
    </row>
    <row r="133" spans="1:56" x14ac:dyDescent="0.25">
      <c r="A133" t="s">
        <v>0</v>
      </c>
      <c r="B133" t="s">
        <v>18</v>
      </c>
      <c r="C133">
        <v>10</v>
      </c>
      <c r="G133">
        <f t="shared" si="38"/>
        <v>297.41666666666424</v>
      </c>
      <c r="H133" s="7">
        <v>45012.416666666664</v>
      </c>
      <c r="AF133">
        <v>172.77</v>
      </c>
      <c r="AG133">
        <v>139.16999999999999</v>
      </c>
      <c r="AL133">
        <v>321.27999999999997</v>
      </c>
      <c r="AM133">
        <v>321.27999999999997</v>
      </c>
      <c r="AN133">
        <f t="shared" si="43"/>
        <v>0</v>
      </c>
      <c r="AO133">
        <f t="shared" si="32"/>
        <v>0</v>
      </c>
      <c r="AP133">
        <v>0</v>
      </c>
      <c r="AQ133">
        <v>1010</v>
      </c>
      <c r="AR133">
        <v>22</v>
      </c>
      <c r="AS133">
        <v>34</v>
      </c>
      <c r="AT133">
        <f t="shared" ref="AT133:AT148" si="44">0.61094*EXP(17.625*AS133/(243.04+AS133))</f>
        <v>5.3137007027131622</v>
      </c>
      <c r="AU133">
        <f t="shared" si="40"/>
        <v>77.22999999999999</v>
      </c>
      <c r="AV133">
        <v>1010</v>
      </c>
      <c r="AW133">
        <f t="shared" si="41"/>
        <v>1010</v>
      </c>
      <c r="AX133">
        <f t="shared" si="33"/>
        <v>4.4874255263233305E-5</v>
      </c>
      <c r="AY133" t="e">
        <f t="shared" si="42"/>
        <v>#DIV/0!</v>
      </c>
      <c r="AZ133" t="e">
        <f t="shared" si="34"/>
        <v>#DIV/0!</v>
      </c>
      <c r="BA133" t="e">
        <f t="shared" si="35"/>
        <v>#DIV/0!</v>
      </c>
      <c r="BD133" t="e">
        <f t="shared" si="36"/>
        <v>#DIV/0!</v>
      </c>
    </row>
    <row r="134" spans="1:56" x14ac:dyDescent="0.25">
      <c r="A134" t="s">
        <v>1</v>
      </c>
      <c r="B134" t="s">
        <v>18</v>
      </c>
      <c r="C134">
        <v>10</v>
      </c>
      <c r="G134">
        <f t="shared" si="38"/>
        <v>297.41666666666424</v>
      </c>
      <c r="H134" s="7">
        <v>45012.416666666664</v>
      </c>
      <c r="AF134">
        <v>173.93</v>
      </c>
      <c r="AG134">
        <v>141.25</v>
      </c>
      <c r="AL134">
        <v>324.41500000000002</v>
      </c>
      <c r="AM134">
        <v>324.41500000000002</v>
      </c>
      <c r="AN134">
        <f t="shared" si="43"/>
        <v>0</v>
      </c>
      <c r="AO134">
        <f t="shared" si="32"/>
        <v>0</v>
      </c>
      <c r="AP134">
        <v>0</v>
      </c>
      <c r="AQ134">
        <v>1010</v>
      </c>
      <c r="AR134">
        <v>22</v>
      </c>
      <c r="AS134">
        <v>34</v>
      </c>
      <c r="AT134">
        <f t="shared" si="44"/>
        <v>5.3137007027131622</v>
      </c>
      <c r="AU134">
        <f t="shared" si="40"/>
        <v>76.069999999999993</v>
      </c>
      <c r="AV134">
        <v>1010</v>
      </c>
      <c r="AW134">
        <f t="shared" si="41"/>
        <v>1010</v>
      </c>
      <c r="AX134">
        <f t="shared" si="33"/>
        <v>4.4874255263233305E-5</v>
      </c>
      <c r="AY134" t="e">
        <f t="shared" si="42"/>
        <v>#DIV/0!</v>
      </c>
      <c r="AZ134" t="e">
        <f t="shared" si="34"/>
        <v>#DIV/0!</v>
      </c>
      <c r="BA134" t="e">
        <f t="shared" si="35"/>
        <v>#DIV/0!</v>
      </c>
      <c r="BD134" t="e">
        <f t="shared" si="36"/>
        <v>#DIV/0!</v>
      </c>
    </row>
    <row r="135" spans="1:56" x14ac:dyDescent="0.25">
      <c r="A135" t="s">
        <v>2</v>
      </c>
      <c r="B135" t="s">
        <v>18</v>
      </c>
      <c r="C135">
        <v>10</v>
      </c>
      <c r="G135">
        <f t="shared" si="38"/>
        <v>297.41666666666424</v>
      </c>
      <c r="H135" s="7">
        <v>45012.416666666664</v>
      </c>
      <c r="AF135">
        <v>162.82000000000002</v>
      </c>
      <c r="AG135">
        <v>140.66</v>
      </c>
      <c r="AL135">
        <v>312.76</v>
      </c>
      <c r="AM135">
        <v>312.76</v>
      </c>
      <c r="AN135">
        <f t="shared" si="43"/>
        <v>0</v>
      </c>
      <c r="AO135">
        <f t="shared" si="32"/>
        <v>0</v>
      </c>
      <c r="AP135">
        <v>0</v>
      </c>
      <c r="AQ135">
        <v>1010</v>
      </c>
      <c r="AR135">
        <v>22</v>
      </c>
      <c r="AS135">
        <v>34</v>
      </c>
      <c r="AT135">
        <f t="shared" si="44"/>
        <v>5.3137007027131622</v>
      </c>
      <c r="AU135">
        <f t="shared" si="40"/>
        <v>87.179999999999978</v>
      </c>
      <c r="AV135">
        <v>1010</v>
      </c>
      <c r="AW135">
        <f t="shared" si="41"/>
        <v>1010</v>
      </c>
      <c r="AX135">
        <f t="shared" si="33"/>
        <v>4.4874255263233305E-5</v>
      </c>
      <c r="AY135" t="e">
        <f t="shared" si="42"/>
        <v>#DIV/0!</v>
      </c>
      <c r="AZ135" t="e">
        <f t="shared" si="34"/>
        <v>#DIV/0!</v>
      </c>
      <c r="BA135" t="e">
        <f t="shared" si="35"/>
        <v>#DIV/0!</v>
      </c>
      <c r="BD135" t="e">
        <f t="shared" si="36"/>
        <v>#DIV/0!</v>
      </c>
    </row>
    <row r="136" spans="1:56" x14ac:dyDescent="0.25">
      <c r="A136" t="s">
        <v>3</v>
      </c>
      <c r="B136" t="s">
        <v>18</v>
      </c>
      <c r="C136">
        <v>10</v>
      </c>
      <c r="G136">
        <f t="shared" si="38"/>
        <v>297.41666666666424</v>
      </c>
      <c r="H136" s="7">
        <v>45012.416666666664</v>
      </c>
      <c r="AF136">
        <v>187.81</v>
      </c>
      <c r="AG136">
        <v>140</v>
      </c>
      <c r="AL136">
        <v>337.08</v>
      </c>
      <c r="AM136">
        <v>337.08</v>
      </c>
      <c r="AN136">
        <f t="shared" si="43"/>
        <v>0</v>
      </c>
      <c r="AO136">
        <f t="shared" si="32"/>
        <v>0</v>
      </c>
      <c r="AP136">
        <v>0</v>
      </c>
      <c r="AQ136">
        <v>1010</v>
      </c>
      <c r="AR136">
        <v>22</v>
      </c>
      <c r="AS136">
        <v>34</v>
      </c>
      <c r="AT136">
        <f t="shared" si="44"/>
        <v>5.3137007027131622</v>
      </c>
      <c r="AU136">
        <f t="shared" si="40"/>
        <v>62.19</v>
      </c>
      <c r="AV136">
        <v>1010</v>
      </c>
      <c r="AW136">
        <f t="shared" si="41"/>
        <v>1010</v>
      </c>
      <c r="AX136">
        <f t="shared" si="33"/>
        <v>4.4874255263233305E-5</v>
      </c>
      <c r="AY136" t="e">
        <f t="shared" si="42"/>
        <v>#DIV/0!</v>
      </c>
      <c r="AZ136" t="e">
        <f t="shared" si="34"/>
        <v>#DIV/0!</v>
      </c>
      <c r="BA136" t="e">
        <f t="shared" si="35"/>
        <v>#DIV/0!</v>
      </c>
      <c r="BD136" t="e">
        <f t="shared" si="36"/>
        <v>#DIV/0!</v>
      </c>
    </row>
    <row r="137" spans="1:56" x14ac:dyDescent="0.25">
      <c r="A137" t="s">
        <v>4</v>
      </c>
      <c r="B137" t="s">
        <v>18</v>
      </c>
      <c r="C137">
        <v>20</v>
      </c>
      <c r="G137">
        <f t="shared" si="38"/>
        <v>297.41666666666424</v>
      </c>
      <c r="H137" s="7">
        <v>45012.416666666664</v>
      </c>
      <c r="AF137">
        <v>181.58</v>
      </c>
      <c r="AG137">
        <v>139.4</v>
      </c>
      <c r="AL137">
        <v>329.90499999999997</v>
      </c>
      <c r="AM137">
        <v>329.79</v>
      </c>
      <c r="AN137">
        <f t="shared" si="43"/>
        <v>4.5000000000015916E-2</v>
      </c>
      <c r="AO137">
        <f t="shared" si="32"/>
        <v>0.11499999999995225</v>
      </c>
      <c r="AP137">
        <v>75</v>
      </c>
      <c r="AQ137">
        <v>1010</v>
      </c>
      <c r="AR137">
        <v>22</v>
      </c>
      <c r="AS137">
        <v>34</v>
      </c>
      <c r="AT137">
        <f t="shared" si="44"/>
        <v>5.3137007027131622</v>
      </c>
      <c r="AU137">
        <f t="shared" si="40"/>
        <v>68.419999999999987</v>
      </c>
      <c r="AV137">
        <v>1010</v>
      </c>
      <c r="AW137">
        <f t="shared" si="41"/>
        <v>2117.1324174218066</v>
      </c>
      <c r="AX137">
        <f t="shared" si="33"/>
        <v>2.0803589960694369E-5</v>
      </c>
      <c r="AY137">
        <f t="shared" si="42"/>
        <v>1.5125297433720023E-3</v>
      </c>
      <c r="AZ137">
        <f t="shared" si="34"/>
        <v>33.729413277195654</v>
      </c>
      <c r="BA137">
        <f t="shared" si="35"/>
        <v>0.36755762326794222</v>
      </c>
      <c r="BD137" t="e">
        <f t="shared" si="36"/>
        <v>#DIV/0!</v>
      </c>
    </row>
    <row r="138" spans="1:56" x14ac:dyDescent="0.25">
      <c r="A138" t="s">
        <v>5</v>
      </c>
      <c r="B138" t="s">
        <v>18</v>
      </c>
      <c r="C138">
        <v>20</v>
      </c>
      <c r="G138">
        <f t="shared" si="38"/>
        <v>297.41666666666424</v>
      </c>
      <c r="H138" s="7">
        <v>45012.416666666664</v>
      </c>
      <c r="AF138">
        <v>201.8</v>
      </c>
      <c r="AG138">
        <v>139.81</v>
      </c>
      <c r="AL138">
        <v>350.48</v>
      </c>
      <c r="AM138">
        <v>350.39</v>
      </c>
      <c r="AN138">
        <f t="shared" si="43"/>
        <v>4.9999999999954525E-2</v>
      </c>
      <c r="AO138">
        <f t="shared" si="32"/>
        <v>9.0000000000031832E-2</v>
      </c>
      <c r="AP138">
        <v>88</v>
      </c>
      <c r="AQ138">
        <v>1010</v>
      </c>
      <c r="AR138">
        <v>22</v>
      </c>
      <c r="AS138">
        <v>34</v>
      </c>
      <c r="AT138">
        <f t="shared" si="44"/>
        <v>5.3137007027131622</v>
      </c>
      <c r="AU138">
        <f t="shared" si="40"/>
        <v>48.199999999999989</v>
      </c>
      <c r="AV138">
        <v>1010</v>
      </c>
      <c r="AW138">
        <f t="shared" si="41"/>
        <v>2853.9834024896272</v>
      </c>
      <c r="AX138">
        <f t="shared" si="33"/>
        <v>1.533054946110874E-5</v>
      </c>
      <c r="AY138">
        <f t="shared" si="42"/>
        <v>1.0073967232665257E-3</v>
      </c>
      <c r="AZ138">
        <f t="shared" si="34"/>
        <v>22.464946928843524</v>
      </c>
      <c r="BA138">
        <f t="shared" si="35"/>
        <v>0.77029149342711745</v>
      </c>
      <c r="BD138" t="e">
        <f t="shared" si="36"/>
        <v>#DIV/0!</v>
      </c>
    </row>
    <row r="139" spans="1:56" x14ac:dyDescent="0.25">
      <c r="A139" t="s">
        <v>6</v>
      </c>
      <c r="B139" t="s">
        <v>18</v>
      </c>
      <c r="C139">
        <v>20</v>
      </c>
      <c r="G139">
        <f t="shared" si="38"/>
        <v>297.41666666666424</v>
      </c>
      <c r="H139" s="7">
        <v>45012.416666666664</v>
      </c>
      <c r="AF139">
        <v>205.13</v>
      </c>
      <c r="AG139">
        <v>139.01</v>
      </c>
      <c r="AL139">
        <v>353.08</v>
      </c>
      <c r="AM139">
        <v>353.01499999999999</v>
      </c>
      <c r="AN139">
        <f t="shared" si="43"/>
        <v>5.0000000000011369E-2</v>
      </c>
      <c r="AO139">
        <f t="shared" si="32"/>
        <v>6.4999999999997726E-2</v>
      </c>
      <c r="AP139">
        <v>64</v>
      </c>
      <c r="AQ139">
        <v>1010</v>
      </c>
      <c r="AR139">
        <v>22</v>
      </c>
      <c r="AS139">
        <v>34</v>
      </c>
      <c r="AT139">
        <f t="shared" si="44"/>
        <v>5.3137007027131622</v>
      </c>
      <c r="AU139">
        <f t="shared" si="40"/>
        <v>44.870000000000005</v>
      </c>
      <c r="AV139">
        <v>1010</v>
      </c>
      <c r="AW139">
        <f t="shared" si="41"/>
        <v>2450.6061956763983</v>
      </c>
      <c r="AX139">
        <f t="shared" si="33"/>
        <v>1.7909933692535774E-5</v>
      </c>
      <c r="AY139">
        <f t="shared" si="42"/>
        <v>9.9771506630742866E-4</v>
      </c>
      <c r="AZ139">
        <f t="shared" si="34"/>
        <v>22.249045978655658</v>
      </c>
      <c r="BA139">
        <f t="shared" si="35"/>
        <v>0.77801051202518201</v>
      </c>
      <c r="BD139" t="e">
        <f t="shared" si="36"/>
        <v>#DIV/0!</v>
      </c>
    </row>
    <row r="140" spans="1:56" x14ac:dyDescent="0.25">
      <c r="A140" t="s">
        <v>7</v>
      </c>
      <c r="B140" t="s">
        <v>18</v>
      </c>
      <c r="C140">
        <v>20</v>
      </c>
      <c r="G140">
        <f t="shared" si="38"/>
        <v>297.41666666666424</v>
      </c>
      <c r="H140" s="7">
        <v>45012.416666666664</v>
      </c>
      <c r="AF140">
        <v>177.85000000000002</v>
      </c>
      <c r="AG140">
        <v>139.94999999999999</v>
      </c>
      <c r="AL140">
        <v>326.83</v>
      </c>
      <c r="AM140">
        <v>326.77</v>
      </c>
      <c r="AN140">
        <f t="shared" si="43"/>
        <v>4.0000000000020464E-2</v>
      </c>
      <c r="AO140">
        <f t="shared" si="32"/>
        <v>6.0000000000002274E-2</v>
      </c>
      <c r="AP140">
        <v>26</v>
      </c>
      <c r="AQ140">
        <v>1010</v>
      </c>
      <c r="AR140">
        <v>22</v>
      </c>
      <c r="AS140">
        <v>34</v>
      </c>
      <c r="AT140">
        <f t="shared" si="44"/>
        <v>5.3137007027131622</v>
      </c>
      <c r="AU140">
        <f t="shared" si="40"/>
        <v>72.149999999999977</v>
      </c>
      <c r="AV140">
        <v>1010</v>
      </c>
      <c r="AW140">
        <f t="shared" si="41"/>
        <v>1373.963963963964</v>
      </c>
      <c r="AX140">
        <f t="shared" si="33"/>
        <v>3.2508811220953463E-5</v>
      </c>
      <c r="AY140">
        <f t="shared" si="42"/>
        <v>2.2751834964714417E-3</v>
      </c>
      <c r="AZ140">
        <f t="shared" si="34"/>
        <v>50.736591971313153</v>
      </c>
      <c r="BA140">
        <f t="shared" si="35"/>
        <v>-0.24049309872410279</v>
      </c>
      <c r="BD140" t="e">
        <f t="shared" si="36"/>
        <v>#DIV/0!</v>
      </c>
    </row>
    <row r="141" spans="1:56" x14ac:dyDescent="0.25">
      <c r="A141" t="s">
        <v>8</v>
      </c>
      <c r="B141" t="s">
        <v>19</v>
      </c>
      <c r="C141">
        <v>10</v>
      </c>
      <c r="G141">
        <f t="shared" si="38"/>
        <v>297.41666666666424</v>
      </c>
      <c r="H141" s="7">
        <v>45012.416666666664</v>
      </c>
      <c r="AF141">
        <v>142.11999999999998</v>
      </c>
      <c r="AG141">
        <v>139.71</v>
      </c>
      <c r="AL141">
        <v>290.92</v>
      </c>
      <c r="AM141">
        <v>290.92</v>
      </c>
      <c r="AN141">
        <f t="shared" si="43"/>
        <v>0</v>
      </c>
      <c r="AO141">
        <f t="shared" si="32"/>
        <v>0</v>
      </c>
      <c r="AP141">
        <v>0</v>
      </c>
      <c r="AQ141">
        <v>1010</v>
      </c>
      <c r="AR141">
        <v>22</v>
      </c>
      <c r="AS141">
        <v>34</v>
      </c>
      <c r="AT141">
        <f t="shared" si="44"/>
        <v>5.3137007027131622</v>
      </c>
      <c r="AU141">
        <f t="shared" si="40"/>
        <v>107.88000000000002</v>
      </c>
      <c r="AV141">
        <v>1010</v>
      </c>
      <c r="AW141">
        <f t="shared" si="41"/>
        <v>1010</v>
      </c>
      <c r="AX141">
        <f t="shared" si="33"/>
        <v>4.4874255263233305E-5</v>
      </c>
      <c r="AY141" t="e">
        <f t="shared" si="42"/>
        <v>#DIV/0!</v>
      </c>
      <c r="AZ141" t="e">
        <f t="shared" si="34"/>
        <v>#DIV/0!</v>
      </c>
      <c r="BA141" t="e">
        <f t="shared" si="35"/>
        <v>#DIV/0!</v>
      </c>
      <c r="BD141" t="e">
        <f t="shared" si="36"/>
        <v>#DIV/0!</v>
      </c>
    </row>
    <row r="142" spans="1:56" x14ac:dyDescent="0.25">
      <c r="A142" t="s">
        <v>9</v>
      </c>
      <c r="B142" t="s">
        <v>19</v>
      </c>
      <c r="C142">
        <v>10</v>
      </c>
      <c r="G142">
        <f t="shared" si="38"/>
        <v>297.41666666666424</v>
      </c>
      <c r="H142" s="7">
        <v>45012.416666666664</v>
      </c>
      <c r="AF142">
        <v>136.42000000000002</v>
      </c>
      <c r="AG142">
        <v>139.75</v>
      </c>
      <c r="AL142">
        <v>285.32</v>
      </c>
      <c r="AM142">
        <v>285.32</v>
      </c>
      <c r="AN142">
        <f t="shared" si="43"/>
        <v>0</v>
      </c>
      <c r="AO142">
        <f t="shared" si="32"/>
        <v>0</v>
      </c>
      <c r="AP142">
        <v>0</v>
      </c>
      <c r="AQ142">
        <v>1010</v>
      </c>
      <c r="AR142">
        <v>22</v>
      </c>
      <c r="AS142">
        <v>34</v>
      </c>
      <c r="AT142">
        <f t="shared" si="44"/>
        <v>5.3137007027131622</v>
      </c>
      <c r="AU142">
        <f t="shared" si="40"/>
        <v>113.57999999999998</v>
      </c>
      <c r="AV142">
        <v>1010</v>
      </c>
      <c r="AW142">
        <f t="shared" si="41"/>
        <v>1010</v>
      </c>
      <c r="AX142">
        <f t="shared" si="33"/>
        <v>4.4874255263233305E-5</v>
      </c>
      <c r="AY142" t="e">
        <f t="shared" si="42"/>
        <v>#DIV/0!</v>
      </c>
      <c r="AZ142" t="e">
        <f t="shared" si="34"/>
        <v>#DIV/0!</v>
      </c>
      <c r="BA142" t="e">
        <f t="shared" si="35"/>
        <v>#DIV/0!</v>
      </c>
      <c r="BD142" t="e">
        <f t="shared" si="36"/>
        <v>#DIV/0!</v>
      </c>
    </row>
    <row r="143" spans="1:56" x14ac:dyDescent="0.25">
      <c r="A143" t="s">
        <v>10</v>
      </c>
      <c r="B143" t="s">
        <v>19</v>
      </c>
      <c r="C143">
        <v>10</v>
      </c>
      <c r="G143">
        <f t="shared" si="38"/>
        <v>297.41666666666424</v>
      </c>
      <c r="H143" s="7">
        <v>45012.416666666664</v>
      </c>
      <c r="AF143">
        <v>117.85000000000002</v>
      </c>
      <c r="AG143">
        <v>140.44999999999999</v>
      </c>
      <c r="AL143">
        <v>267.36500000000001</v>
      </c>
      <c r="AM143">
        <v>267.36500000000001</v>
      </c>
      <c r="AN143">
        <f t="shared" si="43"/>
        <v>0</v>
      </c>
      <c r="AO143">
        <f t="shared" si="32"/>
        <v>0</v>
      </c>
      <c r="AP143">
        <v>0</v>
      </c>
      <c r="AQ143">
        <v>1010</v>
      </c>
      <c r="AR143">
        <v>22</v>
      </c>
      <c r="AS143">
        <v>34</v>
      </c>
      <c r="AT143">
        <f t="shared" si="44"/>
        <v>5.3137007027131622</v>
      </c>
      <c r="AU143">
        <f t="shared" si="40"/>
        <v>132.14999999999998</v>
      </c>
      <c r="AV143">
        <v>1010</v>
      </c>
      <c r="AW143">
        <f t="shared" si="41"/>
        <v>1010</v>
      </c>
      <c r="AX143">
        <f t="shared" si="33"/>
        <v>4.4874255263233305E-5</v>
      </c>
      <c r="AY143" t="e">
        <f t="shared" si="42"/>
        <v>#DIV/0!</v>
      </c>
      <c r="AZ143" t="e">
        <f t="shared" si="34"/>
        <v>#DIV/0!</v>
      </c>
      <c r="BA143" t="e">
        <f t="shared" si="35"/>
        <v>#DIV/0!</v>
      </c>
      <c r="BD143" t="e">
        <f t="shared" si="36"/>
        <v>#DIV/0!</v>
      </c>
    </row>
    <row r="144" spans="1:56" x14ac:dyDescent="0.25">
      <c r="A144" t="s">
        <v>11</v>
      </c>
      <c r="B144" t="s">
        <v>19</v>
      </c>
      <c r="C144">
        <v>10</v>
      </c>
      <c r="G144">
        <f t="shared" si="38"/>
        <v>297.41666666666424</v>
      </c>
      <c r="H144" s="7">
        <v>45012.416666666664</v>
      </c>
      <c r="AF144">
        <v>107.53</v>
      </c>
      <c r="AG144">
        <v>140</v>
      </c>
      <c r="AL144">
        <v>256.72000000000003</v>
      </c>
      <c r="AM144">
        <v>256.72000000000003</v>
      </c>
      <c r="AN144">
        <f t="shared" si="43"/>
        <v>0</v>
      </c>
      <c r="AO144">
        <f t="shared" si="32"/>
        <v>0</v>
      </c>
      <c r="AP144">
        <v>0</v>
      </c>
      <c r="AQ144">
        <v>1010</v>
      </c>
      <c r="AR144">
        <v>22</v>
      </c>
      <c r="AS144">
        <v>34</v>
      </c>
      <c r="AT144">
        <f t="shared" si="44"/>
        <v>5.3137007027131622</v>
      </c>
      <c r="AU144">
        <f t="shared" si="40"/>
        <v>142.47</v>
      </c>
      <c r="AV144">
        <v>1010</v>
      </c>
      <c r="AW144">
        <f t="shared" si="41"/>
        <v>1010</v>
      </c>
      <c r="AX144">
        <f t="shared" si="33"/>
        <v>4.4874255263233305E-5</v>
      </c>
      <c r="AY144" t="e">
        <f t="shared" si="42"/>
        <v>#DIV/0!</v>
      </c>
      <c r="AZ144" t="e">
        <f t="shared" si="34"/>
        <v>#DIV/0!</v>
      </c>
      <c r="BA144" t="e">
        <f t="shared" si="35"/>
        <v>#DIV/0!</v>
      </c>
      <c r="BD144" t="e">
        <f t="shared" si="36"/>
        <v>#DIV/0!</v>
      </c>
    </row>
    <row r="145" spans="1:56" x14ac:dyDescent="0.25">
      <c r="A145" t="s">
        <v>12</v>
      </c>
      <c r="B145" t="s">
        <v>19</v>
      </c>
      <c r="C145">
        <v>20</v>
      </c>
      <c r="G145">
        <f t="shared" si="38"/>
        <v>297.41666666666424</v>
      </c>
      <c r="H145" s="7">
        <v>45012.416666666664</v>
      </c>
      <c r="AF145">
        <v>109.43</v>
      </c>
      <c r="AG145">
        <v>140.19999999999999</v>
      </c>
      <c r="AL145">
        <v>258.67</v>
      </c>
      <c r="AM145">
        <v>258.67</v>
      </c>
      <c r="AN145">
        <f t="shared" si="43"/>
        <v>0</v>
      </c>
      <c r="AO145">
        <f t="shared" si="32"/>
        <v>0</v>
      </c>
      <c r="AP145">
        <v>0</v>
      </c>
      <c r="AQ145">
        <v>1010</v>
      </c>
      <c r="AR145">
        <v>22</v>
      </c>
      <c r="AS145">
        <v>34</v>
      </c>
      <c r="AT145">
        <f t="shared" si="44"/>
        <v>5.3137007027131622</v>
      </c>
      <c r="AU145">
        <f t="shared" si="40"/>
        <v>140.57</v>
      </c>
      <c r="AV145">
        <v>1010</v>
      </c>
      <c r="AW145">
        <f t="shared" si="41"/>
        <v>1010</v>
      </c>
      <c r="AX145">
        <f t="shared" si="33"/>
        <v>4.4874255263233305E-5</v>
      </c>
      <c r="AY145" t="e">
        <f t="shared" si="42"/>
        <v>#DIV/0!</v>
      </c>
      <c r="AZ145" t="e">
        <f t="shared" si="34"/>
        <v>#DIV/0!</v>
      </c>
      <c r="BA145" t="e">
        <f t="shared" si="35"/>
        <v>#DIV/0!</v>
      </c>
      <c r="BD145" t="e">
        <f t="shared" si="36"/>
        <v>#DIV/0!</v>
      </c>
    </row>
    <row r="146" spans="1:56" x14ac:dyDescent="0.25">
      <c r="A146" t="s">
        <v>13</v>
      </c>
      <c r="B146" t="s">
        <v>19</v>
      </c>
      <c r="C146">
        <v>20</v>
      </c>
      <c r="G146">
        <f t="shared" si="38"/>
        <v>297.41666666666424</v>
      </c>
      <c r="H146" s="7">
        <v>45012.416666666664</v>
      </c>
      <c r="AF146">
        <v>129.52999999999997</v>
      </c>
      <c r="AG146">
        <v>140.24</v>
      </c>
      <c r="AL146">
        <v>278.82</v>
      </c>
      <c r="AM146">
        <v>278.82</v>
      </c>
      <c r="AN146">
        <f t="shared" si="43"/>
        <v>0</v>
      </c>
      <c r="AO146">
        <f t="shared" si="32"/>
        <v>0</v>
      </c>
      <c r="AP146">
        <v>0</v>
      </c>
      <c r="AQ146">
        <v>1010</v>
      </c>
      <c r="AR146">
        <v>22</v>
      </c>
      <c r="AS146">
        <v>34</v>
      </c>
      <c r="AT146">
        <f t="shared" si="44"/>
        <v>5.3137007027131622</v>
      </c>
      <c r="AU146">
        <f t="shared" si="40"/>
        <v>120.47000000000003</v>
      </c>
      <c r="AV146">
        <v>1010</v>
      </c>
      <c r="AW146">
        <f t="shared" si="41"/>
        <v>1010</v>
      </c>
      <c r="AX146">
        <f t="shared" si="33"/>
        <v>4.4874255263233305E-5</v>
      </c>
      <c r="AY146" t="e">
        <f t="shared" si="42"/>
        <v>#DIV/0!</v>
      </c>
      <c r="AZ146" t="e">
        <f t="shared" si="34"/>
        <v>#DIV/0!</v>
      </c>
      <c r="BA146" t="e">
        <f t="shared" si="35"/>
        <v>#DIV/0!</v>
      </c>
      <c r="BD146" t="e">
        <f t="shared" si="36"/>
        <v>#DIV/0!</v>
      </c>
    </row>
    <row r="147" spans="1:56" x14ac:dyDescent="0.25">
      <c r="A147" t="s">
        <v>14</v>
      </c>
      <c r="B147" t="s">
        <v>19</v>
      </c>
      <c r="C147">
        <v>20</v>
      </c>
      <c r="G147">
        <f t="shared" si="38"/>
        <v>297.41666666666424</v>
      </c>
      <c r="H147" s="7">
        <v>45012.416666666664</v>
      </c>
      <c r="AF147">
        <v>94.359999999999985</v>
      </c>
      <c r="AG147">
        <v>138.74</v>
      </c>
      <c r="AL147">
        <v>242.13</v>
      </c>
      <c r="AM147">
        <v>242.13</v>
      </c>
      <c r="AN147">
        <f t="shared" si="43"/>
        <v>0</v>
      </c>
      <c r="AO147">
        <f t="shared" si="32"/>
        <v>0</v>
      </c>
      <c r="AP147">
        <v>0</v>
      </c>
      <c r="AQ147">
        <v>1010</v>
      </c>
      <c r="AR147">
        <v>22</v>
      </c>
      <c r="AS147">
        <v>34</v>
      </c>
      <c r="AT147">
        <f t="shared" si="44"/>
        <v>5.3137007027131622</v>
      </c>
      <c r="AU147">
        <f t="shared" si="40"/>
        <v>155.64000000000001</v>
      </c>
      <c r="AV147">
        <v>1010</v>
      </c>
      <c r="AW147">
        <f t="shared" si="41"/>
        <v>1010</v>
      </c>
      <c r="AX147">
        <f t="shared" si="33"/>
        <v>4.4874255263233305E-5</v>
      </c>
      <c r="AY147" t="e">
        <f t="shared" si="42"/>
        <v>#DIV/0!</v>
      </c>
      <c r="AZ147" t="e">
        <f t="shared" si="34"/>
        <v>#DIV/0!</v>
      </c>
      <c r="BA147" t="e">
        <f t="shared" si="35"/>
        <v>#DIV/0!</v>
      </c>
      <c r="BD147" t="e">
        <f t="shared" si="36"/>
        <v>#DIV/0!</v>
      </c>
    </row>
    <row r="148" spans="1:56" x14ac:dyDescent="0.25">
      <c r="A148" t="s">
        <v>15</v>
      </c>
      <c r="B148" t="s">
        <v>19</v>
      </c>
      <c r="C148">
        <v>20</v>
      </c>
      <c r="G148">
        <f t="shared" si="38"/>
        <v>297.41666666666424</v>
      </c>
      <c r="H148" s="7">
        <v>45012.416666666664</v>
      </c>
      <c r="AF148">
        <v>85.4</v>
      </c>
      <c r="AG148">
        <v>140.1</v>
      </c>
      <c r="AL148">
        <v>234.57</v>
      </c>
      <c r="AM148">
        <v>234.57</v>
      </c>
      <c r="AN148">
        <f t="shared" si="43"/>
        <v>0</v>
      </c>
      <c r="AO148">
        <f t="shared" si="32"/>
        <v>0</v>
      </c>
      <c r="AP148">
        <v>0</v>
      </c>
      <c r="AQ148">
        <v>1010</v>
      </c>
      <c r="AR148">
        <v>22</v>
      </c>
      <c r="AS148">
        <v>34</v>
      </c>
      <c r="AT148">
        <f t="shared" si="44"/>
        <v>5.3137007027131622</v>
      </c>
      <c r="AU148">
        <f t="shared" si="40"/>
        <v>164.6</v>
      </c>
      <c r="AV148">
        <v>1010</v>
      </c>
      <c r="AW148">
        <f t="shared" si="41"/>
        <v>1010</v>
      </c>
      <c r="AX148">
        <f t="shared" si="33"/>
        <v>4.4874255263233305E-5</v>
      </c>
      <c r="AY148" t="e">
        <f t="shared" si="42"/>
        <v>#DIV/0!</v>
      </c>
      <c r="AZ148" t="e">
        <f t="shared" si="34"/>
        <v>#DIV/0!</v>
      </c>
      <c r="BA148" t="e">
        <f t="shared" si="35"/>
        <v>#DIV/0!</v>
      </c>
      <c r="BD148" t="e">
        <f t="shared" si="36"/>
        <v>#DIV/0!</v>
      </c>
    </row>
    <row r="149" spans="1:56" x14ac:dyDescent="0.25">
      <c r="A149" t="s">
        <v>0</v>
      </c>
      <c r="B149" t="s">
        <v>18</v>
      </c>
      <c r="C149">
        <v>10</v>
      </c>
      <c r="G149">
        <f t="shared" si="38"/>
        <v>299.375</v>
      </c>
      <c r="H149" s="7">
        <v>45014.375</v>
      </c>
      <c r="AF149">
        <v>172.77</v>
      </c>
      <c r="AG149">
        <v>139.16999999999999</v>
      </c>
      <c r="AL149">
        <v>321.24</v>
      </c>
      <c r="AM149">
        <v>321.22000000000003</v>
      </c>
      <c r="AN149">
        <f t="shared" si="43"/>
        <v>3.999999999996362E-2</v>
      </c>
      <c r="AO149">
        <f t="shared" si="32"/>
        <v>1.999999999998181E-2</v>
      </c>
      <c r="AP149">
        <v>11.5</v>
      </c>
      <c r="AQ149">
        <v>1011</v>
      </c>
      <c r="AR149">
        <v>22</v>
      </c>
      <c r="AS149">
        <v>34</v>
      </c>
      <c r="AT149">
        <f t="shared" ref="AT149:AT164" si="45">0.61094*EXP(17.625*AS149/(243.04+AS149))</f>
        <v>5.3137007027131622</v>
      </c>
      <c r="AU149">
        <f t="shared" ref="AU149:AU164" si="46">250-AF149</f>
        <v>77.22999999999999</v>
      </c>
      <c r="AV149">
        <v>1011</v>
      </c>
      <c r="AW149">
        <f t="shared" ref="AW149:AW164" si="47">AP149/AU149*AV149+AV149</f>
        <v>1161.5438301178299</v>
      </c>
      <c r="AX149">
        <f t="shared" si="33"/>
        <v>3.8738947924260801E-5</v>
      </c>
      <c r="AY149">
        <f t="shared" ref="AY149:AY164" si="48">(AL149-AM149)/AP149-AX149</f>
        <v>1.7003914868567662E-3</v>
      </c>
      <c r="AZ149">
        <f t="shared" si="34"/>
        <v>37.918730156905887</v>
      </c>
      <c r="BA149">
        <f t="shared" si="35"/>
        <v>0.21777868584533824</v>
      </c>
      <c r="BB149">
        <v>5.2346500000000002</v>
      </c>
      <c r="BC149">
        <v>6.97173</v>
      </c>
      <c r="BD149">
        <f t="shared" si="36"/>
        <v>0.42884540707400559</v>
      </c>
    </row>
    <row r="150" spans="1:56" x14ac:dyDescent="0.25">
      <c r="A150" t="s">
        <v>1</v>
      </c>
      <c r="B150" t="s">
        <v>18</v>
      </c>
      <c r="C150">
        <v>10</v>
      </c>
      <c r="G150">
        <f t="shared" si="38"/>
        <v>299.375</v>
      </c>
      <c r="H150" s="7">
        <v>45014.375</v>
      </c>
      <c r="AF150">
        <v>173.93</v>
      </c>
      <c r="AG150">
        <v>141.25</v>
      </c>
      <c r="AL150">
        <v>324.37</v>
      </c>
      <c r="AM150">
        <v>324.35000000000002</v>
      </c>
      <c r="AN150">
        <f t="shared" si="43"/>
        <v>4.5000000000015916E-2</v>
      </c>
      <c r="AO150">
        <f t="shared" ref="AO150:AO196" si="49">AL150-AM150</f>
        <v>1.999999999998181E-2</v>
      </c>
      <c r="AP150">
        <v>12</v>
      </c>
      <c r="AQ150">
        <v>1011</v>
      </c>
      <c r="AR150">
        <v>22</v>
      </c>
      <c r="AS150">
        <v>34</v>
      </c>
      <c r="AT150">
        <f t="shared" si="45"/>
        <v>5.3137007027131622</v>
      </c>
      <c r="AU150">
        <f t="shared" si="46"/>
        <v>76.069999999999993</v>
      </c>
      <c r="AV150">
        <v>1011</v>
      </c>
      <c r="AW150">
        <f t="shared" si="47"/>
        <v>1170.4846851584068</v>
      </c>
      <c r="AX150">
        <f t="shared" ref="AX150:AX164" si="50">18.02*(AT150/(AW150/10-AT150)*1/22300)</f>
        <v>3.8428964447681194E-5</v>
      </c>
      <c r="AY150">
        <f t="shared" si="48"/>
        <v>1.6282377022174695E-3</v>
      </c>
      <c r="AZ150">
        <f t="shared" ref="AZ150:AZ164" si="51">AY150*22300</f>
        <v>36.309700759449569</v>
      </c>
      <c r="BA150">
        <f t="shared" ref="BA150:BA164" si="52">(44.01-AZ150)/(44.01-16.04)</f>
        <v>0.27530565750984731</v>
      </c>
      <c r="BB150">
        <v>6.7298999999999998</v>
      </c>
      <c r="BC150">
        <v>8.9436800000000005</v>
      </c>
      <c r="BD150">
        <f t="shared" ref="BD150:BD164" si="53">BB150/(BB150+BC150)</f>
        <v>0.4293786103749111</v>
      </c>
    </row>
    <row r="151" spans="1:56" x14ac:dyDescent="0.25">
      <c r="A151" t="s">
        <v>2</v>
      </c>
      <c r="B151" t="s">
        <v>18</v>
      </c>
      <c r="C151">
        <v>10</v>
      </c>
      <c r="G151">
        <f t="shared" si="38"/>
        <v>299.375</v>
      </c>
      <c r="H151" s="7">
        <v>45014.375</v>
      </c>
      <c r="AF151">
        <v>162.82000000000002</v>
      </c>
      <c r="AG151">
        <v>140.66</v>
      </c>
      <c r="AL151">
        <v>312.72000000000003</v>
      </c>
      <c r="AM151">
        <v>312.69</v>
      </c>
      <c r="AN151">
        <f t="shared" si="43"/>
        <v>3.999999999996362E-2</v>
      </c>
      <c r="AO151">
        <f t="shared" si="49"/>
        <v>3.0000000000029559E-2</v>
      </c>
      <c r="AP151">
        <v>12</v>
      </c>
      <c r="AQ151">
        <v>1011</v>
      </c>
      <c r="AR151">
        <v>22</v>
      </c>
      <c r="AS151">
        <v>34</v>
      </c>
      <c r="AT151">
        <f t="shared" si="45"/>
        <v>5.3137007027131622</v>
      </c>
      <c r="AU151">
        <f t="shared" si="46"/>
        <v>87.179999999999978</v>
      </c>
      <c r="AV151">
        <v>1011</v>
      </c>
      <c r="AW151">
        <f t="shared" si="47"/>
        <v>1150.1603578802478</v>
      </c>
      <c r="AX151">
        <f t="shared" si="50"/>
        <v>3.9140930013216355E-5</v>
      </c>
      <c r="AY151">
        <f t="shared" si="48"/>
        <v>2.4608590699892472E-3</v>
      </c>
      <c r="AZ151">
        <f t="shared" si="51"/>
        <v>54.877157260760214</v>
      </c>
      <c r="BA151">
        <f t="shared" si="52"/>
        <v>-0.38852904042760872</v>
      </c>
      <c r="BB151">
        <v>6.8262799999999997</v>
      </c>
      <c r="BC151">
        <v>8.5774699999999999</v>
      </c>
      <c r="BD151">
        <f t="shared" si="53"/>
        <v>0.44315702345208147</v>
      </c>
    </row>
    <row r="152" spans="1:56" x14ac:dyDescent="0.25">
      <c r="A152" t="s">
        <v>3</v>
      </c>
      <c r="B152" t="s">
        <v>18</v>
      </c>
      <c r="C152">
        <v>10</v>
      </c>
      <c r="G152">
        <f t="shared" si="38"/>
        <v>299.375</v>
      </c>
      <c r="H152" s="7">
        <v>45014.375</v>
      </c>
      <c r="AF152">
        <v>187.81</v>
      </c>
      <c r="AG152">
        <v>140</v>
      </c>
      <c r="AL152">
        <v>337.03</v>
      </c>
      <c r="AM152">
        <v>337.01</v>
      </c>
      <c r="AN152">
        <f t="shared" si="43"/>
        <v>5.0000000000011369E-2</v>
      </c>
      <c r="AO152">
        <f t="shared" si="49"/>
        <v>1.999999999998181E-2</v>
      </c>
      <c r="AP152">
        <v>10.5</v>
      </c>
      <c r="AQ152">
        <v>1011</v>
      </c>
      <c r="AR152">
        <v>22</v>
      </c>
      <c r="AS152">
        <v>34</v>
      </c>
      <c r="AT152">
        <f t="shared" si="45"/>
        <v>5.3137007027131622</v>
      </c>
      <c r="AU152">
        <f t="shared" si="46"/>
        <v>62.19</v>
      </c>
      <c r="AV152">
        <v>1011</v>
      </c>
      <c r="AW152">
        <f t="shared" si="47"/>
        <v>1181.6946454413892</v>
      </c>
      <c r="AX152">
        <f t="shared" si="50"/>
        <v>3.8047249637102314E-5</v>
      </c>
      <c r="AY152">
        <f t="shared" si="48"/>
        <v>1.8667146551230702E-3</v>
      </c>
      <c r="AZ152">
        <f t="shared" si="51"/>
        <v>41.627736809244468</v>
      </c>
      <c r="BA152">
        <f t="shared" si="52"/>
        <v>8.517208404560353E-2</v>
      </c>
      <c r="BB152">
        <v>7.4028900000000002</v>
      </c>
      <c r="BC152">
        <v>8.0486400000000007</v>
      </c>
      <c r="BD152">
        <f t="shared" si="53"/>
        <v>0.47910401105909894</v>
      </c>
    </row>
    <row r="153" spans="1:56" x14ac:dyDescent="0.25">
      <c r="A153" t="s">
        <v>4</v>
      </c>
      <c r="B153" t="s">
        <v>18</v>
      </c>
      <c r="C153">
        <v>20</v>
      </c>
      <c r="G153">
        <f t="shared" si="38"/>
        <v>299.375</v>
      </c>
      <c r="H153" s="7">
        <v>45014.375</v>
      </c>
      <c r="AF153">
        <v>181.58</v>
      </c>
      <c r="AG153">
        <v>139.4</v>
      </c>
      <c r="AL153">
        <v>329.79</v>
      </c>
      <c r="AM153">
        <v>329.71</v>
      </c>
      <c r="AN153">
        <f t="shared" si="43"/>
        <v>0</v>
      </c>
      <c r="AO153">
        <f t="shared" si="49"/>
        <v>8.0000000000040927E-2</v>
      </c>
      <c r="AP153">
        <v>61.5</v>
      </c>
      <c r="AQ153">
        <v>1011</v>
      </c>
      <c r="AR153">
        <v>22</v>
      </c>
      <c r="AS153">
        <v>34</v>
      </c>
      <c r="AT153">
        <f t="shared" si="45"/>
        <v>5.3137007027131622</v>
      </c>
      <c r="AU153">
        <f t="shared" si="46"/>
        <v>68.419999999999987</v>
      </c>
      <c r="AV153">
        <v>1011</v>
      </c>
      <c r="AW153">
        <f t="shared" si="47"/>
        <v>1919.7474422683426</v>
      </c>
      <c r="AX153">
        <f t="shared" si="50"/>
        <v>2.3003468419513694E-5</v>
      </c>
      <c r="AY153">
        <f t="shared" si="48"/>
        <v>1.2778095397112331E-3</v>
      </c>
      <c r="AZ153">
        <f t="shared" si="51"/>
        <v>28.495152735560499</v>
      </c>
      <c r="BA153">
        <f t="shared" si="52"/>
        <v>0.55469600516408657</v>
      </c>
      <c r="BB153">
        <v>25.176410000000001</v>
      </c>
      <c r="BC153">
        <v>9.61294</v>
      </c>
      <c r="BD153">
        <f t="shared" si="53"/>
        <v>0.72368152897366578</v>
      </c>
    </row>
    <row r="154" spans="1:56" x14ac:dyDescent="0.25">
      <c r="A154" t="s">
        <v>5</v>
      </c>
      <c r="B154" t="s">
        <v>18</v>
      </c>
      <c r="C154">
        <v>20</v>
      </c>
      <c r="G154">
        <f t="shared" si="38"/>
        <v>299.375</v>
      </c>
      <c r="H154" s="7">
        <v>45014.375</v>
      </c>
      <c r="AF154">
        <v>201.8</v>
      </c>
      <c r="AG154">
        <v>139.81</v>
      </c>
      <c r="AL154">
        <v>350.39</v>
      </c>
      <c r="AM154">
        <v>350.34</v>
      </c>
      <c r="AN154">
        <f t="shared" si="43"/>
        <v>0</v>
      </c>
      <c r="AO154">
        <f t="shared" si="49"/>
        <v>5.0000000000011369E-2</v>
      </c>
      <c r="AP154">
        <v>62</v>
      </c>
      <c r="AQ154">
        <v>1011</v>
      </c>
      <c r="AR154">
        <v>22</v>
      </c>
      <c r="AS154">
        <v>34</v>
      </c>
      <c r="AT154">
        <f t="shared" si="45"/>
        <v>5.3137007027131622</v>
      </c>
      <c r="AU154">
        <f t="shared" si="46"/>
        <v>48.199999999999989</v>
      </c>
      <c r="AV154">
        <v>1011</v>
      </c>
      <c r="AW154">
        <f t="shared" si="47"/>
        <v>2311.45643153527</v>
      </c>
      <c r="AX154">
        <f t="shared" si="50"/>
        <v>1.9013481322713198E-5</v>
      </c>
      <c r="AY154">
        <f t="shared" si="48"/>
        <v>7.87438131580696E-4</v>
      </c>
      <c r="AZ154">
        <f t="shared" si="51"/>
        <v>17.559870334249521</v>
      </c>
      <c r="BA154">
        <f t="shared" si="52"/>
        <v>0.94566069595103608</v>
      </c>
      <c r="BB154">
        <v>19.968869999999999</v>
      </c>
      <c r="BC154">
        <v>8.2705900000000003</v>
      </c>
      <c r="BD154">
        <f t="shared" si="53"/>
        <v>0.70712648188031912</v>
      </c>
    </row>
    <row r="155" spans="1:56" x14ac:dyDescent="0.25">
      <c r="A155" t="s">
        <v>6</v>
      </c>
      <c r="B155" t="s">
        <v>18</v>
      </c>
      <c r="C155">
        <v>20</v>
      </c>
      <c r="G155">
        <f t="shared" si="38"/>
        <v>299.375</v>
      </c>
      <c r="H155" s="7">
        <v>45014.375</v>
      </c>
      <c r="AF155">
        <v>205.13</v>
      </c>
      <c r="AG155">
        <v>139.01</v>
      </c>
      <c r="AL155">
        <v>353.02</v>
      </c>
      <c r="AM155">
        <v>352.93</v>
      </c>
      <c r="AN155">
        <f t="shared" si="43"/>
        <v>-4.9999999999954525E-3</v>
      </c>
      <c r="AO155">
        <f t="shared" si="49"/>
        <v>8.9999999999974989E-2</v>
      </c>
      <c r="AP155">
        <v>48.5</v>
      </c>
      <c r="AQ155">
        <v>1011</v>
      </c>
      <c r="AR155">
        <v>22</v>
      </c>
      <c r="AS155">
        <v>34</v>
      </c>
      <c r="AT155">
        <f t="shared" si="45"/>
        <v>5.3137007027131622</v>
      </c>
      <c r="AU155">
        <f t="shared" si="46"/>
        <v>44.870000000000005</v>
      </c>
      <c r="AV155">
        <v>1011</v>
      </c>
      <c r="AW155">
        <f t="shared" si="47"/>
        <v>2103.790283039893</v>
      </c>
      <c r="AX155">
        <f t="shared" si="50"/>
        <v>2.0938944043282869E-5</v>
      </c>
      <c r="AY155">
        <f t="shared" si="48"/>
        <v>1.834731159048985E-3</v>
      </c>
      <c r="AZ155">
        <f t="shared" si="51"/>
        <v>40.914504846792362</v>
      </c>
      <c r="BA155">
        <f t="shared" si="52"/>
        <v>0.1106719754453928</v>
      </c>
      <c r="BB155">
        <v>24.301089999999999</v>
      </c>
      <c r="BC155">
        <v>9.0486799999999992</v>
      </c>
      <c r="BD155">
        <f t="shared" si="53"/>
        <v>0.72867339115082352</v>
      </c>
    </row>
    <row r="156" spans="1:56" x14ac:dyDescent="0.25">
      <c r="A156" t="s">
        <v>7</v>
      </c>
      <c r="B156" t="s">
        <v>18</v>
      </c>
      <c r="C156">
        <v>20</v>
      </c>
      <c r="G156">
        <f t="shared" si="38"/>
        <v>299.375</v>
      </c>
      <c r="H156" s="7">
        <v>45014.375</v>
      </c>
      <c r="AF156">
        <v>177.85000000000002</v>
      </c>
      <c r="AG156">
        <v>139.94999999999999</v>
      </c>
      <c r="AL156">
        <v>326.76</v>
      </c>
      <c r="AM156">
        <v>326.74</v>
      </c>
      <c r="AN156">
        <f t="shared" si="43"/>
        <v>9.9999999999909051E-3</v>
      </c>
      <c r="AO156">
        <f t="shared" si="49"/>
        <v>1.999999999998181E-2</v>
      </c>
      <c r="AP156">
        <v>18.5</v>
      </c>
      <c r="AQ156">
        <v>1011</v>
      </c>
      <c r="AR156">
        <v>22</v>
      </c>
      <c r="AS156">
        <v>34</v>
      </c>
      <c r="AT156">
        <f t="shared" si="45"/>
        <v>5.3137007027131622</v>
      </c>
      <c r="AU156">
        <f t="shared" si="46"/>
        <v>72.149999999999977</v>
      </c>
      <c r="AV156">
        <v>1011</v>
      </c>
      <c r="AW156">
        <f t="shared" si="47"/>
        <v>1270.2307692307693</v>
      </c>
      <c r="AX156">
        <f t="shared" si="50"/>
        <v>3.5279545037567669E-5</v>
      </c>
      <c r="AY156">
        <f t="shared" si="48"/>
        <v>1.0458015360425303E-3</v>
      </c>
      <c r="AZ156">
        <f t="shared" si="51"/>
        <v>23.321374253748427</v>
      </c>
      <c r="BA156">
        <f t="shared" si="52"/>
        <v>0.73967199664825067</v>
      </c>
      <c r="BB156">
        <v>22.47063</v>
      </c>
      <c r="BC156">
        <v>11.0143</v>
      </c>
      <c r="BD156">
        <f t="shared" si="53"/>
        <v>0.67106695459718746</v>
      </c>
    </row>
    <row r="157" spans="1:56" x14ac:dyDescent="0.25">
      <c r="A157" t="s">
        <v>8</v>
      </c>
      <c r="B157" t="s">
        <v>19</v>
      </c>
      <c r="C157">
        <v>10</v>
      </c>
      <c r="G157">
        <f t="shared" si="38"/>
        <v>299.375</v>
      </c>
      <c r="H157" s="7">
        <v>45014.375</v>
      </c>
      <c r="AF157">
        <v>142.11999999999998</v>
      </c>
      <c r="AG157">
        <v>139.71</v>
      </c>
      <c r="AL157">
        <v>290.88</v>
      </c>
      <c r="AM157">
        <v>290.74</v>
      </c>
      <c r="AN157">
        <f t="shared" si="43"/>
        <v>4.0000000000020464E-2</v>
      </c>
      <c r="AO157">
        <f t="shared" si="49"/>
        <v>0.13999999999998636</v>
      </c>
      <c r="AP157">
        <v>63</v>
      </c>
      <c r="AQ157">
        <v>1011</v>
      </c>
      <c r="AR157">
        <v>22</v>
      </c>
      <c r="AS157">
        <v>34</v>
      </c>
      <c r="AT157">
        <f t="shared" si="45"/>
        <v>5.3137007027131622</v>
      </c>
      <c r="AU157">
        <f t="shared" si="46"/>
        <v>107.88000000000002</v>
      </c>
      <c r="AV157">
        <v>1011</v>
      </c>
      <c r="AW157">
        <f t="shared" si="47"/>
        <v>1601.4060066740822</v>
      </c>
      <c r="AX157">
        <f t="shared" si="50"/>
        <v>2.7733238996839124E-5</v>
      </c>
      <c r="AY157">
        <f t="shared" si="48"/>
        <v>2.1944889832251667E-3</v>
      </c>
      <c r="AZ157">
        <f t="shared" si="51"/>
        <v>48.937104325921219</v>
      </c>
      <c r="BA157">
        <f t="shared" si="52"/>
        <v>-0.17615675101613232</v>
      </c>
      <c r="BB157">
        <v>10.062609999999999</v>
      </c>
      <c r="BC157">
        <v>19.46275</v>
      </c>
      <c r="BD157">
        <f t="shared" si="53"/>
        <v>0.34081244055957316</v>
      </c>
    </row>
    <row r="158" spans="1:56" x14ac:dyDescent="0.25">
      <c r="A158" t="s">
        <v>9</v>
      </c>
      <c r="B158" t="s">
        <v>19</v>
      </c>
      <c r="C158">
        <v>10</v>
      </c>
      <c r="G158">
        <f t="shared" si="38"/>
        <v>299.375</v>
      </c>
      <c r="H158" s="7">
        <v>45014.375</v>
      </c>
      <c r="AF158">
        <v>136.42000000000002</v>
      </c>
      <c r="AG158">
        <v>139.75</v>
      </c>
      <c r="AL158">
        <v>285.29000000000002</v>
      </c>
      <c r="AM158">
        <v>285.17</v>
      </c>
      <c r="AN158">
        <f t="shared" si="43"/>
        <v>2.9999999999972715E-2</v>
      </c>
      <c r="AO158">
        <f t="shared" si="49"/>
        <v>0.12000000000000455</v>
      </c>
      <c r="AP158">
        <v>58</v>
      </c>
      <c r="AQ158">
        <v>1011</v>
      </c>
      <c r="AR158">
        <v>22</v>
      </c>
      <c r="AS158">
        <v>34</v>
      </c>
      <c r="AT158">
        <f t="shared" si="45"/>
        <v>5.3137007027131622</v>
      </c>
      <c r="AU158">
        <f t="shared" si="46"/>
        <v>113.57999999999998</v>
      </c>
      <c r="AV158">
        <v>1011</v>
      </c>
      <c r="AW158">
        <f t="shared" si="47"/>
        <v>1527.2704701531961</v>
      </c>
      <c r="AX158">
        <f t="shared" si="50"/>
        <v>2.9127969259682908E-5</v>
      </c>
      <c r="AY158">
        <f t="shared" si="48"/>
        <v>2.039837547981775E-3</v>
      </c>
      <c r="AZ158">
        <f t="shared" si="51"/>
        <v>45.488377319993582</v>
      </c>
      <c r="BA158">
        <f t="shared" si="52"/>
        <v>-5.2855821236810291E-2</v>
      </c>
      <c r="BB158">
        <v>9.8819099999999995</v>
      </c>
      <c r="BC158">
        <v>20.072500000000002</v>
      </c>
      <c r="BD158">
        <f t="shared" si="53"/>
        <v>0.329898335503854</v>
      </c>
    </row>
    <row r="159" spans="1:56" x14ac:dyDescent="0.25">
      <c r="A159" t="s">
        <v>10</v>
      </c>
      <c r="B159" t="s">
        <v>19</v>
      </c>
      <c r="C159">
        <v>10</v>
      </c>
      <c r="G159">
        <f t="shared" si="38"/>
        <v>299.375</v>
      </c>
      <c r="H159" s="7">
        <v>45014.375</v>
      </c>
      <c r="AF159">
        <v>117.85000000000002</v>
      </c>
      <c r="AG159">
        <v>140.44999999999999</v>
      </c>
      <c r="AL159">
        <v>267.33</v>
      </c>
      <c r="AM159">
        <v>267.14</v>
      </c>
      <c r="AN159">
        <f t="shared" si="43"/>
        <v>3.5000000000025011E-2</v>
      </c>
      <c r="AO159">
        <f t="shared" si="49"/>
        <v>0.18999999999999773</v>
      </c>
      <c r="AP159">
        <v>59</v>
      </c>
      <c r="AQ159">
        <v>1011</v>
      </c>
      <c r="AR159">
        <v>22</v>
      </c>
      <c r="AS159">
        <v>34</v>
      </c>
      <c r="AT159">
        <f t="shared" si="45"/>
        <v>5.3137007027131622</v>
      </c>
      <c r="AU159">
        <f t="shared" si="46"/>
        <v>132.14999999999998</v>
      </c>
      <c r="AV159">
        <v>1011</v>
      </c>
      <c r="AW159">
        <f t="shared" si="47"/>
        <v>1462.3734392735528</v>
      </c>
      <c r="AX159">
        <f t="shared" si="50"/>
        <v>3.0469347240873502E-5</v>
      </c>
      <c r="AY159">
        <f t="shared" si="48"/>
        <v>3.1898696358099352E-3</v>
      </c>
      <c r="AZ159">
        <f t="shared" si="51"/>
        <v>71.13409287856156</v>
      </c>
      <c r="BA159">
        <f t="shared" si="52"/>
        <v>-0.96975662776408877</v>
      </c>
      <c r="BB159">
        <v>8.4975299999999994</v>
      </c>
      <c r="BC159">
        <v>18.155729999999998</v>
      </c>
      <c r="BD159">
        <f t="shared" si="53"/>
        <v>0.31881766057885602</v>
      </c>
    </row>
    <row r="160" spans="1:56" x14ac:dyDescent="0.25">
      <c r="A160" t="s">
        <v>11</v>
      </c>
      <c r="B160" t="s">
        <v>19</v>
      </c>
      <c r="C160">
        <v>10</v>
      </c>
      <c r="G160">
        <f t="shared" si="38"/>
        <v>299.375</v>
      </c>
      <c r="H160" s="7">
        <v>45014.375</v>
      </c>
      <c r="AF160">
        <v>107.53</v>
      </c>
      <c r="AG160">
        <v>140</v>
      </c>
      <c r="AL160">
        <v>256.69</v>
      </c>
      <c r="AM160">
        <v>256.60000000000002</v>
      </c>
      <c r="AN160">
        <f t="shared" si="43"/>
        <v>3.0000000000029559E-2</v>
      </c>
      <c r="AO160">
        <f t="shared" si="49"/>
        <v>8.9999999999974989E-2</v>
      </c>
      <c r="AP160">
        <v>68</v>
      </c>
      <c r="AQ160">
        <v>1011</v>
      </c>
      <c r="AR160">
        <v>22</v>
      </c>
      <c r="AS160">
        <v>34</v>
      </c>
      <c r="AT160">
        <f t="shared" si="45"/>
        <v>5.3137007027131622</v>
      </c>
      <c r="AU160">
        <f t="shared" si="46"/>
        <v>142.47</v>
      </c>
      <c r="AV160">
        <v>1011</v>
      </c>
      <c r="AW160">
        <f t="shared" si="47"/>
        <v>1493.5436934091388</v>
      </c>
      <c r="AX160">
        <f t="shared" si="50"/>
        <v>2.9809993666759665E-5</v>
      </c>
      <c r="AY160">
        <f t="shared" si="48"/>
        <v>1.2937194180975783E-3</v>
      </c>
      <c r="AZ160">
        <f t="shared" si="51"/>
        <v>28.849943023575996</v>
      </c>
      <c r="BA160">
        <f t="shared" si="52"/>
        <v>0.54201133272878088</v>
      </c>
      <c r="BB160">
        <v>7.8826299999999998</v>
      </c>
      <c r="BC160">
        <v>19.776730000000001</v>
      </c>
      <c r="BD160">
        <f t="shared" si="53"/>
        <v>0.28498960207322221</v>
      </c>
    </row>
    <row r="161" spans="1:56" x14ac:dyDescent="0.25">
      <c r="A161" t="s">
        <v>12</v>
      </c>
      <c r="B161" t="s">
        <v>19</v>
      </c>
      <c r="C161">
        <v>20</v>
      </c>
      <c r="G161">
        <f t="shared" si="38"/>
        <v>299.375</v>
      </c>
      <c r="H161" s="7">
        <v>45014.375</v>
      </c>
      <c r="AF161">
        <v>109.43</v>
      </c>
      <c r="AG161">
        <v>140.19999999999999</v>
      </c>
      <c r="AL161">
        <v>258.63</v>
      </c>
      <c r="AM161">
        <v>258.52</v>
      </c>
      <c r="AN161">
        <f t="shared" si="43"/>
        <v>4.0000000000020464E-2</v>
      </c>
      <c r="AO161">
        <f t="shared" si="49"/>
        <v>0.11000000000001364</v>
      </c>
      <c r="AP161">
        <v>99</v>
      </c>
      <c r="AQ161">
        <v>1011</v>
      </c>
      <c r="AR161">
        <v>22</v>
      </c>
      <c r="AS161">
        <v>34</v>
      </c>
      <c r="AT161">
        <f t="shared" si="45"/>
        <v>5.3137007027131622</v>
      </c>
      <c r="AU161">
        <f t="shared" si="46"/>
        <v>140.57</v>
      </c>
      <c r="AV161">
        <v>1011</v>
      </c>
      <c r="AW161">
        <f t="shared" si="47"/>
        <v>1723.022479903251</v>
      </c>
      <c r="AX161">
        <f t="shared" si="50"/>
        <v>2.5713448554439464E-5</v>
      </c>
      <c r="AY161">
        <f t="shared" si="48"/>
        <v>1.0853976625568096E-3</v>
      </c>
      <c r="AZ161">
        <f t="shared" si="51"/>
        <v>24.204367875016857</v>
      </c>
      <c r="BA161">
        <f t="shared" si="52"/>
        <v>0.70810268591287606</v>
      </c>
      <c r="BB161">
        <v>22.26953</v>
      </c>
      <c r="BC161">
        <v>11.450559999999999</v>
      </c>
      <c r="BD161">
        <f t="shared" si="53"/>
        <v>0.6604232076486154</v>
      </c>
    </row>
    <row r="162" spans="1:56" x14ac:dyDescent="0.25">
      <c r="A162" t="s">
        <v>13</v>
      </c>
      <c r="B162" t="s">
        <v>19</v>
      </c>
      <c r="C162">
        <v>20</v>
      </c>
      <c r="G162">
        <f t="shared" si="38"/>
        <v>299.375</v>
      </c>
      <c r="H162" s="7">
        <v>45014.375</v>
      </c>
      <c r="AF162">
        <v>129.52999999999997</v>
      </c>
      <c r="AG162">
        <v>140.24</v>
      </c>
      <c r="AL162">
        <v>278.77</v>
      </c>
      <c r="AM162">
        <v>278.70999999999998</v>
      </c>
      <c r="AN162">
        <f t="shared" si="43"/>
        <v>5.0000000000011369E-2</v>
      </c>
      <c r="AO162">
        <f t="shared" si="49"/>
        <v>6.0000000000002274E-2</v>
      </c>
      <c r="AP162">
        <v>58</v>
      </c>
      <c r="AQ162">
        <v>1011</v>
      </c>
      <c r="AR162">
        <v>22</v>
      </c>
      <c r="AS162">
        <v>34</v>
      </c>
      <c r="AT162">
        <f t="shared" si="45"/>
        <v>5.3137007027131622</v>
      </c>
      <c r="AU162">
        <f t="shared" si="46"/>
        <v>120.47000000000003</v>
      </c>
      <c r="AV162">
        <v>1011</v>
      </c>
      <c r="AW162">
        <f t="shared" si="47"/>
        <v>1497.7435876151737</v>
      </c>
      <c r="AX162">
        <f t="shared" si="50"/>
        <v>2.97233272889615E-5</v>
      </c>
      <c r="AY162">
        <f t="shared" si="48"/>
        <v>1.0047594313317674E-3</v>
      </c>
      <c r="AZ162">
        <f t="shared" si="51"/>
        <v>22.406135318698414</v>
      </c>
      <c r="BA162">
        <f t="shared" si="52"/>
        <v>0.77239416093319935</v>
      </c>
      <c r="BB162">
        <v>20.175660000000001</v>
      </c>
      <c r="BC162">
        <v>10.44744</v>
      </c>
      <c r="BD162">
        <f t="shared" si="53"/>
        <v>0.65883793606787033</v>
      </c>
    </row>
    <row r="163" spans="1:56" x14ac:dyDescent="0.25">
      <c r="A163" t="s">
        <v>14</v>
      </c>
      <c r="B163" t="s">
        <v>19</v>
      </c>
      <c r="C163">
        <v>20</v>
      </c>
      <c r="G163">
        <f t="shared" si="38"/>
        <v>299.375</v>
      </c>
      <c r="H163" s="7">
        <v>45014.375</v>
      </c>
      <c r="AF163">
        <v>94.359999999999985</v>
      </c>
      <c r="AG163">
        <v>138.74</v>
      </c>
      <c r="AL163">
        <v>242.09</v>
      </c>
      <c r="AM163">
        <v>241.97499999999999</v>
      </c>
      <c r="AN163">
        <f t="shared" si="43"/>
        <v>3.9999999999992042E-2</v>
      </c>
      <c r="AO163">
        <f t="shared" si="49"/>
        <v>0.11500000000000909</v>
      </c>
      <c r="AP163">
        <v>72</v>
      </c>
      <c r="AQ163">
        <v>1011</v>
      </c>
      <c r="AR163">
        <v>22</v>
      </c>
      <c r="AS163">
        <v>34</v>
      </c>
      <c r="AT163">
        <f t="shared" si="45"/>
        <v>5.3137007027131622</v>
      </c>
      <c r="AU163">
        <f t="shared" si="46"/>
        <v>155.64000000000001</v>
      </c>
      <c r="AV163">
        <v>1011</v>
      </c>
      <c r="AW163">
        <f t="shared" si="47"/>
        <v>1478.6946800308403</v>
      </c>
      <c r="AX163">
        <f t="shared" si="50"/>
        <v>3.0120503022604967E-5</v>
      </c>
      <c r="AY163">
        <f t="shared" si="48"/>
        <v>1.5671017191997436E-3</v>
      </c>
      <c r="AZ163">
        <f t="shared" si="51"/>
        <v>34.946368338154279</v>
      </c>
      <c r="BA163">
        <f t="shared" si="52"/>
        <v>0.32404832541457701</v>
      </c>
      <c r="BB163">
        <v>19.39988</v>
      </c>
      <c r="BC163">
        <v>11.436809999999999</v>
      </c>
      <c r="BD163">
        <f t="shared" si="53"/>
        <v>0.62911680858094698</v>
      </c>
    </row>
    <row r="164" spans="1:56" x14ac:dyDescent="0.25">
      <c r="A164" t="s">
        <v>15</v>
      </c>
      <c r="B164" t="s">
        <v>19</v>
      </c>
      <c r="C164">
        <v>20</v>
      </c>
      <c r="G164">
        <f t="shared" si="38"/>
        <v>299.375</v>
      </c>
      <c r="H164" s="7">
        <v>45014.375</v>
      </c>
      <c r="AF164">
        <v>85.4</v>
      </c>
      <c r="AG164">
        <v>140.1</v>
      </c>
      <c r="AL164">
        <v>234.53</v>
      </c>
      <c r="AM164">
        <v>234.46</v>
      </c>
      <c r="AN164">
        <f t="shared" si="43"/>
        <v>3.9999999999992042E-2</v>
      </c>
      <c r="AO164">
        <f t="shared" si="49"/>
        <v>6.9999999999993179E-2</v>
      </c>
      <c r="AP164">
        <v>52</v>
      </c>
      <c r="AQ164">
        <v>1011</v>
      </c>
      <c r="AR164">
        <v>22</v>
      </c>
      <c r="AS164">
        <v>34</v>
      </c>
      <c r="AT164">
        <f t="shared" si="45"/>
        <v>5.3137007027131622</v>
      </c>
      <c r="AU164">
        <f t="shared" si="46"/>
        <v>164.6</v>
      </c>
      <c r="AV164">
        <v>1011</v>
      </c>
      <c r="AW164">
        <f t="shared" si="47"/>
        <v>1330.3924665856623</v>
      </c>
      <c r="AX164">
        <f t="shared" si="50"/>
        <v>3.3617796563145739E-5</v>
      </c>
      <c r="AY164">
        <f t="shared" si="48"/>
        <v>1.3125360495905691E-3</v>
      </c>
      <c r="AZ164">
        <f t="shared" si="51"/>
        <v>29.269553905869689</v>
      </c>
      <c r="BA164">
        <f t="shared" si="52"/>
        <v>0.52700915602897069</v>
      </c>
      <c r="BB164">
        <v>19.564229999999998</v>
      </c>
      <c r="BC164">
        <v>11.41089</v>
      </c>
      <c r="BD164">
        <f t="shared" si="53"/>
        <v>0.63161111240247014</v>
      </c>
    </row>
    <row r="165" spans="1:56" x14ac:dyDescent="0.25">
      <c r="A165" t="s">
        <v>0</v>
      </c>
      <c r="B165" t="s">
        <v>18</v>
      </c>
      <c r="C165">
        <v>10</v>
      </c>
      <c r="G165">
        <f t="shared" si="38"/>
        <v>301.48958333333576</v>
      </c>
      <c r="H165" s="7">
        <v>45016.489583333336</v>
      </c>
      <c r="AF165">
        <v>172.77</v>
      </c>
      <c r="AG165">
        <v>139.16999999999999</v>
      </c>
      <c r="AL165">
        <v>321.22000000000003</v>
      </c>
      <c r="AM165">
        <v>321.22000000000003</v>
      </c>
      <c r="AN165">
        <f t="shared" si="43"/>
        <v>0</v>
      </c>
      <c r="AO165">
        <f t="shared" si="49"/>
        <v>0</v>
      </c>
      <c r="AP165">
        <v>0</v>
      </c>
      <c r="AQ165">
        <v>996</v>
      </c>
      <c r="AR165">
        <v>22</v>
      </c>
      <c r="AS165">
        <v>34</v>
      </c>
      <c r="AT165">
        <f t="shared" ref="AT165:AT180" si="54">0.61094*EXP(17.625*AS165/(243.04+AS165))</f>
        <v>5.3137007027131622</v>
      </c>
      <c r="AU165">
        <f t="shared" ref="AU165:AU180" si="55">250-AF165</f>
        <v>77.22999999999999</v>
      </c>
      <c r="AV165">
        <v>996</v>
      </c>
      <c r="AW165">
        <f t="shared" ref="AW165:AW180" si="56">AP165/AU165*AV165+AV165</f>
        <v>996</v>
      </c>
      <c r="AX165">
        <f t="shared" ref="AX165:AX180" si="57">18.02*(AT165/(AW165/10-AT165)*1/22300)</f>
        <v>4.5540565828360499E-5</v>
      </c>
      <c r="AY165" t="e">
        <f t="shared" ref="AY165:AY180" si="58">(AL165-AM165)/AP165-AX165</f>
        <v>#DIV/0!</v>
      </c>
      <c r="AZ165" t="e">
        <f t="shared" ref="AZ165:AZ180" si="59">AY165*22300</f>
        <v>#DIV/0!</v>
      </c>
      <c r="BA165" t="e">
        <f t="shared" ref="BA165:BA180" si="60">(44.01-AZ165)/(44.01-16.04)</f>
        <v>#DIV/0!</v>
      </c>
    </row>
    <row r="166" spans="1:56" x14ac:dyDescent="0.25">
      <c r="A166" t="s">
        <v>1</v>
      </c>
      <c r="B166" t="s">
        <v>18</v>
      </c>
      <c r="C166">
        <v>10</v>
      </c>
      <c r="G166">
        <f t="shared" si="38"/>
        <v>301.48958333333576</v>
      </c>
      <c r="H166" s="7">
        <v>45016.489583333336</v>
      </c>
      <c r="AF166">
        <v>173.93</v>
      </c>
      <c r="AG166">
        <v>141.25</v>
      </c>
      <c r="AL166">
        <v>324.35000000000002</v>
      </c>
      <c r="AM166">
        <v>324.35000000000002</v>
      </c>
      <c r="AN166">
        <f t="shared" si="43"/>
        <v>0</v>
      </c>
      <c r="AO166">
        <f t="shared" si="49"/>
        <v>0</v>
      </c>
      <c r="AP166">
        <v>0</v>
      </c>
      <c r="AQ166">
        <v>996</v>
      </c>
      <c r="AR166">
        <v>22</v>
      </c>
      <c r="AS166">
        <v>34</v>
      </c>
      <c r="AT166">
        <f t="shared" si="54"/>
        <v>5.3137007027131622</v>
      </c>
      <c r="AU166">
        <f t="shared" si="55"/>
        <v>76.069999999999993</v>
      </c>
      <c r="AV166">
        <v>996</v>
      </c>
      <c r="AW166">
        <f t="shared" si="56"/>
        <v>996</v>
      </c>
      <c r="AX166">
        <f t="shared" si="57"/>
        <v>4.5540565828360499E-5</v>
      </c>
      <c r="AY166" t="e">
        <f t="shared" si="58"/>
        <v>#DIV/0!</v>
      </c>
      <c r="AZ166" t="e">
        <f t="shared" si="59"/>
        <v>#DIV/0!</v>
      </c>
      <c r="BA166" t="e">
        <f t="shared" si="60"/>
        <v>#DIV/0!</v>
      </c>
    </row>
    <row r="167" spans="1:56" x14ac:dyDescent="0.25">
      <c r="A167" t="s">
        <v>2</v>
      </c>
      <c r="B167" t="s">
        <v>18</v>
      </c>
      <c r="C167">
        <v>10</v>
      </c>
      <c r="G167">
        <f t="shared" ref="G167:G230" si="61">H167-$H$18</f>
        <v>301.48958333333576</v>
      </c>
      <c r="H167" s="7">
        <v>45016.489583333336</v>
      </c>
      <c r="AF167">
        <v>162.82000000000002</v>
      </c>
      <c r="AG167">
        <v>140.66</v>
      </c>
      <c r="AL167">
        <v>312.69</v>
      </c>
      <c r="AM167">
        <v>312.69</v>
      </c>
      <c r="AN167">
        <f t="shared" si="43"/>
        <v>0</v>
      </c>
      <c r="AO167">
        <f t="shared" si="49"/>
        <v>0</v>
      </c>
      <c r="AP167">
        <v>0</v>
      </c>
      <c r="AQ167">
        <v>996</v>
      </c>
      <c r="AR167">
        <v>22</v>
      </c>
      <c r="AS167">
        <v>34</v>
      </c>
      <c r="AT167">
        <f t="shared" si="54"/>
        <v>5.3137007027131622</v>
      </c>
      <c r="AU167">
        <f t="shared" si="55"/>
        <v>87.179999999999978</v>
      </c>
      <c r="AV167">
        <v>996</v>
      </c>
      <c r="AW167">
        <f t="shared" si="56"/>
        <v>996</v>
      </c>
      <c r="AX167">
        <f t="shared" si="57"/>
        <v>4.5540565828360499E-5</v>
      </c>
      <c r="AY167" t="e">
        <f t="shared" si="58"/>
        <v>#DIV/0!</v>
      </c>
      <c r="AZ167" t="e">
        <f t="shared" si="59"/>
        <v>#DIV/0!</v>
      </c>
      <c r="BA167" t="e">
        <f t="shared" si="60"/>
        <v>#DIV/0!</v>
      </c>
    </row>
    <row r="168" spans="1:56" x14ac:dyDescent="0.25">
      <c r="A168" t="s">
        <v>3</v>
      </c>
      <c r="B168" t="s">
        <v>18</v>
      </c>
      <c r="C168">
        <v>10</v>
      </c>
      <c r="G168">
        <f t="shared" si="61"/>
        <v>301.48958333333576</v>
      </c>
      <c r="H168" s="7">
        <v>45016.489583333336</v>
      </c>
      <c r="AF168">
        <v>187.81</v>
      </c>
      <c r="AG168">
        <v>140</v>
      </c>
      <c r="AL168">
        <v>337.01</v>
      </c>
      <c r="AM168">
        <v>337.01</v>
      </c>
      <c r="AN168">
        <f t="shared" si="43"/>
        <v>0</v>
      </c>
      <c r="AO168">
        <f t="shared" si="49"/>
        <v>0</v>
      </c>
      <c r="AP168">
        <v>0</v>
      </c>
      <c r="AQ168">
        <v>996</v>
      </c>
      <c r="AR168">
        <v>22</v>
      </c>
      <c r="AS168">
        <v>34</v>
      </c>
      <c r="AT168">
        <f t="shared" si="54"/>
        <v>5.3137007027131622</v>
      </c>
      <c r="AU168">
        <f t="shared" si="55"/>
        <v>62.19</v>
      </c>
      <c r="AV168">
        <v>996</v>
      </c>
      <c r="AW168">
        <f t="shared" si="56"/>
        <v>996</v>
      </c>
      <c r="AX168">
        <f t="shared" si="57"/>
        <v>4.5540565828360499E-5</v>
      </c>
      <c r="AY168" t="e">
        <f t="shared" si="58"/>
        <v>#DIV/0!</v>
      </c>
      <c r="AZ168" t="e">
        <f t="shared" si="59"/>
        <v>#DIV/0!</v>
      </c>
      <c r="BA168" t="e">
        <f t="shared" si="60"/>
        <v>#DIV/0!</v>
      </c>
    </row>
    <row r="169" spans="1:56" x14ac:dyDescent="0.25">
      <c r="A169" t="s">
        <v>4</v>
      </c>
      <c r="B169" t="s">
        <v>18</v>
      </c>
      <c r="C169">
        <v>20</v>
      </c>
      <c r="G169">
        <f t="shared" si="61"/>
        <v>301.48958333333576</v>
      </c>
      <c r="H169" s="7">
        <v>45016.489583333336</v>
      </c>
      <c r="AF169">
        <v>181.58</v>
      </c>
      <c r="AG169">
        <v>139.4</v>
      </c>
      <c r="AL169">
        <v>329.72</v>
      </c>
      <c r="AM169">
        <v>329.65</v>
      </c>
      <c r="AN169">
        <f t="shared" si="43"/>
        <v>-1.0000000000047748E-2</v>
      </c>
      <c r="AO169">
        <f t="shared" si="49"/>
        <v>7.0000000000050022E-2</v>
      </c>
      <c r="AP169">
        <v>60</v>
      </c>
      <c r="AQ169">
        <v>996</v>
      </c>
      <c r="AR169">
        <v>22</v>
      </c>
      <c r="AS169">
        <v>34</v>
      </c>
      <c r="AT169">
        <f t="shared" si="54"/>
        <v>5.3137007027131622</v>
      </c>
      <c r="AU169">
        <f t="shared" si="55"/>
        <v>68.419999999999987</v>
      </c>
      <c r="AV169">
        <v>996</v>
      </c>
      <c r="AW169">
        <f t="shared" si="56"/>
        <v>1869.4288219818768</v>
      </c>
      <c r="AX169">
        <f t="shared" si="57"/>
        <v>2.3640757418529558E-5</v>
      </c>
      <c r="AY169">
        <f t="shared" si="58"/>
        <v>1.1430259092489708E-3</v>
      </c>
      <c r="AZ169">
        <f t="shared" si="59"/>
        <v>25.489477776252048</v>
      </c>
      <c r="BA169">
        <f t="shared" si="60"/>
        <v>0.66215667585798899</v>
      </c>
    </row>
    <row r="170" spans="1:56" x14ac:dyDescent="0.25">
      <c r="A170" t="s">
        <v>5</v>
      </c>
      <c r="B170" t="s">
        <v>18</v>
      </c>
      <c r="C170">
        <v>20</v>
      </c>
      <c r="G170">
        <f t="shared" si="61"/>
        <v>301.48958333333576</v>
      </c>
      <c r="H170" s="7">
        <v>45016.489583333336</v>
      </c>
      <c r="AF170">
        <v>201.8</v>
      </c>
      <c r="AG170">
        <v>139.81</v>
      </c>
      <c r="AL170">
        <v>350.34</v>
      </c>
      <c r="AM170">
        <v>350.27</v>
      </c>
      <c r="AN170">
        <f t="shared" si="43"/>
        <v>0</v>
      </c>
      <c r="AO170">
        <f t="shared" si="49"/>
        <v>6.9999999999993179E-2</v>
      </c>
      <c r="AP170">
        <v>71.5</v>
      </c>
      <c r="AQ170">
        <v>996</v>
      </c>
      <c r="AR170">
        <v>22</v>
      </c>
      <c r="AS170">
        <v>34</v>
      </c>
      <c r="AT170">
        <f t="shared" si="54"/>
        <v>5.3137007027131622</v>
      </c>
      <c r="AU170">
        <f t="shared" si="55"/>
        <v>48.199999999999989</v>
      </c>
      <c r="AV170">
        <v>996</v>
      </c>
      <c r="AW170">
        <f t="shared" si="56"/>
        <v>2473.4688796680502</v>
      </c>
      <c r="AX170">
        <f t="shared" si="57"/>
        <v>1.7740754763417641E-5</v>
      </c>
      <c r="AY170">
        <f t="shared" si="58"/>
        <v>9.6128022425746602E-4</v>
      </c>
      <c r="AZ170">
        <f t="shared" si="59"/>
        <v>21.436549000941493</v>
      </c>
      <c r="BA170">
        <f t="shared" si="60"/>
        <v>0.80705938502175567</v>
      </c>
    </row>
    <row r="171" spans="1:56" x14ac:dyDescent="0.25">
      <c r="A171" t="s">
        <v>6</v>
      </c>
      <c r="B171" t="s">
        <v>18</v>
      </c>
      <c r="C171">
        <v>20</v>
      </c>
      <c r="G171">
        <f t="shared" si="61"/>
        <v>301.48958333333576</v>
      </c>
      <c r="H171" s="7">
        <v>45016.489583333336</v>
      </c>
      <c r="AF171">
        <v>205.13</v>
      </c>
      <c r="AG171">
        <v>139.01</v>
      </c>
      <c r="AL171">
        <v>352.94</v>
      </c>
      <c r="AM171">
        <v>352.88</v>
      </c>
      <c r="AN171">
        <f t="shared" si="43"/>
        <v>-9.9999999999909051E-3</v>
      </c>
      <c r="AO171">
        <f t="shared" si="49"/>
        <v>6.0000000000002274E-2</v>
      </c>
      <c r="AP171">
        <v>50.5</v>
      </c>
      <c r="AQ171">
        <v>996</v>
      </c>
      <c r="AR171">
        <v>22</v>
      </c>
      <c r="AS171">
        <v>34</v>
      </c>
      <c r="AT171">
        <f t="shared" si="54"/>
        <v>5.3137007027131622</v>
      </c>
      <c r="AU171">
        <f t="shared" si="55"/>
        <v>44.870000000000005</v>
      </c>
      <c r="AV171">
        <v>996</v>
      </c>
      <c r="AW171">
        <f t="shared" si="56"/>
        <v>2116.9716960106975</v>
      </c>
      <c r="AX171">
        <f t="shared" si="57"/>
        <v>2.0805210043132394E-5</v>
      </c>
      <c r="AY171">
        <f t="shared" si="58"/>
        <v>1.1673136018381007E-3</v>
      </c>
      <c r="AZ171">
        <f t="shared" si="59"/>
        <v>26.031093320989648</v>
      </c>
      <c r="BA171">
        <f t="shared" si="60"/>
        <v>0.64279251623204692</v>
      </c>
    </row>
    <row r="172" spans="1:56" x14ac:dyDescent="0.25">
      <c r="A172" t="s">
        <v>7</v>
      </c>
      <c r="B172" t="s">
        <v>18</v>
      </c>
      <c r="C172">
        <v>20</v>
      </c>
      <c r="G172">
        <f t="shared" si="61"/>
        <v>301.48958333333576</v>
      </c>
      <c r="H172" s="7">
        <v>45016.489583333336</v>
      </c>
      <c r="AF172">
        <v>177.85000000000002</v>
      </c>
      <c r="AG172">
        <v>139.94999999999999</v>
      </c>
      <c r="AL172">
        <v>326.745</v>
      </c>
      <c r="AM172">
        <v>326.72000000000003</v>
      </c>
      <c r="AN172">
        <f t="shared" si="43"/>
        <v>-4.9999999999954525E-3</v>
      </c>
      <c r="AO172">
        <f t="shared" si="49"/>
        <v>2.4999999999977263E-2</v>
      </c>
      <c r="AP172">
        <v>21</v>
      </c>
      <c r="AQ172">
        <v>996</v>
      </c>
      <c r="AR172">
        <v>22</v>
      </c>
      <c r="AS172">
        <v>34</v>
      </c>
      <c r="AT172">
        <f t="shared" si="54"/>
        <v>5.3137007027131622</v>
      </c>
      <c r="AU172">
        <f t="shared" si="55"/>
        <v>72.149999999999977</v>
      </c>
      <c r="AV172">
        <v>996</v>
      </c>
      <c r="AW172">
        <f t="shared" si="56"/>
        <v>1285.89604989605</v>
      </c>
      <c r="AX172">
        <f t="shared" si="57"/>
        <v>3.4831230358430762E-5</v>
      </c>
      <c r="AY172">
        <f t="shared" si="58"/>
        <v>1.1556449601166769E-3</v>
      </c>
      <c r="AZ172">
        <f t="shared" si="59"/>
        <v>25.770882610601895</v>
      </c>
      <c r="BA172">
        <f t="shared" si="60"/>
        <v>0.65209572361094403</v>
      </c>
    </row>
    <row r="173" spans="1:56" x14ac:dyDescent="0.25">
      <c r="A173" t="s">
        <v>8</v>
      </c>
      <c r="B173" t="s">
        <v>19</v>
      </c>
      <c r="C173">
        <v>10</v>
      </c>
      <c r="G173">
        <f t="shared" si="61"/>
        <v>301.48958333333576</v>
      </c>
      <c r="H173" s="7">
        <v>45016.489583333336</v>
      </c>
      <c r="AF173">
        <v>142.11999999999998</v>
      </c>
      <c r="AG173">
        <v>139.71</v>
      </c>
      <c r="AL173">
        <v>290.74</v>
      </c>
      <c r="AM173">
        <v>290.74</v>
      </c>
      <c r="AN173">
        <f t="shared" si="43"/>
        <v>0</v>
      </c>
      <c r="AO173">
        <f t="shared" si="49"/>
        <v>0</v>
      </c>
      <c r="AP173">
        <v>0</v>
      </c>
      <c r="AQ173">
        <v>996</v>
      </c>
      <c r="AR173">
        <v>22</v>
      </c>
      <c r="AS173">
        <v>34</v>
      </c>
      <c r="AT173">
        <f t="shared" si="54"/>
        <v>5.3137007027131622</v>
      </c>
      <c r="AU173">
        <f t="shared" si="55"/>
        <v>107.88000000000002</v>
      </c>
      <c r="AV173">
        <v>996</v>
      </c>
      <c r="AW173">
        <f t="shared" si="56"/>
        <v>996</v>
      </c>
      <c r="AX173">
        <f t="shared" si="57"/>
        <v>4.5540565828360499E-5</v>
      </c>
      <c r="AY173" t="e">
        <f t="shared" si="58"/>
        <v>#DIV/0!</v>
      </c>
      <c r="AZ173" t="e">
        <f t="shared" si="59"/>
        <v>#DIV/0!</v>
      </c>
      <c r="BA173" t="e">
        <f t="shared" si="60"/>
        <v>#DIV/0!</v>
      </c>
    </row>
    <row r="174" spans="1:56" x14ac:dyDescent="0.25">
      <c r="A174" t="s">
        <v>9</v>
      </c>
      <c r="B174" t="s">
        <v>19</v>
      </c>
      <c r="C174">
        <v>10</v>
      </c>
      <c r="G174">
        <f t="shared" si="61"/>
        <v>301.48958333333576</v>
      </c>
      <c r="H174" s="7">
        <v>45016.489583333336</v>
      </c>
      <c r="AF174">
        <v>136.42000000000002</v>
      </c>
      <c r="AG174">
        <v>139.75</v>
      </c>
      <c r="AL174">
        <v>285.17</v>
      </c>
      <c r="AM174">
        <v>285.17</v>
      </c>
      <c r="AN174">
        <f t="shared" si="43"/>
        <v>0</v>
      </c>
      <c r="AO174">
        <f t="shared" si="49"/>
        <v>0</v>
      </c>
      <c r="AP174">
        <v>0</v>
      </c>
      <c r="AQ174">
        <v>996</v>
      </c>
      <c r="AR174">
        <v>22</v>
      </c>
      <c r="AS174">
        <v>34</v>
      </c>
      <c r="AT174">
        <f t="shared" si="54"/>
        <v>5.3137007027131622</v>
      </c>
      <c r="AU174">
        <f t="shared" si="55"/>
        <v>113.57999999999998</v>
      </c>
      <c r="AV174">
        <v>996</v>
      </c>
      <c r="AW174">
        <f t="shared" si="56"/>
        <v>996</v>
      </c>
      <c r="AX174">
        <f t="shared" si="57"/>
        <v>4.5540565828360499E-5</v>
      </c>
      <c r="AY174" t="e">
        <f t="shared" si="58"/>
        <v>#DIV/0!</v>
      </c>
      <c r="AZ174" t="e">
        <f t="shared" si="59"/>
        <v>#DIV/0!</v>
      </c>
      <c r="BA174" t="e">
        <f t="shared" si="60"/>
        <v>#DIV/0!</v>
      </c>
    </row>
    <row r="175" spans="1:56" x14ac:dyDescent="0.25">
      <c r="A175" t="s">
        <v>10</v>
      </c>
      <c r="B175" t="s">
        <v>19</v>
      </c>
      <c r="C175">
        <v>10</v>
      </c>
      <c r="G175">
        <f t="shared" si="61"/>
        <v>301.48958333333576</v>
      </c>
      <c r="H175" s="7">
        <v>45016.489583333336</v>
      </c>
      <c r="AF175">
        <v>117.85000000000002</v>
      </c>
      <c r="AG175">
        <v>140.44999999999999</v>
      </c>
      <c r="AL175">
        <v>267.14</v>
      </c>
      <c r="AM175">
        <v>267.14</v>
      </c>
      <c r="AN175">
        <f t="shared" si="43"/>
        <v>0</v>
      </c>
      <c r="AO175">
        <f t="shared" si="49"/>
        <v>0</v>
      </c>
      <c r="AP175">
        <v>0</v>
      </c>
      <c r="AQ175">
        <v>996</v>
      </c>
      <c r="AR175">
        <v>22</v>
      </c>
      <c r="AS175">
        <v>34</v>
      </c>
      <c r="AT175">
        <f t="shared" si="54"/>
        <v>5.3137007027131622</v>
      </c>
      <c r="AU175">
        <f t="shared" si="55"/>
        <v>132.14999999999998</v>
      </c>
      <c r="AV175">
        <v>996</v>
      </c>
      <c r="AW175">
        <f t="shared" si="56"/>
        <v>996</v>
      </c>
      <c r="AX175">
        <f t="shared" si="57"/>
        <v>4.5540565828360499E-5</v>
      </c>
      <c r="AY175" t="e">
        <f t="shared" si="58"/>
        <v>#DIV/0!</v>
      </c>
      <c r="AZ175" t="e">
        <f t="shared" si="59"/>
        <v>#DIV/0!</v>
      </c>
      <c r="BA175" t="e">
        <f t="shared" si="60"/>
        <v>#DIV/0!</v>
      </c>
    </row>
    <row r="176" spans="1:56" x14ac:dyDescent="0.25">
      <c r="A176" t="s">
        <v>11</v>
      </c>
      <c r="B176" t="s">
        <v>19</v>
      </c>
      <c r="C176">
        <v>10</v>
      </c>
      <c r="G176">
        <f t="shared" si="61"/>
        <v>301.48958333333576</v>
      </c>
      <c r="H176" s="7">
        <v>45016.489583333336</v>
      </c>
      <c r="AF176">
        <v>107.53</v>
      </c>
      <c r="AG176">
        <v>140</v>
      </c>
      <c r="AL176">
        <v>256.60000000000002</v>
      </c>
      <c r="AM176">
        <v>256.60000000000002</v>
      </c>
      <c r="AN176">
        <f t="shared" si="43"/>
        <v>0</v>
      </c>
      <c r="AO176">
        <f t="shared" si="49"/>
        <v>0</v>
      </c>
      <c r="AP176">
        <v>0</v>
      </c>
      <c r="AQ176">
        <v>996</v>
      </c>
      <c r="AR176">
        <v>22</v>
      </c>
      <c r="AS176">
        <v>34</v>
      </c>
      <c r="AT176">
        <f t="shared" si="54"/>
        <v>5.3137007027131622</v>
      </c>
      <c r="AU176">
        <f t="shared" si="55"/>
        <v>142.47</v>
      </c>
      <c r="AV176">
        <v>996</v>
      </c>
      <c r="AW176">
        <f t="shared" si="56"/>
        <v>996</v>
      </c>
      <c r="AX176">
        <f t="shared" si="57"/>
        <v>4.5540565828360499E-5</v>
      </c>
      <c r="AY176" t="e">
        <f t="shared" si="58"/>
        <v>#DIV/0!</v>
      </c>
      <c r="AZ176" t="e">
        <f t="shared" si="59"/>
        <v>#DIV/0!</v>
      </c>
      <c r="BA176" t="e">
        <f t="shared" si="60"/>
        <v>#DIV/0!</v>
      </c>
    </row>
    <row r="177" spans="1:53" x14ac:dyDescent="0.25">
      <c r="A177" t="s">
        <v>12</v>
      </c>
      <c r="B177" t="s">
        <v>19</v>
      </c>
      <c r="C177">
        <v>20</v>
      </c>
      <c r="G177">
        <f t="shared" si="61"/>
        <v>301.48958333333576</v>
      </c>
      <c r="H177" s="7">
        <v>45016.489583333336</v>
      </c>
      <c r="AF177">
        <v>109.43</v>
      </c>
      <c r="AG177">
        <v>140.19999999999999</v>
      </c>
      <c r="AL177">
        <v>258.52</v>
      </c>
      <c r="AM177">
        <v>258.52</v>
      </c>
      <c r="AN177">
        <f t="shared" si="43"/>
        <v>0</v>
      </c>
      <c r="AO177">
        <f t="shared" si="49"/>
        <v>0</v>
      </c>
      <c r="AP177">
        <v>0</v>
      </c>
      <c r="AQ177">
        <v>996</v>
      </c>
      <c r="AR177">
        <v>22</v>
      </c>
      <c r="AS177">
        <v>34</v>
      </c>
      <c r="AT177">
        <f t="shared" si="54"/>
        <v>5.3137007027131622</v>
      </c>
      <c r="AU177">
        <f t="shared" si="55"/>
        <v>140.57</v>
      </c>
      <c r="AV177">
        <v>996</v>
      </c>
      <c r="AW177">
        <f t="shared" si="56"/>
        <v>996</v>
      </c>
      <c r="AX177">
        <f t="shared" si="57"/>
        <v>4.5540565828360499E-5</v>
      </c>
      <c r="AY177" t="e">
        <f t="shared" si="58"/>
        <v>#DIV/0!</v>
      </c>
      <c r="AZ177" t="e">
        <f t="shared" si="59"/>
        <v>#DIV/0!</v>
      </c>
      <c r="BA177" t="e">
        <f t="shared" si="60"/>
        <v>#DIV/0!</v>
      </c>
    </row>
    <row r="178" spans="1:53" x14ac:dyDescent="0.25">
      <c r="A178" t="s">
        <v>13</v>
      </c>
      <c r="B178" t="s">
        <v>19</v>
      </c>
      <c r="C178">
        <v>20</v>
      </c>
      <c r="G178">
        <f t="shared" si="61"/>
        <v>301.48958333333576</v>
      </c>
      <c r="H178" s="7">
        <v>45016.489583333336</v>
      </c>
      <c r="AF178">
        <v>129.52999999999997</v>
      </c>
      <c r="AG178">
        <v>140.24</v>
      </c>
      <c r="AL178">
        <v>278.70999999999998</v>
      </c>
      <c r="AM178">
        <v>278.70999999999998</v>
      </c>
      <c r="AN178">
        <f t="shared" si="43"/>
        <v>0</v>
      </c>
      <c r="AO178">
        <f t="shared" si="49"/>
        <v>0</v>
      </c>
      <c r="AP178">
        <v>0</v>
      </c>
      <c r="AQ178">
        <v>996</v>
      </c>
      <c r="AR178">
        <v>22</v>
      </c>
      <c r="AS178">
        <v>34</v>
      </c>
      <c r="AT178">
        <f t="shared" si="54"/>
        <v>5.3137007027131622</v>
      </c>
      <c r="AU178">
        <f t="shared" si="55"/>
        <v>120.47000000000003</v>
      </c>
      <c r="AV178">
        <v>996</v>
      </c>
      <c r="AW178">
        <f t="shared" si="56"/>
        <v>996</v>
      </c>
      <c r="AX178">
        <f t="shared" si="57"/>
        <v>4.5540565828360499E-5</v>
      </c>
      <c r="AY178" t="e">
        <f t="shared" si="58"/>
        <v>#DIV/0!</v>
      </c>
      <c r="AZ178" t="e">
        <f t="shared" si="59"/>
        <v>#DIV/0!</v>
      </c>
      <c r="BA178" t="e">
        <f t="shared" si="60"/>
        <v>#DIV/0!</v>
      </c>
    </row>
    <row r="179" spans="1:53" x14ac:dyDescent="0.25">
      <c r="A179" t="s">
        <v>14</v>
      </c>
      <c r="B179" t="s">
        <v>19</v>
      </c>
      <c r="C179">
        <v>20</v>
      </c>
      <c r="G179">
        <f t="shared" si="61"/>
        <v>301.48958333333576</v>
      </c>
      <c r="H179" s="7">
        <v>45016.489583333336</v>
      </c>
      <c r="AF179">
        <v>94.359999999999985</v>
      </c>
      <c r="AG179">
        <v>138.74</v>
      </c>
      <c r="AL179">
        <v>241.97499999999999</v>
      </c>
      <c r="AM179">
        <v>241.97499999999999</v>
      </c>
      <c r="AN179">
        <f t="shared" si="43"/>
        <v>0</v>
      </c>
      <c r="AO179">
        <f t="shared" si="49"/>
        <v>0</v>
      </c>
      <c r="AP179">
        <v>0</v>
      </c>
      <c r="AQ179">
        <v>996</v>
      </c>
      <c r="AR179">
        <v>22</v>
      </c>
      <c r="AS179">
        <v>34</v>
      </c>
      <c r="AT179">
        <f t="shared" si="54"/>
        <v>5.3137007027131622</v>
      </c>
      <c r="AU179">
        <f t="shared" si="55"/>
        <v>155.64000000000001</v>
      </c>
      <c r="AV179">
        <v>996</v>
      </c>
      <c r="AW179">
        <f t="shared" si="56"/>
        <v>996</v>
      </c>
      <c r="AX179">
        <f t="shared" si="57"/>
        <v>4.5540565828360499E-5</v>
      </c>
      <c r="AY179" t="e">
        <f t="shared" si="58"/>
        <v>#DIV/0!</v>
      </c>
      <c r="AZ179" t="e">
        <f t="shared" si="59"/>
        <v>#DIV/0!</v>
      </c>
      <c r="BA179" t="e">
        <f t="shared" si="60"/>
        <v>#DIV/0!</v>
      </c>
    </row>
    <row r="180" spans="1:53" x14ac:dyDescent="0.25">
      <c r="A180" t="s">
        <v>15</v>
      </c>
      <c r="B180" t="s">
        <v>19</v>
      </c>
      <c r="C180">
        <v>20</v>
      </c>
      <c r="G180">
        <f t="shared" si="61"/>
        <v>301.48958333333576</v>
      </c>
      <c r="H180" s="7">
        <v>45016.489583333336</v>
      </c>
      <c r="AF180">
        <v>85.4</v>
      </c>
      <c r="AG180">
        <v>140.1</v>
      </c>
      <c r="AL180">
        <v>234.46</v>
      </c>
      <c r="AM180">
        <v>234.46</v>
      </c>
      <c r="AN180">
        <f t="shared" si="43"/>
        <v>0</v>
      </c>
      <c r="AO180">
        <f t="shared" si="49"/>
        <v>0</v>
      </c>
      <c r="AP180">
        <v>0</v>
      </c>
      <c r="AQ180">
        <v>996</v>
      </c>
      <c r="AR180">
        <v>22</v>
      </c>
      <c r="AS180">
        <v>34</v>
      </c>
      <c r="AT180">
        <f t="shared" si="54"/>
        <v>5.3137007027131622</v>
      </c>
      <c r="AU180">
        <f t="shared" si="55"/>
        <v>164.6</v>
      </c>
      <c r="AV180">
        <v>996</v>
      </c>
      <c r="AW180">
        <f t="shared" si="56"/>
        <v>996</v>
      </c>
      <c r="AX180">
        <f t="shared" si="57"/>
        <v>4.5540565828360499E-5</v>
      </c>
      <c r="AY180" t="e">
        <f t="shared" si="58"/>
        <v>#DIV/0!</v>
      </c>
      <c r="AZ180" t="e">
        <f t="shared" si="59"/>
        <v>#DIV/0!</v>
      </c>
      <c r="BA180" t="e">
        <f t="shared" si="60"/>
        <v>#DIV/0!</v>
      </c>
    </row>
    <row r="181" spans="1:53" x14ac:dyDescent="0.25">
      <c r="A181" t="s">
        <v>0</v>
      </c>
      <c r="B181" t="s">
        <v>18</v>
      </c>
      <c r="C181">
        <v>10</v>
      </c>
      <c r="G181">
        <f t="shared" si="61"/>
        <v>304.36458333333576</v>
      </c>
      <c r="H181" s="7">
        <v>45019.364583333336</v>
      </c>
      <c r="AF181">
        <v>172.77</v>
      </c>
      <c r="AG181">
        <v>139.16999999999999</v>
      </c>
      <c r="AL181">
        <v>321.19</v>
      </c>
      <c r="AM181">
        <v>321.16500000000002</v>
      </c>
      <c r="AN181">
        <f t="shared" si="43"/>
        <v>3.0000000000029559E-2</v>
      </c>
      <c r="AO181">
        <f t="shared" si="49"/>
        <v>2.4999999999977263E-2</v>
      </c>
      <c r="AP181">
        <v>9</v>
      </c>
      <c r="AQ181">
        <v>1037</v>
      </c>
      <c r="AR181">
        <v>22</v>
      </c>
      <c r="AS181">
        <v>34</v>
      </c>
      <c r="AT181">
        <f t="shared" ref="AT181:AT196" si="62">0.61094*EXP(17.625*AS181/(243.04+AS181))</f>
        <v>5.3137007027131622</v>
      </c>
      <c r="AU181">
        <f t="shared" ref="AU181:AU196" si="63">250-AF181</f>
        <v>77.22999999999999</v>
      </c>
      <c r="AV181">
        <v>1037</v>
      </c>
      <c r="AW181">
        <f t="shared" ref="AW181:AW196" si="64">AP181/AU181*AV181+AV181</f>
        <v>1157.8468211834779</v>
      </c>
      <c r="AX181">
        <f t="shared" ref="AX181:AX196" si="65">18.02*(AT181/(AW181/10-AT181)*1/22300)</f>
        <v>3.8868591233977169E-5</v>
      </c>
      <c r="AY181">
        <f>(AL181-AM181)/AP181-AX181</f>
        <v>2.7389091865412741E-3</v>
      </c>
      <c r="AZ181">
        <f t="shared" ref="AZ181:AZ196" si="66">AY181*22300</f>
        <v>61.077674859870413</v>
      </c>
      <c r="BA181">
        <f t="shared" ref="BA181:BA196" si="67">(44.01-AZ181)/(44.01-16.04)</f>
        <v>-0.61021361672758012</v>
      </c>
    </row>
    <row r="182" spans="1:53" x14ac:dyDescent="0.25">
      <c r="A182" t="s">
        <v>1</v>
      </c>
      <c r="B182" t="s">
        <v>18</v>
      </c>
      <c r="C182">
        <v>10</v>
      </c>
      <c r="G182">
        <f t="shared" si="61"/>
        <v>304.36458333333576</v>
      </c>
      <c r="H182" s="7">
        <v>45019.364583333336</v>
      </c>
      <c r="AF182">
        <v>173.93</v>
      </c>
      <c r="AG182">
        <v>141.25</v>
      </c>
      <c r="AL182">
        <v>324.35000000000002</v>
      </c>
      <c r="AM182">
        <v>324.32499999999999</v>
      </c>
      <c r="AN182">
        <f t="shared" si="43"/>
        <v>0</v>
      </c>
      <c r="AO182">
        <f t="shared" si="49"/>
        <v>2.5000000000034106E-2</v>
      </c>
      <c r="AP182">
        <v>9</v>
      </c>
      <c r="AQ182">
        <v>1037</v>
      </c>
      <c r="AR182">
        <v>22</v>
      </c>
      <c r="AS182">
        <v>34</v>
      </c>
      <c r="AT182">
        <f t="shared" si="62"/>
        <v>5.3137007027131622</v>
      </c>
      <c r="AU182">
        <f t="shared" si="63"/>
        <v>76.069999999999993</v>
      </c>
      <c r="AV182">
        <v>1037</v>
      </c>
      <c r="AW182">
        <f>AP182/AU182*AV182+AV182</f>
        <v>1159.6896279742343</v>
      </c>
      <c r="AX182">
        <f t="shared" si="65"/>
        <v>3.8803861095963666E-5</v>
      </c>
      <c r="AY182">
        <f t="shared" ref="AY182:AY196" si="68">(AL182-AM182)/AP182-AX182</f>
        <v>2.7389739166856037E-3</v>
      </c>
      <c r="AZ182">
        <f t="shared" si="66"/>
        <v>61.079118342088961</v>
      </c>
      <c r="BA182">
        <f t="shared" si="67"/>
        <v>-0.61026522495848989</v>
      </c>
    </row>
    <row r="183" spans="1:53" x14ac:dyDescent="0.25">
      <c r="A183" t="s">
        <v>2</v>
      </c>
      <c r="B183" t="s">
        <v>18</v>
      </c>
      <c r="C183">
        <v>10</v>
      </c>
      <c r="G183">
        <f t="shared" si="61"/>
        <v>304.36458333333576</v>
      </c>
      <c r="H183" s="7">
        <v>45019.364583333336</v>
      </c>
      <c r="AF183">
        <v>162.82000000000002</v>
      </c>
      <c r="AG183">
        <v>140.66</v>
      </c>
      <c r="AL183">
        <v>312.66000000000003</v>
      </c>
      <c r="AM183">
        <v>312.64999999999998</v>
      </c>
      <c r="AN183">
        <f t="shared" si="43"/>
        <v>2.9999999999972715E-2</v>
      </c>
      <c r="AO183">
        <f t="shared" si="49"/>
        <v>1.0000000000047748E-2</v>
      </c>
      <c r="AP183">
        <v>8</v>
      </c>
      <c r="AQ183">
        <v>1037</v>
      </c>
      <c r="AR183">
        <v>22</v>
      </c>
      <c r="AS183">
        <v>34</v>
      </c>
      <c r="AT183">
        <f t="shared" si="62"/>
        <v>5.3137007027131622</v>
      </c>
      <c r="AU183">
        <f t="shared" si="63"/>
        <v>87.179999999999978</v>
      </c>
      <c r="AV183">
        <v>1037</v>
      </c>
      <c r="AW183">
        <f t="shared" si="64"/>
        <v>1132.1594402385867</v>
      </c>
      <c r="AX183">
        <f t="shared" si="65"/>
        <v>3.979390314509919E-5</v>
      </c>
      <c r="AY183">
        <f t="shared" si="68"/>
        <v>1.2102060968608693E-3</v>
      </c>
      <c r="AZ183">
        <f t="shared" si="66"/>
        <v>26.987595959997385</v>
      </c>
      <c r="BA183">
        <f t="shared" si="67"/>
        <v>0.60859506757249249</v>
      </c>
    </row>
    <row r="184" spans="1:53" x14ac:dyDescent="0.25">
      <c r="A184" t="s">
        <v>3</v>
      </c>
      <c r="B184" t="s">
        <v>18</v>
      </c>
      <c r="C184">
        <v>10</v>
      </c>
      <c r="G184">
        <f t="shared" si="61"/>
        <v>304.36458333333576</v>
      </c>
      <c r="H184" s="7">
        <v>45019.364583333336</v>
      </c>
      <c r="AF184">
        <v>187.81</v>
      </c>
      <c r="AG184">
        <v>140</v>
      </c>
      <c r="AL184">
        <v>337</v>
      </c>
      <c r="AM184">
        <v>336.98</v>
      </c>
      <c r="AN184">
        <f t="shared" si="43"/>
        <v>9.9999999999909051E-3</v>
      </c>
      <c r="AO184">
        <f t="shared" si="49"/>
        <v>1.999999999998181E-2</v>
      </c>
      <c r="AP184">
        <v>10</v>
      </c>
      <c r="AQ184">
        <v>1037</v>
      </c>
      <c r="AR184">
        <v>22</v>
      </c>
      <c r="AS184">
        <v>34</v>
      </c>
      <c r="AT184">
        <f t="shared" si="62"/>
        <v>5.3137007027131622</v>
      </c>
      <c r="AU184">
        <f t="shared" si="63"/>
        <v>62.19</v>
      </c>
      <c r="AV184">
        <v>1037</v>
      </c>
      <c r="AW184">
        <f t="shared" si="64"/>
        <v>1203.7470654446051</v>
      </c>
      <c r="AX184">
        <f t="shared" si="65"/>
        <v>3.7318041750532492E-5</v>
      </c>
      <c r="AY184">
        <f t="shared" si="68"/>
        <v>1.9626819582476487E-3</v>
      </c>
      <c r="AZ184">
        <f t="shared" si="66"/>
        <v>43.767807668922565</v>
      </c>
      <c r="BA184">
        <f t="shared" si="67"/>
        <v>8.6590036137802369E-3</v>
      </c>
    </row>
    <row r="185" spans="1:53" x14ac:dyDescent="0.25">
      <c r="A185" t="s">
        <v>4</v>
      </c>
      <c r="B185" t="s">
        <v>18</v>
      </c>
      <c r="C185">
        <v>20</v>
      </c>
      <c r="G185">
        <f t="shared" si="61"/>
        <v>304.36458333333576</v>
      </c>
      <c r="H185" s="7">
        <v>45019.364583333336</v>
      </c>
      <c r="AF185">
        <v>181.58</v>
      </c>
      <c r="AG185">
        <v>139.4</v>
      </c>
      <c r="AL185">
        <v>329.59</v>
      </c>
      <c r="AM185">
        <v>329.5</v>
      </c>
      <c r="AN185">
        <f t="shared" si="43"/>
        <v>6.0000000000002274E-2</v>
      </c>
      <c r="AO185">
        <f t="shared" si="49"/>
        <v>8.9999999999974989E-2</v>
      </c>
      <c r="AP185">
        <f>55.5+18.5</f>
        <v>74</v>
      </c>
      <c r="AQ185">
        <v>1037</v>
      </c>
      <c r="AR185">
        <v>22</v>
      </c>
      <c r="AS185">
        <v>34</v>
      </c>
      <c r="AT185">
        <f t="shared" si="62"/>
        <v>5.3137007027131622</v>
      </c>
      <c r="AU185">
        <f t="shared" si="63"/>
        <v>68.419999999999987</v>
      </c>
      <c r="AV185">
        <v>1037</v>
      </c>
      <c r="AW185">
        <f t="shared" si="64"/>
        <v>2158.5726395790707</v>
      </c>
      <c r="AX185">
        <f t="shared" si="65"/>
        <v>2.0394123446348892E-5</v>
      </c>
      <c r="AY185">
        <f t="shared" si="68"/>
        <v>1.1958220927695295E-3</v>
      </c>
      <c r="AZ185">
        <f t="shared" si="66"/>
        <v>26.66683266876051</v>
      </c>
      <c r="BA185">
        <f t="shared" si="67"/>
        <v>0.62006318667284555</v>
      </c>
    </row>
    <row r="186" spans="1:53" x14ac:dyDescent="0.25">
      <c r="A186" t="s">
        <v>5</v>
      </c>
      <c r="B186" t="s">
        <v>18</v>
      </c>
      <c r="C186">
        <v>20</v>
      </c>
      <c r="G186">
        <f t="shared" si="61"/>
        <v>304.36458333333576</v>
      </c>
      <c r="H186" s="7">
        <v>45019.364583333336</v>
      </c>
      <c r="AF186">
        <v>201.8</v>
      </c>
      <c r="AG186">
        <v>139.81</v>
      </c>
      <c r="AL186">
        <v>350.21</v>
      </c>
      <c r="AM186">
        <v>350.1</v>
      </c>
      <c r="AN186">
        <f t="shared" si="43"/>
        <v>6.0000000000002274E-2</v>
      </c>
      <c r="AO186">
        <f t="shared" si="49"/>
        <v>0.1099999999999568</v>
      </c>
      <c r="AP186">
        <v>103</v>
      </c>
      <c r="AQ186">
        <v>1037</v>
      </c>
      <c r="AR186">
        <v>22</v>
      </c>
      <c r="AS186">
        <v>34</v>
      </c>
      <c r="AT186">
        <f t="shared" si="62"/>
        <v>5.3137007027131622</v>
      </c>
      <c r="AU186">
        <f t="shared" si="63"/>
        <v>48.199999999999989</v>
      </c>
      <c r="AV186">
        <v>1037</v>
      </c>
      <c r="AW186">
        <f t="shared" si="64"/>
        <v>3252.995850622407</v>
      </c>
      <c r="AX186">
        <f t="shared" si="65"/>
        <v>1.3418877612226592E-5</v>
      </c>
      <c r="AY186">
        <f t="shared" si="68"/>
        <v>1.0545422874358977E-3</v>
      </c>
      <c r="AZ186">
        <f t="shared" si="66"/>
        <v>23.516293009820519</v>
      </c>
      <c r="BA186">
        <f t="shared" si="67"/>
        <v>0.73270314587699248</v>
      </c>
    </row>
    <row r="187" spans="1:53" x14ac:dyDescent="0.25">
      <c r="A187" t="s">
        <v>6</v>
      </c>
      <c r="B187" t="s">
        <v>18</v>
      </c>
      <c r="C187">
        <v>20</v>
      </c>
      <c r="G187">
        <f t="shared" si="61"/>
        <v>304.36458333333576</v>
      </c>
      <c r="H187" s="7">
        <v>45019.364583333336</v>
      </c>
      <c r="AF187">
        <v>205.13</v>
      </c>
      <c r="AG187">
        <v>139.01</v>
      </c>
      <c r="AL187">
        <v>352.82</v>
      </c>
      <c r="AM187">
        <v>352.75</v>
      </c>
      <c r="AN187">
        <f t="shared" si="43"/>
        <v>6.0000000000002274E-2</v>
      </c>
      <c r="AO187">
        <f t="shared" si="49"/>
        <v>6.9999999999993179E-2</v>
      </c>
      <c r="AP187">
        <v>75</v>
      </c>
      <c r="AQ187">
        <v>1037</v>
      </c>
      <c r="AR187">
        <v>22</v>
      </c>
      <c r="AS187">
        <v>34</v>
      </c>
      <c r="AT187">
        <f t="shared" si="62"/>
        <v>5.3137007027131622</v>
      </c>
      <c r="AU187">
        <f t="shared" si="63"/>
        <v>44.870000000000005</v>
      </c>
      <c r="AV187">
        <v>1037</v>
      </c>
      <c r="AW187">
        <f t="shared" si="64"/>
        <v>2770.3407622019163</v>
      </c>
      <c r="AX187">
        <f t="shared" si="65"/>
        <v>1.5802463881051083E-5</v>
      </c>
      <c r="AY187">
        <f t="shared" si="68"/>
        <v>9.1753086945219129E-4</v>
      </c>
      <c r="AZ187">
        <f t="shared" si="66"/>
        <v>20.460938388783866</v>
      </c>
      <c r="BA187">
        <f t="shared" si="67"/>
        <v>0.84193999325048741</v>
      </c>
    </row>
    <row r="188" spans="1:53" x14ac:dyDescent="0.25">
      <c r="A188" t="s">
        <v>7</v>
      </c>
      <c r="B188" t="s">
        <v>18</v>
      </c>
      <c r="C188">
        <v>20</v>
      </c>
      <c r="G188">
        <f t="shared" si="61"/>
        <v>304.36458333333576</v>
      </c>
      <c r="H188" s="7">
        <v>45019.364583333336</v>
      </c>
      <c r="AF188">
        <v>177.85000000000002</v>
      </c>
      <c r="AG188">
        <v>139.94999999999999</v>
      </c>
      <c r="AL188">
        <v>326.69</v>
      </c>
      <c r="AM188">
        <v>326.62</v>
      </c>
      <c r="AN188">
        <f t="shared" si="43"/>
        <v>3.0000000000029559E-2</v>
      </c>
      <c r="AO188">
        <f t="shared" si="49"/>
        <v>6.9999999999993179E-2</v>
      </c>
      <c r="AP188">
        <v>36</v>
      </c>
      <c r="AQ188">
        <v>1037</v>
      </c>
      <c r="AR188">
        <v>22</v>
      </c>
      <c r="AS188">
        <v>34</v>
      </c>
      <c r="AT188">
        <f t="shared" si="62"/>
        <v>5.3137007027131622</v>
      </c>
      <c r="AU188">
        <f t="shared" si="63"/>
        <v>72.149999999999977</v>
      </c>
      <c r="AV188">
        <v>1037</v>
      </c>
      <c r="AW188">
        <f t="shared" si="64"/>
        <v>1554.4220374220376</v>
      </c>
      <c r="AX188">
        <f t="shared" si="65"/>
        <v>2.8601173880559602E-5</v>
      </c>
      <c r="AY188">
        <f t="shared" si="68"/>
        <v>1.9158432705636953E-3</v>
      </c>
      <c r="AZ188">
        <f t="shared" si="66"/>
        <v>42.723304933570404</v>
      </c>
      <c r="BA188">
        <f t="shared" si="67"/>
        <v>4.6002683819434904E-2</v>
      </c>
    </row>
    <row r="189" spans="1:53" x14ac:dyDescent="0.25">
      <c r="A189" t="s">
        <v>8</v>
      </c>
      <c r="B189" t="s">
        <v>19</v>
      </c>
      <c r="C189">
        <v>10</v>
      </c>
      <c r="G189">
        <f t="shared" si="61"/>
        <v>304.36458333333576</v>
      </c>
      <c r="H189" s="7">
        <v>45019.364583333336</v>
      </c>
      <c r="AF189">
        <v>142.11999999999998</v>
      </c>
      <c r="AG189">
        <v>139.71</v>
      </c>
      <c r="AL189">
        <v>290.70999999999998</v>
      </c>
      <c r="AM189">
        <v>290.60000000000002</v>
      </c>
      <c r="AN189">
        <f t="shared" si="43"/>
        <v>3.0000000000029559E-2</v>
      </c>
      <c r="AO189">
        <f t="shared" si="49"/>
        <v>0.1099999999999568</v>
      </c>
      <c r="AP189">
        <v>48</v>
      </c>
      <c r="AQ189">
        <v>1037</v>
      </c>
      <c r="AR189">
        <v>22</v>
      </c>
      <c r="AS189">
        <v>34</v>
      </c>
      <c r="AT189">
        <f t="shared" si="62"/>
        <v>5.3137007027131622</v>
      </c>
      <c r="AU189">
        <f t="shared" si="63"/>
        <v>107.88000000000002</v>
      </c>
      <c r="AV189">
        <v>1037</v>
      </c>
      <c r="AW189">
        <f t="shared" si="64"/>
        <v>1498.401557285873</v>
      </c>
      <c r="AX189">
        <f t="shared" si="65"/>
        <v>2.9709795477180118E-5</v>
      </c>
      <c r="AY189">
        <f t="shared" si="68"/>
        <v>2.2619568711885868E-3</v>
      </c>
      <c r="AZ189">
        <f t="shared" si="66"/>
        <v>50.441638227505486</v>
      </c>
      <c r="BA189">
        <f t="shared" si="67"/>
        <v>-0.22994773784431491</v>
      </c>
    </row>
    <row r="190" spans="1:53" x14ac:dyDescent="0.25">
      <c r="A190" t="s">
        <v>9</v>
      </c>
      <c r="B190" t="s">
        <v>19</v>
      </c>
      <c r="C190">
        <v>10</v>
      </c>
      <c r="G190">
        <f t="shared" si="61"/>
        <v>304.36458333333576</v>
      </c>
      <c r="H190" s="7">
        <v>45019.364583333336</v>
      </c>
      <c r="AF190">
        <v>136.42000000000002</v>
      </c>
      <c r="AG190">
        <v>139.75</v>
      </c>
      <c r="AL190">
        <v>285.14999999999998</v>
      </c>
      <c r="AM190">
        <v>285.02999999999997</v>
      </c>
      <c r="AN190">
        <f t="shared" si="43"/>
        <v>2.0000000000038654E-2</v>
      </c>
      <c r="AO190">
        <f t="shared" si="49"/>
        <v>0.12000000000000455</v>
      </c>
      <c r="AP190">
        <v>50</v>
      </c>
      <c r="AQ190">
        <v>1037</v>
      </c>
      <c r="AR190">
        <v>22</v>
      </c>
      <c r="AS190">
        <v>34</v>
      </c>
      <c r="AT190">
        <f t="shared" si="62"/>
        <v>5.3137007027131622</v>
      </c>
      <c r="AU190">
        <f t="shared" si="63"/>
        <v>113.57999999999998</v>
      </c>
      <c r="AV190">
        <v>1037</v>
      </c>
      <c r="AW190">
        <f t="shared" si="64"/>
        <v>1493.5064271878853</v>
      </c>
      <c r="AX190">
        <f t="shared" si="65"/>
        <v>2.9810764931272787E-5</v>
      </c>
      <c r="AY190">
        <f t="shared" si="68"/>
        <v>2.3701892350688181E-3</v>
      </c>
      <c r="AZ190">
        <f t="shared" si="66"/>
        <v>52.855219942034644</v>
      </c>
      <c r="BA190">
        <f t="shared" si="67"/>
        <v>-0.31623954029440993</v>
      </c>
    </row>
    <row r="191" spans="1:53" x14ac:dyDescent="0.25">
      <c r="A191" t="s">
        <v>10</v>
      </c>
      <c r="B191" t="s">
        <v>19</v>
      </c>
      <c r="C191">
        <v>10</v>
      </c>
      <c r="G191">
        <f t="shared" si="61"/>
        <v>304.36458333333576</v>
      </c>
      <c r="H191" s="7">
        <v>45019.364583333336</v>
      </c>
      <c r="AF191">
        <v>117.85000000000002</v>
      </c>
      <c r="AG191">
        <v>140.44999999999999</v>
      </c>
      <c r="AL191">
        <v>267.11</v>
      </c>
      <c r="AM191">
        <v>266.95999999999998</v>
      </c>
      <c r="AN191">
        <f t="shared" si="43"/>
        <v>2.9999999999972715E-2</v>
      </c>
      <c r="AO191">
        <f t="shared" si="49"/>
        <v>0.15000000000003411</v>
      </c>
      <c r="AP191">
        <v>47</v>
      </c>
      <c r="AQ191">
        <v>1037</v>
      </c>
      <c r="AR191">
        <v>22</v>
      </c>
      <c r="AS191">
        <v>34</v>
      </c>
      <c r="AT191">
        <f t="shared" si="62"/>
        <v>5.3137007027131622</v>
      </c>
      <c r="AU191">
        <f t="shared" si="63"/>
        <v>132.14999999999998</v>
      </c>
      <c r="AV191">
        <v>1037</v>
      </c>
      <c r="AW191">
        <f t="shared" si="64"/>
        <v>1405.8157396897466</v>
      </c>
      <c r="AX191">
        <f t="shared" si="65"/>
        <v>3.1743320244331539E-5</v>
      </c>
      <c r="AY191">
        <f t="shared" si="68"/>
        <v>3.1597460414585221E-3</v>
      </c>
      <c r="AZ191">
        <f t="shared" si="66"/>
        <v>70.462336724525045</v>
      </c>
      <c r="BA191">
        <f t="shared" si="67"/>
        <v>-0.94573960402306212</v>
      </c>
    </row>
    <row r="192" spans="1:53" x14ac:dyDescent="0.25">
      <c r="A192" t="s">
        <v>11</v>
      </c>
      <c r="B192" t="s">
        <v>19</v>
      </c>
      <c r="C192">
        <v>10</v>
      </c>
      <c r="G192">
        <f t="shared" si="61"/>
        <v>304.36458333333576</v>
      </c>
      <c r="H192" s="7">
        <v>45019.364583333336</v>
      </c>
      <c r="AF192">
        <v>107.53</v>
      </c>
      <c r="AG192">
        <v>140</v>
      </c>
      <c r="AL192">
        <v>256.58</v>
      </c>
      <c r="AM192">
        <v>256.52999999999997</v>
      </c>
      <c r="AN192">
        <f t="shared" si="43"/>
        <v>2.0000000000038654E-2</v>
      </c>
      <c r="AO192">
        <f t="shared" si="49"/>
        <v>5.0000000000011369E-2</v>
      </c>
      <c r="AP192">
        <v>48.5</v>
      </c>
      <c r="AQ192">
        <v>1037</v>
      </c>
      <c r="AR192">
        <v>22</v>
      </c>
      <c r="AS192">
        <v>34</v>
      </c>
      <c r="AT192">
        <f t="shared" si="62"/>
        <v>5.3137007027131622</v>
      </c>
      <c r="AU192">
        <f t="shared" si="63"/>
        <v>142.47</v>
      </c>
      <c r="AV192">
        <v>1037</v>
      </c>
      <c r="AW192">
        <f t="shared" si="64"/>
        <v>1390.0181792658104</v>
      </c>
      <c r="AX192">
        <f t="shared" si="65"/>
        <v>3.2118422407507674E-5</v>
      </c>
      <c r="AY192">
        <f t="shared" si="68"/>
        <v>9.9880941264427316E-4</v>
      </c>
      <c r="AZ192">
        <f t="shared" si="66"/>
        <v>22.273449901967293</v>
      </c>
      <c r="BA192">
        <f t="shared" si="67"/>
        <v>0.77713800851028625</v>
      </c>
    </row>
    <row r="193" spans="1:53" x14ac:dyDescent="0.25">
      <c r="A193" t="s">
        <v>12</v>
      </c>
      <c r="B193" t="s">
        <v>19</v>
      </c>
      <c r="C193">
        <v>20</v>
      </c>
      <c r="G193">
        <f t="shared" si="61"/>
        <v>304.36458333333576</v>
      </c>
      <c r="H193" s="7">
        <v>45019.364583333336</v>
      </c>
      <c r="AF193">
        <v>109.43</v>
      </c>
      <c r="AG193">
        <v>140.19999999999999</v>
      </c>
      <c r="AL193">
        <v>258.48</v>
      </c>
      <c r="AM193">
        <v>258.38</v>
      </c>
      <c r="AN193">
        <f t="shared" ref="AN193:AN244" si="69">AM177-AL193</f>
        <v>3.999999999996362E-2</v>
      </c>
      <c r="AO193">
        <f t="shared" si="49"/>
        <v>0.10000000000002274</v>
      </c>
      <c r="AP193">
        <v>67</v>
      </c>
      <c r="AQ193">
        <v>1037</v>
      </c>
      <c r="AR193">
        <v>22</v>
      </c>
      <c r="AS193">
        <v>34</v>
      </c>
      <c r="AT193">
        <f t="shared" si="62"/>
        <v>5.3137007027131622</v>
      </c>
      <c r="AU193">
        <f t="shared" si="63"/>
        <v>140.57</v>
      </c>
      <c r="AV193">
        <v>1037</v>
      </c>
      <c r="AW193">
        <f t="shared" si="64"/>
        <v>1531.2662018922956</v>
      </c>
      <c r="AX193">
        <f t="shared" si="65"/>
        <v>2.9049229490743394E-5</v>
      </c>
      <c r="AY193">
        <f t="shared" si="68"/>
        <v>1.4634880839424318E-3</v>
      </c>
      <c r="AZ193">
        <f t="shared" si="66"/>
        <v>32.635784271916229</v>
      </c>
      <c r="BA193">
        <f t="shared" si="67"/>
        <v>0.40665769496187948</v>
      </c>
    </row>
    <row r="194" spans="1:53" x14ac:dyDescent="0.25">
      <c r="A194" t="s">
        <v>13</v>
      </c>
      <c r="B194" t="s">
        <v>19</v>
      </c>
      <c r="C194">
        <v>20</v>
      </c>
      <c r="G194">
        <f t="shared" si="61"/>
        <v>304.36458333333576</v>
      </c>
      <c r="H194" s="7">
        <v>45019.364583333336</v>
      </c>
      <c r="AF194">
        <v>129.52999999999997</v>
      </c>
      <c r="AG194">
        <v>140.24</v>
      </c>
      <c r="AL194">
        <v>278.69</v>
      </c>
      <c r="AM194">
        <v>278.61</v>
      </c>
      <c r="AN194">
        <f t="shared" si="69"/>
        <v>1.999999999998181E-2</v>
      </c>
      <c r="AO194">
        <f t="shared" si="49"/>
        <v>7.9999999999984084E-2</v>
      </c>
      <c r="AP194">
        <v>51.5</v>
      </c>
      <c r="AQ194">
        <v>1037</v>
      </c>
      <c r="AR194">
        <v>22</v>
      </c>
      <c r="AS194">
        <v>34</v>
      </c>
      <c r="AT194">
        <f t="shared" si="62"/>
        <v>5.3137007027131622</v>
      </c>
      <c r="AU194">
        <f t="shared" si="63"/>
        <v>120.47000000000003</v>
      </c>
      <c r="AV194">
        <v>1037</v>
      </c>
      <c r="AW194">
        <f t="shared" si="64"/>
        <v>1480.3095376442266</v>
      </c>
      <c r="AX194">
        <f t="shared" si="65"/>
        <v>3.0086421422390836E-5</v>
      </c>
      <c r="AY194">
        <f t="shared" si="68"/>
        <v>1.5233116368297273E-3</v>
      </c>
      <c r="AZ194">
        <f t="shared" si="66"/>
        <v>33.969849501302917</v>
      </c>
      <c r="BA194">
        <f t="shared" si="67"/>
        <v>0.35896140503028534</v>
      </c>
    </row>
    <row r="195" spans="1:53" x14ac:dyDescent="0.25">
      <c r="A195" t="s">
        <v>14</v>
      </c>
      <c r="B195" t="s">
        <v>19</v>
      </c>
      <c r="C195">
        <v>20</v>
      </c>
      <c r="G195">
        <f t="shared" si="61"/>
        <v>304.36458333333576</v>
      </c>
      <c r="H195" s="7">
        <v>45019.364583333336</v>
      </c>
      <c r="AF195">
        <v>94.359999999999985</v>
      </c>
      <c r="AG195">
        <v>138.74</v>
      </c>
      <c r="AL195">
        <v>241.94</v>
      </c>
      <c r="AM195">
        <v>241.81</v>
      </c>
      <c r="AN195">
        <f t="shared" si="69"/>
        <v>3.4999999999996589E-2</v>
      </c>
      <c r="AO195">
        <f t="shared" si="49"/>
        <v>0.12999999999999545</v>
      </c>
      <c r="AP195">
        <v>54.5</v>
      </c>
      <c r="AQ195">
        <v>1037</v>
      </c>
      <c r="AR195">
        <v>22</v>
      </c>
      <c r="AS195">
        <v>34</v>
      </c>
      <c r="AT195">
        <f t="shared" si="62"/>
        <v>5.3137007027131622</v>
      </c>
      <c r="AU195">
        <f t="shared" si="63"/>
        <v>155.64000000000001</v>
      </c>
      <c r="AV195">
        <v>1037</v>
      </c>
      <c r="AW195">
        <f t="shared" si="64"/>
        <v>1400.1232331020303</v>
      </c>
      <c r="AX195">
        <f t="shared" si="65"/>
        <v>3.1877470880847985E-5</v>
      </c>
      <c r="AY195">
        <f t="shared" si="68"/>
        <v>2.3534436300364997E-3</v>
      </c>
      <c r="AZ195">
        <f t="shared" si="66"/>
        <v>52.481792949813943</v>
      </c>
      <c r="BA195">
        <f t="shared" si="67"/>
        <v>-0.30288855737625836</v>
      </c>
    </row>
    <row r="196" spans="1:53" x14ac:dyDescent="0.25">
      <c r="A196" t="s">
        <v>15</v>
      </c>
      <c r="B196" t="s">
        <v>19</v>
      </c>
      <c r="C196">
        <v>20</v>
      </c>
      <c r="G196">
        <f t="shared" si="61"/>
        <v>304.36458333333576</v>
      </c>
      <c r="H196" s="7">
        <v>45019.364583333336</v>
      </c>
      <c r="AF196">
        <v>85.4</v>
      </c>
      <c r="AG196">
        <v>140.1</v>
      </c>
      <c r="AL196">
        <v>234.43</v>
      </c>
      <c r="AM196">
        <v>234.34</v>
      </c>
      <c r="AN196">
        <f t="shared" si="69"/>
        <v>3.0000000000001137E-2</v>
      </c>
      <c r="AO196">
        <f t="shared" si="49"/>
        <v>9.0000000000003411E-2</v>
      </c>
      <c r="AP196">
        <v>44.5</v>
      </c>
      <c r="AQ196">
        <v>1037</v>
      </c>
      <c r="AR196">
        <v>22</v>
      </c>
      <c r="AS196">
        <v>34</v>
      </c>
      <c r="AT196">
        <f t="shared" si="62"/>
        <v>5.3137007027131622</v>
      </c>
      <c r="AU196">
        <f t="shared" si="63"/>
        <v>164.6</v>
      </c>
      <c r="AV196">
        <v>1037</v>
      </c>
      <c r="AW196">
        <f t="shared" si="64"/>
        <v>1317.3554070473876</v>
      </c>
      <c r="AX196">
        <f t="shared" si="65"/>
        <v>3.3964474965653032E-5</v>
      </c>
      <c r="AY196">
        <f t="shared" si="68"/>
        <v>1.9885074351467828E-3</v>
      </c>
      <c r="AZ196">
        <f t="shared" si="66"/>
        <v>44.343715803773257</v>
      </c>
      <c r="BA196">
        <f t="shared" si="67"/>
        <v>-1.193120499725632E-2</v>
      </c>
    </row>
    <row r="197" spans="1:53" x14ac:dyDescent="0.25">
      <c r="A197" t="s">
        <v>0</v>
      </c>
      <c r="B197" t="s">
        <v>18</v>
      </c>
      <c r="C197">
        <v>10</v>
      </c>
      <c r="G197">
        <f t="shared" si="61"/>
        <v>307.58333333333576</v>
      </c>
      <c r="H197" s="7">
        <v>45022.583333333336</v>
      </c>
      <c r="AF197">
        <v>172.77</v>
      </c>
      <c r="AG197">
        <v>139.16999999999999</v>
      </c>
      <c r="AL197">
        <v>321.16500000000002</v>
      </c>
      <c r="AM197">
        <v>321.16500000000002</v>
      </c>
      <c r="AN197">
        <f t="shared" si="69"/>
        <v>0</v>
      </c>
      <c r="AO197">
        <f t="shared" ref="AO197:AO260" si="70">AL197-AM197</f>
        <v>0</v>
      </c>
      <c r="AP197">
        <v>0</v>
      </c>
      <c r="AQ197">
        <v>1011</v>
      </c>
      <c r="AR197">
        <v>22</v>
      </c>
      <c r="AS197">
        <v>34</v>
      </c>
      <c r="AT197">
        <f t="shared" ref="AT197:AT260" si="71">0.61094*EXP(17.625*AS197/(243.04+AS197))</f>
        <v>5.3137007027131622</v>
      </c>
      <c r="AU197">
        <f t="shared" ref="AU197:AU260" si="72">250-AF197</f>
        <v>77.22999999999999</v>
      </c>
      <c r="AV197">
        <v>1011</v>
      </c>
      <c r="AW197">
        <f t="shared" ref="AW197:AW260" si="73">AP197/AU197*AV197+AV197</f>
        <v>1011</v>
      </c>
      <c r="AX197">
        <f t="shared" ref="AX197:AX260" si="74">18.02*(AT197/(AW197/10-AT197)*1/22300)</f>
        <v>4.4827406960717766E-5</v>
      </c>
      <c r="AY197" t="e">
        <f t="shared" ref="AY197:AY260" si="75">(AL197-AM197)/AP197-AX197</f>
        <v>#DIV/0!</v>
      </c>
      <c r="AZ197" t="e">
        <f t="shared" ref="AZ197:AZ260" si="76">AY197*22300</f>
        <v>#DIV/0!</v>
      </c>
      <c r="BA197" t="e">
        <f t="shared" ref="BA197:BA260" si="77">(44.01-AZ197)/(44.01-16.04)</f>
        <v>#DIV/0!</v>
      </c>
    </row>
    <row r="198" spans="1:53" x14ac:dyDescent="0.25">
      <c r="A198" t="s">
        <v>1</v>
      </c>
      <c r="B198" t="s">
        <v>18</v>
      </c>
      <c r="C198">
        <v>10</v>
      </c>
      <c r="G198">
        <f t="shared" si="61"/>
        <v>307.58333333333576</v>
      </c>
      <c r="H198" s="7">
        <v>45022.583333333336</v>
      </c>
      <c r="AF198">
        <v>173.93</v>
      </c>
      <c r="AG198">
        <v>141.25</v>
      </c>
      <c r="AL198">
        <v>324.32499999999999</v>
      </c>
      <c r="AM198">
        <v>324.32499999999999</v>
      </c>
      <c r="AN198">
        <f t="shared" si="69"/>
        <v>0</v>
      </c>
      <c r="AO198">
        <f t="shared" si="70"/>
        <v>0</v>
      </c>
      <c r="AP198">
        <v>0</v>
      </c>
      <c r="AQ198">
        <v>1011</v>
      </c>
      <c r="AR198">
        <v>22</v>
      </c>
      <c r="AS198">
        <v>34</v>
      </c>
      <c r="AT198">
        <f t="shared" si="71"/>
        <v>5.3137007027131622</v>
      </c>
      <c r="AU198">
        <f t="shared" si="72"/>
        <v>76.069999999999993</v>
      </c>
      <c r="AV198">
        <v>1011</v>
      </c>
      <c r="AW198">
        <f t="shared" si="73"/>
        <v>1011</v>
      </c>
      <c r="AX198">
        <f t="shared" si="74"/>
        <v>4.4827406960717766E-5</v>
      </c>
      <c r="AY198" t="e">
        <f t="shared" si="75"/>
        <v>#DIV/0!</v>
      </c>
      <c r="AZ198" t="e">
        <f t="shared" si="76"/>
        <v>#DIV/0!</v>
      </c>
      <c r="BA198" t="e">
        <f t="shared" si="77"/>
        <v>#DIV/0!</v>
      </c>
    </row>
    <row r="199" spans="1:53" x14ac:dyDescent="0.25">
      <c r="A199" t="s">
        <v>2</v>
      </c>
      <c r="B199" t="s">
        <v>18</v>
      </c>
      <c r="C199">
        <v>10</v>
      </c>
      <c r="G199">
        <f t="shared" si="61"/>
        <v>307.58333333333576</v>
      </c>
      <c r="H199" s="7">
        <v>45022.583333333336</v>
      </c>
      <c r="AF199">
        <v>162.82000000000002</v>
      </c>
      <c r="AG199">
        <v>140.66</v>
      </c>
      <c r="AL199">
        <v>312.64999999999998</v>
      </c>
      <c r="AM199">
        <v>312.64999999999998</v>
      </c>
      <c r="AN199">
        <f t="shared" si="69"/>
        <v>0</v>
      </c>
      <c r="AO199">
        <f t="shared" si="70"/>
        <v>0</v>
      </c>
      <c r="AP199">
        <v>0</v>
      </c>
      <c r="AQ199">
        <v>1011</v>
      </c>
      <c r="AR199">
        <v>22</v>
      </c>
      <c r="AS199">
        <v>34</v>
      </c>
      <c r="AT199">
        <f t="shared" si="71"/>
        <v>5.3137007027131622</v>
      </c>
      <c r="AU199">
        <f t="shared" si="72"/>
        <v>87.179999999999978</v>
      </c>
      <c r="AV199">
        <v>1011</v>
      </c>
      <c r="AW199">
        <f t="shared" si="73"/>
        <v>1011</v>
      </c>
      <c r="AX199">
        <f t="shared" si="74"/>
        <v>4.4827406960717766E-5</v>
      </c>
      <c r="AY199" t="e">
        <f t="shared" si="75"/>
        <v>#DIV/0!</v>
      </c>
      <c r="AZ199" t="e">
        <f t="shared" si="76"/>
        <v>#DIV/0!</v>
      </c>
      <c r="BA199" t="e">
        <f t="shared" si="77"/>
        <v>#DIV/0!</v>
      </c>
    </row>
    <row r="200" spans="1:53" x14ac:dyDescent="0.25">
      <c r="A200" t="s">
        <v>3</v>
      </c>
      <c r="B200" t="s">
        <v>18</v>
      </c>
      <c r="C200">
        <v>10</v>
      </c>
      <c r="G200">
        <f t="shared" si="61"/>
        <v>307.58333333333576</v>
      </c>
      <c r="H200" s="7">
        <v>45022.583333333336</v>
      </c>
      <c r="AF200">
        <v>187.81</v>
      </c>
      <c r="AG200">
        <v>140</v>
      </c>
      <c r="AL200">
        <v>336.98</v>
      </c>
      <c r="AM200">
        <v>336.98</v>
      </c>
      <c r="AN200">
        <f t="shared" si="69"/>
        <v>0</v>
      </c>
      <c r="AO200">
        <f t="shared" si="70"/>
        <v>0</v>
      </c>
      <c r="AP200">
        <v>0</v>
      </c>
      <c r="AQ200">
        <v>1011</v>
      </c>
      <c r="AR200">
        <v>22</v>
      </c>
      <c r="AS200">
        <v>34</v>
      </c>
      <c r="AT200">
        <f t="shared" si="71"/>
        <v>5.3137007027131622</v>
      </c>
      <c r="AU200">
        <f t="shared" si="72"/>
        <v>62.19</v>
      </c>
      <c r="AV200">
        <v>1011</v>
      </c>
      <c r="AW200">
        <f t="shared" si="73"/>
        <v>1011</v>
      </c>
      <c r="AX200">
        <f t="shared" si="74"/>
        <v>4.4827406960717766E-5</v>
      </c>
      <c r="AY200" t="e">
        <f t="shared" si="75"/>
        <v>#DIV/0!</v>
      </c>
      <c r="AZ200" t="e">
        <f t="shared" si="76"/>
        <v>#DIV/0!</v>
      </c>
      <c r="BA200" t="e">
        <f t="shared" si="77"/>
        <v>#DIV/0!</v>
      </c>
    </row>
    <row r="201" spans="1:53" x14ac:dyDescent="0.25">
      <c r="A201" t="s">
        <v>4</v>
      </c>
      <c r="B201" t="s">
        <v>18</v>
      </c>
      <c r="C201">
        <v>20</v>
      </c>
      <c r="G201">
        <f t="shared" si="61"/>
        <v>307.58333333333576</v>
      </c>
      <c r="H201" s="7">
        <v>45022.583333333336</v>
      </c>
      <c r="AF201">
        <v>181.58</v>
      </c>
      <c r="AG201">
        <v>139.4</v>
      </c>
      <c r="AL201">
        <v>329.5</v>
      </c>
      <c r="AM201">
        <v>329.4</v>
      </c>
      <c r="AN201">
        <f t="shared" si="69"/>
        <v>0</v>
      </c>
      <c r="AO201">
        <f t="shared" si="70"/>
        <v>0.10000000000002274</v>
      </c>
      <c r="AP201">
        <v>110</v>
      </c>
      <c r="AQ201">
        <v>1011</v>
      </c>
      <c r="AR201">
        <v>22</v>
      </c>
      <c r="AS201">
        <v>34</v>
      </c>
      <c r="AT201">
        <f t="shared" si="71"/>
        <v>5.3137007027131622</v>
      </c>
      <c r="AU201">
        <f t="shared" si="72"/>
        <v>68.419999999999987</v>
      </c>
      <c r="AV201">
        <v>1011</v>
      </c>
      <c r="AW201">
        <f t="shared" si="73"/>
        <v>2636.4019292604507</v>
      </c>
      <c r="AX201">
        <f t="shared" si="74"/>
        <v>1.6621800508746942E-5</v>
      </c>
      <c r="AY201">
        <f t="shared" si="75"/>
        <v>8.9246910858236891E-4</v>
      </c>
      <c r="AZ201">
        <f t="shared" si="76"/>
        <v>19.902061121386826</v>
      </c>
      <c r="BA201">
        <f t="shared" si="77"/>
        <v>0.86192130420497581</v>
      </c>
    </row>
    <row r="202" spans="1:53" x14ac:dyDescent="0.25">
      <c r="A202" t="s">
        <v>5</v>
      </c>
      <c r="B202" t="s">
        <v>18</v>
      </c>
      <c r="C202">
        <v>20</v>
      </c>
      <c r="G202">
        <f t="shared" si="61"/>
        <v>307.58333333333576</v>
      </c>
      <c r="H202" s="7">
        <v>45022.583333333336</v>
      </c>
      <c r="AF202">
        <v>201.8</v>
      </c>
      <c r="AG202">
        <v>139.81</v>
      </c>
      <c r="AL202">
        <v>350.1</v>
      </c>
      <c r="AM202">
        <v>350</v>
      </c>
      <c r="AN202">
        <f t="shared" si="69"/>
        <v>0</v>
      </c>
      <c r="AO202">
        <f t="shared" si="70"/>
        <v>0.10000000000002274</v>
      </c>
      <c r="AP202">
        <v>92</v>
      </c>
      <c r="AQ202">
        <v>1011</v>
      </c>
      <c r="AR202">
        <v>22</v>
      </c>
      <c r="AS202">
        <v>34</v>
      </c>
      <c r="AT202">
        <f t="shared" si="71"/>
        <v>5.3137007027131622</v>
      </c>
      <c r="AU202">
        <f t="shared" si="72"/>
        <v>48.199999999999989</v>
      </c>
      <c r="AV202">
        <v>1011</v>
      </c>
      <c r="AW202">
        <f t="shared" si="73"/>
        <v>2940.7095435684651</v>
      </c>
      <c r="AX202">
        <f t="shared" si="74"/>
        <v>1.4870107557553048E-5</v>
      </c>
      <c r="AY202">
        <f t="shared" si="75"/>
        <v>1.0720864141818246E-3</v>
      </c>
      <c r="AZ202">
        <f t="shared" si="76"/>
        <v>23.907527036254688</v>
      </c>
      <c r="BA202">
        <f t="shared" si="77"/>
        <v>0.71871551532875622</v>
      </c>
    </row>
    <row r="203" spans="1:53" x14ac:dyDescent="0.25">
      <c r="A203" t="s">
        <v>6</v>
      </c>
      <c r="B203" t="s">
        <v>18</v>
      </c>
      <c r="C203">
        <v>20</v>
      </c>
      <c r="G203">
        <f t="shared" si="61"/>
        <v>307.58333333333576</v>
      </c>
      <c r="H203" s="7">
        <v>45022.583333333336</v>
      </c>
      <c r="AF203">
        <v>205.13</v>
      </c>
      <c r="AG203">
        <v>139.01</v>
      </c>
      <c r="AL203">
        <v>352.74</v>
      </c>
      <c r="AM203">
        <v>352.62</v>
      </c>
      <c r="AN203">
        <f t="shared" si="69"/>
        <v>9.9999999999909051E-3</v>
      </c>
      <c r="AO203">
        <f t="shared" si="70"/>
        <v>0.12000000000000455</v>
      </c>
      <c r="AP203">
        <f>59+30+18.5</f>
        <v>107.5</v>
      </c>
      <c r="AQ203">
        <v>1011</v>
      </c>
      <c r="AR203">
        <v>22</v>
      </c>
      <c r="AS203">
        <v>34</v>
      </c>
      <c r="AT203">
        <f t="shared" si="71"/>
        <v>5.3137007027131622</v>
      </c>
      <c r="AU203">
        <f t="shared" si="72"/>
        <v>44.870000000000005</v>
      </c>
      <c r="AV203">
        <v>1011</v>
      </c>
      <c r="AW203">
        <f t="shared" si="73"/>
        <v>3433.1640294183194</v>
      </c>
      <c r="AX203">
        <f t="shared" si="74"/>
        <v>1.2703600862998195E-5</v>
      </c>
      <c r="AY203">
        <f t="shared" si="75"/>
        <v>1.1035754689044859E-3</v>
      </c>
      <c r="AZ203">
        <f t="shared" si="76"/>
        <v>24.609732956570035</v>
      </c>
      <c r="BA203">
        <f t="shared" si="77"/>
        <v>0.69360983351555106</v>
      </c>
    </row>
    <row r="204" spans="1:53" x14ac:dyDescent="0.25">
      <c r="A204" t="s">
        <v>7</v>
      </c>
      <c r="B204" t="s">
        <v>18</v>
      </c>
      <c r="C204">
        <v>20</v>
      </c>
      <c r="G204">
        <f t="shared" si="61"/>
        <v>307.58333333333576</v>
      </c>
      <c r="H204" s="7">
        <v>45022.583333333336</v>
      </c>
      <c r="AF204">
        <v>177.85000000000002</v>
      </c>
      <c r="AG204">
        <v>139.94999999999999</v>
      </c>
      <c r="AL204">
        <v>326.61500000000001</v>
      </c>
      <c r="AM204">
        <v>326.52999999999997</v>
      </c>
      <c r="AN204">
        <f t="shared" si="69"/>
        <v>4.9999999999954525E-3</v>
      </c>
      <c r="AO204">
        <f t="shared" si="70"/>
        <v>8.500000000003638E-2</v>
      </c>
      <c r="AP204">
        <v>60</v>
      </c>
      <c r="AQ204">
        <v>1011</v>
      </c>
      <c r="AR204">
        <v>22</v>
      </c>
      <c r="AS204">
        <v>34</v>
      </c>
      <c r="AT204">
        <f t="shared" si="71"/>
        <v>5.3137007027131622</v>
      </c>
      <c r="AU204">
        <f t="shared" si="72"/>
        <v>72.149999999999977</v>
      </c>
      <c r="AV204">
        <v>1011</v>
      </c>
      <c r="AW204">
        <f t="shared" si="73"/>
        <v>1851.748440748441</v>
      </c>
      <c r="AX204">
        <f t="shared" si="74"/>
        <v>2.3873146469310798E-5</v>
      </c>
      <c r="AY204">
        <f t="shared" si="75"/>
        <v>1.3927935201979622E-3</v>
      </c>
      <c r="AZ204">
        <f t="shared" si="76"/>
        <v>31.059295500414557</v>
      </c>
      <c r="BA204">
        <f t="shared" si="77"/>
        <v>0.46302125490115986</v>
      </c>
    </row>
    <row r="205" spans="1:53" x14ac:dyDescent="0.25">
      <c r="A205" t="s">
        <v>8</v>
      </c>
      <c r="B205" t="s">
        <v>19</v>
      </c>
      <c r="C205">
        <v>10</v>
      </c>
      <c r="G205">
        <f t="shared" si="61"/>
        <v>307.58333333333576</v>
      </c>
      <c r="H205" s="7">
        <v>45022.583333333336</v>
      </c>
      <c r="AF205">
        <v>142.11999999999998</v>
      </c>
      <c r="AG205">
        <v>139.71</v>
      </c>
      <c r="AL205">
        <v>290.61</v>
      </c>
      <c r="AM205">
        <v>290.56</v>
      </c>
      <c r="AN205">
        <f t="shared" si="69"/>
        <v>-9.9999999999909051E-3</v>
      </c>
      <c r="AO205">
        <f t="shared" si="70"/>
        <v>5.0000000000011369E-2</v>
      </c>
      <c r="AP205">
        <v>37.5</v>
      </c>
      <c r="AQ205">
        <v>1011</v>
      </c>
      <c r="AR205">
        <v>22</v>
      </c>
      <c r="AS205">
        <v>34</v>
      </c>
      <c r="AT205">
        <f t="shared" si="71"/>
        <v>5.3137007027131622</v>
      </c>
      <c r="AU205">
        <f t="shared" si="72"/>
        <v>107.88000000000002</v>
      </c>
      <c r="AV205">
        <v>1011</v>
      </c>
      <c r="AW205">
        <f t="shared" si="73"/>
        <v>1362.4321468298108</v>
      </c>
      <c r="AX205">
        <f t="shared" si="74"/>
        <v>3.2795137546357252E-5</v>
      </c>
      <c r="AY205">
        <f t="shared" si="75"/>
        <v>1.3005381957872791E-3</v>
      </c>
      <c r="AZ205">
        <f t="shared" si="76"/>
        <v>29.002001766056324</v>
      </c>
      <c r="BA205">
        <f t="shared" si="77"/>
        <v>0.53657483853928045</v>
      </c>
    </row>
    <row r="206" spans="1:53" x14ac:dyDescent="0.25">
      <c r="A206" t="s">
        <v>9</v>
      </c>
      <c r="B206" t="s">
        <v>19</v>
      </c>
      <c r="C206">
        <v>10</v>
      </c>
      <c r="G206">
        <f t="shared" si="61"/>
        <v>307.58333333333576</v>
      </c>
      <c r="H206" s="7">
        <v>45022.583333333336</v>
      </c>
      <c r="AF206">
        <v>136.42000000000002</v>
      </c>
      <c r="AG206">
        <v>139.75</v>
      </c>
      <c r="AL206">
        <v>285.02999999999997</v>
      </c>
      <c r="AM206">
        <v>284.93</v>
      </c>
      <c r="AN206">
        <f t="shared" si="69"/>
        <v>0</v>
      </c>
      <c r="AO206">
        <f t="shared" si="70"/>
        <v>9.9999999999965894E-2</v>
      </c>
      <c r="AP206">
        <v>36</v>
      </c>
      <c r="AQ206">
        <v>1011</v>
      </c>
      <c r="AR206">
        <v>22</v>
      </c>
      <c r="AS206">
        <v>34</v>
      </c>
      <c r="AT206">
        <f t="shared" si="71"/>
        <v>5.3137007027131622</v>
      </c>
      <c r="AU206">
        <f t="shared" si="72"/>
        <v>113.57999999999998</v>
      </c>
      <c r="AV206">
        <v>1011</v>
      </c>
      <c r="AW206">
        <f t="shared" si="73"/>
        <v>1331.4437400950872</v>
      </c>
      <c r="AX206">
        <f t="shared" si="74"/>
        <v>3.3590149443672906E-5</v>
      </c>
      <c r="AY206">
        <f t="shared" si="75"/>
        <v>2.7441876283331576E-3</v>
      </c>
      <c r="AZ206">
        <f t="shared" si="76"/>
        <v>61.195384111829412</v>
      </c>
      <c r="BA206">
        <f t="shared" si="77"/>
        <v>-0.61442202759490216</v>
      </c>
    </row>
    <row r="207" spans="1:53" x14ac:dyDescent="0.25">
      <c r="A207" t="s">
        <v>10</v>
      </c>
      <c r="B207" t="s">
        <v>19</v>
      </c>
      <c r="C207">
        <v>10</v>
      </c>
      <c r="G207">
        <f t="shared" si="61"/>
        <v>307.58333333333576</v>
      </c>
      <c r="H207" s="7">
        <v>45022.583333333336</v>
      </c>
      <c r="AF207">
        <v>117.85000000000002</v>
      </c>
      <c r="AG207">
        <v>140.44999999999999</v>
      </c>
      <c r="AL207">
        <v>266.98</v>
      </c>
      <c r="AM207">
        <v>266.87</v>
      </c>
      <c r="AN207">
        <f t="shared" si="69"/>
        <v>-2.0000000000038654E-2</v>
      </c>
      <c r="AO207">
        <f t="shared" si="70"/>
        <v>0.11000000000001364</v>
      </c>
      <c r="AP207">
        <v>35.5</v>
      </c>
      <c r="AQ207">
        <v>1011</v>
      </c>
      <c r="AR207">
        <v>22</v>
      </c>
      <c r="AS207">
        <v>34</v>
      </c>
      <c r="AT207">
        <f t="shared" si="71"/>
        <v>5.3137007027131622</v>
      </c>
      <c r="AU207">
        <f t="shared" si="72"/>
        <v>132.14999999999998</v>
      </c>
      <c r="AV207">
        <v>1011</v>
      </c>
      <c r="AW207">
        <f t="shared" si="73"/>
        <v>1282.5891032917141</v>
      </c>
      <c r="AX207">
        <f t="shared" si="74"/>
        <v>3.4924918448685445E-5</v>
      </c>
      <c r="AY207">
        <f t="shared" si="75"/>
        <v>3.0636666308474733E-3</v>
      </c>
      <c r="AZ207">
        <f t="shared" si="76"/>
        <v>68.319765867898653</v>
      </c>
      <c r="BA207">
        <f t="shared" si="77"/>
        <v>-0.8691371422201879</v>
      </c>
    </row>
    <row r="208" spans="1:53" x14ac:dyDescent="0.25">
      <c r="A208" t="s">
        <v>11</v>
      </c>
      <c r="B208" t="s">
        <v>19</v>
      </c>
      <c r="C208">
        <v>10</v>
      </c>
      <c r="G208">
        <f t="shared" si="61"/>
        <v>307.58333333333576</v>
      </c>
      <c r="H208" s="7">
        <v>45022.583333333336</v>
      </c>
      <c r="AF208">
        <v>107.53</v>
      </c>
      <c r="AG208">
        <v>140</v>
      </c>
      <c r="AL208">
        <v>256.51</v>
      </c>
      <c r="AM208">
        <v>256.45999999999998</v>
      </c>
      <c r="AN208">
        <f t="shared" si="69"/>
        <v>1.999999999998181E-2</v>
      </c>
      <c r="AO208">
        <f t="shared" si="70"/>
        <v>5.0000000000011369E-2</v>
      </c>
      <c r="AP208">
        <v>34.5</v>
      </c>
      <c r="AQ208">
        <v>1011</v>
      </c>
      <c r="AR208">
        <v>22</v>
      </c>
      <c r="AS208">
        <v>34</v>
      </c>
      <c r="AT208">
        <f t="shared" si="71"/>
        <v>5.3137007027131622</v>
      </c>
      <c r="AU208">
        <f t="shared" si="72"/>
        <v>142.47</v>
      </c>
      <c r="AV208">
        <v>1011</v>
      </c>
      <c r="AW208">
        <f t="shared" si="73"/>
        <v>1255.8199620972837</v>
      </c>
      <c r="AX208">
        <f t="shared" si="74"/>
        <v>3.5702272172054952E-5</v>
      </c>
      <c r="AY208">
        <f t="shared" si="75"/>
        <v>1.4135730901471152E-3</v>
      </c>
      <c r="AZ208">
        <f t="shared" si="76"/>
        <v>31.522679910280669</v>
      </c>
      <c r="BA208">
        <f t="shared" si="77"/>
        <v>0.44645406112689773</v>
      </c>
    </row>
    <row r="209" spans="1:53" x14ac:dyDescent="0.25">
      <c r="A209" t="s">
        <v>12</v>
      </c>
      <c r="B209" t="s">
        <v>19</v>
      </c>
      <c r="C209">
        <v>20</v>
      </c>
      <c r="G209">
        <f t="shared" si="61"/>
        <v>307.58333333333576</v>
      </c>
      <c r="H209" s="7">
        <v>45022.583333333336</v>
      </c>
      <c r="AF209">
        <v>109.43</v>
      </c>
      <c r="AG209">
        <v>140.19999999999999</v>
      </c>
      <c r="AL209">
        <v>258.38</v>
      </c>
      <c r="AM209">
        <v>258.32</v>
      </c>
      <c r="AN209">
        <f t="shared" si="69"/>
        <v>0</v>
      </c>
      <c r="AO209">
        <f t="shared" si="70"/>
        <v>6.0000000000002274E-2</v>
      </c>
      <c r="AP209">
        <v>39.5</v>
      </c>
      <c r="AQ209">
        <v>1011</v>
      </c>
      <c r="AR209">
        <v>22</v>
      </c>
      <c r="AS209">
        <v>34</v>
      </c>
      <c r="AT209">
        <f t="shared" si="71"/>
        <v>5.3137007027131622</v>
      </c>
      <c r="AU209">
        <f t="shared" si="72"/>
        <v>140.57</v>
      </c>
      <c r="AV209">
        <v>1011</v>
      </c>
      <c r="AW209">
        <f t="shared" si="73"/>
        <v>1295.0897773351355</v>
      </c>
      <c r="AX209">
        <f t="shared" si="74"/>
        <v>3.4573387350275142E-5</v>
      </c>
      <c r="AY209">
        <f t="shared" si="75"/>
        <v>1.4844139544219345E-3</v>
      </c>
      <c r="AZ209">
        <f t="shared" si="76"/>
        <v>33.102431183609141</v>
      </c>
      <c r="BA209">
        <f t="shared" si="77"/>
        <v>0.38997385829069919</v>
      </c>
    </row>
    <row r="210" spans="1:53" x14ac:dyDescent="0.25">
      <c r="A210" t="s">
        <v>13</v>
      </c>
      <c r="B210" t="s">
        <v>19</v>
      </c>
      <c r="C210">
        <v>20</v>
      </c>
      <c r="G210">
        <f t="shared" si="61"/>
        <v>307.58333333333576</v>
      </c>
      <c r="H210" s="7">
        <v>45022.583333333336</v>
      </c>
      <c r="AF210">
        <v>129.52999999999997</v>
      </c>
      <c r="AG210">
        <v>140.24</v>
      </c>
      <c r="AL210">
        <v>278.61</v>
      </c>
      <c r="AM210">
        <v>278.54000000000002</v>
      </c>
      <c r="AN210">
        <f t="shared" si="69"/>
        <v>0</v>
      </c>
      <c r="AO210">
        <f t="shared" si="70"/>
        <v>6.9999999999993179E-2</v>
      </c>
      <c r="AP210">
        <v>46</v>
      </c>
      <c r="AQ210">
        <v>1011</v>
      </c>
      <c r="AR210">
        <v>22</v>
      </c>
      <c r="AS210">
        <v>34</v>
      </c>
      <c r="AT210">
        <f t="shared" si="71"/>
        <v>5.3137007027131622</v>
      </c>
      <c r="AU210">
        <f t="shared" si="72"/>
        <v>120.47000000000003</v>
      </c>
      <c r="AV210">
        <v>1011</v>
      </c>
      <c r="AW210">
        <f t="shared" si="73"/>
        <v>1397.0380177637585</v>
      </c>
      <c r="AX210">
        <f t="shared" si="74"/>
        <v>3.1950652507560954E-5</v>
      </c>
      <c r="AY210">
        <f t="shared" si="75"/>
        <v>1.4897884779270733E-3</v>
      </c>
      <c r="AZ210">
        <f t="shared" si="76"/>
        <v>33.222283057773737</v>
      </c>
      <c r="BA210">
        <f t="shared" si="77"/>
        <v>0.38568884312571544</v>
      </c>
    </row>
    <row r="211" spans="1:53" x14ac:dyDescent="0.25">
      <c r="A211" t="s">
        <v>14</v>
      </c>
      <c r="B211" t="s">
        <v>19</v>
      </c>
      <c r="C211">
        <v>20</v>
      </c>
      <c r="G211">
        <f t="shared" si="61"/>
        <v>307.58333333333576</v>
      </c>
      <c r="H211" s="7">
        <v>45022.583333333336</v>
      </c>
      <c r="AF211">
        <v>94.359999999999985</v>
      </c>
      <c r="AG211">
        <v>138.74</v>
      </c>
      <c r="AL211">
        <v>241.81</v>
      </c>
      <c r="AM211">
        <v>241.73</v>
      </c>
      <c r="AN211">
        <f t="shared" si="69"/>
        <v>0</v>
      </c>
      <c r="AO211">
        <f t="shared" si="70"/>
        <v>8.0000000000012506E-2</v>
      </c>
      <c r="AP211">
        <v>47</v>
      </c>
      <c r="AQ211">
        <v>1011</v>
      </c>
      <c r="AR211">
        <v>22</v>
      </c>
      <c r="AS211">
        <v>34</v>
      </c>
      <c r="AT211">
        <f t="shared" si="71"/>
        <v>5.3137007027131622</v>
      </c>
      <c r="AU211">
        <f t="shared" si="72"/>
        <v>155.64000000000001</v>
      </c>
      <c r="AV211">
        <v>1011</v>
      </c>
      <c r="AW211">
        <f t="shared" si="73"/>
        <v>1316.3006939090208</v>
      </c>
      <c r="AX211">
        <f t="shared" si="74"/>
        <v>3.3992834534849031E-5</v>
      </c>
      <c r="AY211">
        <f t="shared" si="75"/>
        <v>1.6681348250398851E-3</v>
      </c>
      <c r="AZ211">
        <f t="shared" si="76"/>
        <v>37.199406598389437</v>
      </c>
      <c r="BA211">
        <f t="shared" si="77"/>
        <v>0.24349636759422813</v>
      </c>
    </row>
    <row r="212" spans="1:53" x14ac:dyDescent="0.25">
      <c r="A212" t="s">
        <v>15</v>
      </c>
      <c r="B212" t="s">
        <v>19</v>
      </c>
      <c r="C212">
        <v>20</v>
      </c>
      <c r="G212">
        <f t="shared" si="61"/>
        <v>307.58333333333576</v>
      </c>
      <c r="H212" s="7">
        <v>45022.583333333336</v>
      </c>
      <c r="AF212">
        <v>85.4</v>
      </c>
      <c r="AG212">
        <v>140.1</v>
      </c>
      <c r="AL212">
        <v>234.34</v>
      </c>
      <c r="AM212">
        <v>234.3</v>
      </c>
      <c r="AN212">
        <f t="shared" si="69"/>
        <v>0</v>
      </c>
      <c r="AO212">
        <f t="shared" si="70"/>
        <v>3.9999999999992042E-2</v>
      </c>
      <c r="AP212">
        <v>34</v>
      </c>
      <c r="AQ212">
        <v>1011</v>
      </c>
      <c r="AR212">
        <v>22</v>
      </c>
      <c r="AS212">
        <v>34</v>
      </c>
      <c r="AT212">
        <f t="shared" si="71"/>
        <v>5.3137007027131622</v>
      </c>
      <c r="AU212">
        <f t="shared" si="72"/>
        <v>164.6</v>
      </c>
      <c r="AV212">
        <v>1011</v>
      </c>
      <c r="AW212">
        <f t="shared" si="73"/>
        <v>1219.8335358444715</v>
      </c>
      <c r="AX212">
        <f t="shared" si="74"/>
        <v>3.6803498714555994E-5</v>
      </c>
      <c r="AY212">
        <f t="shared" si="75"/>
        <v>1.1396670895205041E-3</v>
      </c>
      <c r="AZ212">
        <f t="shared" si="76"/>
        <v>25.41457609630724</v>
      </c>
      <c r="BA212">
        <f t="shared" si="77"/>
        <v>0.66483460506588343</v>
      </c>
    </row>
    <row r="213" spans="1:53" x14ac:dyDescent="0.25">
      <c r="A213" t="s">
        <v>0</v>
      </c>
      <c r="B213" t="s">
        <v>18</v>
      </c>
      <c r="C213">
        <v>10</v>
      </c>
      <c r="G213">
        <f t="shared" si="61"/>
        <v>312.58333333333576</v>
      </c>
      <c r="H213" s="7">
        <v>45027.583333333336</v>
      </c>
      <c r="AF213">
        <v>172.77</v>
      </c>
      <c r="AG213">
        <v>139.16999999999999</v>
      </c>
      <c r="AL213">
        <v>321.19</v>
      </c>
      <c r="AM213">
        <v>321.13499999999999</v>
      </c>
      <c r="AN213">
        <f t="shared" si="69"/>
        <v>-2.4999999999977263E-2</v>
      </c>
      <c r="AO213">
        <f t="shared" si="70"/>
        <v>5.5000000000006821E-2</v>
      </c>
      <c r="AP213">
        <v>6</v>
      </c>
      <c r="AQ213">
        <v>1011</v>
      </c>
      <c r="AR213">
        <v>22</v>
      </c>
      <c r="AS213">
        <v>34</v>
      </c>
      <c r="AT213">
        <f t="shared" si="71"/>
        <v>5.3137007027131622</v>
      </c>
      <c r="AU213">
        <f t="shared" si="72"/>
        <v>77.22999999999999</v>
      </c>
      <c r="AV213">
        <v>1011</v>
      </c>
      <c r="AW213">
        <f t="shared" si="73"/>
        <v>1089.5446070179983</v>
      </c>
      <c r="AX213">
        <f t="shared" si="74"/>
        <v>4.1430142155445701E-5</v>
      </c>
      <c r="AY213">
        <f t="shared" si="75"/>
        <v>9.1252365245123573E-3</v>
      </c>
      <c r="AZ213">
        <f t="shared" si="76"/>
        <v>203.49277449662557</v>
      </c>
      <c r="BA213">
        <f t="shared" si="77"/>
        <v>-5.7019225776412439</v>
      </c>
    </row>
    <row r="214" spans="1:53" x14ac:dyDescent="0.25">
      <c r="A214" t="s">
        <v>1</v>
      </c>
      <c r="B214" t="s">
        <v>18</v>
      </c>
      <c r="C214">
        <v>10</v>
      </c>
      <c r="G214">
        <f t="shared" si="61"/>
        <v>312.58333333333576</v>
      </c>
      <c r="H214" s="7">
        <v>45027.583333333336</v>
      </c>
      <c r="AF214">
        <v>173.93</v>
      </c>
      <c r="AG214">
        <v>141.25</v>
      </c>
      <c r="AL214">
        <v>324.33</v>
      </c>
      <c r="AM214">
        <v>324.26</v>
      </c>
      <c r="AN214">
        <f t="shared" si="69"/>
        <v>-4.9999999999954525E-3</v>
      </c>
      <c r="AO214">
        <f t="shared" si="70"/>
        <v>6.9999999999993179E-2</v>
      </c>
      <c r="AP214">
        <v>18</v>
      </c>
      <c r="AQ214">
        <v>1011</v>
      </c>
      <c r="AR214">
        <v>22</v>
      </c>
      <c r="AS214">
        <v>34</v>
      </c>
      <c r="AT214">
        <f t="shared" si="71"/>
        <v>5.3137007027131622</v>
      </c>
      <c r="AU214">
        <f t="shared" si="72"/>
        <v>76.069999999999993</v>
      </c>
      <c r="AV214">
        <v>1011</v>
      </c>
      <c r="AW214">
        <f t="shared" si="73"/>
        <v>1250.2270277376101</v>
      </c>
      <c r="AX214">
        <f t="shared" si="74"/>
        <v>3.5869077058316554E-5</v>
      </c>
      <c r="AY214">
        <f t="shared" si="75"/>
        <v>3.853019811830193E-3</v>
      </c>
      <c r="AZ214">
        <f t="shared" si="76"/>
        <v>85.92234180381331</v>
      </c>
      <c r="BA214">
        <f t="shared" si="77"/>
        <v>-1.4984748589135972</v>
      </c>
    </row>
    <row r="215" spans="1:53" x14ac:dyDescent="0.25">
      <c r="A215" t="s">
        <v>2</v>
      </c>
      <c r="B215" t="s">
        <v>18</v>
      </c>
      <c r="C215">
        <v>10</v>
      </c>
      <c r="G215">
        <f t="shared" si="61"/>
        <v>312.58333333333576</v>
      </c>
      <c r="H215" s="7">
        <v>45027.583333333336</v>
      </c>
      <c r="AF215">
        <v>162.82000000000002</v>
      </c>
      <c r="AG215">
        <v>140.66</v>
      </c>
      <c r="AL215">
        <v>312.66500000000002</v>
      </c>
      <c r="AM215">
        <v>312.63</v>
      </c>
      <c r="AN215">
        <f t="shared" si="69"/>
        <v>-1.5000000000043201E-2</v>
      </c>
      <c r="AO215">
        <f t="shared" si="70"/>
        <v>3.5000000000025011E-2</v>
      </c>
      <c r="AP215">
        <v>17</v>
      </c>
      <c r="AQ215">
        <v>1011</v>
      </c>
      <c r="AR215">
        <v>22</v>
      </c>
      <c r="AS215">
        <v>34</v>
      </c>
      <c r="AT215">
        <f t="shared" si="71"/>
        <v>5.3137007027131622</v>
      </c>
      <c r="AU215">
        <f t="shared" si="72"/>
        <v>87.179999999999978</v>
      </c>
      <c r="AV215">
        <v>1011</v>
      </c>
      <c r="AW215">
        <f t="shared" si="73"/>
        <v>1208.1438403303509</v>
      </c>
      <c r="AX215">
        <f t="shared" si="74"/>
        <v>3.7175982825837908E-5</v>
      </c>
      <c r="AY215">
        <f t="shared" si="75"/>
        <v>2.0216475465873979E-3</v>
      </c>
      <c r="AZ215">
        <f t="shared" si="76"/>
        <v>45.082740288898975</v>
      </c>
      <c r="BA215">
        <f t="shared" si="77"/>
        <v>-3.8353245938468977E-2</v>
      </c>
    </row>
    <row r="216" spans="1:53" x14ac:dyDescent="0.25">
      <c r="A216" t="s">
        <v>3</v>
      </c>
      <c r="B216" t="s">
        <v>18</v>
      </c>
      <c r="C216">
        <v>10</v>
      </c>
      <c r="G216">
        <f t="shared" si="61"/>
        <v>312.58333333333576</v>
      </c>
      <c r="H216" s="7">
        <v>45027.583333333336</v>
      </c>
      <c r="AF216">
        <v>187.81</v>
      </c>
      <c r="AG216">
        <v>140</v>
      </c>
      <c r="AL216">
        <v>336.99</v>
      </c>
      <c r="AM216">
        <v>336.90499999999997</v>
      </c>
      <c r="AN216">
        <f t="shared" si="69"/>
        <v>-9.9999999999909051E-3</v>
      </c>
      <c r="AO216">
        <f t="shared" si="70"/>
        <v>8.500000000003638E-2</v>
      </c>
      <c r="AP216">
        <v>16</v>
      </c>
      <c r="AQ216">
        <v>1011</v>
      </c>
      <c r="AR216">
        <v>22</v>
      </c>
      <c r="AS216">
        <v>34</v>
      </c>
      <c r="AT216">
        <f t="shared" si="71"/>
        <v>5.3137007027131622</v>
      </c>
      <c r="AU216">
        <f t="shared" si="72"/>
        <v>62.19</v>
      </c>
      <c r="AV216">
        <v>1011</v>
      </c>
      <c r="AW216">
        <f t="shared" si="73"/>
        <v>1271.1061263868789</v>
      </c>
      <c r="AX216">
        <f t="shared" si="74"/>
        <v>3.525418954889226E-5</v>
      </c>
      <c r="AY216">
        <f t="shared" si="75"/>
        <v>5.2772458104533813E-3</v>
      </c>
      <c r="AZ216">
        <f t="shared" si="76"/>
        <v>117.6825815731104</v>
      </c>
      <c r="BA216">
        <f t="shared" si="77"/>
        <v>-2.6339857552059489</v>
      </c>
    </row>
    <row r="217" spans="1:53" x14ac:dyDescent="0.25">
      <c r="A217" t="s">
        <v>4</v>
      </c>
      <c r="B217" t="s">
        <v>18</v>
      </c>
      <c r="C217">
        <v>20</v>
      </c>
      <c r="G217">
        <f t="shared" si="61"/>
        <v>312.58333333333576</v>
      </c>
      <c r="H217" s="7">
        <v>45027.583333333336</v>
      </c>
      <c r="AF217">
        <v>181.58</v>
      </c>
      <c r="AG217">
        <v>139.4</v>
      </c>
      <c r="AL217">
        <v>329.39</v>
      </c>
      <c r="AM217">
        <v>329.34</v>
      </c>
      <c r="AN217">
        <f t="shared" si="69"/>
        <v>9.9999999999909051E-3</v>
      </c>
      <c r="AO217">
        <f t="shared" si="70"/>
        <v>5.0000000000011369E-2</v>
      </c>
      <c r="AP217">
        <f>46.5+8.5</f>
        <v>55</v>
      </c>
      <c r="AQ217">
        <v>1011</v>
      </c>
      <c r="AR217">
        <v>22</v>
      </c>
      <c r="AS217">
        <v>34</v>
      </c>
      <c r="AT217">
        <f t="shared" si="71"/>
        <v>5.3137007027131622</v>
      </c>
      <c r="AU217">
        <f t="shared" si="72"/>
        <v>68.419999999999987</v>
      </c>
      <c r="AV217">
        <v>1011</v>
      </c>
      <c r="AW217">
        <f t="shared" si="73"/>
        <v>1823.7009646302254</v>
      </c>
      <c r="AX217">
        <f t="shared" si="74"/>
        <v>2.4251320611278031E-5</v>
      </c>
      <c r="AY217">
        <f t="shared" si="75"/>
        <v>8.8483958847983778E-4</v>
      </c>
      <c r="AZ217">
        <f t="shared" si="76"/>
        <v>19.731922823100383</v>
      </c>
      <c r="BA217">
        <f t="shared" si="77"/>
        <v>0.86800418937789114</v>
      </c>
    </row>
    <row r="218" spans="1:53" x14ac:dyDescent="0.25">
      <c r="A218" t="s">
        <v>5</v>
      </c>
      <c r="B218" t="s">
        <v>18</v>
      </c>
      <c r="C218">
        <v>20</v>
      </c>
      <c r="G218">
        <f t="shared" si="61"/>
        <v>312.58333333333576</v>
      </c>
      <c r="H218" s="7">
        <v>45027.583333333336</v>
      </c>
      <c r="AF218">
        <v>201.8</v>
      </c>
      <c r="AG218">
        <v>139.81</v>
      </c>
      <c r="AL218">
        <v>350</v>
      </c>
      <c r="AM218">
        <v>349.96499999999997</v>
      </c>
      <c r="AN218">
        <f t="shared" si="69"/>
        <v>0</v>
      </c>
      <c r="AO218">
        <f t="shared" si="70"/>
        <v>3.5000000000025011E-2</v>
      </c>
      <c r="AP218">
        <v>37</v>
      </c>
      <c r="AQ218">
        <v>1011</v>
      </c>
      <c r="AR218">
        <v>22</v>
      </c>
      <c r="AS218">
        <v>34</v>
      </c>
      <c r="AT218">
        <f t="shared" si="71"/>
        <v>5.3137007027131622</v>
      </c>
      <c r="AU218">
        <f t="shared" si="72"/>
        <v>48.199999999999989</v>
      </c>
      <c r="AV218">
        <v>1011</v>
      </c>
      <c r="AW218">
        <f t="shared" si="73"/>
        <v>1787.0788381742741</v>
      </c>
      <c r="AX218">
        <f t="shared" si="74"/>
        <v>2.4763526334789798E-5</v>
      </c>
      <c r="AY218">
        <f t="shared" si="75"/>
        <v>9.2118241961183214E-4</v>
      </c>
      <c r="AZ218">
        <f t="shared" si="76"/>
        <v>20.542367957343856</v>
      </c>
      <c r="BA218">
        <f t="shared" si="77"/>
        <v>0.83902867510390211</v>
      </c>
    </row>
    <row r="219" spans="1:53" x14ac:dyDescent="0.25">
      <c r="A219" t="s">
        <v>6</v>
      </c>
      <c r="B219" t="s">
        <v>18</v>
      </c>
      <c r="C219">
        <v>20</v>
      </c>
      <c r="G219">
        <f t="shared" si="61"/>
        <v>312.58333333333576</v>
      </c>
      <c r="H219" s="7">
        <v>45027.583333333336</v>
      </c>
      <c r="AF219">
        <v>205.13</v>
      </c>
      <c r="AG219">
        <v>139.01</v>
      </c>
      <c r="AL219">
        <v>352.61500000000001</v>
      </c>
      <c r="AM219">
        <v>352.58499999999998</v>
      </c>
      <c r="AN219">
        <f t="shared" si="69"/>
        <v>4.9999999999954525E-3</v>
      </c>
      <c r="AO219">
        <f t="shared" si="70"/>
        <v>3.0000000000029559E-2</v>
      </c>
      <c r="AP219">
        <v>37</v>
      </c>
      <c r="AQ219">
        <v>1011</v>
      </c>
      <c r="AR219">
        <v>22</v>
      </c>
      <c r="AS219">
        <v>34</v>
      </c>
      <c r="AT219">
        <f t="shared" si="71"/>
        <v>5.3137007027131622</v>
      </c>
      <c r="AU219">
        <f t="shared" si="72"/>
        <v>44.870000000000005</v>
      </c>
      <c r="AV219">
        <v>1011</v>
      </c>
      <c r="AW219">
        <f t="shared" si="73"/>
        <v>1844.6750612881656</v>
      </c>
      <c r="AX219">
        <f t="shared" si="74"/>
        <v>2.3967402811500429E-5</v>
      </c>
      <c r="AY219">
        <f t="shared" si="75"/>
        <v>7.8684340800010924E-4</v>
      </c>
      <c r="AZ219">
        <f t="shared" si="76"/>
        <v>17.546607998402436</v>
      </c>
      <c r="BA219">
        <f t="shared" si="77"/>
        <v>0.94613485883437842</v>
      </c>
    </row>
    <row r="220" spans="1:53" x14ac:dyDescent="0.25">
      <c r="A220" t="s">
        <v>7</v>
      </c>
      <c r="B220" t="s">
        <v>18</v>
      </c>
      <c r="C220">
        <v>20</v>
      </c>
      <c r="G220">
        <f t="shared" si="61"/>
        <v>312.58333333333576</v>
      </c>
      <c r="H220" s="7">
        <v>45027.583333333336</v>
      </c>
      <c r="AF220">
        <v>177.85000000000002</v>
      </c>
      <c r="AG220">
        <v>139.94999999999999</v>
      </c>
      <c r="AL220">
        <v>326.52499999999998</v>
      </c>
      <c r="AM220">
        <v>326.51</v>
      </c>
      <c r="AN220">
        <f t="shared" si="69"/>
        <v>4.9999999999954525E-3</v>
      </c>
      <c r="AO220">
        <f t="shared" si="70"/>
        <v>1.4999999999986358E-2</v>
      </c>
      <c r="AP220">
        <v>15</v>
      </c>
      <c r="AQ220">
        <v>1011</v>
      </c>
      <c r="AR220">
        <v>22</v>
      </c>
      <c r="AS220">
        <v>34</v>
      </c>
      <c r="AT220">
        <f t="shared" si="71"/>
        <v>5.3137007027131622</v>
      </c>
      <c r="AU220">
        <f t="shared" si="72"/>
        <v>72.149999999999977</v>
      </c>
      <c r="AV220">
        <v>1011</v>
      </c>
      <c r="AW220">
        <f t="shared" si="73"/>
        <v>1221.1871101871102</v>
      </c>
      <c r="AX220">
        <f t="shared" si="74"/>
        <v>3.6760849626606266E-5</v>
      </c>
      <c r="AY220">
        <f t="shared" si="75"/>
        <v>9.6323915037248428E-4</v>
      </c>
      <c r="AZ220">
        <f t="shared" si="76"/>
        <v>21.480233053306399</v>
      </c>
      <c r="BA220">
        <f t="shared" si="77"/>
        <v>0.80549756691789776</v>
      </c>
    </row>
    <row r="221" spans="1:53" x14ac:dyDescent="0.25">
      <c r="A221" t="s">
        <v>8</v>
      </c>
      <c r="B221" t="s">
        <v>19</v>
      </c>
      <c r="C221">
        <v>10</v>
      </c>
      <c r="G221">
        <f t="shared" si="61"/>
        <v>312.58333333333576</v>
      </c>
      <c r="H221" s="7">
        <v>45027.583333333336</v>
      </c>
      <c r="AF221">
        <v>142.11999999999998</v>
      </c>
      <c r="AG221">
        <v>139.71</v>
      </c>
      <c r="AL221">
        <v>290.57</v>
      </c>
      <c r="AM221">
        <v>290.5</v>
      </c>
      <c r="AN221">
        <f t="shared" si="69"/>
        <v>-9.9999999999909051E-3</v>
      </c>
      <c r="AO221">
        <f t="shared" si="70"/>
        <v>6.9999999999993179E-2</v>
      </c>
      <c r="AP221">
        <v>42.5</v>
      </c>
      <c r="AQ221">
        <v>1011</v>
      </c>
      <c r="AR221">
        <v>22</v>
      </c>
      <c r="AS221">
        <v>34</v>
      </c>
      <c r="AT221">
        <f t="shared" si="71"/>
        <v>5.3137007027131622</v>
      </c>
      <c r="AU221">
        <f t="shared" si="72"/>
        <v>107.88000000000002</v>
      </c>
      <c r="AV221">
        <v>1011</v>
      </c>
      <c r="AW221">
        <f t="shared" si="73"/>
        <v>1409.2897664071188</v>
      </c>
      <c r="AX221">
        <f t="shared" si="74"/>
        <v>3.1662004078535194E-5</v>
      </c>
      <c r="AY221">
        <f t="shared" si="75"/>
        <v>1.6153968194507159E-3</v>
      </c>
      <c r="AZ221">
        <f t="shared" si="76"/>
        <v>36.023349073750964</v>
      </c>
      <c r="BA221">
        <f t="shared" si="77"/>
        <v>0.28554347251516032</v>
      </c>
    </row>
    <row r="222" spans="1:53" x14ac:dyDescent="0.25">
      <c r="A222" t="s">
        <v>9</v>
      </c>
      <c r="B222" t="s">
        <v>19</v>
      </c>
      <c r="C222">
        <v>10</v>
      </c>
      <c r="G222">
        <f t="shared" si="61"/>
        <v>312.58333333333576</v>
      </c>
      <c r="H222" s="7">
        <v>45027.583333333336</v>
      </c>
      <c r="AF222">
        <v>136.42000000000002</v>
      </c>
      <c r="AG222">
        <v>139.75</v>
      </c>
      <c r="AL222">
        <v>284.93</v>
      </c>
      <c r="AM222">
        <v>284.77999999999997</v>
      </c>
      <c r="AN222">
        <f t="shared" si="69"/>
        <v>0</v>
      </c>
      <c r="AO222">
        <f t="shared" si="70"/>
        <v>0.15000000000003411</v>
      </c>
      <c r="AP222">
        <v>48</v>
      </c>
      <c r="AQ222">
        <v>1011</v>
      </c>
      <c r="AR222">
        <v>22</v>
      </c>
      <c r="AS222">
        <v>34</v>
      </c>
      <c r="AT222">
        <f t="shared" si="71"/>
        <v>5.3137007027131622</v>
      </c>
      <c r="AU222">
        <f t="shared" si="72"/>
        <v>113.57999999999998</v>
      </c>
      <c r="AV222">
        <v>1011</v>
      </c>
      <c r="AW222">
        <f t="shared" si="73"/>
        <v>1438.258320126783</v>
      </c>
      <c r="AX222">
        <f t="shared" si="74"/>
        <v>3.0999822031845912E-5</v>
      </c>
      <c r="AY222">
        <f t="shared" si="75"/>
        <v>3.0940001779688644E-3</v>
      </c>
      <c r="AZ222">
        <f t="shared" si="76"/>
        <v>68.996203968705672</v>
      </c>
      <c r="BA222">
        <f t="shared" si="77"/>
        <v>-0.89332155769416066</v>
      </c>
    </row>
    <row r="223" spans="1:53" x14ac:dyDescent="0.25">
      <c r="A223" t="s">
        <v>10</v>
      </c>
      <c r="B223" t="s">
        <v>19</v>
      </c>
      <c r="C223">
        <v>10</v>
      </c>
      <c r="G223">
        <f t="shared" si="61"/>
        <v>312.58333333333576</v>
      </c>
      <c r="H223" s="7">
        <v>45027.583333333336</v>
      </c>
      <c r="AF223">
        <v>117.85000000000002</v>
      </c>
      <c r="AG223">
        <v>140.44999999999999</v>
      </c>
      <c r="AL223">
        <v>266.83999999999997</v>
      </c>
      <c r="AM223">
        <v>266.73</v>
      </c>
      <c r="AN223">
        <f t="shared" si="69"/>
        <v>3.0000000000029559E-2</v>
      </c>
      <c r="AO223">
        <f t="shared" si="70"/>
        <v>0.1099999999999568</v>
      </c>
      <c r="AP223">
        <v>37.5</v>
      </c>
      <c r="AQ223">
        <v>1011</v>
      </c>
      <c r="AR223">
        <v>22</v>
      </c>
      <c r="AS223">
        <v>34</v>
      </c>
      <c r="AT223">
        <f t="shared" si="71"/>
        <v>5.3137007027131622</v>
      </c>
      <c r="AU223">
        <f t="shared" si="72"/>
        <v>132.14999999999998</v>
      </c>
      <c r="AV223">
        <v>1011</v>
      </c>
      <c r="AW223">
        <f t="shared" si="73"/>
        <v>1297.8898978433599</v>
      </c>
      <c r="AX223">
        <f t="shared" si="74"/>
        <v>3.4495613157764682E-5</v>
      </c>
      <c r="AY223">
        <f t="shared" si="75"/>
        <v>2.8988377201744167E-3</v>
      </c>
      <c r="AZ223">
        <f t="shared" si="76"/>
        <v>64.644081159889495</v>
      </c>
      <c r="BA223">
        <f t="shared" si="77"/>
        <v>-0.73772188630280655</v>
      </c>
    </row>
    <row r="224" spans="1:53" x14ac:dyDescent="0.25">
      <c r="A224" t="s">
        <v>11</v>
      </c>
      <c r="B224" t="s">
        <v>19</v>
      </c>
      <c r="C224">
        <v>10</v>
      </c>
      <c r="G224">
        <f t="shared" si="61"/>
        <v>312.58333333333576</v>
      </c>
      <c r="H224" s="7">
        <v>45027.583333333336</v>
      </c>
      <c r="AF224">
        <v>107.53</v>
      </c>
      <c r="AG224">
        <v>140</v>
      </c>
      <c r="AL224">
        <v>256.47000000000003</v>
      </c>
      <c r="AM224">
        <v>256.36500000000001</v>
      </c>
      <c r="AN224">
        <f t="shared" si="69"/>
        <v>-1.0000000000047748E-2</v>
      </c>
      <c r="AO224">
        <f t="shared" si="70"/>
        <v>0.10500000000001819</v>
      </c>
      <c r="AP224">
        <v>45</v>
      </c>
      <c r="AQ224">
        <v>1011</v>
      </c>
      <c r="AR224">
        <v>22</v>
      </c>
      <c r="AS224">
        <v>34</v>
      </c>
      <c r="AT224">
        <f t="shared" si="71"/>
        <v>5.3137007027131622</v>
      </c>
      <c r="AU224">
        <f t="shared" si="72"/>
        <v>142.47</v>
      </c>
      <c r="AV224">
        <v>1011</v>
      </c>
      <c r="AW224">
        <f t="shared" si="73"/>
        <v>1330.3303853442831</v>
      </c>
      <c r="AX224">
        <f t="shared" si="74"/>
        <v>3.3619430641883161E-5</v>
      </c>
      <c r="AY224">
        <f t="shared" si="75"/>
        <v>2.2997139026918545E-3</v>
      </c>
      <c r="AZ224">
        <f t="shared" si="76"/>
        <v>51.283620030028359</v>
      </c>
      <c r="BA224">
        <f t="shared" si="77"/>
        <v>-0.26005076975432112</v>
      </c>
    </row>
    <row r="225" spans="1:53" x14ac:dyDescent="0.25">
      <c r="A225" t="s">
        <v>12</v>
      </c>
      <c r="B225" t="s">
        <v>19</v>
      </c>
      <c r="C225">
        <v>20</v>
      </c>
      <c r="G225">
        <f t="shared" si="61"/>
        <v>312.58333333333576</v>
      </c>
      <c r="H225" s="7">
        <v>45027.583333333336</v>
      </c>
      <c r="AF225">
        <v>109.43</v>
      </c>
      <c r="AG225">
        <v>140.19999999999999</v>
      </c>
      <c r="AL225">
        <v>258.30500000000001</v>
      </c>
      <c r="AM225">
        <v>258.21499999999997</v>
      </c>
      <c r="AN225">
        <f t="shared" si="69"/>
        <v>1.4999999999986358E-2</v>
      </c>
      <c r="AO225">
        <f t="shared" si="70"/>
        <v>9.0000000000031832E-2</v>
      </c>
      <c r="AP225">
        <v>55</v>
      </c>
      <c r="AQ225">
        <v>1011</v>
      </c>
      <c r="AR225">
        <v>22</v>
      </c>
      <c r="AS225">
        <v>34</v>
      </c>
      <c r="AT225">
        <f t="shared" si="71"/>
        <v>5.3137007027131622</v>
      </c>
      <c r="AU225">
        <f t="shared" si="72"/>
        <v>140.57</v>
      </c>
      <c r="AV225">
        <v>1011</v>
      </c>
      <c r="AW225">
        <f t="shared" si="73"/>
        <v>1406.5680443906949</v>
      </c>
      <c r="AX225">
        <f t="shared" si="74"/>
        <v>3.172567571839393E-5</v>
      </c>
      <c r="AY225">
        <f t="shared" si="75"/>
        <v>1.604637960645821E-3</v>
      </c>
      <c r="AZ225">
        <f t="shared" si="76"/>
        <v>35.783426522401811</v>
      </c>
      <c r="BA225">
        <f t="shared" si="77"/>
        <v>0.29412132562024268</v>
      </c>
    </row>
    <row r="226" spans="1:53" x14ac:dyDescent="0.25">
      <c r="A226" t="s">
        <v>13</v>
      </c>
      <c r="B226" t="s">
        <v>19</v>
      </c>
      <c r="C226">
        <v>20</v>
      </c>
      <c r="G226">
        <f t="shared" si="61"/>
        <v>312.58333333333576</v>
      </c>
      <c r="H226" s="7">
        <v>45027.583333333336</v>
      </c>
      <c r="AF226">
        <v>129.52999999999997</v>
      </c>
      <c r="AG226">
        <v>140.24</v>
      </c>
      <c r="AL226">
        <v>278.52</v>
      </c>
      <c r="AM226">
        <v>278.375</v>
      </c>
      <c r="AN226">
        <f t="shared" si="69"/>
        <v>2.0000000000038654E-2</v>
      </c>
      <c r="AO226">
        <f t="shared" si="70"/>
        <v>0.14499999999998181</v>
      </c>
      <c r="AP226">
        <v>87</v>
      </c>
      <c r="AQ226">
        <v>1011</v>
      </c>
      <c r="AR226">
        <v>22</v>
      </c>
      <c r="AS226">
        <v>34</v>
      </c>
      <c r="AT226">
        <f t="shared" si="71"/>
        <v>5.3137007027131622</v>
      </c>
      <c r="AU226">
        <f t="shared" si="72"/>
        <v>120.47000000000003</v>
      </c>
      <c r="AV226">
        <v>1011</v>
      </c>
      <c r="AW226">
        <f t="shared" si="73"/>
        <v>1741.1153814227607</v>
      </c>
      <c r="AX226">
        <f t="shared" si="74"/>
        <v>2.5437834305181667E-5</v>
      </c>
      <c r="AY226">
        <f t="shared" si="75"/>
        <v>1.6412288323612758E-3</v>
      </c>
      <c r="AZ226">
        <f t="shared" si="76"/>
        <v>36.599402961656452</v>
      </c>
      <c r="BA226">
        <f t="shared" si="77"/>
        <v>0.26494805285461376</v>
      </c>
    </row>
    <row r="227" spans="1:53" x14ac:dyDescent="0.25">
      <c r="A227" t="s">
        <v>14</v>
      </c>
      <c r="B227" t="s">
        <v>19</v>
      </c>
      <c r="C227">
        <v>20</v>
      </c>
      <c r="G227">
        <f t="shared" si="61"/>
        <v>312.58333333333576</v>
      </c>
      <c r="H227" s="7">
        <v>45027.583333333336</v>
      </c>
      <c r="AF227">
        <v>94.359999999999985</v>
      </c>
      <c r="AG227">
        <v>138.74</v>
      </c>
      <c r="AL227">
        <v>241.73</v>
      </c>
      <c r="AM227">
        <v>241.64500000000001</v>
      </c>
      <c r="AN227">
        <f t="shared" si="69"/>
        <v>0</v>
      </c>
      <c r="AO227">
        <f t="shared" si="70"/>
        <v>8.4999999999979536E-2</v>
      </c>
      <c r="AP227">
        <v>43</v>
      </c>
      <c r="AQ227">
        <v>1011</v>
      </c>
      <c r="AR227">
        <v>22</v>
      </c>
      <c r="AS227">
        <v>34</v>
      </c>
      <c r="AT227">
        <f t="shared" si="71"/>
        <v>5.3137007027131622</v>
      </c>
      <c r="AU227">
        <f t="shared" si="72"/>
        <v>155.64000000000001</v>
      </c>
      <c r="AV227">
        <v>1011</v>
      </c>
      <c r="AW227">
        <f t="shared" si="73"/>
        <v>1290.3176561295297</v>
      </c>
      <c r="AX227">
        <f t="shared" si="74"/>
        <v>3.4706745720407729E-5</v>
      </c>
      <c r="AY227">
        <f t="shared" si="75"/>
        <v>1.9420374403256279E-3</v>
      </c>
      <c r="AZ227">
        <f t="shared" si="76"/>
        <v>43.307434919261503</v>
      </c>
      <c r="BA227">
        <f t="shared" si="77"/>
        <v>2.5118522729299066E-2</v>
      </c>
    </row>
    <row r="228" spans="1:53" x14ac:dyDescent="0.25">
      <c r="A228" t="s">
        <v>15</v>
      </c>
      <c r="B228" t="s">
        <v>19</v>
      </c>
      <c r="C228">
        <v>20</v>
      </c>
      <c r="G228">
        <f t="shared" si="61"/>
        <v>312.58333333333576</v>
      </c>
      <c r="H228" s="7">
        <v>45027.583333333336</v>
      </c>
      <c r="AF228">
        <v>85.4</v>
      </c>
      <c r="AG228">
        <v>140.1</v>
      </c>
      <c r="AL228">
        <v>234.27500000000001</v>
      </c>
      <c r="AM228">
        <v>234.17</v>
      </c>
      <c r="AN228">
        <f t="shared" si="69"/>
        <v>2.5000000000005684E-2</v>
      </c>
      <c r="AO228">
        <f t="shared" si="70"/>
        <v>0.10500000000001819</v>
      </c>
      <c r="AP228">
        <f>53.5+5.5</f>
        <v>59</v>
      </c>
      <c r="AQ228">
        <v>1011</v>
      </c>
      <c r="AR228">
        <v>22</v>
      </c>
      <c r="AS228">
        <v>34</v>
      </c>
      <c r="AT228">
        <f t="shared" si="71"/>
        <v>5.3137007027131622</v>
      </c>
      <c r="AU228">
        <f t="shared" si="72"/>
        <v>164.6</v>
      </c>
      <c r="AV228">
        <v>1011</v>
      </c>
      <c r="AW228">
        <f t="shared" si="73"/>
        <v>1373.3876063183475</v>
      </c>
      <c r="AX228">
        <f t="shared" si="74"/>
        <v>3.2523002997807914E-5</v>
      </c>
      <c r="AY228">
        <f t="shared" si="75"/>
        <v>1.7471380139516528E-3</v>
      </c>
      <c r="AZ228">
        <f t="shared" si="76"/>
        <v>38.961177711121856</v>
      </c>
      <c r="BA228">
        <f t="shared" si="77"/>
        <v>0.18050848369246131</v>
      </c>
    </row>
    <row r="229" spans="1:53" x14ac:dyDescent="0.25">
      <c r="A229" t="s">
        <v>0</v>
      </c>
      <c r="B229" t="s">
        <v>18</v>
      </c>
      <c r="C229">
        <v>10</v>
      </c>
      <c r="G229">
        <f t="shared" si="61"/>
        <v>315.58333333333576</v>
      </c>
      <c r="H229" s="7">
        <v>45030.583333333336</v>
      </c>
      <c r="AF229">
        <v>172.77</v>
      </c>
      <c r="AG229">
        <v>139.16999999999999</v>
      </c>
      <c r="AL229">
        <v>321.13499999999999</v>
      </c>
      <c r="AM229">
        <v>321.10000000000002</v>
      </c>
      <c r="AN229">
        <f t="shared" si="69"/>
        <v>0</v>
      </c>
      <c r="AO229">
        <f t="shared" si="70"/>
        <v>3.4999999999968168E-2</v>
      </c>
      <c r="AP229">
        <v>10</v>
      </c>
      <c r="AQ229">
        <v>1011</v>
      </c>
      <c r="AR229">
        <v>22</v>
      </c>
      <c r="AS229">
        <v>34</v>
      </c>
      <c r="AT229">
        <f t="shared" si="71"/>
        <v>5.3137007027131622</v>
      </c>
      <c r="AU229">
        <f t="shared" si="72"/>
        <v>77.22999999999999</v>
      </c>
      <c r="AV229">
        <v>1011</v>
      </c>
      <c r="AW229">
        <f t="shared" si="73"/>
        <v>1141.9076783633304</v>
      </c>
      <c r="AX229">
        <f t="shared" si="74"/>
        <v>3.9437610994709676E-5</v>
      </c>
      <c r="AY229">
        <f t="shared" si="75"/>
        <v>3.4605623890021074E-3</v>
      </c>
      <c r="AZ229">
        <f t="shared" si="76"/>
        <v>77.170541274746995</v>
      </c>
      <c r="BA229">
        <f t="shared" si="77"/>
        <v>-1.1855753047818018</v>
      </c>
    </row>
    <row r="230" spans="1:53" x14ac:dyDescent="0.25">
      <c r="A230" t="s">
        <v>1</v>
      </c>
      <c r="B230" t="s">
        <v>18</v>
      </c>
      <c r="C230">
        <v>10</v>
      </c>
      <c r="G230">
        <f t="shared" si="61"/>
        <v>315.58333333333576</v>
      </c>
      <c r="H230" s="7">
        <v>45030.583333333336</v>
      </c>
      <c r="AF230">
        <v>173.93</v>
      </c>
      <c r="AG230">
        <v>141.25</v>
      </c>
      <c r="AL230">
        <v>324.27999999999997</v>
      </c>
      <c r="AM230">
        <v>324.255</v>
      </c>
      <c r="AN230">
        <f t="shared" si="69"/>
        <v>-1.999999999998181E-2</v>
      </c>
      <c r="AO230">
        <f t="shared" si="70"/>
        <v>2.4999999999977263E-2</v>
      </c>
      <c r="AP230">
        <v>11</v>
      </c>
      <c r="AQ230">
        <v>1011</v>
      </c>
      <c r="AR230">
        <v>22</v>
      </c>
      <c r="AS230">
        <v>34</v>
      </c>
      <c r="AT230">
        <f t="shared" si="71"/>
        <v>5.3137007027131622</v>
      </c>
      <c r="AU230">
        <f t="shared" si="72"/>
        <v>76.069999999999993</v>
      </c>
      <c r="AV230">
        <v>1011</v>
      </c>
      <c r="AW230">
        <f t="shared" si="73"/>
        <v>1157.1942947285395</v>
      </c>
      <c r="AX230">
        <f t="shared" si="74"/>
        <v>3.8891563578192351E-5</v>
      </c>
      <c r="AY230">
        <f t="shared" si="75"/>
        <v>2.2338357091470132E-3</v>
      </c>
      <c r="AZ230">
        <f t="shared" si="76"/>
        <v>49.814536313978394</v>
      </c>
      <c r="BA230">
        <f t="shared" si="77"/>
        <v>-0.20752721894810139</v>
      </c>
    </row>
    <row r="231" spans="1:53" x14ac:dyDescent="0.25">
      <c r="A231" t="s">
        <v>2</v>
      </c>
      <c r="B231" t="s">
        <v>18</v>
      </c>
      <c r="C231">
        <v>10</v>
      </c>
      <c r="G231">
        <f t="shared" ref="G231:G294" si="78">H231-$H$18</f>
        <v>315.58333333333576</v>
      </c>
      <c r="H231" s="7">
        <v>45030.583333333336</v>
      </c>
      <c r="AF231">
        <v>162.82000000000002</v>
      </c>
      <c r="AG231">
        <v>140.66</v>
      </c>
      <c r="AL231">
        <v>312.63499999999999</v>
      </c>
      <c r="AM231">
        <v>312.61</v>
      </c>
      <c r="AN231">
        <f t="shared" si="69"/>
        <v>-4.9999999999954525E-3</v>
      </c>
      <c r="AO231">
        <f t="shared" si="70"/>
        <v>2.4999999999977263E-2</v>
      </c>
      <c r="AP231">
        <v>9</v>
      </c>
      <c r="AQ231">
        <v>1011</v>
      </c>
      <c r="AR231">
        <v>22</v>
      </c>
      <c r="AS231">
        <v>34</v>
      </c>
      <c r="AT231">
        <f t="shared" si="71"/>
        <v>5.3137007027131622</v>
      </c>
      <c r="AU231">
        <f t="shared" si="72"/>
        <v>87.179999999999978</v>
      </c>
      <c r="AV231">
        <v>1011</v>
      </c>
      <c r="AW231">
        <f t="shared" si="73"/>
        <v>1115.3702684101859</v>
      </c>
      <c r="AX231">
        <f t="shared" si="74"/>
        <v>4.0422867330193458E-5</v>
      </c>
      <c r="AY231">
        <f t="shared" si="75"/>
        <v>2.7373549104450579E-3</v>
      </c>
      <c r="AZ231">
        <f t="shared" si="76"/>
        <v>61.043014502924791</v>
      </c>
      <c r="BA231">
        <f t="shared" si="77"/>
        <v>-0.60897441912494799</v>
      </c>
    </row>
    <row r="232" spans="1:53" x14ac:dyDescent="0.25">
      <c r="A232" t="s">
        <v>3</v>
      </c>
      <c r="B232" t="s">
        <v>18</v>
      </c>
      <c r="C232">
        <v>10</v>
      </c>
      <c r="G232">
        <f t="shared" si="78"/>
        <v>315.58333333333576</v>
      </c>
      <c r="H232" s="7">
        <v>45030.583333333336</v>
      </c>
      <c r="AF232">
        <v>187.81</v>
      </c>
      <c r="AG232">
        <v>140</v>
      </c>
      <c r="AL232">
        <v>336.89499999999998</v>
      </c>
      <c r="AM232">
        <v>336.83499999999998</v>
      </c>
      <c r="AN232">
        <f t="shared" si="69"/>
        <v>9.9999999999909051E-3</v>
      </c>
      <c r="AO232">
        <f t="shared" si="70"/>
        <v>6.0000000000002274E-2</v>
      </c>
      <c r="AP232">
        <v>15</v>
      </c>
      <c r="AQ232">
        <v>1011</v>
      </c>
      <c r="AR232">
        <v>22</v>
      </c>
      <c r="AS232">
        <v>34</v>
      </c>
      <c r="AT232">
        <f t="shared" si="71"/>
        <v>5.3137007027131622</v>
      </c>
      <c r="AU232">
        <f t="shared" si="72"/>
        <v>62.19</v>
      </c>
      <c r="AV232">
        <v>1011</v>
      </c>
      <c r="AW232">
        <f t="shared" si="73"/>
        <v>1254.849493487699</v>
      </c>
      <c r="AX232">
        <f t="shared" si="74"/>
        <v>3.5731104305218421E-5</v>
      </c>
      <c r="AY232">
        <f t="shared" si="75"/>
        <v>3.9642688956949331E-3</v>
      </c>
      <c r="AZ232">
        <f t="shared" si="76"/>
        <v>88.403196373997005</v>
      </c>
      <c r="BA232">
        <f t="shared" si="77"/>
        <v>-1.5871718403288169</v>
      </c>
    </row>
    <row r="233" spans="1:53" x14ac:dyDescent="0.25">
      <c r="A233" t="s">
        <v>4</v>
      </c>
      <c r="B233" t="s">
        <v>18</v>
      </c>
      <c r="C233">
        <v>20</v>
      </c>
      <c r="G233">
        <f t="shared" si="78"/>
        <v>315.58333333333576</v>
      </c>
      <c r="H233" s="7">
        <v>45030.583333333336</v>
      </c>
      <c r="AF233">
        <v>181.58</v>
      </c>
      <c r="AG233">
        <v>139.4</v>
      </c>
      <c r="AL233">
        <v>329.33</v>
      </c>
      <c r="AM233">
        <v>329.19</v>
      </c>
      <c r="AN233">
        <f t="shared" si="69"/>
        <v>9.9999999999909051E-3</v>
      </c>
      <c r="AO233">
        <f t="shared" si="70"/>
        <v>0.13999999999998636</v>
      </c>
      <c r="AP233">
        <f>59.5+55+16.5</f>
        <v>131</v>
      </c>
      <c r="AQ233">
        <v>1011</v>
      </c>
      <c r="AR233">
        <v>22</v>
      </c>
      <c r="AS233">
        <v>34</v>
      </c>
      <c r="AT233">
        <f t="shared" si="71"/>
        <v>5.3137007027131622</v>
      </c>
      <c r="AU233">
        <f t="shared" si="72"/>
        <v>68.419999999999987</v>
      </c>
      <c r="AV233">
        <v>1011</v>
      </c>
      <c r="AW233">
        <f t="shared" si="73"/>
        <v>2946.7059339374455</v>
      </c>
      <c r="AX233">
        <f t="shared" si="74"/>
        <v>1.4839291989651916E-5</v>
      </c>
      <c r="AY233">
        <f t="shared" si="75"/>
        <v>1.0538629980865798E-3</v>
      </c>
      <c r="AZ233">
        <f t="shared" si="76"/>
        <v>23.501144857330729</v>
      </c>
      <c r="BA233">
        <f t="shared" si="77"/>
        <v>0.73324473159346693</v>
      </c>
    </row>
    <row r="234" spans="1:53" x14ac:dyDescent="0.25">
      <c r="A234" t="s">
        <v>5</v>
      </c>
      <c r="B234" t="s">
        <v>18</v>
      </c>
      <c r="C234">
        <v>20</v>
      </c>
      <c r="G234">
        <f t="shared" si="78"/>
        <v>315.58333333333576</v>
      </c>
      <c r="H234" s="7">
        <v>45030.583333333336</v>
      </c>
      <c r="AF234">
        <v>201.8</v>
      </c>
      <c r="AG234">
        <v>139.81</v>
      </c>
      <c r="AL234">
        <v>349.95499999999998</v>
      </c>
      <c r="AM234">
        <v>349.83499999999998</v>
      </c>
      <c r="AN234">
        <f t="shared" si="69"/>
        <v>9.9999999999909051E-3</v>
      </c>
      <c r="AO234">
        <f t="shared" si="70"/>
        <v>0.12000000000000455</v>
      </c>
      <c r="AP234">
        <f>53+35+7</f>
        <v>95</v>
      </c>
      <c r="AQ234">
        <v>1011</v>
      </c>
      <c r="AR234">
        <v>22</v>
      </c>
      <c r="AS234">
        <v>34</v>
      </c>
      <c r="AT234">
        <f t="shared" si="71"/>
        <v>5.3137007027131622</v>
      </c>
      <c r="AU234">
        <f t="shared" si="72"/>
        <v>48.199999999999989</v>
      </c>
      <c r="AV234">
        <v>1011</v>
      </c>
      <c r="AW234">
        <f t="shared" si="73"/>
        <v>3003.6348547717848</v>
      </c>
      <c r="AX234">
        <f t="shared" si="74"/>
        <v>1.4552972553912525E-5</v>
      </c>
      <c r="AY234">
        <f t="shared" si="75"/>
        <v>1.2486049221829775E-3</v>
      </c>
      <c r="AZ234">
        <f t="shared" si="76"/>
        <v>27.843889764680398</v>
      </c>
      <c r="BA234">
        <f t="shared" si="77"/>
        <v>0.57798034448765112</v>
      </c>
    </row>
    <row r="235" spans="1:53" x14ac:dyDescent="0.25">
      <c r="A235" t="s">
        <v>6</v>
      </c>
      <c r="B235" t="s">
        <v>18</v>
      </c>
      <c r="C235">
        <v>20</v>
      </c>
      <c r="G235">
        <f t="shared" si="78"/>
        <v>315.58333333333576</v>
      </c>
      <c r="H235" s="7">
        <v>45030.583333333336</v>
      </c>
      <c r="AF235">
        <v>205.13</v>
      </c>
      <c r="AG235">
        <v>139.01</v>
      </c>
      <c r="AL235">
        <v>352.565</v>
      </c>
      <c r="AM235">
        <v>352.435</v>
      </c>
      <c r="AN235">
        <f t="shared" si="69"/>
        <v>1.999999999998181E-2</v>
      </c>
      <c r="AO235">
        <f t="shared" si="70"/>
        <v>0.12999999999999545</v>
      </c>
      <c r="AP235">
        <f>55+44</f>
        <v>99</v>
      </c>
      <c r="AQ235">
        <v>1011</v>
      </c>
      <c r="AR235">
        <v>22</v>
      </c>
      <c r="AS235">
        <v>34</v>
      </c>
      <c r="AT235">
        <f t="shared" si="71"/>
        <v>5.3137007027131622</v>
      </c>
      <c r="AU235">
        <f t="shared" si="72"/>
        <v>44.870000000000005</v>
      </c>
      <c r="AV235">
        <v>1011</v>
      </c>
      <c r="AW235">
        <f t="shared" si="73"/>
        <v>3241.644082906173</v>
      </c>
      <c r="AX235">
        <f t="shared" si="74"/>
        <v>1.3466651688946987E-5</v>
      </c>
      <c r="AY235">
        <f t="shared" si="75"/>
        <v>1.2996646614423203E-3</v>
      </c>
      <c r="AZ235">
        <f t="shared" si="76"/>
        <v>28.982521950163743</v>
      </c>
      <c r="BA235">
        <f t="shared" si="77"/>
        <v>0.53727129245034877</v>
      </c>
    </row>
    <row r="236" spans="1:53" x14ac:dyDescent="0.25">
      <c r="A236" t="s">
        <v>7</v>
      </c>
      <c r="B236" t="s">
        <v>18</v>
      </c>
      <c r="C236">
        <v>20</v>
      </c>
      <c r="G236">
        <f t="shared" si="78"/>
        <v>315.58333333333576</v>
      </c>
      <c r="H236" s="7">
        <v>45030.583333333336</v>
      </c>
      <c r="AF236">
        <v>177.85000000000002</v>
      </c>
      <c r="AG236">
        <v>139.94999999999999</v>
      </c>
      <c r="AL236">
        <v>326.51499999999999</v>
      </c>
      <c r="AM236">
        <v>326.42500000000001</v>
      </c>
      <c r="AN236">
        <f t="shared" si="69"/>
        <v>-4.9999999999954525E-3</v>
      </c>
      <c r="AO236">
        <f t="shared" si="70"/>
        <v>8.9999999999974989E-2</v>
      </c>
      <c r="AP236">
        <f>49.5+10.5</f>
        <v>60</v>
      </c>
      <c r="AQ236">
        <v>1011</v>
      </c>
      <c r="AR236">
        <v>22</v>
      </c>
      <c r="AS236">
        <v>34</v>
      </c>
      <c r="AT236">
        <f t="shared" si="71"/>
        <v>5.3137007027131622</v>
      </c>
      <c r="AU236">
        <f t="shared" si="72"/>
        <v>72.149999999999977</v>
      </c>
      <c r="AV236">
        <v>1011</v>
      </c>
      <c r="AW236">
        <f t="shared" si="73"/>
        <v>1851.748440748441</v>
      </c>
      <c r="AX236">
        <f t="shared" si="74"/>
        <v>2.3873146469310798E-5</v>
      </c>
      <c r="AY236">
        <f t="shared" si="75"/>
        <v>1.4761268535302722E-3</v>
      </c>
      <c r="AZ236">
        <f t="shared" si="76"/>
        <v>32.917628833725068</v>
      </c>
      <c r="BA236">
        <f t="shared" si="77"/>
        <v>0.39658102131837436</v>
      </c>
    </row>
    <row r="237" spans="1:53" x14ac:dyDescent="0.25">
      <c r="A237" t="s">
        <v>8</v>
      </c>
      <c r="B237" t="s">
        <v>19</v>
      </c>
      <c r="C237">
        <v>10</v>
      </c>
      <c r="G237">
        <f t="shared" si="78"/>
        <v>315.58333333333576</v>
      </c>
      <c r="H237" s="7">
        <v>45030.583333333336</v>
      </c>
      <c r="AF237">
        <v>142.11999999999998</v>
      </c>
      <c r="AG237">
        <v>139.71</v>
      </c>
      <c r="AL237">
        <v>290.51499999999999</v>
      </c>
      <c r="AM237">
        <v>290.46499999999997</v>
      </c>
      <c r="AN237">
        <f t="shared" si="69"/>
        <v>-1.4999999999986358E-2</v>
      </c>
      <c r="AO237">
        <f t="shared" si="70"/>
        <v>5.0000000000011369E-2</v>
      </c>
      <c r="AP237">
        <v>32</v>
      </c>
      <c r="AQ237">
        <v>1011</v>
      </c>
      <c r="AR237">
        <v>22</v>
      </c>
      <c r="AS237">
        <v>34</v>
      </c>
      <c r="AT237">
        <f t="shared" si="71"/>
        <v>5.3137007027131622</v>
      </c>
      <c r="AU237">
        <f t="shared" si="72"/>
        <v>107.88000000000002</v>
      </c>
      <c r="AV237">
        <v>1011</v>
      </c>
      <c r="AW237">
        <f t="shared" si="73"/>
        <v>1310.8887652947719</v>
      </c>
      <c r="AX237">
        <f t="shared" si="74"/>
        <v>3.4139100912684953E-5</v>
      </c>
      <c r="AY237">
        <f t="shared" si="75"/>
        <v>1.5283608990876703E-3</v>
      </c>
      <c r="AZ237">
        <f t="shared" si="76"/>
        <v>34.082448049655049</v>
      </c>
      <c r="BA237">
        <f t="shared" si="77"/>
        <v>0.3549357150641741</v>
      </c>
    </row>
    <row r="238" spans="1:53" x14ac:dyDescent="0.25">
      <c r="A238" t="s">
        <v>9</v>
      </c>
      <c r="B238" t="s">
        <v>19</v>
      </c>
      <c r="C238">
        <v>10</v>
      </c>
      <c r="G238">
        <f t="shared" si="78"/>
        <v>315.58333333333576</v>
      </c>
      <c r="H238" s="7">
        <v>45030.583333333336</v>
      </c>
      <c r="AF238">
        <v>136.42000000000002</v>
      </c>
      <c r="AG238">
        <v>139.75</v>
      </c>
      <c r="AL238">
        <v>284.77499999999998</v>
      </c>
      <c r="AM238">
        <v>284.74</v>
      </c>
      <c r="AN238">
        <f t="shared" si="69"/>
        <v>4.9999999999954525E-3</v>
      </c>
      <c r="AO238">
        <f t="shared" si="70"/>
        <v>3.4999999999968168E-2</v>
      </c>
      <c r="AP238">
        <v>34</v>
      </c>
      <c r="AQ238">
        <v>1011</v>
      </c>
      <c r="AR238">
        <v>22</v>
      </c>
      <c r="AS238">
        <v>34</v>
      </c>
      <c r="AT238">
        <f t="shared" si="71"/>
        <v>5.3137007027131622</v>
      </c>
      <c r="AU238">
        <f t="shared" si="72"/>
        <v>113.57999999999998</v>
      </c>
      <c r="AV238">
        <v>1011</v>
      </c>
      <c r="AW238">
        <f t="shared" si="73"/>
        <v>1313.6413100898046</v>
      </c>
      <c r="AX238">
        <f t="shared" si="74"/>
        <v>3.40645518577583E-5</v>
      </c>
      <c r="AY238">
        <f t="shared" si="75"/>
        <v>9.9534721284718773E-4</v>
      </c>
      <c r="AZ238">
        <f t="shared" si="76"/>
        <v>22.196242846492286</v>
      </c>
      <c r="BA238">
        <f t="shared" si="77"/>
        <v>0.77989836086906372</v>
      </c>
    </row>
    <row r="239" spans="1:53" x14ac:dyDescent="0.25">
      <c r="A239" t="s">
        <v>10</v>
      </c>
      <c r="B239" t="s">
        <v>19</v>
      </c>
      <c r="C239">
        <v>10</v>
      </c>
      <c r="G239">
        <f t="shared" si="78"/>
        <v>315.58333333333576</v>
      </c>
      <c r="H239" s="7">
        <v>45030.583333333336</v>
      </c>
      <c r="AF239">
        <v>117.85000000000002</v>
      </c>
      <c r="AG239">
        <v>140.44999999999999</v>
      </c>
      <c r="AL239">
        <v>266.73</v>
      </c>
      <c r="AM239">
        <v>266.65499999999997</v>
      </c>
      <c r="AN239">
        <f t="shared" si="69"/>
        <v>0</v>
      </c>
      <c r="AO239">
        <f t="shared" si="70"/>
        <v>7.5000000000045475E-2</v>
      </c>
      <c r="AP239">
        <v>30</v>
      </c>
      <c r="AQ239">
        <v>1011</v>
      </c>
      <c r="AR239">
        <v>22</v>
      </c>
      <c r="AS239">
        <v>34</v>
      </c>
      <c r="AT239">
        <f t="shared" si="71"/>
        <v>5.3137007027131622</v>
      </c>
      <c r="AU239">
        <f t="shared" si="72"/>
        <v>132.14999999999998</v>
      </c>
      <c r="AV239">
        <v>1011</v>
      </c>
      <c r="AW239">
        <f t="shared" si="73"/>
        <v>1240.511918274688</v>
      </c>
      <c r="AX239">
        <f t="shared" si="74"/>
        <v>3.6162558086637596E-5</v>
      </c>
      <c r="AY239">
        <f t="shared" si="75"/>
        <v>2.4638374419148784E-3</v>
      </c>
      <c r="AZ239">
        <f t="shared" si="76"/>
        <v>54.943574954701788</v>
      </c>
      <c r="BA239">
        <f t="shared" si="77"/>
        <v>-0.39090364514486198</v>
      </c>
    </row>
    <row r="240" spans="1:53" x14ac:dyDescent="0.25">
      <c r="A240" t="s">
        <v>11</v>
      </c>
      <c r="B240" t="s">
        <v>19</v>
      </c>
      <c r="C240">
        <v>10</v>
      </c>
      <c r="G240">
        <f t="shared" si="78"/>
        <v>315.58333333333576</v>
      </c>
      <c r="H240" s="7">
        <v>45030.583333333336</v>
      </c>
      <c r="AF240">
        <v>107.53</v>
      </c>
      <c r="AG240">
        <v>140</v>
      </c>
      <c r="AL240">
        <v>256.34500000000003</v>
      </c>
      <c r="AM240">
        <v>256.31</v>
      </c>
      <c r="AN240">
        <f t="shared" si="69"/>
        <v>1.999999999998181E-2</v>
      </c>
      <c r="AO240">
        <f t="shared" si="70"/>
        <v>3.5000000000025011E-2</v>
      </c>
      <c r="AP240">
        <v>32.5</v>
      </c>
      <c r="AQ240">
        <v>1011</v>
      </c>
      <c r="AR240">
        <v>22</v>
      </c>
      <c r="AS240">
        <v>34</v>
      </c>
      <c r="AT240">
        <f t="shared" si="71"/>
        <v>5.3137007027131622</v>
      </c>
      <c r="AU240">
        <f t="shared" si="72"/>
        <v>142.47</v>
      </c>
      <c r="AV240">
        <v>1011</v>
      </c>
      <c r="AW240">
        <f t="shared" si="73"/>
        <v>1241.6275005264265</v>
      </c>
      <c r="AX240">
        <f t="shared" si="74"/>
        <v>3.6128613929574852E-5</v>
      </c>
      <c r="AY240">
        <f t="shared" si="75"/>
        <v>1.0407944629942717E-3</v>
      </c>
      <c r="AZ240">
        <f t="shared" si="76"/>
        <v>23.209716524772258</v>
      </c>
      <c r="BA240">
        <f t="shared" si="77"/>
        <v>0.74366404988300827</v>
      </c>
    </row>
    <row r="241" spans="1:53" x14ac:dyDescent="0.25">
      <c r="A241" t="s">
        <v>12</v>
      </c>
      <c r="B241" t="s">
        <v>19</v>
      </c>
      <c r="C241">
        <v>20</v>
      </c>
      <c r="G241">
        <f t="shared" si="78"/>
        <v>315.58333333333576</v>
      </c>
      <c r="H241" s="7">
        <v>45030.583333333336</v>
      </c>
      <c r="AF241">
        <v>109.43</v>
      </c>
      <c r="AG241">
        <v>140.19999999999999</v>
      </c>
      <c r="AL241">
        <v>258.21499999999997</v>
      </c>
      <c r="AM241">
        <v>258.14499999999998</v>
      </c>
      <c r="AN241">
        <f t="shared" si="69"/>
        <v>0</v>
      </c>
      <c r="AO241">
        <f t="shared" si="70"/>
        <v>6.9999999999993179E-2</v>
      </c>
      <c r="AP241">
        <v>34</v>
      </c>
      <c r="AQ241">
        <v>1011</v>
      </c>
      <c r="AR241">
        <v>22</v>
      </c>
      <c r="AS241">
        <v>34</v>
      </c>
      <c r="AT241">
        <f t="shared" si="71"/>
        <v>5.3137007027131622</v>
      </c>
      <c r="AU241">
        <f t="shared" si="72"/>
        <v>140.57</v>
      </c>
      <c r="AV241">
        <v>1011</v>
      </c>
      <c r="AW241">
        <f t="shared" si="73"/>
        <v>1255.532972896066</v>
      </c>
      <c r="AX241">
        <f t="shared" si="74"/>
        <v>3.5710793629930025E-5</v>
      </c>
      <c r="AY241">
        <f t="shared" si="75"/>
        <v>2.0231127357816341E-3</v>
      </c>
      <c r="AZ241">
        <f t="shared" si="76"/>
        <v>45.11541400793044</v>
      </c>
      <c r="BA241">
        <f t="shared" si="77"/>
        <v>-3.9521416086179539E-2</v>
      </c>
    </row>
    <row r="242" spans="1:53" x14ac:dyDescent="0.25">
      <c r="A242" t="s">
        <v>13</v>
      </c>
      <c r="B242" t="s">
        <v>19</v>
      </c>
      <c r="C242">
        <v>20</v>
      </c>
      <c r="G242">
        <f t="shared" si="78"/>
        <v>315.58333333333576</v>
      </c>
      <c r="H242" s="7">
        <v>45030.583333333336</v>
      </c>
      <c r="AF242">
        <v>129.52999999999997</v>
      </c>
      <c r="AG242">
        <v>140.24</v>
      </c>
      <c r="AL242">
        <v>278.36</v>
      </c>
      <c r="AM242">
        <v>278.27</v>
      </c>
      <c r="AN242">
        <f t="shared" si="69"/>
        <v>1.4999999999986358E-2</v>
      </c>
      <c r="AO242">
        <f t="shared" si="70"/>
        <v>9.0000000000031832E-2</v>
      </c>
      <c r="AP242">
        <v>42.5</v>
      </c>
      <c r="AQ242">
        <v>1011</v>
      </c>
      <c r="AR242">
        <v>22</v>
      </c>
      <c r="AS242">
        <v>34</v>
      </c>
      <c r="AT242">
        <f t="shared" si="71"/>
        <v>5.3137007027131622</v>
      </c>
      <c r="AU242">
        <f t="shared" si="72"/>
        <v>120.47000000000003</v>
      </c>
      <c r="AV242">
        <v>1011</v>
      </c>
      <c r="AW242">
        <f t="shared" si="73"/>
        <v>1367.665559890429</v>
      </c>
      <c r="AX242">
        <f t="shared" si="74"/>
        <v>3.2664573245729447E-5</v>
      </c>
      <c r="AY242">
        <f t="shared" si="75"/>
        <v>2.0849824855785487E-3</v>
      </c>
      <c r="AZ242">
        <f t="shared" si="76"/>
        <v>46.495109428401634</v>
      </c>
      <c r="BA242">
        <f t="shared" si="77"/>
        <v>-8.8849103625371309E-2</v>
      </c>
    </row>
    <row r="243" spans="1:53" x14ac:dyDescent="0.25">
      <c r="A243" t="s">
        <v>14</v>
      </c>
      <c r="B243" t="s">
        <v>19</v>
      </c>
      <c r="C243">
        <v>20</v>
      </c>
      <c r="G243">
        <f t="shared" si="78"/>
        <v>315.58333333333576</v>
      </c>
      <c r="H243" s="7">
        <v>45030.583333333336</v>
      </c>
      <c r="AF243">
        <v>94.359999999999985</v>
      </c>
      <c r="AG243">
        <v>138.74</v>
      </c>
      <c r="AL243">
        <v>241.65</v>
      </c>
      <c r="AM243">
        <v>241.61</v>
      </c>
      <c r="AN243">
        <f t="shared" si="69"/>
        <v>-4.9999999999954525E-3</v>
      </c>
      <c r="AO243">
        <f t="shared" si="70"/>
        <v>3.9999999999992042E-2</v>
      </c>
      <c r="AP243">
        <v>23</v>
      </c>
      <c r="AQ243">
        <v>1011</v>
      </c>
      <c r="AR243">
        <v>22</v>
      </c>
      <c r="AS243">
        <v>34</v>
      </c>
      <c r="AT243">
        <f t="shared" si="71"/>
        <v>5.3137007027131622</v>
      </c>
      <c r="AU243">
        <f t="shared" si="72"/>
        <v>155.64000000000001</v>
      </c>
      <c r="AV243">
        <v>1011</v>
      </c>
      <c r="AW243">
        <f t="shared" si="73"/>
        <v>1160.4024672320741</v>
      </c>
      <c r="AX243">
        <f t="shared" si="74"/>
        <v>3.8778879809597301E-5</v>
      </c>
      <c r="AY243">
        <f t="shared" si="75"/>
        <v>1.7003515549726654E-3</v>
      </c>
      <c r="AZ243">
        <f t="shared" si="76"/>
        <v>37.917839675890441</v>
      </c>
      <c r="BA243">
        <f t="shared" si="77"/>
        <v>0.21781052284982327</v>
      </c>
    </row>
    <row r="244" spans="1:53" x14ac:dyDescent="0.25">
      <c r="A244" t="s">
        <v>15</v>
      </c>
      <c r="B244" t="s">
        <v>19</v>
      </c>
      <c r="C244">
        <v>20</v>
      </c>
      <c r="G244">
        <f t="shared" si="78"/>
        <v>315.58333333333576</v>
      </c>
      <c r="H244" s="7">
        <v>45030.583333333336</v>
      </c>
      <c r="AF244">
        <v>85.4</v>
      </c>
      <c r="AG244">
        <v>140.1</v>
      </c>
      <c r="AL244">
        <v>234.16499999999999</v>
      </c>
      <c r="AM244">
        <v>234.11500000000001</v>
      </c>
      <c r="AN244">
        <f t="shared" si="69"/>
        <v>4.9999999999954525E-3</v>
      </c>
      <c r="AO244">
        <f t="shared" si="70"/>
        <v>4.9999999999982947E-2</v>
      </c>
      <c r="AP244">
        <v>38</v>
      </c>
      <c r="AQ244">
        <v>1011</v>
      </c>
      <c r="AR244">
        <v>22</v>
      </c>
      <c r="AS244">
        <v>34</v>
      </c>
      <c r="AT244">
        <f t="shared" si="71"/>
        <v>5.3137007027131622</v>
      </c>
      <c r="AU244">
        <f t="shared" si="72"/>
        <v>164.6</v>
      </c>
      <c r="AV244">
        <v>1011</v>
      </c>
      <c r="AW244">
        <f t="shared" si="73"/>
        <v>1244.4021871202917</v>
      </c>
      <c r="AX244">
        <f t="shared" si="74"/>
        <v>3.6044463412628254E-5</v>
      </c>
      <c r="AY244">
        <f t="shared" si="75"/>
        <v>1.2797450102711337E-3</v>
      </c>
      <c r="AZ244">
        <f t="shared" si="76"/>
        <v>28.53831372904628</v>
      </c>
      <c r="BA244">
        <f t="shared" si="77"/>
        <v>0.55315288777095883</v>
      </c>
    </row>
    <row r="245" spans="1:53" x14ac:dyDescent="0.25">
      <c r="A245" t="s">
        <v>0</v>
      </c>
      <c r="B245" t="s">
        <v>18</v>
      </c>
      <c r="C245">
        <v>10</v>
      </c>
      <c r="G245">
        <f t="shared" si="78"/>
        <v>318.375</v>
      </c>
      <c r="H245" s="7">
        <v>45033.375</v>
      </c>
      <c r="AF245">
        <v>172.77</v>
      </c>
      <c r="AG245">
        <v>139.16999999999999</v>
      </c>
      <c r="AL245">
        <v>321.10000000000002</v>
      </c>
      <c r="AM245">
        <v>321.10000000000002</v>
      </c>
      <c r="AN245">
        <v>0</v>
      </c>
      <c r="AO245">
        <f t="shared" si="70"/>
        <v>0</v>
      </c>
      <c r="AP245">
        <v>0</v>
      </c>
      <c r="AQ245">
        <v>1030</v>
      </c>
      <c r="AR245">
        <v>22</v>
      </c>
      <c r="AS245">
        <v>34</v>
      </c>
      <c r="AT245">
        <f t="shared" si="71"/>
        <v>5.3137007027131622</v>
      </c>
      <c r="AU245">
        <f t="shared" si="72"/>
        <v>77.22999999999999</v>
      </c>
      <c r="AV245">
        <v>1030</v>
      </c>
      <c r="AW245">
        <f t="shared" si="73"/>
        <v>1030</v>
      </c>
      <c r="AX245">
        <f t="shared" si="74"/>
        <v>4.3955513216783817E-5</v>
      </c>
      <c r="AY245" t="e">
        <f t="shared" si="75"/>
        <v>#DIV/0!</v>
      </c>
      <c r="AZ245" t="e">
        <f t="shared" si="76"/>
        <v>#DIV/0!</v>
      </c>
      <c r="BA245" t="e">
        <f t="shared" si="77"/>
        <v>#DIV/0!</v>
      </c>
    </row>
    <row r="246" spans="1:53" x14ac:dyDescent="0.25">
      <c r="A246" t="s">
        <v>1</v>
      </c>
      <c r="B246" t="s">
        <v>18</v>
      </c>
      <c r="C246">
        <v>10</v>
      </c>
      <c r="G246">
        <f t="shared" si="78"/>
        <v>318.375</v>
      </c>
      <c r="H246" s="7">
        <v>45033.375</v>
      </c>
      <c r="AF246">
        <v>173.93</v>
      </c>
      <c r="AG246">
        <v>141.25</v>
      </c>
      <c r="AL246">
        <v>324.255</v>
      </c>
      <c r="AM246">
        <v>324.255</v>
      </c>
      <c r="AN246">
        <v>0</v>
      </c>
      <c r="AO246">
        <f t="shared" si="70"/>
        <v>0</v>
      </c>
      <c r="AP246">
        <v>0</v>
      </c>
      <c r="AQ246">
        <v>1030</v>
      </c>
      <c r="AR246">
        <v>22</v>
      </c>
      <c r="AS246">
        <v>34</v>
      </c>
      <c r="AT246">
        <f t="shared" si="71"/>
        <v>5.3137007027131622</v>
      </c>
      <c r="AU246">
        <f t="shared" si="72"/>
        <v>76.069999999999993</v>
      </c>
      <c r="AV246">
        <v>1030</v>
      </c>
      <c r="AW246">
        <f t="shared" si="73"/>
        <v>1030</v>
      </c>
      <c r="AX246">
        <f t="shared" si="74"/>
        <v>4.3955513216783817E-5</v>
      </c>
      <c r="AY246" t="e">
        <f t="shared" si="75"/>
        <v>#DIV/0!</v>
      </c>
      <c r="AZ246" t="e">
        <f t="shared" si="76"/>
        <v>#DIV/0!</v>
      </c>
      <c r="BA246" t="e">
        <f t="shared" si="77"/>
        <v>#DIV/0!</v>
      </c>
    </row>
    <row r="247" spans="1:53" x14ac:dyDescent="0.25">
      <c r="A247" t="s">
        <v>2</v>
      </c>
      <c r="B247" t="s">
        <v>18</v>
      </c>
      <c r="C247">
        <v>10</v>
      </c>
      <c r="G247">
        <f t="shared" si="78"/>
        <v>318.375</v>
      </c>
      <c r="H247" s="7">
        <v>45033.375</v>
      </c>
      <c r="AF247">
        <v>162.82000000000002</v>
      </c>
      <c r="AG247">
        <v>140.66</v>
      </c>
      <c r="AL247">
        <v>312.61</v>
      </c>
      <c r="AM247">
        <v>312.61</v>
      </c>
      <c r="AN247">
        <v>0</v>
      </c>
      <c r="AO247">
        <f t="shared" si="70"/>
        <v>0</v>
      </c>
      <c r="AP247">
        <v>0</v>
      </c>
      <c r="AQ247">
        <v>1030</v>
      </c>
      <c r="AR247">
        <v>22</v>
      </c>
      <c r="AS247">
        <v>34</v>
      </c>
      <c r="AT247">
        <f t="shared" si="71"/>
        <v>5.3137007027131622</v>
      </c>
      <c r="AU247">
        <f t="shared" si="72"/>
        <v>87.179999999999978</v>
      </c>
      <c r="AV247">
        <v>1030</v>
      </c>
      <c r="AW247">
        <f t="shared" si="73"/>
        <v>1030</v>
      </c>
      <c r="AX247">
        <f t="shared" si="74"/>
        <v>4.3955513216783817E-5</v>
      </c>
      <c r="AY247" t="e">
        <f t="shared" si="75"/>
        <v>#DIV/0!</v>
      </c>
      <c r="AZ247" t="e">
        <f t="shared" si="76"/>
        <v>#DIV/0!</v>
      </c>
      <c r="BA247" t="e">
        <f t="shared" si="77"/>
        <v>#DIV/0!</v>
      </c>
    </row>
    <row r="248" spans="1:53" x14ac:dyDescent="0.25">
      <c r="A248" t="s">
        <v>3</v>
      </c>
      <c r="B248" t="s">
        <v>18</v>
      </c>
      <c r="C248">
        <v>10</v>
      </c>
      <c r="G248">
        <f t="shared" si="78"/>
        <v>318.375</v>
      </c>
      <c r="H248" s="7">
        <v>45033.375</v>
      </c>
      <c r="AF248">
        <v>187.81</v>
      </c>
      <c r="AG248">
        <v>140</v>
      </c>
      <c r="AL248">
        <v>336.83499999999998</v>
      </c>
      <c r="AM248">
        <v>336.83499999999998</v>
      </c>
      <c r="AN248">
        <v>0</v>
      </c>
      <c r="AO248">
        <f t="shared" si="70"/>
        <v>0</v>
      </c>
      <c r="AP248">
        <v>0</v>
      </c>
      <c r="AQ248">
        <v>1030</v>
      </c>
      <c r="AR248">
        <v>22</v>
      </c>
      <c r="AS248">
        <v>34</v>
      </c>
      <c r="AT248">
        <f t="shared" si="71"/>
        <v>5.3137007027131622</v>
      </c>
      <c r="AU248">
        <f t="shared" si="72"/>
        <v>62.19</v>
      </c>
      <c r="AV248">
        <v>1030</v>
      </c>
      <c r="AW248">
        <f t="shared" si="73"/>
        <v>1030</v>
      </c>
      <c r="AX248">
        <f t="shared" si="74"/>
        <v>4.3955513216783817E-5</v>
      </c>
      <c r="AY248" t="e">
        <f t="shared" si="75"/>
        <v>#DIV/0!</v>
      </c>
      <c r="AZ248" t="e">
        <f t="shared" si="76"/>
        <v>#DIV/0!</v>
      </c>
      <c r="BA248" t="e">
        <f t="shared" si="77"/>
        <v>#DIV/0!</v>
      </c>
    </row>
    <row r="249" spans="1:53" x14ac:dyDescent="0.25">
      <c r="A249" t="s">
        <v>4</v>
      </c>
      <c r="B249" t="s">
        <v>18</v>
      </c>
      <c r="C249">
        <v>20</v>
      </c>
      <c r="G249">
        <f t="shared" si="78"/>
        <v>318.375</v>
      </c>
      <c r="H249" s="7">
        <v>45033.375</v>
      </c>
      <c r="AF249">
        <v>181.58</v>
      </c>
      <c r="AG249">
        <v>139.4</v>
      </c>
      <c r="AL249">
        <v>329.16</v>
      </c>
      <c r="AM249">
        <v>329.04</v>
      </c>
      <c r="AN249">
        <f t="shared" ref="AN249:AN252" si="79">AM233-AL249</f>
        <v>2.9999999999972715E-2</v>
      </c>
      <c r="AO249">
        <f t="shared" si="70"/>
        <v>0.12000000000000455</v>
      </c>
      <c r="AP249">
        <v>121</v>
      </c>
      <c r="AQ249">
        <v>1030</v>
      </c>
      <c r="AR249">
        <v>22</v>
      </c>
      <c r="AS249">
        <v>34</v>
      </c>
      <c r="AT249">
        <f t="shared" si="71"/>
        <v>5.3137007027131622</v>
      </c>
      <c r="AU249">
        <f t="shared" si="72"/>
        <v>68.419999999999987</v>
      </c>
      <c r="AV249">
        <v>1030</v>
      </c>
      <c r="AW249">
        <f t="shared" si="73"/>
        <v>2851.543408360129</v>
      </c>
      <c r="AX249">
        <f t="shared" si="74"/>
        <v>1.5343916515539882E-5</v>
      </c>
      <c r="AY249">
        <f t="shared" si="75"/>
        <v>9.7639162067458026E-4</v>
      </c>
      <c r="AZ249">
        <f t="shared" si="76"/>
        <v>21.773533141043139</v>
      </c>
      <c r="BA249">
        <f t="shared" si="77"/>
        <v>0.79501132852902612</v>
      </c>
    </row>
    <row r="250" spans="1:53" x14ac:dyDescent="0.25">
      <c r="A250" t="s">
        <v>5</v>
      </c>
      <c r="B250" t="s">
        <v>18</v>
      </c>
      <c r="C250">
        <v>20</v>
      </c>
      <c r="G250">
        <f t="shared" si="78"/>
        <v>318.375</v>
      </c>
      <c r="H250" s="7">
        <v>45033.375</v>
      </c>
      <c r="AF250">
        <v>201.8</v>
      </c>
      <c r="AG250">
        <v>139.81</v>
      </c>
      <c r="AL250">
        <v>349.8</v>
      </c>
      <c r="AM250">
        <v>349.7</v>
      </c>
      <c r="AN250">
        <f t="shared" si="79"/>
        <v>3.4999999999968168E-2</v>
      </c>
      <c r="AO250">
        <f t="shared" si="70"/>
        <v>0.10000000000002274</v>
      </c>
      <c r="AP250">
        <v>65</v>
      </c>
      <c r="AQ250">
        <v>1030</v>
      </c>
      <c r="AR250">
        <v>22</v>
      </c>
      <c r="AS250">
        <v>34</v>
      </c>
      <c r="AT250">
        <f t="shared" si="71"/>
        <v>5.3137007027131622</v>
      </c>
      <c r="AU250">
        <f t="shared" si="72"/>
        <v>48.199999999999989</v>
      </c>
      <c r="AV250">
        <v>1030</v>
      </c>
      <c r="AW250">
        <f t="shared" si="73"/>
        <v>2419.0041493775934</v>
      </c>
      <c r="AX250">
        <f t="shared" si="74"/>
        <v>1.8149165449733153E-5</v>
      </c>
      <c r="AY250">
        <f t="shared" si="75"/>
        <v>1.520312373012155E-3</v>
      </c>
      <c r="AZ250">
        <f t="shared" si="76"/>
        <v>33.902965918171056</v>
      </c>
      <c r="BA250">
        <f t="shared" si="77"/>
        <v>0.36135266649370551</v>
      </c>
    </row>
    <row r="251" spans="1:53" x14ac:dyDescent="0.25">
      <c r="A251" t="s">
        <v>6</v>
      </c>
      <c r="B251" t="s">
        <v>18</v>
      </c>
      <c r="C251">
        <v>20</v>
      </c>
      <c r="G251">
        <f t="shared" si="78"/>
        <v>318.375</v>
      </c>
      <c r="H251" s="7">
        <v>45033.375</v>
      </c>
      <c r="AF251">
        <v>205.13</v>
      </c>
      <c r="AG251">
        <v>139.01</v>
      </c>
      <c r="AL251">
        <v>352.41</v>
      </c>
      <c r="AM251">
        <v>352.32</v>
      </c>
      <c r="AN251">
        <f t="shared" si="79"/>
        <v>2.4999999999977263E-2</v>
      </c>
      <c r="AO251">
        <f t="shared" si="70"/>
        <v>9.0000000000031832E-2</v>
      </c>
      <c r="AP251">
        <v>85</v>
      </c>
      <c r="AQ251">
        <v>1030</v>
      </c>
      <c r="AR251">
        <v>22</v>
      </c>
      <c r="AS251">
        <v>34</v>
      </c>
      <c r="AT251">
        <f t="shared" si="71"/>
        <v>5.3137007027131622</v>
      </c>
      <c r="AU251">
        <f t="shared" si="72"/>
        <v>44.870000000000005</v>
      </c>
      <c r="AV251">
        <v>1030</v>
      </c>
      <c r="AW251">
        <f t="shared" si="73"/>
        <v>2981.1923334076218</v>
      </c>
      <c r="AX251">
        <f t="shared" si="74"/>
        <v>1.4664516005469155E-5</v>
      </c>
      <c r="AY251">
        <f t="shared" si="75"/>
        <v>1.0441590134066699E-3</v>
      </c>
      <c r="AZ251">
        <f t="shared" si="76"/>
        <v>23.284745998968738</v>
      </c>
      <c r="BA251">
        <f t="shared" si="77"/>
        <v>0.74098155169936575</v>
      </c>
    </row>
    <row r="252" spans="1:53" x14ac:dyDescent="0.25">
      <c r="A252" t="s">
        <v>7</v>
      </c>
      <c r="B252" t="s">
        <v>18</v>
      </c>
      <c r="C252">
        <v>20</v>
      </c>
      <c r="G252">
        <f t="shared" si="78"/>
        <v>318.375</v>
      </c>
      <c r="H252" s="7">
        <v>45033.375</v>
      </c>
      <c r="AF252">
        <v>177.85000000000002</v>
      </c>
      <c r="AG252">
        <v>139.94999999999999</v>
      </c>
      <c r="AL252">
        <v>326.39499999999998</v>
      </c>
      <c r="AM252">
        <v>326.35000000000002</v>
      </c>
      <c r="AN252">
        <f t="shared" si="79"/>
        <v>3.0000000000029559E-2</v>
      </c>
      <c r="AO252">
        <f t="shared" si="70"/>
        <v>4.4999999999959073E-2</v>
      </c>
      <c r="AP252">
        <v>46</v>
      </c>
      <c r="AQ252">
        <v>1030</v>
      </c>
      <c r="AR252">
        <v>22</v>
      </c>
      <c r="AS252">
        <v>34</v>
      </c>
      <c r="AT252">
        <f t="shared" si="71"/>
        <v>5.3137007027131622</v>
      </c>
      <c r="AU252">
        <f t="shared" si="72"/>
        <v>72.149999999999977</v>
      </c>
      <c r="AV252">
        <v>1030</v>
      </c>
      <c r="AW252">
        <f t="shared" si="73"/>
        <v>1686.6874566874569</v>
      </c>
      <c r="AX252">
        <f t="shared" si="74"/>
        <v>2.6285392169880276E-5</v>
      </c>
      <c r="AY252">
        <f t="shared" si="75"/>
        <v>9.5197547739444752E-4</v>
      </c>
      <c r="AZ252">
        <f t="shared" si="76"/>
        <v>21.229053145896181</v>
      </c>
      <c r="BA252">
        <f t="shared" si="77"/>
        <v>0.8144778996819384</v>
      </c>
    </row>
    <row r="253" spans="1:53" x14ac:dyDescent="0.25">
      <c r="A253" t="s">
        <v>8</v>
      </c>
      <c r="B253" t="s">
        <v>19</v>
      </c>
      <c r="C253">
        <v>10</v>
      </c>
      <c r="G253">
        <f t="shared" si="78"/>
        <v>318.375</v>
      </c>
      <c r="H253" s="7">
        <v>45033.375</v>
      </c>
      <c r="AF253">
        <v>142.11999999999998</v>
      </c>
      <c r="AG253">
        <v>139.71</v>
      </c>
      <c r="AL253">
        <v>290.46499999999997</v>
      </c>
      <c r="AM253">
        <v>290.46499999999997</v>
      </c>
      <c r="AN253">
        <v>0</v>
      </c>
      <c r="AO253">
        <f t="shared" si="70"/>
        <v>0</v>
      </c>
      <c r="AP253">
        <v>0</v>
      </c>
      <c r="AQ253">
        <v>1030</v>
      </c>
      <c r="AR253">
        <v>22</v>
      </c>
      <c r="AS253">
        <v>34</v>
      </c>
      <c r="AT253">
        <f t="shared" si="71"/>
        <v>5.3137007027131622</v>
      </c>
      <c r="AU253">
        <f t="shared" si="72"/>
        <v>107.88000000000002</v>
      </c>
      <c r="AV253">
        <v>1030</v>
      </c>
      <c r="AW253">
        <f t="shared" si="73"/>
        <v>1030</v>
      </c>
      <c r="AX253">
        <f t="shared" si="74"/>
        <v>4.3955513216783817E-5</v>
      </c>
      <c r="AY253" t="e">
        <f t="shared" si="75"/>
        <v>#DIV/0!</v>
      </c>
      <c r="AZ253" t="e">
        <f t="shared" si="76"/>
        <v>#DIV/0!</v>
      </c>
      <c r="BA253" t="e">
        <f t="shared" si="77"/>
        <v>#DIV/0!</v>
      </c>
    </row>
    <row r="254" spans="1:53" x14ac:dyDescent="0.25">
      <c r="A254" t="s">
        <v>9</v>
      </c>
      <c r="B254" t="s">
        <v>19</v>
      </c>
      <c r="C254">
        <v>10</v>
      </c>
      <c r="G254">
        <f t="shared" si="78"/>
        <v>318.375</v>
      </c>
      <c r="H254" s="7">
        <v>45033.375</v>
      </c>
      <c r="AF254">
        <v>136.42000000000002</v>
      </c>
      <c r="AG254">
        <v>139.75</v>
      </c>
      <c r="AL254">
        <v>284.74</v>
      </c>
      <c r="AM254">
        <v>284.74</v>
      </c>
      <c r="AN254">
        <v>0</v>
      </c>
      <c r="AO254">
        <f t="shared" si="70"/>
        <v>0</v>
      </c>
      <c r="AP254">
        <v>0</v>
      </c>
      <c r="AQ254">
        <v>1030</v>
      </c>
      <c r="AR254">
        <v>22</v>
      </c>
      <c r="AS254">
        <v>34</v>
      </c>
      <c r="AT254">
        <f t="shared" si="71"/>
        <v>5.3137007027131622</v>
      </c>
      <c r="AU254">
        <f t="shared" si="72"/>
        <v>113.57999999999998</v>
      </c>
      <c r="AV254">
        <v>1030</v>
      </c>
      <c r="AW254">
        <f t="shared" si="73"/>
        <v>1030</v>
      </c>
      <c r="AX254">
        <f t="shared" si="74"/>
        <v>4.3955513216783817E-5</v>
      </c>
      <c r="AY254" t="e">
        <f t="shared" si="75"/>
        <v>#DIV/0!</v>
      </c>
      <c r="AZ254" t="e">
        <f t="shared" si="76"/>
        <v>#DIV/0!</v>
      </c>
      <c r="BA254" t="e">
        <f t="shared" si="77"/>
        <v>#DIV/0!</v>
      </c>
    </row>
    <row r="255" spans="1:53" x14ac:dyDescent="0.25">
      <c r="A255" t="s">
        <v>10</v>
      </c>
      <c r="B255" t="s">
        <v>19</v>
      </c>
      <c r="C255">
        <v>10</v>
      </c>
      <c r="G255">
        <f t="shared" si="78"/>
        <v>318.375</v>
      </c>
      <c r="H255" s="7">
        <v>45033.375</v>
      </c>
      <c r="AF255">
        <v>117.85000000000002</v>
      </c>
      <c r="AG255">
        <v>140.44999999999999</v>
      </c>
      <c r="AL255">
        <v>266.65499999999997</v>
      </c>
      <c r="AM255">
        <v>266.65499999999997</v>
      </c>
      <c r="AN255">
        <v>0</v>
      </c>
      <c r="AO255">
        <f t="shared" si="70"/>
        <v>0</v>
      </c>
      <c r="AP255">
        <v>0</v>
      </c>
      <c r="AQ255">
        <v>1030</v>
      </c>
      <c r="AR255">
        <v>22</v>
      </c>
      <c r="AS255">
        <v>34</v>
      </c>
      <c r="AT255">
        <f t="shared" si="71"/>
        <v>5.3137007027131622</v>
      </c>
      <c r="AU255">
        <f t="shared" si="72"/>
        <v>132.14999999999998</v>
      </c>
      <c r="AV255">
        <v>1030</v>
      </c>
      <c r="AW255">
        <f t="shared" si="73"/>
        <v>1030</v>
      </c>
      <c r="AX255">
        <f t="shared" si="74"/>
        <v>4.3955513216783817E-5</v>
      </c>
      <c r="AY255" t="e">
        <f t="shared" si="75"/>
        <v>#DIV/0!</v>
      </c>
      <c r="AZ255" t="e">
        <f t="shared" si="76"/>
        <v>#DIV/0!</v>
      </c>
      <c r="BA255" t="e">
        <f t="shared" si="77"/>
        <v>#DIV/0!</v>
      </c>
    </row>
    <row r="256" spans="1:53" x14ac:dyDescent="0.25">
      <c r="A256" t="s">
        <v>11</v>
      </c>
      <c r="B256" t="s">
        <v>19</v>
      </c>
      <c r="C256">
        <v>10</v>
      </c>
      <c r="G256">
        <f t="shared" si="78"/>
        <v>318.375</v>
      </c>
      <c r="H256" s="7">
        <v>45033.375</v>
      </c>
      <c r="AF256">
        <v>107.53</v>
      </c>
      <c r="AG256">
        <v>140</v>
      </c>
      <c r="AL256">
        <v>256.31</v>
      </c>
      <c r="AM256">
        <v>256.31</v>
      </c>
      <c r="AN256">
        <v>0</v>
      </c>
      <c r="AO256">
        <f t="shared" si="70"/>
        <v>0</v>
      </c>
      <c r="AP256">
        <v>0</v>
      </c>
      <c r="AQ256">
        <v>1030</v>
      </c>
      <c r="AR256">
        <v>22</v>
      </c>
      <c r="AS256">
        <v>34</v>
      </c>
      <c r="AT256">
        <f t="shared" si="71"/>
        <v>5.3137007027131622</v>
      </c>
      <c r="AU256">
        <f t="shared" si="72"/>
        <v>142.47</v>
      </c>
      <c r="AV256">
        <v>1030</v>
      </c>
      <c r="AW256">
        <f t="shared" si="73"/>
        <v>1030</v>
      </c>
      <c r="AX256">
        <f t="shared" si="74"/>
        <v>4.3955513216783817E-5</v>
      </c>
      <c r="AY256" t="e">
        <f t="shared" si="75"/>
        <v>#DIV/0!</v>
      </c>
      <c r="AZ256" t="e">
        <f t="shared" si="76"/>
        <v>#DIV/0!</v>
      </c>
      <c r="BA256" t="e">
        <f t="shared" si="77"/>
        <v>#DIV/0!</v>
      </c>
    </row>
    <row r="257" spans="1:53" x14ac:dyDescent="0.25">
      <c r="A257" t="s">
        <v>12</v>
      </c>
      <c r="B257" t="s">
        <v>19</v>
      </c>
      <c r="C257">
        <v>20</v>
      </c>
      <c r="G257">
        <f t="shared" si="78"/>
        <v>318.375</v>
      </c>
      <c r="H257" s="7">
        <v>45033.375</v>
      </c>
      <c r="AF257">
        <v>109.43</v>
      </c>
      <c r="AG257">
        <v>140.19999999999999</v>
      </c>
      <c r="AL257">
        <v>258.14499999999998</v>
      </c>
      <c r="AM257">
        <v>258.14499999999998</v>
      </c>
      <c r="AN257">
        <v>0</v>
      </c>
      <c r="AO257">
        <f t="shared" si="70"/>
        <v>0</v>
      </c>
      <c r="AP257">
        <v>0</v>
      </c>
      <c r="AQ257">
        <v>1030</v>
      </c>
      <c r="AR257">
        <v>22</v>
      </c>
      <c r="AS257">
        <v>34</v>
      </c>
      <c r="AT257">
        <f t="shared" si="71"/>
        <v>5.3137007027131622</v>
      </c>
      <c r="AU257">
        <f t="shared" si="72"/>
        <v>140.57</v>
      </c>
      <c r="AV257">
        <v>1030</v>
      </c>
      <c r="AW257">
        <f t="shared" si="73"/>
        <v>1030</v>
      </c>
      <c r="AX257">
        <f t="shared" si="74"/>
        <v>4.3955513216783817E-5</v>
      </c>
      <c r="AY257" t="e">
        <f t="shared" si="75"/>
        <v>#DIV/0!</v>
      </c>
      <c r="AZ257" t="e">
        <f t="shared" si="76"/>
        <v>#DIV/0!</v>
      </c>
      <c r="BA257" t="e">
        <f t="shared" si="77"/>
        <v>#DIV/0!</v>
      </c>
    </row>
    <row r="258" spans="1:53" x14ac:dyDescent="0.25">
      <c r="A258" t="s">
        <v>13</v>
      </c>
      <c r="B258" t="s">
        <v>19</v>
      </c>
      <c r="C258">
        <v>20</v>
      </c>
      <c r="G258">
        <f t="shared" si="78"/>
        <v>318.375</v>
      </c>
      <c r="H258" s="7">
        <v>45033.375</v>
      </c>
      <c r="AF258">
        <v>129.52999999999997</v>
      </c>
      <c r="AG258">
        <v>140.24</v>
      </c>
      <c r="AL258">
        <v>278.27</v>
      </c>
      <c r="AM258">
        <v>278.27</v>
      </c>
      <c r="AN258">
        <v>0</v>
      </c>
      <c r="AO258">
        <f t="shared" si="70"/>
        <v>0</v>
      </c>
      <c r="AP258">
        <v>0</v>
      </c>
      <c r="AQ258">
        <v>1030</v>
      </c>
      <c r="AR258">
        <v>22</v>
      </c>
      <c r="AS258">
        <v>34</v>
      </c>
      <c r="AT258">
        <f t="shared" si="71"/>
        <v>5.3137007027131622</v>
      </c>
      <c r="AU258">
        <f t="shared" si="72"/>
        <v>120.47000000000003</v>
      </c>
      <c r="AV258">
        <v>1030</v>
      </c>
      <c r="AW258">
        <f t="shared" si="73"/>
        <v>1030</v>
      </c>
      <c r="AX258">
        <f t="shared" si="74"/>
        <v>4.3955513216783817E-5</v>
      </c>
      <c r="AY258" t="e">
        <f t="shared" si="75"/>
        <v>#DIV/0!</v>
      </c>
      <c r="AZ258" t="e">
        <f t="shared" si="76"/>
        <v>#DIV/0!</v>
      </c>
      <c r="BA258" t="e">
        <f t="shared" si="77"/>
        <v>#DIV/0!</v>
      </c>
    </row>
    <row r="259" spans="1:53" x14ac:dyDescent="0.25">
      <c r="A259" t="s">
        <v>14</v>
      </c>
      <c r="B259" t="s">
        <v>19</v>
      </c>
      <c r="C259">
        <v>20</v>
      </c>
      <c r="G259">
        <f t="shared" si="78"/>
        <v>318.375</v>
      </c>
      <c r="H259" s="7">
        <v>45033.375</v>
      </c>
      <c r="AF259">
        <v>94.359999999999985</v>
      </c>
      <c r="AG259">
        <v>138.74</v>
      </c>
      <c r="AL259">
        <v>241.61</v>
      </c>
      <c r="AM259">
        <v>241.61</v>
      </c>
      <c r="AN259">
        <v>0</v>
      </c>
      <c r="AO259">
        <f t="shared" si="70"/>
        <v>0</v>
      </c>
      <c r="AP259">
        <v>0</v>
      </c>
      <c r="AQ259">
        <v>1030</v>
      </c>
      <c r="AR259">
        <v>22</v>
      </c>
      <c r="AS259">
        <v>34</v>
      </c>
      <c r="AT259">
        <f t="shared" si="71"/>
        <v>5.3137007027131622</v>
      </c>
      <c r="AU259">
        <f t="shared" si="72"/>
        <v>155.64000000000001</v>
      </c>
      <c r="AV259">
        <v>1030</v>
      </c>
      <c r="AW259">
        <f t="shared" si="73"/>
        <v>1030</v>
      </c>
      <c r="AX259">
        <f t="shared" si="74"/>
        <v>4.3955513216783817E-5</v>
      </c>
      <c r="AY259" t="e">
        <f t="shared" si="75"/>
        <v>#DIV/0!</v>
      </c>
      <c r="AZ259" t="e">
        <f t="shared" si="76"/>
        <v>#DIV/0!</v>
      </c>
      <c r="BA259" t="e">
        <f t="shared" si="77"/>
        <v>#DIV/0!</v>
      </c>
    </row>
    <row r="260" spans="1:53" x14ac:dyDescent="0.25">
      <c r="A260" t="s">
        <v>15</v>
      </c>
      <c r="B260" t="s">
        <v>19</v>
      </c>
      <c r="C260">
        <v>20</v>
      </c>
      <c r="G260">
        <f t="shared" si="78"/>
        <v>318.375</v>
      </c>
      <c r="H260" s="7">
        <v>45033.375</v>
      </c>
      <c r="AF260">
        <v>85.4</v>
      </c>
      <c r="AG260">
        <v>140.1</v>
      </c>
      <c r="AL260">
        <v>234.11500000000001</v>
      </c>
      <c r="AM260">
        <v>234.11500000000001</v>
      </c>
      <c r="AN260">
        <v>0</v>
      </c>
      <c r="AO260">
        <f t="shared" si="70"/>
        <v>0</v>
      </c>
      <c r="AP260">
        <v>0</v>
      </c>
      <c r="AQ260">
        <v>1030</v>
      </c>
      <c r="AR260">
        <v>22</v>
      </c>
      <c r="AS260">
        <v>34</v>
      </c>
      <c r="AT260">
        <f t="shared" si="71"/>
        <v>5.3137007027131622</v>
      </c>
      <c r="AU260">
        <f t="shared" si="72"/>
        <v>164.6</v>
      </c>
      <c r="AV260">
        <v>1030</v>
      </c>
      <c r="AW260">
        <f t="shared" si="73"/>
        <v>1030</v>
      </c>
      <c r="AX260">
        <f t="shared" si="74"/>
        <v>4.3955513216783817E-5</v>
      </c>
      <c r="AY260" t="e">
        <f t="shared" si="75"/>
        <v>#DIV/0!</v>
      </c>
      <c r="AZ260" t="e">
        <f t="shared" si="76"/>
        <v>#DIV/0!</v>
      </c>
      <c r="BA260" t="e">
        <f t="shared" si="77"/>
        <v>#DIV/0!</v>
      </c>
    </row>
    <row r="261" spans="1:53" x14ac:dyDescent="0.25">
      <c r="A261" t="s">
        <v>0</v>
      </c>
      <c r="B261" t="s">
        <v>18</v>
      </c>
      <c r="C261">
        <v>10</v>
      </c>
      <c r="G261">
        <f t="shared" si="78"/>
        <v>321.64583333333576</v>
      </c>
      <c r="H261" s="7">
        <v>45036.645833333336</v>
      </c>
      <c r="AF261">
        <v>172.77</v>
      </c>
      <c r="AG261">
        <v>139.16999999999999</v>
      </c>
      <c r="AL261">
        <v>321.10000000000002</v>
      </c>
      <c r="AM261">
        <v>321.10000000000002</v>
      </c>
      <c r="AN261">
        <v>0</v>
      </c>
      <c r="AO261">
        <f t="shared" ref="AO261:AO265" si="80">AL261-AM261</f>
        <v>0</v>
      </c>
      <c r="AP261">
        <v>0</v>
      </c>
      <c r="AQ261">
        <v>1023</v>
      </c>
      <c r="AR261">
        <v>22</v>
      </c>
      <c r="AS261">
        <v>34</v>
      </c>
      <c r="AT261">
        <f t="shared" ref="AT261:AT276" si="81">0.61094*EXP(17.625*AS261/(243.04+AS261))</f>
        <v>5.3137007027131622</v>
      </c>
      <c r="AU261">
        <f t="shared" ref="AU261:AU276" si="82">250-AF261</f>
        <v>77.22999999999999</v>
      </c>
      <c r="AV261">
        <v>1023</v>
      </c>
      <c r="AW261">
        <f t="shared" ref="AW261:AW276" si="83">AP261/AU261*AV261+AV261</f>
        <v>1023</v>
      </c>
      <c r="AX261">
        <f t="shared" ref="AX261:AX276" si="84">18.02*(AT261/(AW261/10-AT261)*1/22300)</f>
        <v>4.4272762761046096E-5</v>
      </c>
      <c r="AY261" t="e">
        <f t="shared" ref="AY261:AY276" si="85">(AL261-AM261)/AP261-AX261</f>
        <v>#DIV/0!</v>
      </c>
      <c r="AZ261" t="e">
        <f t="shared" ref="AZ261:AZ276" si="86">AY261*22300</f>
        <v>#DIV/0!</v>
      </c>
      <c r="BA261" t="e">
        <f t="shared" ref="BA261:BA276" si="87">(44.01-AZ261)/(44.01-16.04)</f>
        <v>#DIV/0!</v>
      </c>
    </row>
    <row r="262" spans="1:53" x14ac:dyDescent="0.25">
      <c r="A262" t="s">
        <v>1</v>
      </c>
      <c r="B262" t="s">
        <v>18</v>
      </c>
      <c r="C262">
        <v>10</v>
      </c>
      <c r="G262">
        <f t="shared" si="78"/>
        <v>321.64583333333576</v>
      </c>
      <c r="H262" s="7">
        <v>45036.645833333336</v>
      </c>
      <c r="AF262">
        <v>173.93</v>
      </c>
      <c r="AG262">
        <v>141.25</v>
      </c>
      <c r="AL262">
        <v>324.255</v>
      </c>
      <c r="AM262">
        <v>324.255</v>
      </c>
      <c r="AN262">
        <v>0</v>
      </c>
      <c r="AO262">
        <f t="shared" si="80"/>
        <v>0</v>
      </c>
      <c r="AP262">
        <v>0</v>
      </c>
      <c r="AQ262">
        <v>1023</v>
      </c>
      <c r="AR262">
        <v>22</v>
      </c>
      <c r="AS262">
        <v>34</v>
      </c>
      <c r="AT262">
        <f t="shared" si="81"/>
        <v>5.3137007027131622</v>
      </c>
      <c r="AU262">
        <f t="shared" si="82"/>
        <v>76.069999999999993</v>
      </c>
      <c r="AV262">
        <v>1023</v>
      </c>
      <c r="AW262">
        <f t="shared" si="83"/>
        <v>1023</v>
      </c>
      <c r="AX262">
        <f t="shared" si="84"/>
        <v>4.4272762761046096E-5</v>
      </c>
      <c r="AY262" t="e">
        <f t="shared" si="85"/>
        <v>#DIV/0!</v>
      </c>
      <c r="AZ262" t="e">
        <f t="shared" si="86"/>
        <v>#DIV/0!</v>
      </c>
      <c r="BA262" t="e">
        <f t="shared" si="87"/>
        <v>#DIV/0!</v>
      </c>
    </row>
    <row r="263" spans="1:53" x14ac:dyDescent="0.25">
      <c r="A263" t="s">
        <v>2</v>
      </c>
      <c r="B263" t="s">
        <v>18</v>
      </c>
      <c r="C263">
        <v>10</v>
      </c>
      <c r="G263">
        <f t="shared" si="78"/>
        <v>321.64583333333576</v>
      </c>
      <c r="H263" s="7">
        <v>45036.645833333336</v>
      </c>
      <c r="AF263">
        <v>162.82000000000002</v>
      </c>
      <c r="AG263">
        <v>140.66</v>
      </c>
      <c r="AL263">
        <v>312.61</v>
      </c>
      <c r="AM263">
        <v>312.61</v>
      </c>
      <c r="AN263">
        <v>0</v>
      </c>
      <c r="AO263">
        <f t="shared" si="80"/>
        <v>0</v>
      </c>
      <c r="AP263">
        <v>0</v>
      </c>
      <c r="AQ263">
        <v>1023</v>
      </c>
      <c r="AR263">
        <v>22</v>
      </c>
      <c r="AS263">
        <v>34</v>
      </c>
      <c r="AT263">
        <f t="shared" si="81"/>
        <v>5.3137007027131622</v>
      </c>
      <c r="AU263">
        <f t="shared" si="82"/>
        <v>87.179999999999978</v>
      </c>
      <c r="AV263">
        <v>1023</v>
      </c>
      <c r="AW263">
        <f t="shared" si="83"/>
        <v>1023</v>
      </c>
      <c r="AX263">
        <f t="shared" si="84"/>
        <v>4.4272762761046096E-5</v>
      </c>
      <c r="AY263" t="e">
        <f t="shared" si="85"/>
        <v>#DIV/0!</v>
      </c>
      <c r="AZ263" t="e">
        <f t="shared" si="86"/>
        <v>#DIV/0!</v>
      </c>
      <c r="BA263" t="e">
        <f t="shared" si="87"/>
        <v>#DIV/0!</v>
      </c>
    </row>
    <row r="264" spans="1:53" x14ac:dyDescent="0.25">
      <c r="A264" t="s">
        <v>3</v>
      </c>
      <c r="B264" t="s">
        <v>18</v>
      </c>
      <c r="C264">
        <v>10</v>
      </c>
      <c r="G264">
        <f t="shared" si="78"/>
        <v>321.64583333333576</v>
      </c>
      <c r="H264" s="7">
        <v>45036.645833333336</v>
      </c>
      <c r="AF264">
        <v>187.81</v>
      </c>
      <c r="AG264">
        <v>140</v>
      </c>
      <c r="AL264">
        <v>336.83499999999998</v>
      </c>
      <c r="AM264">
        <v>336.83499999999998</v>
      </c>
      <c r="AN264">
        <v>0</v>
      </c>
      <c r="AO264">
        <f t="shared" si="80"/>
        <v>0</v>
      </c>
      <c r="AP264">
        <v>0</v>
      </c>
      <c r="AQ264">
        <v>1023</v>
      </c>
      <c r="AR264">
        <v>22</v>
      </c>
      <c r="AS264">
        <v>34</v>
      </c>
      <c r="AT264">
        <f t="shared" si="81"/>
        <v>5.3137007027131622</v>
      </c>
      <c r="AU264">
        <f t="shared" si="82"/>
        <v>62.19</v>
      </c>
      <c r="AV264">
        <v>1023</v>
      </c>
      <c r="AW264">
        <f t="shared" si="83"/>
        <v>1023</v>
      </c>
      <c r="AX264">
        <f t="shared" si="84"/>
        <v>4.4272762761046096E-5</v>
      </c>
      <c r="AY264" t="e">
        <f t="shared" si="85"/>
        <v>#DIV/0!</v>
      </c>
      <c r="AZ264" t="e">
        <f t="shared" si="86"/>
        <v>#DIV/0!</v>
      </c>
      <c r="BA264" t="e">
        <f t="shared" si="87"/>
        <v>#DIV/0!</v>
      </c>
    </row>
    <row r="265" spans="1:53" x14ac:dyDescent="0.25">
      <c r="A265" t="s">
        <v>4</v>
      </c>
      <c r="B265" t="s">
        <v>18</v>
      </c>
      <c r="C265">
        <v>20</v>
      </c>
      <c r="G265">
        <f t="shared" si="78"/>
        <v>321.64583333333576</v>
      </c>
      <c r="H265" s="7">
        <v>45036.645833333336</v>
      </c>
      <c r="AF265">
        <v>181.58</v>
      </c>
      <c r="AG265">
        <v>139.4</v>
      </c>
      <c r="AL265">
        <v>329.005</v>
      </c>
      <c r="AM265">
        <v>328.86500000000001</v>
      </c>
      <c r="AN265">
        <f t="shared" ref="AN265" si="88">AM249-AL265</f>
        <v>3.5000000000025011E-2</v>
      </c>
      <c r="AO265">
        <f t="shared" si="80"/>
        <v>0.13999999999998636</v>
      </c>
      <c r="AP265">
        <v>122.5</v>
      </c>
      <c r="AQ265">
        <v>1023</v>
      </c>
      <c r="AR265">
        <v>22</v>
      </c>
      <c r="AS265">
        <v>34</v>
      </c>
      <c r="AT265">
        <f t="shared" si="81"/>
        <v>5.3137007027131622</v>
      </c>
      <c r="AU265">
        <f t="shared" si="82"/>
        <v>68.419999999999987</v>
      </c>
      <c r="AV265">
        <v>1023</v>
      </c>
      <c r="AW265">
        <f t="shared" si="83"/>
        <v>2854.591639871383</v>
      </c>
      <c r="AX265">
        <f t="shared" si="84"/>
        <v>1.5327220971275001E-5</v>
      </c>
      <c r="AY265">
        <f t="shared" si="85"/>
        <v>1.1275299218857565E-3</v>
      </c>
      <c r="AZ265">
        <f t="shared" si="86"/>
        <v>25.143917258052369</v>
      </c>
      <c r="BA265">
        <f t="shared" si="87"/>
        <v>0.67451136009823487</v>
      </c>
    </row>
    <row r="266" spans="1:53" x14ac:dyDescent="0.25">
      <c r="A266" t="s">
        <v>5</v>
      </c>
      <c r="B266" t="s">
        <v>18</v>
      </c>
      <c r="C266">
        <v>20</v>
      </c>
      <c r="G266">
        <f t="shared" si="78"/>
        <v>321.64583333333576</v>
      </c>
      <c r="H266" s="7">
        <v>45036.645833333336</v>
      </c>
      <c r="AF266">
        <v>201.8</v>
      </c>
      <c r="AG266">
        <v>139.81</v>
      </c>
      <c r="AL266">
        <v>349.67500000000001</v>
      </c>
      <c r="AM266">
        <v>349.58499999999998</v>
      </c>
      <c r="AN266">
        <f t="shared" ref="AN266:AN276" si="89">AM250-AL266</f>
        <v>2.4999999999977263E-2</v>
      </c>
      <c r="AO266">
        <f t="shared" ref="AO266:AO276" si="90">AL266-AM266</f>
        <v>9.0000000000031832E-2</v>
      </c>
      <c r="AP266">
        <v>79</v>
      </c>
      <c r="AQ266">
        <v>1023</v>
      </c>
      <c r="AR266">
        <v>22</v>
      </c>
      <c r="AS266">
        <v>34</v>
      </c>
      <c r="AT266">
        <f t="shared" si="81"/>
        <v>5.3137007027131622</v>
      </c>
      <c r="AU266">
        <f t="shared" si="82"/>
        <v>48.199999999999989</v>
      </c>
      <c r="AV266">
        <v>1023</v>
      </c>
      <c r="AW266">
        <f t="shared" si="83"/>
        <v>2699.7012448132782</v>
      </c>
      <c r="AX266">
        <f t="shared" si="84"/>
        <v>1.6224247870334713E-5</v>
      </c>
      <c r="AY266">
        <f t="shared" si="85"/>
        <v>1.1230162584591821E-3</v>
      </c>
      <c r="AZ266">
        <f t="shared" si="86"/>
        <v>25.043262563639761</v>
      </c>
      <c r="BA266">
        <f t="shared" si="87"/>
        <v>0.67811002632678719</v>
      </c>
    </row>
    <row r="267" spans="1:53" x14ac:dyDescent="0.25">
      <c r="A267" t="s">
        <v>6</v>
      </c>
      <c r="B267" t="s">
        <v>18</v>
      </c>
      <c r="C267">
        <v>20</v>
      </c>
      <c r="G267">
        <f t="shared" si="78"/>
        <v>321.64583333333576</v>
      </c>
      <c r="H267" s="7">
        <v>45036.645833333336</v>
      </c>
      <c r="AF267">
        <v>205.13</v>
      </c>
      <c r="AG267">
        <v>139.01</v>
      </c>
      <c r="AL267">
        <v>352.28</v>
      </c>
      <c r="AM267">
        <v>352.16</v>
      </c>
      <c r="AN267">
        <f t="shared" si="89"/>
        <v>4.0000000000020464E-2</v>
      </c>
      <c r="AO267">
        <f t="shared" si="90"/>
        <v>0.1199999999999477</v>
      </c>
      <c r="AP267">
        <v>100</v>
      </c>
      <c r="AQ267">
        <v>1023</v>
      </c>
      <c r="AR267">
        <v>22</v>
      </c>
      <c r="AS267">
        <v>34</v>
      </c>
      <c r="AT267">
        <f t="shared" si="81"/>
        <v>5.3137007027131622</v>
      </c>
      <c r="AU267">
        <f t="shared" si="82"/>
        <v>44.870000000000005</v>
      </c>
      <c r="AV267">
        <v>1023</v>
      </c>
      <c r="AW267">
        <f t="shared" si="83"/>
        <v>3302.9197682192998</v>
      </c>
      <c r="AX267">
        <f t="shared" si="84"/>
        <v>1.3212733697576174E-5</v>
      </c>
      <c r="AY267">
        <f t="shared" si="85"/>
        <v>1.186787266301901E-3</v>
      </c>
      <c r="AZ267">
        <f t="shared" si="86"/>
        <v>26.465356038532391</v>
      </c>
      <c r="BA267">
        <f t="shared" si="87"/>
        <v>0.62726649844360416</v>
      </c>
    </row>
    <row r="268" spans="1:53" x14ac:dyDescent="0.25">
      <c r="A268" t="s">
        <v>7</v>
      </c>
      <c r="B268" t="s">
        <v>18</v>
      </c>
      <c r="C268">
        <v>20</v>
      </c>
      <c r="G268">
        <f t="shared" si="78"/>
        <v>321.64583333333576</v>
      </c>
      <c r="H268" s="7">
        <v>45036.645833333336</v>
      </c>
      <c r="AF268">
        <v>177.85000000000002</v>
      </c>
      <c r="AG268">
        <v>139.94999999999999</v>
      </c>
      <c r="AL268">
        <v>326.32</v>
      </c>
      <c r="AM268">
        <v>326.245</v>
      </c>
      <c r="AN268">
        <f t="shared" si="89"/>
        <v>3.0000000000029559E-2</v>
      </c>
      <c r="AO268">
        <f t="shared" si="90"/>
        <v>7.4999999999988631E-2</v>
      </c>
      <c r="AP268">
        <v>50.5</v>
      </c>
      <c r="AQ268">
        <v>1023</v>
      </c>
      <c r="AR268">
        <v>22</v>
      </c>
      <c r="AS268">
        <v>34</v>
      </c>
      <c r="AT268">
        <f t="shared" si="81"/>
        <v>5.3137007027131622</v>
      </c>
      <c r="AU268">
        <f t="shared" si="82"/>
        <v>72.149999999999977</v>
      </c>
      <c r="AV268">
        <v>1023</v>
      </c>
      <c r="AW268">
        <f t="shared" si="83"/>
        <v>1739.0291060291061</v>
      </c>
      <c r="AX268">
        <f t="shared" si="84"/>
        <v>2.5469313382526048E-5</v>
      </c>
      <c r="AY268">
        <f t="shared" si="85"/>
        <v>1.459679201468734E-3</v>
      </c>
      <c r="AZ268">
        <f t="shared" si="86"/>
        <v>32.550846192752772</v>
      </c>
      <c r="BA268">
        <f t="shared" si="87"/>
        <v>0.40969445145681899</v>
      </c>
    </row>
    <row r="269" spans="1:53" x14ac:dyDescent="0.25">
      <c r="A269" t="s">
        <v>8</v>
      </c>
      <c r="B269" t="s">
        <v>19</v>
      </c>
      <c r="C269">
        <v>10</v>
      </c>
      <c r="G269">
        <f t="shared" si="78"/>
        <v>321.64583333333576</v>
      </c>
      <c r="H269" s="7">
        <v>45036.645833333336</v>
      </c>
      <c r="AF269">
        <v>142.11999999999998</v>
      </c>
      <c r="AG269">
        <v>139.71</v>
      </c>
      <c r="AL269">
        <v>290.39999999999998</v>
      </c>
      <c r="AM269">
        <v>290.26499999999999</v>
      </c>
      <c r="AN269">
        <f t="shared" si="89"/>
        <v>6.4999999999997726E-2</v>
      </c>
      <c r="AO269">
        <f t="shared" si="90"/>
        <v>0.13499999999999091</v>
      </c>
      <c r="AP269">
        <v>67.7</v>
      </c>
      <c r="AQ269">
        <v>1023</v>
      </c>
      <c r="AR269">
        <v>22</v>
      </c>
      <c r="AS269">
        <v>34</v>
      </c>
      <c r="AT269">
        <f t="shared" si="81"/>
        <v>5.3137007027131622</v>
      </c>
      <c r="AU269">
        <f t="shared" si="82"/>
        <v>107.88000000000002</v>
      </c>
      <c r="AV269">
        <v>1023</v>
      </c>
      <c r="AW269">
        <f t="shared" si="83"/>
        <v>1664.9827586206895</v>
      </c>
      <c r="AX269">
        <f t="shared" si="84"/>
        <v>2.6639344463423107E-5</v>
      </c>
      <c r="AY269">
        <f t="shared" si="85"/>
        <v>1.967452236038658E-3</v>
      </c>
      <c r="AZ269">
        <f t="shared" si="86"/>
        <v>43.874184863662073</v>
      </c>
      <c r="BA269">
        <f t="shared" si="87"/>
        <v>4.8557431654603139E-3</v>
      </c>
    </row>
    <row r="270" spans="1:53" x14ac:dyDescent="0.25">
      <c r="A270" t="s">
        <v>9</v>
      </c>
      <c r="B270" t="s">
        <v>19</v>
      </c>
      <c r="C270">
        <v>10</v>
      </c>
      <c r="G270">
        <f t="shared" si="78"/>
        <v>321.64583333333576</v>
      </c>
      <c r="H270" s="7">
        <v>45036.645833333336</v>
      </c>
      <c r="AF270">
        <v>136.42000000000002</v>
      </c>
      <c r="AG270">
        <v>139.75</v>
      </c>
      <c r="AL270">
        <v>284.7</v>
      </c>
      <c r="AM270">
        <v>284.59500000000003</v>
      </c>
      <c r="AN270">
        <f t="shared" si="89"/>
        <v>4.0000000000020464E-2</v>
      </c>
      <c r="AO270">
        <f t="shared" si="90"/>
        <v>0.10499999999996135</v>
      </c>
      <c r="AP270">
        <v>68</v>
      </c>
      <c r="AQ270">
        <v>1023</v>
      </c>
      <c r="AR270">
        <v>22</v>
      </c>
      <c r="AS270">
        <v>34</v>
      </c>
      <c r="AT270">
        <f t="shared" si="81"/>
        <v>5.3137007027131622</v>
      </c>
      <c r="AU270">
        <f t="shared" si="82"/>
        <v>113.57999999999998</v>
      </c>
      <c r="AV270">
        <v>1023</v>
      </c>
      <c r="AW270">
        <f t="shared" si="83"/>
        <v>1635.4669836238777</v>
      </c>
      <c r="AX270">
        <f t="shared" si="84"/>
        <v>2.7136257818332868E-5</v>
      </c>
      <c r="AY270">
        <f t="shared" si="85"/>
        <v>1.5169813892399221E-3</v>
      </c>
      <c r="AZ270">
        <f t="shared" si="86"/>
        <v>33.828684980050262</v>
      </c>
      <c r="BA270">
        <f t="shared" si="87"/>
        <v>0.36400840257238959</v>
      </c>
    </row>
    <row r="271" spans="1:53" x14ac:dyDescent="0.25">
      <c r="A271" t="s">
        <v>10</v>
      </c>
      <c r="B271" t="s">
        <v>19</v>
      </c>
      <c r="C271">
        <v>10</v>
      </c>
      <c r="G271">
        <f t="shared" si="78"/>
        <v>321.64583333333576</v>
      </c>
      <c r="H271" s="7">
        <v>45036.645833333336</v>
      </c>
      <c r="AF271">
        <v>117.85000000000002</v>
      </c>
      <c r="AG271">
        <v>140.44999999999999</v>
      </c>
      <c r="AL271">
        <v>266.62</v>
      </c>
      <c r="AM271">
        <v>266.42500000000001</v>
      </c>
      <c r="AN271">
        <f t="shared" si="89"/>
        <v>3.4999999999968168E-2</v>
      </c>
      <c r="AO271">
        <f t="shared" si="90"/>
        <v>0.19499999999999318</v>
      </c>
      <c r="AP271">
        <v>65</v>
      </c>
      <c r="AQ271">
        <v>1023</v>
      </c>
      <c r="AR271">
        <v>22</v>
      </c>
      <c r="AS271">
        <v>34</v>
      </c>
      <c r="AT271">
        <f t="shared" si="81"/>
        <v>5.3137007027131622</v>
      </c>
      <c r="AU271">
        <f t="shared" si="82"/>
        <v>132.14999999999998</v>
      </c>
      <c r="AV271">
        <v>1023</v>
      </c>
      <c r="AW271">
        <f t="shared" si="83"/>
        <v>1526.1782065834279</v>
      </c>
      <c r="AX271">
        <f t="shared" si="84"/>
        <v>2.9149567718499444E-5</v>
      </c>
      <c r="AY271">
        <f t="shared" si="85"/>
        <v>2.9708504322813957E-3</v>
      </c>
      <c r="AZ271">
        <f t="shared" si="86"/>
        <v>66.249964639875131</v>
      </c>
      <c r="BA271">
        <f t="shared" si="87"/>
        <v>-0.79513638326332259</v>
      </c>
    </row>
    <row r="272" spans="1:53" x14ac:dyDescent="0.25">
      <c r="A272" t="s">
        <v>11</v>
      </c>
      <c r="B272" t="s">
        <v>19</v>
      </c>
      <c r="C272">
        <v>10</v>
      </c>
      <c r="G272">
        <f t="shared" si="78"/>
        <v>321.64583333333576</v>
      </c>
      <c r="H272" s="7">
        <v>45036.645833333336</v>
      </c>
      <c r="AF272">
        <v>107.53</v>
      </c>
      <c r="AG272">
        <v>140</v>
      </c>
      <c r="AL272">
        <v>256.29000000000002</v>
      </c>
      <c r="AM272">
        <v>256.185</v>
      </c>
      <c r="AN272">
        <f t="shared" si="89"/>
        <v>1.999999999998181E-2</v>
      </c>
      <c r="AO272">
        <f t="shared" si="90"/>
        <v>0.10500000000001819</v>
      </c>
      <c r="AP272">
        <v>71.5</v>
      </c>
      <c r="AQ272">
        <v>1023</v>
      </c>
      <c r="AR272">
        <v>22</v>
      </c>
      <c r="AS272">
        <v>34</v>
      </c>
      <c r="AT272">
        <f t="shared" si="81"/>
        <v>5.3137007027131622</v>
      </c>
      <c r="AU272">
        <f t="shared" si="82"/>
        <v>142.47</v>
      </c>
      <c r="AV272">
        <v>1023</v>
      </c>
      <c r="AW272">
        <f t="shared" si="83"/>
        <v>1536.4028216466625</v>
      </c>
      <c r="AX272">
        <f t="shared" si="84"/>
        <v>2.8948630633424243E-5</v>
      </c>
      <c r="AY272">
        <f t="shared" si="85"/>
        <v>1.4395828378982987E-3</v>
      </c>
      <c r="AZ272">
        <f t="shared" si="86"/>
        <v>32.102697285132059</v>
      </c>
      <c r="BA272">
        <f t="shared" si="87"/>
        <v>0.42571693653442755</v>
      </c>
    </row>
    <row r="273" spans="1:53" x14ac:dyDescent="0.25">
      <c r="A273" t="s">
        <v>12</v>
      </c>
      <c r="B273" t="s">
        <v>19</v>
      </c>
      <c r="C273">
        <v>20</v>
      </c>
      <c r="G273">
        <f t="shared" si="78"/>
        <v>321.64583333333576</v>
      </c>
      <c r="H273" s="7">
        <v>45036.645833333336</v>
      </c>
      <c r="AF273">
        <v>109.43</v>
      </c>
      <c r="AG273">
        <v>140.19999999999999</v>
      </c>
      <c r="AL273">
        <v>258.12</v>
      </c>
      <c r="AM273">
        <v>258.04000000000002</v>
      </c>
      <c r="AN273">
        <f t="shared" si="89"/>
        <v>2.4999999999977263E-2</v>
      </c>
      <c r="AO273">
        <f t="shared" si="90"/>
        <v>7.9999999999984084E-2</v>
      </c>
      <c r="AP273">
        <v>53</v>
      </c>
      <c r="AQ273">
        <v>1023</v>
      </c>
      <c r="AR273">
        <v>22</v>
      </c>
      <c r="AS273">
        <v>34</v>
      </c>
      <c r="AT273">
        <f t="shared" si="81"/>
        <v>5.3137007027131622</v>
      </c>
      <c r="AU273">
        <f t="shared" si="82"/>
        <v>140.57</v>
      </c>
      <c r="AV273">
        <v>1023</v>
      </c>
      <c r="AW273">
        <f t="shared" si="83"/>
        <v>1408.7081880913424</v>
      </c>
      <c r="AX273">
        <f t="shared" si="84"/>
        <v>3.1675587972367786E-5</v>
      </c>
      <c r="AY273">
        <f t="shared" si="85"/>
        <v>1.4777583742914828E-3</v>
      </c>
      <c r="AZ273">
        <f t="shared" si="86"/>
        <v>32.954011746700068</v>
      </c>
      <c r="BA273">
        <f t="shared" si="87"/>
        <v>0.39528023787271827</v>
      </c>
    </row>
    <row r="274" spans="1:53" x14ac:dyDescent="0.25">
      <c r="A274" t="s">
        <v>13</v>
      </c>
      <c r="B274" t="s">
        <v>19</v>
      </c>
      <c r="C274">
        <v>20</v>
      </c>
      <c r="G274">
        <f t="shared" si="78"/>
        <v>321.64583333333576</v>
      </c>
      <c r="H274" s="7">
        <v>45036.645833333336</v>
      </c>
      <c r="AF274">
        <v>129.52999999999997</v>
      </c>
      <c r="AG274">
        <v>140.24</v>
      </c>
      <c r="AL274">
        <v>278.26</v>
      </c>
      <c r="AM274">
        <v>278.16500000000002</v>
      </c>
      <c r="AN274">
        <f t="shared" si="89"/>
        <v>9.9999999999909051E-3</v>
      </c>
      <c r="AO274">
        <f t="shared" si="90"/>
        <v>9.4999999999970441E-2</v>
      </c>
      <c r="AP274">
        <v>64.5</v>
      </c>
      <c r="AQ274">
        <v>1023</v>
      </c>
      <c r="AR274">
        <v>22</v>
      </c>
      <c r="AS274">
        <v>34</v>
      </c>
      <c r="AT274">
        <f t="shared" si="81"/>
        <v>5.3137007027131622</v>
      </c>
      <c r="AU274">
        <f t="shared" si="82"/>
        <v>120.47000000000003</v>
      </c>
      <c r="AV274">
        <v>1023</v>
      </c>
      <c r="AW274">
        <f t="shared" si="83"/>
        <v>1570.7172740101269</v>
      </c>
      <c r="AX274">
        <f t="shared" si="84"/>
        <v>2.8294064658582596E-5</v>
      </c>
      <c r="AY274">
        <f t="shared" si="85"/>
        <v>1.4445741523952226E-3</v>
      </c>
      <c r="AZ274">
        <f t="shared" si="86"/>
        <v>32.214003598413463</v>
      </c>
      <c r="BA274">
        <f t="shared" si="87"/>
        <v>0.42173744732164947</v>
      </c>
    </row>
    <row r="275" spans="1:53" x14ac:dyDescent="0.25">
      <c r="A275" t="s">
        <v>14</v>
      </c>
      <c r="B275" t="s">
        <v>19</v>
      </c>
      <c r="C275">
        <v>20</v>
      </c>
      <c r="G275">
        <f t="shared" si="78"/>
        <v>321.64583333333576</v>
      </c>
      <c r="H275" s="7">
        <v>45036.645833333336</v>
      </c>
      <c r="AF275">
        <v>94.359999999999985</v>
      </c>
      <c r="AG275">
        <v>138.74</v>
      </c>
      <c r="AL275">
        <v>241.58</v>
      </c>
      <c r="AM275">
        <v>241.5</v>
      </c>
      <c r="AN275">
        <f t="shared" si="89"/>
        <v>3.0000000000001137E-2</v>
      </c>
      <c r="AO275">
        <f t="shared" si="90"/>
        <v>8.0000000000012506E-2</v>
      </c>
      <c r="AP275">
        <v>36</v>
      </c>
      <c r="AQ275">
        <v>1023</v>
      </c>
      <c r="AR275">
        <v>22</v>
      </c>
      <c r="AS275">
        <v>34</v>
      </c>
      <c r="AT275">
        <f t="shared" si="81"/>
        <v>5.3137007027131622</v>
      </c>
      <c r="AU275">
        <f t="shared" si="82"/>
        <v>155.64000000000001</v>
      </c>
      <c r="AV275">
        <v>1023</v>
      </c>
      <c r="AW275">
        <f t="shared" si="83"/>
        <v>1259.6229760986894</v>
      </c>
      <c r="AX275">
        <f t="shared" si="84"/>
        <v>3.5589733572822998E-5</v>
      </c>
      <c r="AY275">
        <f t="shared" si="85"/>
        <v>2.1866324886497465E-3</v>
      </c>
      <c r="AZ275">
        <f t="shared" si="86"/>
        <v>48.76190449688935</v>
      </c>
      <c r="BA275">
        <f t="shared" si="87"/>
        <v>-0.1698929029992618</v>
      </c>
    </row>
    <row r="276" spans="1:53" x14ac:dyDescent="0.25">
      <c r="A276" t="s">
        <v>15</v>
      </c>
      <c r="B276" t="s">
        <v>19</v>
      </c>
      <c r="C276">
        <v>20</v>
      </c>
      <c r="G276">
        <f t="shared" si="78"/>
        <v>321.64583333333576</v>
      </c>
      <c r="H276" s="7">
        <v>45036.645833333336</v>
      </c>
      <c r="AF276">
        <v>85.4</v>
      </c>
      <c r="AG276">
        <v>140.1</v>
      </c>
      <c r="AL276">
        <v>234.095</v>
      </c>
      <c r="AM276">
        <v>234.01499999999999</v>
      </c>
      <c r="AN276">
        <f t="shared" si="89"/>
        <v>2.0000000000010232E-2</v>
      </c>
      <c r="AO276">
        <f t="shared" si="90"/>
        <v>8.0000000000012506E-2</v>
      </c>
      <c r="AP276">
        <v>56</v>
      </c>
      <c r="AQ276">
        <v>1023</v>
      </c>
      <c r="AR276">
        <v>22</v>
      </c>
      <c r="AS276">
        <v>34</v>
      </c>
      <c r="AT276">
        <f t="shared" si="81"/>
        <v>5.3137007027131622</v>
      </c>
      <c r="AU276">
        <f t="shared" si="82"/>
        <v>164.6</v>
      </c>
      <c r="AV276">
        <v>1023</v>
      </c>
      <c r="AW276">
        <f t="shared" si="83"/>
        <v>1371.0437424058323</v>
      </c>
      <c r="AX276">
        <f t="shared" si="84"/>
        <v>3.2580844338933836E-5</v>
      </c>
      <c r="AY276">
        <f t="shared" si="85"/>
        <v>1.3959905842327181E-3</v>
      </c>
      <c r="AZ276">
        <f t="shared" si="86"/>
        <v>31.130590028389616</v>
      </c>
      <c r="BA276">
        <f t="shared" si="87"/>
        <v>0.46047229072614881</v>
      </c>
    </row>
    <row r="277" spans="1:53" x14ac:dyDescent="0.25">
      <c r="A277" t="s">
        <v>0</v>
      </c>
      <c r="B277" t="s">
        <v>18</v>
      </c>
      <c r="C277">
        <v>10</v>
      </c>
      <c r="G277">
        <f t="shared" si="78"/>
        <v>324.5625</v>
      </c>
      <c r="H277" s="7">
        <v>45039.5625</v>
      </c>
      <c r="AF277">
        <v>172.77</v>
      </c>
      <c r="AG277">
        <v>139.16999999999999</v>
      </c>
      <c r="AL277">
        <v>321.10000000000002</v>
      </c>
      <c r="AM277">
        <v>321.10000000000002</v>
      </c>
      <c r="AN277">
        <v>0</v>
      </c>
      <c r="AO277">
        <v>0</v>
      </c>
      <c r="AP277">
        <v>0</v>
      </c>
      <c r="AQ277">
        <v>1010</v>
      </c>
      <c r="AR277">
        <v>22</v>
      </c>
      <c r="AS277">
        <v>34</v>
      </c>
      <c r="AT277">
        <f t="shared" ref="AT277:AT308" si="91">0.61094*EXP(17.625*AS277/(243.04+AS277))</f>
        <v>5.3137007027131622</v>
      </c>
      <c r="AU277">
        <f t="shared" ref="AU277:AU308" si="92">250-AF277</f>
        <v>77.22999999999999</v>
      </c>
      <c r="AV277">
        <v>1010</v>
      </c>
      <c r="AW277">
        <f t="shared" ref="AW277:AW308" si="93">AP277/AU277*AV277+AV277</f>
        <v>1010</v>
      </c>
      <c r="AX277">
        <f t="shared" ref="AX277:AX308" si="94">18.02*(AT277/(AW277/10-AT277)*1/22300)</f>
        <v>4.4874255263233305E-5</v>
      </c>
      <c r="AY277" t="e">
        <f t="shared" ref="AY277:AY308" si="95">(AL277-AM277)/AP277-AX277</f>
        <v>#DIV/0!</v>
      </c>
      <c r="AZ277" t="e">
        <f t="shared" ref="AZ277:AZ308" si="96">AY277*22300</f>
        <v>#DIV/0!</v>
      </c>
      <c r="BA277" t="e">
        <f t="shared" ref="BA277:BA308" si="97">(44.01-AZ277)/(44.01-16.04)</f>
        <v>#DIV/0!</v>
      </c>
    </row>
    <row r="278" spans="1:53" x14ac:dyDescent="0.25">
      <c r="A278" t="s">
        <v>1</v>
      </c>
      <c r="B278" t="s">
        <v>18</v>
      </c>
      <c r="C278">
        <v>10</v>
      </c>
      <c r="G278">
        <f t="shared" si="78"/>
        <v>324.5625</v>
      </c>
      <c r="H278" s="7">
        <v>45039.5625</v>
      </c>
      <c r="AF278">
        <v>173.93</v>
      </c>
      <c r="AG278">
        <v>141.25</v>
      </c>
      <c r="AL278">
        <v>324.255</v>
      </c>
      <c r="AM278">
        <v>324.255</v>
      </c>
      <c r="AN278">
        <v>0</v>
      </c>
      <c r="AO278">
        <v>0</v>
      </c>
      <c r="AP278">
        <v>0</v>
      </c>
      <c r="AQ278">
        <v>1010</v>
      </c>
      <c r="AR278">
        <v>22</v>
      </c>
      <c r="AS278">
        <v>34</v>
      </c>
      <c r="AT278">
        <f t="shared" si="91"/>
        <v>5.3137007027131622</v>
      </c>
      <c r="AU278">
        <f t="shared" si="92"/>
        <v>76.069999999999993</v>
      </c>
      <c r="AV278">
        <v>1010</v>
      </c>
      <c r="AW278">
        <f t="shared" si="93"/>
        <v>1010</v>
      </c>
      <c r="AX278">
        <f t="shared" si="94"/>
        <v>4.4874255263233305E-5</v>
      </c>
      <c r="AY278" t="e">
        <f t="shared" si="95"/>
        <v>#DIV/0!</v>
      </c>
      <c r="AZ278" t="e">
        <f t="shared" si="96"/>
        <v>#DIV/0!</v>
      </c>
      <c r="BA278" t="e">
        <f t="shared" si="97"/>
        <v>#DIV/0!</v>
      </c>
    </row>
    <row r="279" spans="1:53" x14ac:dyDescent="0.25">
      <c r="A279" t="s">
        <v>2</v>
      </c>
      <c r="B279" t="s">
        <v>18</v>
      </c>
      <c r="C279">
        <v>10</v>
      </c>
      <c r="G279">
        <f t="shared" si="78"/>
        <v>324.5625</v>
      </c>
      <c r="H279" s="7">
        <v>45039.5625</v>
      </c>
      <c r="AF279">
        <v>162.82000000000002</v>
      </c>
      <c r="AG279">
        <v>140.66</v>
      </c>
      <c r="AL279">
        <v>312.61</v>
      </c>
      <c r="AM279">
        <v>312.61</v>
      </c>
      <c r="AN279">
        <v>0</v>
      </c>
      <c r="AO279">
        <v>0</v>
      </c>
      <c r="AP279">
        <v>0</v>
      </c>
      <c r="AQ279">
        <v>1010</v>
      </c>
      <c r="AR279">
        <v>22</v>
      </c>
      <c r="AS279">
        <v>34</v>
      </c>
      <c r="AT279">
        <f t="shared" si="91"/>
        <v>5.3137007027131622</v>
      </c>
      <c r="AU279">
        <f t="shared" si="92"/>
        <v>87.179999999999978</v>
      </c>
      <c r="AV279">
        <v>1010</v>
      </c>
      <c r="AW279">
        <f t="shared" si="93"/>
        <v>1010</v>
      </c>
      <c r="AX279">
        <f t="shared" si="94"/>
        <v>4.4874255263233305E-5</v>
      </c>
      <c r="AY279" t="e">
        <f t="shared" si="95"/>
        <v>#DIV/0!</v>
      </c>
      <c r="AZ279" t="e">
        <f t="shared" si="96"/>
        <v>#DIV/0!</v>
      </c>
      <c r="BA279" t="e">
        <f t="shared" si="97"/>
        <v>#DIV/0!</v>
      </c>
    </row>
    <row r="280" spans="1:53" x14ac:dyDescent="0.25">
      <c r="A280" t="s">
        <v>3</v>
      </c>
      <c r="B280" t="s">
        <v>18</v>
      </c>
      <c r="C280">
        <v>10</v>
      </c>
      <c r="G280">
        <f t="shared" si="78"/>
        <v>324.5625</v>
      </c>
      <c r="H280" s="7">
        <v>45039.5625</v>
      </c>
      <c r="AF280">
        <v>187.81</v>
      </c>
      <c r="AG280">
        <v>140</v>
      </c>
      <c r="AL280">
        <v>336.83499999999998</v>
      </c>
      <c r="AM280">
        <v>336.83499999999998</v>
      </c>
      <c r="AN280">
        <v>0</v>
      </c>
      <c r="AO280">
        <v>0</v>
      </c>
      <c r="AP280">
        <v>0</v>
      </c>
      <c r="AQ280">
        <v>1010</v>
      </c>
      <c r="AR280">
        <v>22</v>
      </c>
      <c r="AS280">
        <v>34</v>
      </c>
      <c r="AT280">
        <f t="shared" si="91"/>
        <v>5.3137007027131622</v>
      </c>
      <c r="AU280">
        <f t="shared" si="92"/>
        <v>62.19</v>
      </c>
      <c r="AV280">
        <v>1010</v>
      </c>
      <c r="AW280">
        <f t="shared" si="93"/>
        <v>1010</v>
      </c>
      <c r="AX280">
        <f t="shared" si="94"/>
        <v>4.4874255263233305E-5</v>
      </c>
      <c r="AY280" t="e">
        <f t="shared" si="95"/>
        <v>#DIV/0!</v>
      </c>
      <c r="AZ280" t="e">
        <f t="shared" si="96"/>
        <v>#DIV/0!</v>
      </c>
      <c r="BA280" t="e">
        <f t="shared" si="97"/>
        <v>#DIV/0!</v>
      </c>
    </row>
    <row r="281" spans="1:53" x14ac:dyDescent="0.25">
      <c r="A281" t="s">
        <v>4</v>
      </c>
      <c r="B281" t="s">
        <v>18</v>
      </c>
      <c r="C281">
        <v>20</v>
      </c>
      <c r="G281">
        <f t="shared" si="78"/>
        <v>324.5625</v>
      </c>
      <c r="H281" s="7">
        <v>45039.5625</v>
      </c>
      <c r="AF281">
        <v>181.58</v>
      </c>
      <c r="AG281">
        <v>139.4</v>
      </c>
      <c r="AL281">
        <v>328.87</v>
      </c>
      <c r="AM281">
        <v>328.74</v>
      </c>
      <c r="AN281">
        <f t="shared" ref="AN281" si="98">AM265-AL281</f>
        <v>-4.9999999999954525E-3</v>
      </c>
      <c r="AO281">
        <f t="shared" ref="AO281" si="99">AL281-AM281</f>
        <v>0.12999999999999545</v>
      </c>
      <c r="AP281">
        <f>59+42</f>
        <v>101</v>
      </c>
      <c r="AQ281">
        <v>1010</v>
      </c>
      <c r="AR281">
        <v>22</v>
      </c>
      <c r="AS281">
        <v>34</v>
      </c>
      <c r="AT281">
        <f t="shared" si="91"/>
        <v>5.3137007027131622</v>
      </c>
      <c r="AU281">
        <f t="shared" si="92"/>
        <v>68.419999999999987</v>
      </c>
      <c r="AV281">
        <v>1010</v>
      </c>
      <c r="AW281">
        <f t="shared" si="93"/>
        <v>2500.9383221280332</v>
      </c>
      <c r="AX281">
        <f t="shared" si="94"/>
        <v>1.7541666447236112E-5</v>
      </c>
      <c r="AY281">
        <f t="shared" si="95"/>
        <v>1.2695870464240059E-3</v>
      </c>
      <c r="AZ281">
        <f t="shared" si="96"/>
        <v>28.31179113525533</v>
      </c>
      <c r="BA281">
        <f t="shared" si="97"/>
        <v>0.56125165765980223</v>
      </c>
    </row>
    <row r="282" spans="1:53" x14ac:dyDescent="0.25">
      <c r="A282" t="s">
        <v>5</v>
      </c>
      <c r="B282" t="s">
        <v>18</v>
      </c>
      <c r="C282">
        <v>20</v>
      </c>
      <c r="G282">
        <f t="shared" si="78"/>
        <v>324.5625</v>
      </c>
      <c r="H282" s="7">
        <v>45039.5625</v>
      </c>
      <c r="AF282">
        <v>201.8</v>
      </c>
      <c r="AG282">
        <v>139.81</v>
      </c>
      <c r="AL282">
        <v>349.59</v>
      </c>
      <c r="AM282">
        <v>349.52</v>
      </c>
      <c r="AN282">
        <f t="shared" ref="AN282:AN284" si="100">AM266-AL282</f>
        <v>-4.9999999999954525E-3</v>
      </c>
      <c r="AO282">
        <f t="shared" ref="AO282:AO284" si="101">AL282-AM282</f>
        <v>6.9999999999993179E-2</v>
      </c>
      <c r="AP282">
        <v>70.5</v>
      </c>
      <c r="AQ282">
        <v>1010</v>
      </c>
      <c r="AR282">
        <v>22</v>
      </c>
      <c r="AS282">
        <v>34</v>
      </c>
      <c r="AT282">
        <f t="shared" si="91"/>
        <v>5.3137007027131622</v>
      </c>
      <c r="AU282">
        <f t="shared" si="92"/>
        <v>48.199999999999989</v>
      </c>
      <c r="AV282">
        <v>1010</v>
      </c>
      <c r="AW282">
        <f t="shared" si="93"/>
        <v>2487.282157676349</v>
      </c>
      <c r="AX282">
        <f t="shared" si="94"/>
        <v>1.7640079593098077E-5</v>
      </c>
      <c r="AY282">
        <f t="shared" si="95"/>
        <v>9.7526772182524501E-4</v>
      </c>
      <c r="AZ282">
        <f t="shared" si="96"/>
        <v>21.748470196702964</v>
      </c>
      <c r="BA282">
        <f t="shared" si="97"/>
        <v>0.79590739375391617</v>
      </c>
    </row>
    <row r="283" spans="1:53" x14ac:dyDescent="0.25">
      <c r="A283" t="s">
        <v>6</v>
      </c>
      <c r="B283" t="s">
        <v>18</v>
      </c>
      <c r="C283">
        <v>20</v>
      </c>
      <c r="G283">
        <f t="shared" si="78"/>
        <v>324.5625</v>
      </c>
      <c r="H283" s="7">
        <v>45039.5625</v>
      </c>
      <c r="AF283">
        <v>205.13</v>
      </c>
      <c r="AG283">
        <v>139.01</v>
      </c>
      <c r="AL283">
        <v>352.18</v>
      </c>
      <c r="AM283">
        <v>352.10500000000002</v>
      </c>
      <c r="AN283">
        <f t="shared" si="100"/>
        <v>-1.999999999998181E-2</v>
      </c>
      <c r="AO283">
        <f t="shared" si="101"/>
        <v>7.4999999999988631E-2</v>
      </c>
      <c r="AP283">
        <f>56+22.5</f>
        <v>78.5</v>
      </c>
      <c r="AQ283">
        <v>1010</v>
      </c>
      <c r="AR283">
        <v>22</v>
      </c>
      <c r="AS283">
        <v>34</v>
      </c>
      <c r="AT283">
        <f t="shared" si="91"/>
        <v>5.3137007027131622</v>
      </c>
      <c r="AU283">
        <f t="shared" si="92"/>
        <v>44.870000000000005</v>
      </c>
      <c r="AV283">
        <v>1010</v>
      </c>
      <c r="AW283">
        <f t="shared" si="93"/>
        <v>2776.9935368843326</v>
      </c>
      <c r="AX283">
        <f t="shared" si="94"/>
        <v>1.5763867783762086E-5</v>
      </c>
      <c r="AY283">
        <f t="shared" si="95"/>
        <v>9.3965014495494658E-4</v>
      </c>
      <c r="AZ283">
        <f t="shared" si="96"/>
        <v>20.954198232495308</v>
      </c>
      <c r="BA283">
        <f t="shared" si="97"/>
        <v>0.82430467527725026</v>
      </c>
    </row>
    <row r="284" spans="1:53" x14ac:dyDescent="0.25">
      <c r="A284" t="s">
        <v>7</v>
      </c>
      <c r="B284" t="s">
        <v>18</v>
      </c>
      <c r="C284">
        <v>20</v>
      </c>
      <c r="G284">
        <f t="shared" si="78"/>
        <v>324.5625</v>
      </c>
      <c r="H284" s="7">
        <v>45039.5625</v>
      </c>
      <c r="AF284">
        <v>177.85000000000002</v>
      </c>
      <c r="AG284">
        <v>139.94999999999999</v>
      </c>
      <c r="AL284">
        <v>326.26</v>
      </c>
      <c r="AM284">
        <v>326.18</v>
      </c>
      <c r="AN284">
        <f t="shared" si="100"/>
        <v>-1.4999999999986358E-2</v>
      </c>
      <c r="AO284">
        <f t="shared" si="101"/>
        <v>7.9999999999984084E-2</v>
      </c>
      <c r="AP284">
        <v>56</v>
      </c>
      <c r="AQ284">
        <v>1010</v>
      </c>
      <c r="AR284">
        <v>22</v>
      </c>
      <c r="AS284">
        <v>34</v>
      </c>
      <c r="AT284">
        <f t="shared" si="91"/>
        <v>5.3137007027131622</v>
      </c>
      <c r="AU284">
        <f t="shared" si="92"/>
        <v>72.149999999999977</v>
      </c>
      <c r="AV284">
        <v>1010</v>
      </c>
      <c r="AW284">
        <f t="shared" si="93"/>
        <v>1793.9223839223841</v>
      </c>
      <c r="AX284">
        <f t="shared" si="94"/>
        <v>2.4666173537824719E-5</v>
      </c>
      <c r="AY284">
        <f t="shared" si="95"/>
        <v>1.4039052550333195E-3</v>
      </c>
      <c r="AZ284">
        <f t="shared" si="96"/>
        <v>31.307087187243027</v>
      </c>
      <c r="BA284">
        <f t="shared" si="97"/>
        <v>0.45416205980539759</v>
      </c>
    </row>
    <row r="285" spans="1:53" x14ac:dyDescent="0.25">
      <c r="A285" t="s">
        <v>8</v>
      </c>
      <c r="B285" t="s">
        <v>19</v>
      </c>
      <c r="C285">
        <v>10</v>
      </c>
      <c r="G285">
        <f t="shared" si="78"/>
        <v>324.5625</v>
      </c>
      <c r="H285" s="7">
        <v>45039.5625</v>
      </c>
      <c r="AF285">
        <v>142.11999999999998</v>
      </c>
      <c r="AG285">
        <v>139.71</v>
      </c>
      <c r="AL285">
        <v>290.26499999999999</v>
      </c>
      <c r="AM285">
        <v>290.26499999999999</v>
      </c>
      <c r="AN285">
        <v>0</v>
      </c>
      <c r="AO285">
        <v>0</v>
      </c>
      <c r="AP285">
        <v>0</v>
      </c>
      <c r="AQ285">
        <v>1010</v>
      </c>
      <c r="AR285">
        <v>22</v>
      </c>
      <c r="AS285">
        <v>34</v>
      </c>
      <c r="AT285">
        <f t="shared" si="91"/>
        <v>5.3137007027131622</v>
      </c>
      <c r="AU285">
        <f t="shared" si="92"/>
        <v>107.88000000000002</v>
      </c>
      <c r="AV285">
        <v>1010</v>
      </c>
      <c r="AW285">
        <f t="shared" si="93"/>
        <v>1010</v>
      </c>
      <c r="AX285">
        <f t="shared" si="94"/>
        <v>4.4874255263233305E-5</v>
      </c>
      <c r="AY285" t="e">
        <f t="shared" si="95"/>
        <v>#DIV/0!</v>
      </c>
      <c r="AZ285" t="e">
        <f t="shared" si="96"/>
        <v>#DIV/0!</v>
      </c>
      <c r="BA285" t="e">
        <f t="shared" si="97"/>
        <v>#DIV/0!</v>
      </c>
    </row>
    <row r="286" spans="1:53" x14ac:dyDescent="0.25">
      <c r="A286" t="s">
        <v>9</v>
      </c>
      <c r="B286" t="s">
        <v>19</v>
      </c>
      <c r="C286">
        <v>10</v>
      </c>
      <c r="G286">
        <f t="shared" si="78"/>
        <v>324.5625</v>
      </c>
      <c r="H286" s="7">
        <v>45039.5625</v>
      </c>
      <c r="AF286">
        <v>136.42000000000002</v>
      </c>
      <c r="AG286">
        <v>139.75</v>
      </c>
      <c r="AL286">
        <v>284.59500000000003</v>
      </c>
      <c r="AM286">
        <v>284.59500000000003</v>
      </c>
      <c r="AN286">
        <v>0</v>
      </c>
      <c r="AO286">
        <v>0</v>
      </c>
      <c r="AP286">
        <v>0</v>
      </c>
      <c r="AQ286">
        <v>1010</v>
      </c>
      <c r="AR286">
        <v>22</v>
      </c>
      <c r="AS286">
        <v>34</v>
      </c>
      <c r="AT286">
        <f t="shared" si="91"/>
        <v>5.3137007027131622</v>
      </c>
      <c r="AU286">
        <f t="shared" si="92"/>
        <v>113.57999999999998</v>
      </c>
      <c r="AV286">
        <v>1010</v>
      </c>
      <c r="AW286">
        <f t="shared" si="93"/>
        <v>1010</v>
      </c>
      <c r="AX286">
        <f t="shared" si="94"/>
        <v>4.4874255263233305E-5</v>
      </c>
      <c r="AY286" t="e">
        <f t="shared" si="95"/>
        <v>#DIV/0!</v>
      </c>
      <c r="AZ286" t="e">
        <f t="shared" si="96"/>
        <v>#DIV/0!</v>
      </c>
      <c r="BA286" t="e">
        <f t="shared" si="97"/>
        <v>#DIV/0!</v>
      </c>
    </row>
    <row r="287" spans="1:53" x14ac:dyDescent="0.25">
      <c r="A287" t="s">
        <v>10</v>
      </c>
      <c r="B287" t="s">
        <v>19</v>
      </c>
      <c r="C287">
        <v>10</v>
      </c>
      <c r="G287">
        <f t="shared" si="78"/>
        <v>324.5625</v>
      </c>
      <c r="H287" s="7">
        <v>45039.5625</v>
      </c>
      <c r="AF287">
        <v>117.85000000000002</v>
      </c>
      <c r="AG287">
        <v>140.44999999999999</v>
      </c>
      <c r="AL287">
        <v>266.42500000000001</v>
      </c>
      <c r="AM287">
        <v>266.42500000000001</v>
      </c>
      <c r="AN287">
        <v>0</v>
      </c>
      <c r="AO287">
        <v>0</v>
      </c>
      <c r="AP287">
        <v>0</v>
      </c>
      <c r="AQ287">
        <v>1010</v>
      </c>
      <c r="AR287">
        <v>22</v>
      </c>
      <c r="AS287">
        <v>34</v>
      </c>
      <c r="AT287">
        <f t="shared" si="91"/>
        <v>5.3137007027131622</v>
      </c>
      <c r="AU287">
        <f t="shared" si="92"/>
        <v>132.14999999999998</v>
      </c>
      <c r="AV287">
        <v>1010</v>
      </c>
      <c r="AW287">
        <f t="shared" si="93"/>
        <v>1010</v>
      </c>
      <c r="AX287">
        <f t="shared" si="94"/>
        <v>4.4874255263233305E-5</v>
      </c>
      <c r="AY287" t="e">
        <f t="shared" si="95"/>
        <v>#DIV/0!</v>
      </c>
      <c r="AZ287" t="e">
        <f t="shared" si="96"/>
        <v>#DIV/0!</v>
      </c>
      <c r="BA287" t="e">
        <f t="shared" si="97"/>
        <v>#DIV/0!</v>
      </c>
    </row>
    <row r="288" spans="1:53" x14ac:dyDescent="0.25">
      <c r="A288" t="s">
        <v>11</v>
      </c>
      <c r="B288" t="s">
        <v>19</v>
      </c>
      <c r="C288">
        <v>10</v>
      </c>
      <c r="G288">
        <f t="shared" si="78"/>
        <v>324.5625</v>
      </c>
      <c r="H288" s="7">
        <v>45039.5625</v>
      </c>
      <c r="AF288">
        <v>107.53</v>
      </c>
      <c r="AG288">
        <v>140</v>
      </c>
      <c r="AL288">
        <v>256.185</v>
      </c>
      <c r="AM288">
        <v>256.185</v>
      </c>
      <c r="AN288">
        <v>0</v>
      </c>
      <c r="AO288">
        <v>0</v>
      </c>
      <c r="AP288">
        <v>0</v>
      </c>
      <c r="AQ288">
        <v>1010</v>
      </c>
      <c r="AR288">
        <v>22</v>
      </c>
      <c r="AS288">
        <v>34</v>
      </c>
      <c r="AT288">
        <f t="shared" si="91"/>
        <v>5.3137007027131622</v>
      </c>
      <c r="AU288">
        <f t="shared" si="92"/>
        <v>142.47</v>
      </c>
      <c r="AV288">
        <v>1010</v>
      </c>
      <c r="AW288">
        <f t="shared" si="93"/>
        <v>1010</v>
      </c>
      <c r="AX288">
        <f t="shared" si="94"/>
        <v>4.4874255263233305E-5</v>
      </c>
      <c r="AY288" t="e">
        <f t="shared" si="95"/>
        <v>#DIV/0!</v>
      </c>
      <c r="AZ288" t="e">
        <f t="shared" si="96"/>
        <v>#DIV/0!</v>
      </c>
      <c r="BA288" t="e">
        <f t="shared" si="97"/>
        <v>#DIV/0!</v>
      </c>
    </row>
    <row r="289" spans="1:53" x14ac:dyDescent="0.25">
      <c r="A289" t="s">
        <v>12</v>
      </c>
      <c r="B289" t="s">
        <v>19</v>
      </c>
      <c r="C289">
        <v>20</v>
      </c>
      <c r="G289">
        <f t="shared" si="78"/>
        <v>324.5625</v>
      </c>
      <c r="H289" s="7">
        <v>45039.5625</v>
      </c>
      <c r="AF289">
        <v>109.43</v>
      </c>
      <c r="AG289">
        <v>140.19999999999999</v>
      </c>
      <c r="AL289">
        <v>258.04000000000002</v>
      </c>
      <c r="AM289">
        <v>258.04000000000002</v>
      </c>
      <c r="AN289">
        <v>0</v>
      </c>
      <c r="AO289">
        <v>0</v>
      </c>
      <c r="AP289">
        <v>0</v>
      </c>
      <c r="AQ289">
        <v>1010</v>
      </c>
      <c r="AR289">
        <v>22</v>
      </c>
      <c r="AS289">
        <v>34</v>
      </c>
      <c r="AT289">
        <f t="shared" si="91"/>
        <v>5.3137007027131622</v>
      </c>
      <c r="AU289">
        <f t="shared" si="92"/>
        <v>140.57</v>
      </c>
      <c r="AV289">
        <v>1010</v>
      </c>
      <c r="AW289">
        <f t="shared" si="93"/>
        <v>1010</v>
      </c>
      <c r="AX289">
        <f t="shared" si="94"/>
        <v>4.4874255263233305E-5</v>
      </c>
      <c r="AY289" t="e">
        <f t="shared" si="95"/>
        <v>#DIV/0!</v>
      </c>
      <c r="AZ289" t="e">
        <f t="shared" si="96"/>
        <v>#DIV/0!</v>
      </c>
      <c r="BA289" t="e">
        <f t="shared" si="97"/>
        <v>#DIV/0!</v>
      </c>
    </row>
    <row r="290" spans="1:53" x14ac:dyDescent="0.25">
      <c r="A290" t="s">
        <v>13</v>
      </c>
      <c r="B290" t="s">
        <v>19</v>
      </c>
      <c r="C290">
        <v>20</v>
      </c>
      <c r="G290">
        <f t="shared" si="78"/>
        <v>324.5625</v>
      </c>
      <c r="H290" s="7">
        <v>45039.5625</v>
      </c>
      <c r="AF290">
        <v>129.52999999999997</v>
      </c>
      <c r="AG290">
        <v>140.24</v>
      </c>
      <c r="AL290">
        <v>278.16500000000002</v>
      </c>
      <c r="AM290">
        <v>278.16500000000002</v>
      </c>
      <c r="AN290">
        <v>0</v>
      </c>
      <c r="AO290">
        <v>0</v>
      </c>
      <c r="AP290">
        <v>0</v>
      </c>
      <c r="AQ290">
        <v>1010</v>
      </c>
      <c r="AR290">
        <v>22</v>
      </c>
      <c r="AS290">
        <v>34</v>
      </c>
      <c r="AT290">
        <f t="shared" si="91"/>
        <v>5.3137007027131622</v>
      </c>
      <c r="AU290">
        <f t="shared" si="92"/>
        <v>120.47000000000003</v>
      </c>
      <c r="AV290">
        <v>1010</v>
      </c>
      <c r="AW290">
        <f t="shared" si="93"/>
        <v>1010</v>
      </c>
      <c r="AX290">
        <f t="shared" si="94"/>
        <v>4.4874255263233305E-5</v>
      </c>
      <c r="AY290" t="e">
        <f t="shared" si="95"/>
        <v>#DIV/0!</v>
      </c>
      <c r="AZ290" t="e">
        <f t="shared" si="96"/>
        <v>#DIV/0!</v>
      </c>
      <c r="BA290" t="e">
        <f t="shared" si="97"/>
        <v>#DIV/0!</v>
      </c>
    </row>
    <row r="291" spans="1:53" x14ac:dyDescent="0.25">
      <c r="A291" t="s">
        <v>14</v>
      </c>
      <c r="B291" t="s">
        <v>19</v>
      </c>
      <c r="C291">
        <v>20</v>
      </c>
      <c r="G291">
        <f t="shared" si="78"/>
        <v>324.5625</v>
      </c>
      <c r="H291" s="7">
        <v>45039.5625</v>
      </c>
      <c r="AF291">
        <v>94.359999999999985</v>
      </c>
      <c r="AG291">
        <v>138.74</v>
      </c>
      <c r="AL291">
        <v>241.5</v>
      </c>
      <c r="AM291">
        <v>241.5</v>
      </c>
      <c r="AN291">
        <v>0</v>
      </c>
      <c r="AO291">
        <v>0</v>
      </c>
      <c r="AP291">
        <v>0</v>
      </c>
      <c r="AQ291">
        <v>1010</v>
      </c>
      <c r="AR291">
        <v>22</v>
      </c>
      <c r="AS291">
        <v>34</v>
      </c>
      <c r="AT291">
        <f t="shared" si="91"/>
        <v>5.3137007027131622</v>
      </c>
      <c r="AU291">
        <f t="shared" si="92"/>
        <v>155.64000000000001</v>
      </c>
      <c r="AV291">
        <v>1010</v>
      </c>
      <c r="AW291">
        <f t="shared" si="93"/>
        <v>1010</v>
      </c>
      <c r="AX291">
        <f t="shared" si="94"/>
        <v>4.4874255263233305E-5</v>
      </c>
      <c r="AY291" t="e">
        <f t="shared" si="95"/>
        <v>#DIV/0!</v>
      </c>
      <c r="AZ291" t="e">
        <f t="shared" si="96"/>
        <v>#DIV/0!</v>
      </c>
      <c r="BA291" t="e">
        <f t="shared" si="97"/>
        <v>#DIV/0!</v>
      </c>
    </row>
    <row r="292" spans="1:53" x14ac:dyDescent="0.25">
      <c r="A292" t="s">
        <v>15</v>
      </c>
      <c r="B292" t="s">
        <v>19</v>
      </c>
      <c r="C292">
        <v>20</v>
      </c>
      <c r="G292">
        <f t="shared" si="78"/>
        <v>324.5625</v>
      </c>
      <c r="H292" s="7">
        <v>45039.5625</v>
      </c>
      <c r="AF292">
        <v>85.4</v>
      </c>
      <c r="AG292">
        <v>140.1</v>
      </c>
      <c r="AL292">
        <v>234.01499999999999</v>
      </c>
      <c r="AM292">
        <v>234.01499999999999</v>
      </c>
      <c r="AN292">
        <v>0</v>
      </c>
      <c r="AO292">
        <v>0</v>
      </c>
      <c r="AP292">
        <v>0</v>
      </c>
      <c r="AQ292">
        <v>1010</v>
      </c>
      <c r="AR292">
        <v>22</v>
      </c>
      <c r="AS292">
        <v>34</v>
      </c>
      <c r="AT292">
        <f t="shared" si="91"/>
        <v>5.3137007027131622</v>
      </c>
      <c r="AU292">
        <f t="shared" si="92"/>
        <v>164.6</v>
      </c>
      <c r="AV292">
        <v>1010</v>
      </c>
      <c r="AW292">
        <f t="shared" si="93"/>
        <v>1010</v>
      </c>
      <c r="AX292">
        <f t="shared" si="94"/>
        <v>4.4874255263233305E-5</v>
      </c>
      <c r="AY292" t="e">
        <f t="shared" si="95"/>
        <v>#DIV/0!</v>
      </c>
      <c r="AZ292" t="e">
        <f t="shared" si="96"/>
        <v>#DIV/0!</v>
      </c>
      <c r="BA292" t="e">
        <f t="shared" si="97"/>
        <v>#DIV/0!</v>
      </c>
    </row>
    <row r="293" spans="1:53" x14ac:dyDescent="0.25">
      <c r="A293" t="s">
        <v>0</v>
      </c>
      <c r="B293" t="s">
        <v>18</v>
      </c>
      <c r="C293">
        <v>10</v>
      </c>
      <c r="G293">
        <f t="shared" si="78"/>
        <v>326.39583333333576</v>
      </c>
      <c r="H293" s="7">
        <v>45041.395833333336</v>
      </c>
      <c r="AF293">
        <v>172.77</v>
      </c>
      <c r="AG293">
        <v>139.16999999999999</v>
      </c>
      <c r="AL293">
        <v>321.10000000000002</v>
      </c>
      <c r="AM293">
        <v>321.01499999999999</v>
      </c>
      <c r="AN293">
        <f t="shared" ref="AN293" si="102">AM277-AL293</f>
        <v>0</v>
      </c>
      <c r="AO293">
        <f t="shared" ref="AO293" si="103">AL293-AM293</f>
        <v>8.500000000003638E-2</v>
      </c>
      <c r="AP293">
        <v>38</v>
      </c>
      <c r="AQ293">
        <v>1000</v>
      </c>
      <c r="AR293">
        <v>22</v>
      </c>
      <c r="AS293">
        <v>34</v>
      </c>
      <c r="AT293">
        <f t="shared" si="91"/>
        <v>5.3137007027131622</v>
      </c>
      <c r="AU293">
        <f t="shared" si="92"/>
        <v>77.22999999999999</v>
      </c>
      <c r="AV293">
        <v>1000</v>
      </c>
      <c r="AW293">
        <f t="shared" si="93"/>
        <v>1492.0367732746342</v>
      </c>
      <c r="AX293">
        <f t="shared" si="94"/>
        <v>2.9841212852918157E-5</v>
      </c>
      <c r="AY293">
        <f t="shared" si="95"/>
        <v>2.2070008924111972E-3</v>
      </c>
      <c r="AZ293">
        <f t="shared" si="96"/>
        <v>49.216119900769698</v>
      </c>
      <c r="BA293">
        <f t="shared" si="97"/>
        <v>-0.18613228104289239</v>
      </c>
    </row>
    <row r="294" spans="1:53" x14ac:dyDescent="0.25">
      <c r="A294" t="s">
        <v>1</v>
      </c>
      <c r="B294" t="s">
        <v>18</v>
      </c>
      <c r="C294">
        <v>10</v>
      </c>
      <c r="G294">
        <f t="shared" si="78"/>
        <v>326.39583333333576</v>
      </c>
      <c r="H294" s="7">
        <v>45041.395833333336</v>
      </c>
      <c r="AF294">
        <v>173.93</v>
      </c>
      <c r="AG294">
        <v>141.25</v>
      </c>
      <c r="AL294">
        <v>324.26</v>
      </c>
      <c r="AM294">
        <v>324.23</v>
      </c>
      <c r="AN294">
        <f t="shared" ref="AN294:AN356" si="104">AM278-AL294</f>
        <v>-4.9999999999954525E-3</v>
      </c>
      <c r="AO294">
        <f t="shared" ref="AO294:AO356" si="105">AL294-AM294</f>
        <v>2.9999999999972715E-2</v>
      </c>
      <c r="AP294">
        <v>37.5</v>
      </c>
      <c r="AQ294">
        <v>1000</v>
      </c>
      <c r="AR294">
        <v>22</v>
      </c>
      <c r="AS294">
        <v>34</v>
      </c>
      <c r="AT294">
        <f t="shared" si="91"/>
        <v>5.3137007027131622</v>
      </c>
      <c r="AU294">
        <f t="shared" si="92"/>
        <v>76.069999999999993</v>
      </c>
      <c r="AV294">
        <v>1000</v>
      </c>
      <c r="AW294">
        <f t="shared" si="93"/>
        <v>1492.9670040751939</v>
      </c>
      <c r="AX294">
        <f t="shared" si="94"/>
        <v>2.9821933343963109E-5</v>
      </c>
      <c r="AY294">
        <f t="shared" si="95"/>
        <v>7.7017806665530936E-4</v>
      </c>
      <c r="AZ294">
        <f t="shared" si="96"/>
        <v>17.174970886413398</v>
      </c>
      <c r="BA294">
        <f t="shared" si="97"/>
        <v>0.95942184889476589</v>
      </c>
    </row>
    <row r="295" spans="1:53" x14ac:dyDescent="0.25">
      <c r="A295" t="s">
        <v>2</v>
      </c>
      <c r="B295" t="s">
        <v>18</v>
      </c>
      <c r="C295">
        <v>10</v>
      </c>
      <c r="G295">
        <f t="shared" ref="G295:G358" si="106">H295-$H$18</f>
        <v>326.39583333333576</v>
      </c>
      <c r="H295" s="7">
        <v>45041.395833333336</v>
      </c>
      <c r="AF295">
        <v>162.82000000000002</v>
      </c>
      <c r="AG295">
        <v>140.66</v>
      </c>
      <c r="AL295">
        <v>312.62</v>
      </c>
      <c r="AM295">
        <v>312.55</v>
      </c>
      <c r="AN295">
        <f t="shared" si="104"/>
        <v>-9.9999999999909051E-3</v>
      </c>
      <c r="AO295">
        <f t="shared" si="105"/>
        <v>6.9999999999993179E-2</v>
      </c>
      <c r="AP295">
        <v>29</v>
      </c>
      <c r="AQ295">
        <v>1000</v>
      </c>
      <c r="AR295">
        <v>22</v>
      </c>
      <c r="AS295">
        <v>34</v>
      </c>
      <c r="AT295">
        <f t="shared" si="91"/>
        <v>5.3137007027131622</v>
      </c>
      <c r="AU295">
        <f t="shared" si="92"/>
        <v>87.179999999999978</v>
      </c>
      <c r="AV295">
        <v>1000</v>
      </c>
      <c r="AW295">
        <f t="shared" si="93"/>
        <v>1332.6451020876348</v>
      </c>
      <c r="AX295">
        <f t="shared" si="94"/>
        <v>3.3558610816429032E-5</v>
      </c>
      <c r="AY295">
        <f t="shared" si="95"/>
        <v>2.3802344926316115E-3</v>
      </c>
      <c r="AZ295">
        <f t="shared" si="96"/>
        <v>53.079229185684937</v>
      </c>
      <c r="BA295">
        <f t="shared" si="97"/>
        <v>-0.32424845140096314</v>
      </c>
    </row>
    <row r="296" spans="1:53" x14ac:dyDescent="0.25">
      <c r="A296" t="s">
        <v>3</v>
      </c>
      <c r="B296" t="s">
        <v>18</v>
      </c>
      <c r="C296">
        <v>10</v>
      </c>
      <c r="G296">
        <f t="shared" si="106"/>
        <v>326.39583333333576</v>
      </c>
      <c r="H296" s="7">
        <v>45041.395833333336</v>
      </c>
      <c r="AF296">
        <v>187.81</v>
      </c>
      <c r="AG296">
        <v>140</v>
      </c>
      <c r="AL296">
        <v>336.84</v>
      </c>
      <c r="AM296">
        <v>336.8</v>
      </c>
      <c r="AN296">
        <f t="shared" si="104"/>
        <v>-4.9999999999954525E-3</v>
      </c>
      <c r="AO296">
        <f t="shared" si="105"/>
        <v>3.999999999996362E-2</v>
      </c>
      <c r="AP296">
        <v>37.5</v>
      </c>
      <c r="AQ296">
        <v>1000</v>
      </c>
      <c r="AR296">
        <v>22</v>
      </c>
      <c r="AS296">
        <v>34</v>
      </c>
      <c r="AT296">
        <f t="shared" si="91"/>
        <v>5.3137007027131622</v>
      </c>
      <c r="AU296">
        <f t="shared" si="92"/>
        <v>62.19</v>
      </c>
      <c r="AV296">
        <v>1000</v>
      </c>
      <c r="AW296">
        <f t="shared" si="93"/>
        <v>1602.9908345393151</v>
      </c>
      <c r="AX296">
        <f t="shared" si="94"/>
        <v>2.7704879928922441E-5</v>
      </c>
      <c r="AY296">
        <f t="shared" si="95"/>
        <v>1.0389617867367742E-3</v>
      </c>
      <c r="AZ296">
        <f t="shared" si="96"/>
        <v>23.168847844230065</v>
      </c>
      <c r="BA296">
        <f t="shared" si="97"/>
        <v>0.74512521114658326</v>
      </c>
    </row>
    <row r="297" spans="1:53" x14ac:dyDescent="0.25">
      <c r="A297" t="s">
        <v>4</v>
      </c>
      <c r="B297" t="s">
        <v>18</v>
      </c>
      <c r="C297">
        <v>20</v>
      </c>
      <c r="G297">
        <f t="shared" si="106"/>
        <v>326.39583333333576</v>
      </c>
      <c r="H297" s="7">
        <v>45041.395833333336</v>
      </c>
      <c r="AF297">
        <v>181.58</v>
      </c>
      <c r="AG297">
        <v>139.4</v>
      </c>
      <c r="AL297">
        <v>328.73</v>
      </c>
      <c r="AM297">
        <v>328.67</v>
      </c>
      <c r="AN297">
        <f t="shared" si="104"/>
        <v>9.9999999999909051E-3</v>
      </c>
      <c r="AO297">
        <f t="shared" si="105"/>
        <v>6.0000000000002274E-2</v>
      </c>
      <c r="AP297">
        <f>65+5.5</f>
        <v>70.5</v>
      </c>
      <c r="AQ297">
        <v>1000</v>
      </c>
      <c r="AR297">
        <v>22</v>
      </c>
      <c r="AS297">
        <v>34</v>
      </c>
      <c r="AT297">
        <f t="shared" si="91"/>
        <v>5.3137007027131622</v>
      </c>
      <c r="AU297">
        <f t="shared" si="92"/>
        <v>68.419999999999987</v>
      </c>
      <c r="AV297">
        <v>1000</v>
      </c>
      <c r="AW297">
        <f t="shared" si="93"/>
        <v>2030.4004676995032</v>
      </c>
      <c r="AX297">
        <f t="shared" si="94"/>
        <v>2.1716131943289234E-5</v>
      </c>
      <c r="AY297">
        <f t="shared" si="95"/>
        <v>8.2934769784397708E-4</v>
      </c>
      <c r="AZ297">
        <f t="shared" si="96"/>
        <v>18.494453661920687</v>
      </c>
      <c r="BA297">
        <f t="shared" si="97"/>
        <v>0.9122469194879983</v>
      </c>
    </row>
    <row r="298" spans="1:53" x14ac:dyDescent="0.25">
      <c r="A298" t="s">
        <v>5</v>
      </c>
      <c r="B298" t="s">
        <v>18</v>
      </c>
      <c r="C298">
        <v>20</v>
      </c>
      <c r="G298">
        <f t="shared" si="106"/>
        <v>326.39583333333576</v>
      </c>
      <c r="H298" s="7">
        <v>45041.395833333336</v>
      </c>
      <c r="AF298">
        <v>201.8</v>
      </c>
      <c r="AG298">
        <v>139.81</v>
      </c>
      <c r="AL298">
        <v>349.5</v>
      </c>
      <c r="AM298">
        <v>349.44</v>
      </c>
      <c r="AN298">
        <f t="shared" si="104"/>
        <v>1.999999999998181E-2</v>
      </c>
      <c r="AO298">
        <f t="shared" si="105"/>
        <v>6.0000000000002274E-2</v>
      </c>
      <c r="AP298">
        <v>55</v>
      </c>
      <c r="AQ298">
        <v>1000</v>
      </c>
      <c r="AR298">
        <v>22</v>
      </c>
      <c r="AS298">
        <v>34</v>
      </c>
      <c r="AT298">
        <f t="shared" si="91"/>
        <v>5.3137007027131622</v>
      </c>
      <c r="AU298">
        <f t="shared" si="92"/>
        <v>48.199999999999989</v>
      </c>
      <c r="AV298">
        <v>1000</v>
      </c>
      <c r="AW298">
        <f t="shared" si="93"/>
        <v>2141.0788381742741</v>
      </c>
      <c r="AX298">
        <f t="shared" si="94"/>
        <v>2.0564995421838417E-5</v>
      </c>
      <c r="AY298">
        <f t="shared" si="95"/>
        <v>1.0703440954872938E-3</v>
      </c>
      <c r="AZ298">
        <f t="shared" si="96"/>
        <v>23.868673329366654</v>
      </c>
      <c r="BA298">
        <f t="shared" si="97"/>
        <v>0.72010463606125652</v>
      </c>
    </row>
    <row r="299" spans="1:53" x14ac:dyDescent="0.25">
      <c r="A299" t="s">
        <v>6</v>
      </c>
      <c r="B299" t="s">
        <v>18</v>
      </c>
      <c r="C299">
        <v>20</v>
      </c>
      <c r="G299">
        <f t="shared" si="106"/>
        <v>326.39583333333576</v>
      </c>
      <c r="H299" s="7">
        <v>45041.395833333336</v>
      </c>
      <c r="AF299">
        <v>205.13</v>
      </c>
      <c r="AG299">
        <v>139.01</v>
      </c>
      <c r="AL299">
        <v>352.09</v>
      </c>
      <c r="AM299">
        <v>352.01499999999999</v>
      </c>
      <c r="AN299">
        <f t="shared" si="104"/>
        <v>1.5000000000043201E-2</v>
      </c>
      <c r="AO299">
        <f t="shared" si="105"/>
        <v>7.4999999999988631E-2</v>
      </c>
      <c r="AP299">
        <v>57</v>
      </c>
      <c r="AQ299">
        <v>1000</v>
      </c>
      <c r="AR299">
        <v>22</v>
      </c>
      <c r="AS299">
        <v>34</v>
      </c>
      <c r="AT299">
        <f t="shared" si="91"/>
        <v>5.3137007027131622</v>
      </c>
      <c r="AU299">
        <f t="shared" si="92"/>
        <v>44.870000000000005</v>
      </c>
      <c r="AV299">
        <v>1000</v>
      </c>
      <c r="AW299">
        <f t="shared" si="93"/>
        <v>2270.3365277468238</v>
      </c>
      <c r="AX299">
        <f t="shared" si="94"/>
        <v>1.9366102958866002E-5</v>
      </c>
      <c r="AY299">
        <f t="shared" si="95"/>
        <v>1.2964233707251449E-3</v>
      </c>
      <c r="AZ299">
        <f t="shared" si="96"/>
        <v>28.910241167170732</v>
      </c>
      <c r="BA299">
        <f t="shared" si="97"/>
        <v>0.53985551779868668</v>
      </c>
    </row>
    <row r="300" spans="1:53" x14ac:dyDescent="0.25">
      <c r="A300" t="s">
        <v>7</v>
      </c>
      <c r="B300" t="s">
        <v>18</v>
      </c>
      <c r="C300">
        <v>20</v>
      </c>
      <c r="G300">
        <f t="shared" si="106"/>
        <v>326.39583333333576</v>
      </c>
      <c r="H300" s="7">
        <v>45041.395833333336</v>
      </c>
      <c r="AF300">
        <v>177.85000000000002</v>
      </c>
      <c r="AG300">
        <v>139.94999999999999</v>
      </c>
      <c r="AL300">
        <v>326.18</v>
      </c>
      <c r="AM300">
        <v>326.12</v>
      </c>
      <c r="AN300">
        <f t="shared" si="104"/>
        <v>0</v>
      </c>
      <c r="AO300">
        <f t="shared" si="105"/>
        <v>6.0000000000002274E-2</v>
      </c>
      <c r="AP300">
        <v>35</v>
      </c>
      <c r="AQ300">
        <v>1000</v>
      </c>
      <c r="AR300">
        <v>22</v>
      </c>
      <c r="AS300">
        <v>34</v>
      </c>
      <c r="AT300">
        <f t="shared" si="91"/>
        <v>5.3137007027131622</v>
      </c>
      <c r="AU300">
        <f t="shared" si="92"/>
        <v>72.149999999999977</v>
      </c>
      <c r="AV300">
        <v>1000</v>
      </c>
      <c r="AW300">
        <f t="shared" si="93"/>
        <v>1485.1004851004852</v>
      </c>
      <c r="AX300">
        <f t="shared" si="94"/>
        <v>2.9985760709747898E-5</v>
      </c>
      <c r="AY300">
        <f t="shared" si="95"/>
        <v>1.6842999535760313E-3</v>
      </c>
      <c r="AZ300">
        <f t="shared" si="96"/>
        <v>37.559888964745497</v>
      </c>
      <c r="BA300">
        <f t="shared" si="97"/>
        <v>0.23060818860402221</v>
      </c>
    </row>
    <row r="301" spans="1:53" x14ac:dyDescent="0.25">
      <c r="A301" t="s">
        <v>8</v>
      </c>
      <c r="B301" t="s">
        <v>19</v>
      </c>
      <c r="C301">
        <v>10</v>
      </c>
      <c r="G301">
        <f t="shared" si="106"/>
        <v>326.39583333333576</v>
      </c>
      <c r="H301" s="7">
        <v>45041.395833333336</v>
      </c>
      <c r="AF301">
        <v>142.11999999999998</v>
      </c>
      <c r="AG301">
        <v>139.71</v>
      </c>
      <c r="AL301">
        <v>290.24</v>
      </c>
      <c r="AM301">
        <v>290.06</v>
      </c>
      <c r="AN301">
        <f t="shared" si="104"/>
        <v>2.4999999999977263E-2</v>
      </c>
      <c r="AO301">
        <f t="shared" si="105"/>
        <v>0.18000000000000682</v>
      </c>
      <c r="AP301">
        <f>65+59</f>
        <v>124</v>
      </c>
      <c r="AQ301">
        <v>1000</v>
      </c>
      <c r="AR301">
        <v>22</v>
      </c>
      <c r="AS301">
        <v>34</v>
      </c>
      <c r="AT301">
        <f t="shared" si="91"/>
        <v>5.3137007027131622</v>
      </c>
      <c r="AU301">
        <f t="shared" si="92"/>
        <v>107.88000000000002</v>
      </c>
      <c r="AV301">
        <v>1000</v>
      </c>
      <c r="AW301">
        <f t="shared" si="93"/>
        <v>2149.4252873563219</v>
      </c>
      <c r="AX301">
        <f t="shared" si="94"/>
        <v>2.0483115133317001E-5</v>
      </c>
      <c r="AY301">
        <f t="shared" si="95"/>
        <v>1.4311297880925445E-3</v>
      </c>
      <c r="AZ301">
        <f t="shared" si="96"/>
        <v>31.914194274463743</v>
      </c>
      <c r="BA301">
        <f t="shared" si="97"/>
        <v>0.43245640777748501</v>
      </c>
    </row>
    <row r="302" spans="1:53" x14ac:dyDescent="0.25">
      <c r="A302" t="s">
        <v>9</v>
      </c>
      <c r="B302" t="s">
        <v>19</v>
      </c>
      <c r="C302">
        <v>10</v>
      </c>
      <c r="G302">
        <f t="shared" si="106"/>
        <v>326.39583333333576</v>
      </c>
      <c r="H302" s="7">
        <v>45041.395833333336</v>
      </c>
      <c r="AF302">
        <v>136.42000000000002</v>
      </c>
      <c r="AG302">
        <v>139.75</v>
      </c>
      <c r="AL302">
        <v>284.61</v>
      </c>
      <c r="AM302">
        <v>284.39999999999998</v>
      </c>
      <c r="AN302">
        <f t="shared" si="104"/>
        <v>-1.4999999999986358E-2</v>
      </c>
      <c r="AO302">
        <f t="shared" si="105"/>
        <v>0.21000000000003638</v>
      </c>
      <c r="AP302">
        <f>59+37</f>
        <v>96</v>
      </c>
      <c r="AQ302">
        <v>1000</v>
      </c>
      <c r="AR302">
        <v>22</v>
      </c>
      <c r="AS302">
        <v>34</v>
      </c>
      <c r="AT302">
        <f t="shared" si="91"/>
        <v>5.3137007027131622</v>
      </c>
      <c r="AU302">
        <f t="shared" si="92"/>
        <v>113.57999999999998</v>
      </c>
      <c r="AV302">
        <v>1000</v>
      </c>
      <c r="AW302">
        <f t="shared" si="93"/>
        <v>1845.2192287374539</v>
      </c>
      <c r="AX302">
        <f t="shared" si="94"/>
        <v>2.3960125087132653E-5</v>
      </c>
      <c r="AY302">
        <f t="shared" si="95"/>
        <v>2.1635398749132464E-3</v>
      </c>
      <c r="AZ302">
        <f t="shared" si="96"/>
        <v>48.246939210565394</v>
      </c>
      <c r="BA302">
        <f t="shared" si="97"/>
        <v>-0.15148155919075423</v>
      </c>
    </row>
    <row r="303" spans="1:53" x14ac:dyDescent="0.25">
      <c r="A303" t="s">
        <v>10</v>
      </c>
      <c r="B303" t="s">
        <v>19</v>
      </c>
      <c r="C303">
        <v>10</v>
      </c>
      <c r="G303">
        <f t="shared" si="106"/>
        <v>326.39583333333576</v>
      </c>
      <c r="H303" s="7">
        <v>45041.395833333336</v>
      </c>
      <c r="AF303">
        <v>117.85000000000002</v>
      </c>
      <c r="AG303">
        <v>140.44999999999999</v>
      </c>
      <c r="AL303">
        <v>266.43</v>
      </c>
      <c r="AM303">
        <v>266.27999999999997</v>
      </c>
      <c r="AN303">
        <f t="shared" si="104"/>
        <v>-4.9999999999954525E-3</v>
      </c>
      <c r="AO303">
        <f t="shared" si="105"/>
        <v>0.15000000000003411</v>
      </c>
      <c r="AP303">
        <v>99</v>
      </c>
      <c r="AQ303">
        <v>1000</v>
      </c>
      <c r="AR303">
        <v>22</v>
      </c>
      <c r="AS303">
        <v>34</v>
      </c>
      <c r="AT303">
        <f t="shared" si="91"/>
        <v>5.3137007027131622</v>
      </c>
      <c r="AU303">
        <f t="shared" si="92"/>
        <v>132.14999999999998</v>
      </c>
      <c r="AV303">
        <v>1000</v>
      </c>
      <c r="AW303">
        <f t="shared" si="93"/>
        <v>1749.1486946651535</v>
      </c>
      <c r="AX303">
        <f t="shared" si="94"/>
        <v>2.5317345694949149E-5</v>
      </c>
      <c r="AY303">
        <f t="shared" si="95"/>
        <v>1.4898341694569105E-3</v>
      </c>
      <c r="AZ303">
        <f t="shared" si="96"/>
        <v>33.223301978889104</v>
      </c>
      <c r="BA303">
        <f t="shared" si="97"/>
        <v>0.38565241405473344</v>
      </c>
    </row>
    <row r="304" spans="1:53" x14ac:dyDescent="0.25">
      <c r="A304" t="s">
        <v>11</v>
      </c>
      <c r="B304" t="s">
        <v>19</v>
      </c>
      <c r="C304">
        <v>10</v>
      </c>
      <c r="G304">
        <f t="shared" si="106"/>
        <v>326.39583333333576</v>
      </c>
      <c r="H304" s="7">
        <v>45041.395833333336</v>
      </c>
      <c r="AF304">
        <v>107.53</v>
      </c>
      <c r="AG304">
        <v>140</v>
      </c>
      <c r="AL304">
        <v>256.22000000000003</v>
      </c>
      <c r="AM304">
        <v>256.08999999999997</v>
      </c>
      <c r="AN304">
        <f t="shared" si="104"/>
        <v>-3.5000000000025011E-2</v>
      </c>
      <c r="AO304">
        <f t="shared" si="105"/>
        <v>0.1300000000000523</v>
      </c>
      <c r="AP304">
        <f>58.5+52.5</f>
        <v>111</v>
      </c>
      <c r="AQ304">
        <v>1000</v>
      </c>
      <c r="AR304">
        <v>22</v>
      </c>
      <c r="AS304">
        <v>34</v>
      </c>
      <c r="AT304">
        <f t="shared" si="91"/>
        <v>5.3137007027131622</v>
      </c>
      <c r="AU304">
        <f t="shared" si="92"/>
        <v>142.47</v>
      </c>
      <c r="AV304">
        <v>1000</v>
      </c>
      <c r="AW304">
        <f t="shared" si="93"/>
        <v>1779.111391871973</v>
      </c>
      <c r="AX304">
        <f t="shared" si="94"/>
        <v>2.4877839773077465E-5</v>
      </c>
      <c r="AY304">
        <f t="shared" si="95"/>
        <v>1.1462933313985649E-3</v>
      </c>
      <c r="AZ304">
        <f t="shared" si="96"/>
        <v>25.562341290187998</v>
      </c>
      <c r="BA304">
        <f t="shared" si="97"/>
        <v>0.65955161636796567</v>
      </c>
    </row>
    <row r="305" spans="1:53" x14ac:dyDescent="0.25">
      <c r="A305" t="s">
        <v>12</v>
      </c>
      <c r="B305" t="s">
        <v>19</v>
      </c>
      <c r="C305">
        <v>20</v>
      </c>
      <c r="G305">
        <f t="shared" si="106"/>
        <v>326.39583333333576</v>
      </c>
      <c r="H305" s="7">
        <v>45041.395833333336</v>
      </c>
      <c r="AF305">
        <v>109.43</v>
      </c>
      <c r="AG305">
        <v>140.19999999999999</v>
      </c>
      <c r="AL305">
        <v>258.05</v>
      </c>
      <c r="AM305">
        <v>257.98</v>
      </c>
      <c r="AN305">
        <f t="shared" si="104"/>
        <v>-9.9999999999909051E-3</v>
      </c>
      <c r="AO305">
        <f t="shared" si="105"/>
        <v>6.9999999999993179E-2</v>
      </c>
      <c r="AP305">
        <v>40.5</v>
      </c>
      <c r="AQ305">
        <v>1000</v>
      </c>
      <c r="AR305">
        <v>22</v>
      </c>
      <c r="AS305">
        <v>34</v>
      </c>
      <c r="AT305">
        <f t="shared" si="91"/>
        <v>5.3137007027131622</v>
      </c>
      <c r="AU305">
        <f t="shared" si="92"/>
        <v>140.57</v>
      </c>
      <c r="AV305">
        <v>1000</v>
      </c>
      <c r="AW305">
        <f t="shared" si="93"/>
        <v>1288.1126840719926</v>
      </c>
      <c r="AX305">
        <f t="shared" si="94"/>
        <v>3.4768712450557964E-5</v>
      </c>
      <c r="AY305">
        <f t="shared" si="95"/>
        <v>1.6936263492776688E-3</v>
      </c>
      <c r="AZ305">
        <f t="shared" si="96"/>
        <v>37.767867588892017</v>
      </c>
      <c r="BA305">
        <f t="shared" si="97"/>
        <v>0.22317241369710339</v>
      </c>
    </row>
    <row r="306" spans="1:53" x14ac:dyDescent="0.25">
      <c r="A306" t="s">
        <v>13</v>
      </c>
      <c r="B306" t="s">
        <v>19</v>
      </c>
      <c r="C306">
        <v>20</v>
      </c>
      <c r="G306">
        <f t="shared" si="106"/>
        <v>326.39583333333576</v>
      </c>
      <c r="H306" s="7">
        <v>45041.395833333336</v>
      </c>
      <c r="AF306">
        <v>129.52999999999997</v>
      </c>
      <c r="AG306">
        <v>140.24</v>
      </c>
      <c r="AL306">
        <v>278.20999999999998</v>
      </c>
      <c r="AM306">
        <v>278.14999999999998</v>
      </c>
      <c r="AN306">
        <f t="shared" si="104"/>
        <v>-4.4999999999959073E-2</v>
      </c>
      <c r="AO306">
        <f t="shared" si="105"/>
        <v>6.0000000000002274E-2</v>
      </c>
      <c r="AP306">
        <v>59</v>
      </c>
      <c r="AQ306">
        <v>1000</v>
      </c>
      <c r="AR306">
        <v>22</v>
      </c>
      <c r="AS306">
        <v>34</v>
      </c>
      <c r="AT306">
        <f t="shared" si="91"/>
        <v>5.3137007027131622</v>
      </c>
      <c r="AU306">
        <f t="shared" si="92"/>
        <v>120.47000000000003</v>
      </c>
      <c r="AV306">
        <v>1000</v>
      </c>
      <c r="AW306">
        <f t="shared" si="93"/>
        <v>1489.7484851000247</v>
      </c>
      <c r="AX306">
        <f t="shared" si="94"/>
        <v>2.9888745046228311E-5</v>
      </c>
      <c r="AY306">
        <f t="shared" si="95"/>
        <v>9.8706040749618317E-4</v>
      </c>
      <c r="AZ306">
        <f t="shared" si="96"/>
        <v>22.011447087164886</v>
      </c>
      <c r="BA306">
        <f t="shared" si="97"/>
        <v>0.78650528826725463</v>
      </c>
    </row>
    <row r="307" spans="1:53" x14ac:dyDescent="0.25">
      <c r="A307" t="s">
        <v>14</v>
      </c>
      <c r="B307" t="s">
        <v>19</v>
      </c>
      <c r="C307">
        <v>20</v>
      </c>
      <c r="G307">
        <f t="shared" si="106"/>
        <v>326.39583333333576</v>
      </c>
      <c r="H307" s="7">
        <v>45041.395833333336</v>
      </c>
      <c r="AF307">
        <v>94.359999999999985</v>
      </c>
      <c r="AG307">
        <v>138.74</v>
      </c>
      <c r="AL307">
        <v>241.51</v>
      </c>
      <c r="AM307">
        <v>241.435</v>
      </c>
      <c r="AN307">
        <f t="shared" si="104"/>
        <v>-9.9999999999909051E-3</v>
      </c>
      <c r="AO307">
        <f t="shared" si="105"/>
        <v>7.4999999999988631E-2</v>
      </c>
      <c r="AP307">
        <v>36</v>
      </c>
      <c r="AQ307">
        <v>1000</v>
      </c>
      <c r="AR307">
        <v>22</v>
      </c>
      <c r="AS307">
        <v>34</v>
      </c>
      <c r="AT307">
        <f t="shared" si="91"/>
        <v>5.3137007027131622</v>
      </c>
      <c r="AU307">
        <f t="shared" si="92"/>
        <v>155.64000000000001</v>
      </c>
      <c r="AV307">
        <v>1000</v>
      </c>
      <c r="AW307">
        <f t="shared" si="93"/>
        <v>1231.3030069390902</v>
      </c>
      <c r="AX307">
        <f t="shared" si="94"/>
        <v>3.6445215870950782E-5</v>
      </c>
      <c r="AY307">
        <f t="shared" si="95"/>
        <v>2.0468881174620667E-3</v>
      </c>
      <c r="AZ307">
        <f t="shared" si="96"/>
        <v>45.645605019404087</v>
      </c>
      <c r="BA307">
        <f t="shared" si="97"/>
        <v>-5.8477119034826205E-2</v>
      </c>
    </row>
    <row r="308" spans="1:53" x14ac:dyDescent="0.25">
      <c r="A308" t="s">
        <v>15</v>
      </c>
      <c r="B308" t="s">
        <v>19</v>
      </c>
      <c r="C308">
        <v>20</v>
      </c>
      <c r="G308">
        <f t="shared" si="106"/>
        <v>326.39583333333576</v>
      </c>
      <c r="H308" s="7">
        <v>45041.395833333336</v>
      </c>
      <c r="AF308">
        <v>85.4</v>
      </c>
      <c r="AG308">
        <v>140.1</v>
      </c>
      <c r="AL308">
        <v>234.02</v>
      </c>
      <c r="AM308">
        <v>233.93</v>
      </c>
      <c r="AN308">
        <f t="shared" si="104"/>
        <v>-5.0000000000238742E-3</v>
      </c>
      <c r="AO308">
        <f t="shared" si="105"/>
        <v>9.0000000000003411E-2</v>
      </c>
      <c r="AP308">
        <v>58</v>
      </c>
      <c r="AQ308">
        <v>1000</v>
      </c>
      <c r="AR308">
        <v>22</v>
      </c>
      <c r="AS308">
        <v>34</v>
      </c>
      <c r="AT308">
        <f t="shared" si="91"/>
        <v>5.3137007027131622</v>
      </c>
      <c r="AU308">
        <f t="shared" si="92"/>
        <v>164.6</v>
      </c>
      <c r="AV308">
        <v>1000</v>
      </c>
      <c r="AW308">
        <f t="shared" si="93"/>
        <v>1352.3693803159174</v>
      </c>
      <c r="AX308">
        <f t="shared" si="94"/>
        <v>3.3049141232460488E-5</v>
      </c>
      <c r="AY308">
        <f t="shared" si="95"/>
        <v>1.5186749966986327E-3</v>
      </c>
      <c r="AZ308">
        <f t="shared" si="96"/>
        <v>33.86645242637951</v>
      </c>
      <c r="BA308">
        <f t="shared" si="97"/>
        <v>0.3626581184705216</v>
      </c>
    </row>
    <row r="309" spans="1:53" x14ac:dyDescent="0.25">
      <c r="A309" t="s">
        <v>0</v>
      </c>
      <c r="B309" t="s">
        <v>18</v>
      </c>
      <c r="C309">
        <v>10</v>
      </c>
      <c r="G309">
        <f t="shared" si="106"/>
        <v>329.35416666666424</v>
      </c>
      <c r="H309" s="7">
        <v>45044.354166666664</v>
      </c>
      <c r="AF309">
        <v>172.77</v>
      </c>
      <c r="AG309">
        <v>139.16999999999999</v>
      </c>
      <c r="AL309">
        <v>320.97000000000003</v>
      </c>
      <c r="AM309">
        <v>320.95</v>
      </c>
      <c r="AN309">
        <f t="shared" si="104"/>
        <v>4.4999999999959073E-2</v>
      </c>
      <c r="AO309">
        <f t="shared" si="105"/>
        <v>2.0000000000038654E-2</v>
      </c>
      <c r="AP309">
        <v>28</v>
      </c>
      <c r="AQ309">
        <v>1017</v>
      </c>
      <c r="AR309">
        <v>22</v>
      </c>
      <c r="AS309">
        <v>34</v>
      </c>
      <c r="AT309">
        <f t="shared" ref="AT309:AT324" si="107">0.61094*EXP(17.625*AS309/(243.04+AS309))</f>
        <v>5.3137007027131622</v>
      </c>
      <c r="AU309">
        <f t="shared" ref="AU309:AU324" si="108">250-AF309</f>
        <v>77.22999999999999</v>
      </c>
      <c r="AV309">
        <v>1017</v>
      </c>
      <c r="AW309">
        <f t="shared" ref="AW309:AW324" si="109">AP309/AU309*AV309+AV309</f>
        <v>1385.7168198886443</v>
      </c>
      <c r="AX309">
        <f t="shared" ref="AX309:AX324" si="110">18.02*(AT309/(AW309/10-AT309)*1/22300)</f>
        <v>3.2222095655495465E-5</v>
      </c>
      <c r="AY309">
        <f t="shared" ref="AY309:AY324" si="111">(AL309-AM309)/AP309-AX309</f>
        <v>6.8206361863159929E-4</v>
      </c>
      <c r="AZ309">
        <f t="shared" ref="AZ309:AZ324" si="112">AY309*22300</f>
        <v>15.210018695484663</v>
      </c>
      <c r="BA309">
        <f t="shared" ref="BA309:BA324" si="113">(44.01-AZ309)/(44.01-16.04)</f>
        <v>1.0296739830001909</v>
      </c>
    </row>
    <row r="310" spans="1:53" x14ac:dyDescent="0.25">
      <c r="A310" t="s">
        <v>1</v>
      </c>
      <c r="B310" t="s">
        <v>18</v>
      </c>
      <c r="C310">
        <v>10</v>
      </c>
      <c r="G310">
        <f t="shared" si="106"/>
        <v>329.35416666666424</v>
      </c>
      <c r="H310" s="7">
        <v>45044.354166666664</v>
      </c>
      <c r="AF310">
        <v>173.93</v>
      </c>
      <c r="AG310">
        <v>141.25</v>
      </c>
      <c r="AL310">
        <v>324.20999999999998</v>
      </c>
      <c r="AM310">
        <v>324.14999999999998</v>
      </c>
      <c r="AN310">
        <f t="shared" si="104"/>
        <v>2.0000000000038654E-2</v>
      </c>
      <c r="AO310">
        <f t="shared" si="105"/>
        <v>6.0000000000002274E-2</v>
      </c>
      <c r="AP310">
        <v>25.5</v>
      </c>
      <c r="AQ310">
        <v>1017</v>
      </c>
      <c r="AR310">
        <v>22</v>
      </c>
      <c r="AS310">
        <v>34</v>
      </c>
      <c r="AT310">
        <f t="shared" si="107"/>
        <v>5.3137007027131622</v>
      </c>
      <c r="AU310">
        <f t="shared" si="108"/>
        <v>76.069999999999993</v>
      </c>
      <c r="AV310">
        <v>1017</v>
      </c>
      <c r="AW310">
        <f t="shared" si="109"/>
        <v>1357.9162613382412</v>
      </c>
      <c r="AX310">
        <f t="shared" si="110"/>
        <v>3.2908642635704963E-5</v>
      </c>
      <c r="AY310">
        <f t="shared" si="111"/>
        <v>2.3200325338349724E-3</v>
      </c>
      <c r="AZ310">
        <f t="shared" si="112"/>
        <v>51.736725504519882</v>
      </c>
      <c r="BA310">
        <f t="shared" si="113"/>
        <v>-0.27625046494529437</v>
      </c>
    </row>
    <row r="311" spans="1:53" x14ac:dyDescent="0.25">
      <c r="A311" t="s">
        <v>2</v>
      </c>
      <c r="B311" t="s">
        <v>18</v>
      </c>
      <c r="C311">
        <v>10</v>
      </c>
      <c r="G311">
        <f t="shared" si="106"/>
        <v>329.35416666666424</v>
      </c>
      <c r="H311" s="7">
        <v>45044.354166666664</v>
      </c>
      <c r="AF311">
        <v>162.82000000000002</v>
      </c>
      <c r="AG311">
        <v>140.66</v>
      </c>
      <c r="AL311">
        <v>312.52</v>
      </c>
      <c r="AM311">
        <v>312.49</v>
      </c>
      <c r="AN311">
        <f t="shared" si="104"/>
        <v>3.0000000000029559E-2</v>
      </c>
      <c r="AO311">
        <f t="shared" si="105"/>
        <v>2.9999999999972715E-2</v>
      </c>
      <c r="AP311">
        <v>19.5</v>
      </c>
      <c r="AQ311">
        <v>1017</v>
      </c>
      <c r="AR311">
        <v>22</v>
      </c>
      <c r="AS311">
        <v>34</v>
      </c>
      <c r="AT311">
        <f t="shared" si="107"/>
        <v>5.3137007027131622</v>
      </c>
      <c r="AU311">
        <f t="shared" si="108"/>
        <v>87.179999999999978</v>
      </c>
      <c r="AV311">
        <v>1017</v>
      </c>
      <c r="AW311">
        <f t="shared" si="109"/>
        <v>1244.4776324845147</v>
      </c>
      <c r="AX311">
        <f t="shared" si="110"/>
        <v>3.6042180784459375E-5</v>
      </c>
      <c r="AY311">
        <f t="shared" si="111"/>
        <v>1.5024193576756797E-3</v>
      </c>
      <c r="AZ311">
        <f t="shared" si="112"/>
        <v>33.503951676167659</v>
      </c>
      <c r="BA311">
        <f t="shared" si="113"/>
        <v>0.37561845991534998</v>
      </c>
    </row>
    <row r="312" spans="1:53" x14ac:dyDescent="0.25">
      <c r="A312" t="s">
        <v>3</v>
      </c>
      <c r="B312" t="s">
        <v>18</v>
      </c>
      <c r="C312">
        <v>10</v>
      </c>
      <c r="G312">
        <f t="shared" si="106"/>
        <v>329.35416666666424</v>
      </c>
      <c r="H312" s="7">
        <v>45044.354166666664</v>
      </c>
      <c r="AF312">
        <v>187.81</v>
      </c>
      <c r="AG312">
        <v>140</v>
      </c>
      <c r="AL312">
        <v>336.77</v>
      </c>
      <c r="AM312">
        <v>336.74</v>
      </c>
      <c r="AN312">
        <f t="shared" si="104"/>
        <v>3.0000000000029559E-2</v>
      </c>
      <c r="AO312">
        <f t="shared" si="105"/>
        <v>2.9999999999972715E-2</v>
      </c>
      <c r="AP312">
        <v>21.5</v>
      </c>
      <c r="AQ312">
        <v>1017</v>
      </c>
      <c r="AR312">
        <v>22</v>
      </c>
      <c r="AS312">
        <v>34</v>
      </c>
      <c r="AT312">
        <f t="shared" si="107"/>
        <v>5.3137007027131622</v>
      </c>
      <c r="AU312">
        <f t="shared" si="108"/>
        <v>62.19</v>
      </c>
      <c r="AV312">
        <v>1017</v>
      </c>
      <c r="AW312">
        <f t="shared" si="109"/>
        <v>1368.5918958031839</v>
      </c>
      <c r="AX312">
        <f t="shared" si="110"/>
        <v>3.2641571037496756E-5</v>
      </c>
      <c r="AY312">
        <f t="shared" si="111"/>
        <v>1.3627072661705365E-3</v>
      </c>
      <c r="AZ312">
        <f t="shared" si="112"/>
        <v>30.388372035602963</v>
      </c>
      <c r="BA312">
        <f t="shared" si="113"/>
        <v>0.48700850784401273</v>
      </c>
    </row>
    <row r="313" spans="1:53" x14ac:dyDescent="0.25">
      <c r="A313" t="s">
        <v>4</v>
      </c>
      <c r="B313" t="s">
        <v>18</v>
      </c>
      <c r="C313">
        <v>20</v>
      </c>
      <c r="G313">
        <f t="shared" si="106"/>
        <v>329.35416666666424</v>
      </c>
      <c r="H313" s="7">
        <v>45044.354166666664</v>
      </c>
      <c r="AF313">
        <v>181.58</v>
      </c>
      <c r="AG313">
        <v>139.4</v>
      </c>
      <c r="AL313">
        <v>328.64</v>
      </c>
      <c r="AM313">
        <v>328.5</v>
      </c>
      <c r="AN313">
        <f t="shared" si="104"/>
        <v>3.0000000000029559E-2</v>
      </c>
      <c r="AO313">
        <f t="shared" si="105"/>
        <v>0.13999999999998636</v>
      </c>
      <c r="AP313">
        <v>84</v>
      </c>
      <c r="AQ313">
        <v>1017</v>
      </c>
      <c r="AR313">
        <v>22</v>
      </c>
      <c r="AS313">
        <v>34</v>
      </c>
      <c r="AT313">
        <f t="shared" si="107"/>
        <v>5.3137007027131622</v>
      </c>
      <c r="AU313">
        <f t="shared" si="108"/>
        <v>68.419999999999987</v>
      </c>
      <c r="AV313">
        <v>1017</v>
      </c>
      <c r="AW313">
        <f t="shared" si="109"/>
        <v>2265.5822858813217</v>
      </c>
      <c r="AX313">
        <f t="shared" si="110"/>
        <v>1.9407718061548382E-5</v>
      </c>
      <c r="AY313">
        <f t="shared" si="111"/>
        <v>1.6472589486049561E-3</v>
      </c>
      <c r="AZ313">
        <f t="shared" si="112"/>
        <v>36.733874553890523</v>
      </c>
      <c r="BA313">
        <f t="shared" si="113"/>
        <v>0.26014034487341708</v>
      </c>
    </row>
    <row r="314" spans="1:53" x14ac:dyDescent="0.25">
      <c r="A314" t="s">
        <v>5</v>
      </c>
      <c r="B314" t="s">
        <v>18</v>
      </c>
      <c r="C314">
        <v>20</v>
      </c>
      <c r="G314">
        <f t="shared" si="106"/>
        <v>329.35416666666424</v>
      </c>
      <c r="H314" s="7">
        <v>45044.354166666664</v>
      </c>
      <c r="AF314">
        <v>201.8</v>
      </c>
      <c r="AG314">
        <v>139.81</v>
      </c>
      <c r="AL314">
        <v>349.4</v>
      </c>
      <c r="AM314">
        <v>349.3</v>
      </c>
      <c r="AN314">
        <f t="shared" si="104"/>
        <v>4.0000000000020464E-2</v>
      </c>
      <c r="AO314">
        <f t="shared" si="105"/>
        <v>9.9999999999965894E-2</v>
      </c>
      <c r="AP314">
        <v>94</v>
      </c>
      <c r="AQ314">
        <v>1017</v>
      </c>
      <c r="AR314">
        <v>22</v>
      </c>
      <c r="AS314">
        <v>34</v>
      </c>
      <c r="AT314">
        <f t="shared" si="107"/>
        <v>5.3137007027131622</v>
      </c>
      <c r="AU314">
        <f t="shared" si="108"/>
        <v>48.199999999999989</v>
      </c>
      <c r="AV314">
        <v>1017</v>
      </c>
      <c r="AW314">
        <f t="shared" si="109"/>
        <v>3000.3609958506231</v>
      </c>
      <c r="AX314">
        <f t="shared" si="110"/>
        <v>1.4569138403269659E-5</v>
      </c>
      <c r="AY314">
        <f t="shared" si="111"/>
        <v>1.0492606488304102E-3</v>
      </c>
      <c r="AZ314">
        <f t="shared" si="112"/>
        <v>23.398512468918145</v>
      </c>
      <c r="BA314">
        <f t="shared" si="113"/>
        <v>0.73691410550882563</v>
      </c>
    </row>
    <row r="315" spans="1:53" x14ac:dyDescent="0.25">
      <c r="A315" t="s">
        <v>6</v>
      </c>
      <c r="B315" t="s">
        <v>18</v>
      </c>
      <c r="C315">
        <v>20</v>
      </c>
      <c r="G315">
        <f t="shared" si="106"/>
        <v>329.35416666666424</v>
      </c>
      <c r="H315" s="7">
        <v>45044.354166666664</v>
      </c>
      <c r="AF315">
        <v>205.13</v>
      </c>
      <c r="AG315">
        <v>139.01</v>
      </c>
      <c r="AL315">
        <v>351.99</v>
      </c>
      <c r="AM315">
        <v>351.87</v>
      </c>
      <c r="AN315">
        <f t="shared" si="104"/>
        <v>2.4999999999977263E-2</v>
      </c>
      <c r="AO315">
        <f t="shared" si="105"/>
        <v>0.12000000000000455</v>
      </c>
      <c r="AP315">
        <v>78.5</v>
      </c>
      <c r="AQ315">
        <v>1017</v>
      </c>
      <c r="AR315">
        <v>22</v>
      </c>
      <c r="AS315">
        <v>34</v>
      </c>
      <c r="AT315">
        <f t="shared" si="107"/>
        <v>5.3137007027131622</v>
      </c>
      <c r="AU315">
        <f t="shared" si="108"/>
        <v>44.870000000000005</v>
      </c>
      <c r="AV315">
        <v>1017</v>
      </c>
      <c r="AW315">
        <f t="shared" si="109"/>
        <v>2796.2400267439266</v>
      </c>
      <c r="AX315">
        <f t="shared" si="110"/>
        <v>1.5653263435596011E-5</v>
      </c>
      <c r="AY315">
        <f t="shared" si="111"/>
        <v>1.5130091569466274E-3</v>
      </c>
      <c r="AZ315">
        <f t="shared" si="112"/>
        <v>33.740104199909794</v>
      </c>
      <c r="BA315">
        <f t="shared" si="113"/>
        <v>0.36717539506936731</v>
      </c>
    </row>
    <row r="316" spans="1:53" x14ac:dyDescent="0.25">
      <c r="A316" t="s">
        <v>7</v>
      </c>
      <c r="B316" t="s">
        <v>18</v>
      </c>
      <c r="C316">
        <v>20</v>
      </c>
      <c r="G316">
        <f t="shared" si="106"/>
        <v>329.35416666666424</v>
      </c>
      <c r="H316" s="7">
        <v>45044.354166666664</v>
      </c>
      <c r="AF316">
        <v>177.85000000000002</v>
      </c>
      <c r="AG316">
        <v>139.94999999999999</v>
      </c>
      <c r="AL316">
        <v>326.08</v>
      </c>
      <c r="AM316">
        <v>326</v>
      </c>
      <c r="AN316">
        <f t="shared" si="104"/>
        <v>4.0000000000020464E-2</v>
      </c>
      <c r="AO316">
        <f t="shared" si="105"/>
        <v>7.9999999999984084E-2</v>
      </c>
      <c r="AP316">
        <v>42</v>
      </c>
      <c r="AQ316">
        <v>1017</v>
      </c>
      <c r="AR316">
        <v>22</v>
      </c>
      <c r="AS316">
        <v>34</v>
      </c>
      <c r="AT316">
        <f t="shared" si="107"/>
        <v>5.3137007027131622</v>
      </c>
      <c r="AU316">
        <f t="shared" si="108"/>
        <v>72.149999999999977</v>
      </c>
      <c r="AV316">
        <v>1017</v>
      </c>
      <c r="AW316">
        <f t="shared" si="109"/>
        <v>1609.0166320166322</v>
      </c>
      <c r="AX316">
        <f t="shared" si="110"/>
        <v>2.7597581142497233E-5</v>
      </c>
      <c r="AY316">
        <f t="shared" si="111"/>
        <v>1.8771643236190285E-3</v>
      </c>
      <c r="AZ316">
        <f t="shared" si="112"/>
        <v>41.860764416704335</v>
      </c>
      <c r="BA316">
        <f t="shared" si="113"/>
        <v>7.6840743056691571E-2</v>
      </c>
    </row>
    <row r="317" spans="1:53" x14ac:dyDescent="0.25">
      <c r="A317" t="s">
        <v>8</v>
      </c>
      <c r="B317" t="s">
        <v>19</v>
      </c>
      <c r="C317">
        <v>10</v>
      </c>
      <c r="G317">
        <f t="shared" si="106"/>
        <v>329.35416666666424</v>
      </c>
      <c r="H317" s="7">
        <v>45044.354166666664</v>
      </c>
      <c r="AF317">
        <v>142.11999999999998</v>
      </c>
      <c r="AG317">
        <v>139.71</v>
      </c>
      <c r="AL317">
        <v>290.01</v>
      </c>
      <c r="AM317">
        <v>289.86</v>
      </c>
      <c r="AN317">
        <f t="shared" si="104"/>
        <v>5.0000000000011369E-2</v>
      </c>
      <c r="AO317">
        <f t="shared" si="105"/>
        <v>0.14999999999997726</v>
      </c>
      <c r="AP317">
        <v>143</v>
      </c>
      <c r="AQ317">
        <v>1017</v>
      </c>
      <c r="AR317">
        <v>22</v>
      </c>
      <c r="AS317">
        <v>34</v>
      </c>
      <c r="AT317">
        <f t="shared" si="107"/>
        <v>5.3137007027131622</v>
      </c>
      <c r="AU317">
        <f t="shared" si="108"/>
        <v>107.88000000000002</v>
      </c>
      <c r="AV317">
        <v>1017</v>
      </c>
      <c r="AW317">
        <f t="shared" si="109"/>
        <v>2365.0812013348159</v>
      </c>
      <c r="AX317">
        <f t="shared" si="110"/>
        <v>1.8572470003526154E-5</v>
      </c>
      <c r="AY317">
        <f t="shared" si="111"/>
        <v>1.0303785789473638E-3</v>
      </c>
      <c r="AZ317">
        <f t="shared" si="112"/>
        <v>22.977442310526211</v>
      </c>
      <c r="BA317">
        <f t="shared" si="113"/>
        <v>0.75196845511168353</v>
      </c>
    </row>
    <row r="318" spans="1:53" x14ac:dyDescent="0.25">
      <c r="A318" t="s">
        <v>9</v>
      </c>
      <c r="B318" t="s">
        <v>19</v>
      </c>
      <c r="C318">
        <v>10</v>
      </c>
      <c r="G318">
        <f t="shared" si="106"/>
        <v>329.35416666666424</v>
      </c>
      <c r="H318" s="7">
        <v>45044.354166666664</v>
      </c>
      <c r="AF318">
        <v>136.42000000000002</v>
      </c>
      <c r="AG318">
        <v>139.75</v>
      </c>
      <c r="AL318">
        <v>284.37</v>
      </c>
      <c r="AM318">
        <v>284.25</v>
      </c>
      <c r="AN318">
        <f t="shared" si="104"/>
        <v>2.9999999999972715E-2</v>
      </c>
      <c r="AO318">
        <f t="shared" si="105"/>
        <v>0.12000000000000455</v>
      </c>
      <c r="AP318">
        <v>95</v>
      </c>
      <c r="AQ318">
        <v>1017</v>
      </c>
      <c r="AR318">
        <v>22</v>
      </c>
      <c r="AS318">
        <v>34</v>
      </c>
      <c r="AT318">
        <f t="shared" si="107"/>
        <v>5.3137007027131622</v>
      </c>
      <c r="AU318">
        <f t="shared" si="108"/>
        <v>113.57999999999998</v>
      </c>
      <c r="AV318">
        <v>1017</v>
      </c>
      <c r="AW318">
        <f t="shared" si="109"/>
        <v>1867.6339144215531</v>
      </c>
      <c r="AX318">
        <f t="shared" si="110"/>
        <v>2.3664142949829934E-5</v>
      </c>
      <c r="AY318">
        <f t="shared" si="111"/>
        <v>1.2394937517870601E-3</v>
      </c>
      <c r="AZ318">
        <f t="shared" si="112"/>
        <v>27.64071066485144</v>
      </c>
      <c r="BA318">
        <f t="shared" si="113"/>
        <v>0.58524452395954807</v>
      </c>
    </row>
    <row r="319" spans="1:53" x14ac:dyDescent="0.25">
      <c r="A319" t="s">
        <v>10</v>
      </c>
      <c r="B319" t="s">
        <v>19</v>
      </c>
      <c r="C319">
        <v>10</v>
      </c>
      <c r="G319">
        <f t="shared" si="106"/>
        <v>329.35416666666424</v>
      </c>
      <c r="H319" s="7">
        <v>45044.354166666664</v>
      </c>
      <c r="AF319">
        <v>117.85000000000002</v>
      </c>
      <c r="AG319">
        <v>140.44999999999999</v>
      </c>
      <c r="AL319">
        <v>266.24</v>
      </c>
      <c r="AM319">
        <v>266.10000000000002</v>
      </c>
      <c r="AN319">
        <f t="shared" si="104"/>
        <v>3.999999999996362E-2</v>
      </c>
      <c r="AO319">
        <f t="shared" si="105"/>
        <v>0.13999999999998636</v>
      </c>
      <c r="AP319">
        <v>103</v>
      </c>
      <c r="AQ319">
        <v>1017</v>
      </c>
      <c r="AR319">
        <v>22</v>
      </c>
      <c r="AS319">
        <v>34</v>
      </c>
      <c r="AT319">
        <f t="shared" si="107"/>
        <v>5.3137007027131622</v>
      </c>
      <c r="AU319">
        <f t="shared" si="108"/>
        <v>132.14999999999998</v>
      </c>
      <c r="AV319">
        <v>1017</v>
      </c>
      <c r="AW319">
        <f t="shared" si="109"/>
        <v>1809.6674233825202</v>
      </c>
      <c r="AX319">
        <f t="shared" si="110"/>
        <v>2.44450729681634E-5</v>
      </c>
      <c r="AY319">
        <f t="shared" si="111"/>
        <v>1.334778228002578E-3</v>
      </c>
      <c r="AZ319">
        <f t="shared" si="112"/>
        <v>29.765554484457489</v>
      </c>
      <c r="BA319">
        <f t="shared" si="113"/>
        <v>0.50927584967974648</v>
      </c>
    </row>
    <row r="320" spans="1:53" x14ac:dyDescent="0.25">
      <c r="A320" t="s">
        <v>11</v>
      </c>
      <c r="B320" t="s">
        <v>19</v>
      </c>
      <c r="C320">
        <v>10</v>
      </c>
      <c r="G320">
        <f t="shared" si="106"/>
        <v>329.35416666666424</v>
      </c>
      <c r="H320" s="7">
        <v>45044.354166666664</v>
      </c>
      <c r="AF320">
        <v>107.53</v>
      </c>
      <c r="AG320">
        <v>140</v>
      </c>
      <c r="AL320">
        <v>256.08</v>
      </c>
      <c r="AM320">
        <v>255.96</v>
      </c>
      <c r="AN320">
        <f t="shared" si="104"/>
        <v>9.9999999999909051E-3</v>
      </c>
      <c r="AO320">
        <f t="shared" si="105"/>
        <v>0.11999999999997613</v>
      </c>
      <c r="AP320">
        <v>106.5</v>
      </c>
      <c r="AQ320">
        <v>1017</v>
      </c>
      <c r="AR320">
        <v>22</v>
      </c>
      <c r="AS320">
        <v>34</v>
      </c>
      <c r="AT320">
        <f t="shared" si="107"/>
        <v>5.3137007027131622</v>
      </c>
      <c r="AU320">
        <f t="shared" si="108"/>
        <v>142.47</v>
      </c>
      <c r="AV320">
        <v>1017</v>
      </c>
      <c r="AW320">
        <f t="shared" si="109"/>
        <v>1777.2337334175616</v>
      </c>
      <c r="AX320">
        <f t="shared" si="110"/>
        <v>2.4904933430563388E-5</v>
      </c>
      <c r="AY320">
        <f t="shared" si="111"/>
        <v>1.1018556299494942E-3</v>
      </c>
      <c r="AZ320">
        <f t="shared" si="112"/>
        <v>24.571380547873719</v>
      </c>
      <c r="BA320">
        <f t="shared" si="113"/>
        <v>0.69498103153830104</v>
      </c>
    </row>
    <row r="321" spans="1:53" x14ac:dyDescent="0.25">
      <c r="A321" t="s">
        <v>12</v>
      </c>
      <c r="B321" t="s">
        <v>19</v>
      </c>
      <c r="C321">
        <v>20</v>
      </c>
      <c r="G321">
        <f t="shared" si="106"/>
        <v>329.35416666666424</v>
      </c>
      <c r="H321" s="7">
        <v>45044.354166666664</v>
      </c>
      <c r="AF321">
        <v>109.43</v>
      </c>
      <c r="AG321">
        <v>140.19999999999999</v>
      </c>
      <c r="AL321">
        <v>257.94</v>
      </c>
      <c r="AM321">
        <v>257.89999999999998</v>
      </c>
      <c r="AN321">
        <f t="shared" si="104"/>
        <v>4.0000000000020464E-2</v>
      </c>
      <c r="AO321">
        <f t="shared" si="105"/>
        <v>4.0000000000020464E-2</v>
      </c>
      <c r="AP321">
        <v>31.5</v>
      </c>
      <c r="AQ321">
        <v>1017</v>
      </c>
      <c r="AR321">
        <v>22</v>
      </c>
      <c r="AS321">
        <v>34</v>
      </c>
      <c r="AT321">
        <f t="shared" si="107"/>
        <v>5.3137007027131622</v>
      </c>
      <c r="AU321">
        <f t="shared" si="108"/>
        <v>140.57</v>
      </c>
      <c r="AV321">
        <v>1017</v>
      </c>
      <c r="AW321">
        <f t="shared" si="109"/>
        <v>1244.8971331009461</v>
      </c>
      <c r="AX321">
        <f t="shared" si="110"/>
        <v>3.6029493905006198E-5</v>
      </c>
      <c r="AY321">
        <f t="shared" si="111"/>
        <v>1.2338117759369133E-3</v>
      </c>
      <c r="AZ321">
        <f t="shared" si="112"/>
        <v>27.514002603393166</v>
      </c>
      <c r="BA321">
        <f t="shared" si="113"/>
        <v>0.58977466559194969</v>
      </c>
    </row>
    <row r="322" spans="1:53" x14ac:dyDescent="0.25">
      <c r="A322" t="s">
        <v>13</v>
      </c>
      <c r="B322" t="s">
        <v>19</v>
      </c>
      <c r="C322">
        <v>20</v>
      </c>
      <c r="G322">
        <f t="shared" si="106"/>
        <v>329.35416666666424</v>
      </c>
      <c r="H322" s="7">
        <v>45044.354166666664</v>
      </c>
      <c r="AF322">
        <v>129.52999999999997</v>
      </c>
      <c r="AG322">
        <v>140.24</v>
      </c>
      <c r="AL322">
        <v>278.12</v>
      </c>
      <c r="AM322">
        <v>278.08999999999997</v>
      </c>
      <c r="AN322">
        <f t="shared" si="104"/>
        <v>2.9999999999972715E-2</v>
      </c>
      <c r="AO322">
        <f t="shared" si="105"/>
        <v>3.0000000000029559E-2</v>
      </c>
      <c r="AP322">
        <v>32</v>
      </c>
      <c r="AQ322">
        <v>1017</v>
      </c>
      <c r="AR322">
        <v>22</v>
      </c>
      <c r="AS322">
        <v>34</v>
      </c>
      <c r="AT322">
        <f t="shared" si="107"/>
        <v>5.3137007027131622</v>
      </c>
      <c r="AU322">
        <f t="shared" si="108"/>
        <v>120.47000000000003</v>
      </c>
      <c r="AV322">
        <v>1017</v>
      </c>
      <c r="AW322">
        <f t="shared" si="109"/>
        <v>1287.1419440524612</v>
      </c>
      <c r="AX322">
        <f t="shared" si="110"/>
        <v>3.4796063540971499E-5</v>
      </c>
      <c r="AY322">
        <f t="shared" si="111"/>
        <v>9.0270393645995226E-4</v>
      </c>
      <c r="AZ322">
        <f t="shared" si="112"/>
        <v>20.130297783056935</v>
      </c>
      <c r="BA322">
        <f t="shared" si="113"/>
        <v>0.85376125194648067</v>
      </c>
    </row>
    <row r="323" spans="1:53" x14ac:dyDescent="0.25">
      <c r="A323" t="s">
        <v>14</v>
      </c>
      <c r="B323" t="s">
        <v>19</v>
      </c>
      <c r="C323">
        <v>20</v>
      </c>
      <c r="G323">
        <f t="shared" si="106"/>
        <v>329.35416666666424</v>
      </c>
      <c r="H323" s="7">
        <v>45044.354166666664</v>
      </c>
      <c r="AF323">
        <v>94.359999999999985</v>
      </c>
      <c r="AG323">
        <v>138.74</v>
      </c>
      <c r="AL323">
        <v>241.41</v>
      </c>
      <c r="AM323">
        <v>241.38</v>
      </c>
      <c r="AN323">
        <f t="shared" si="104"/>
        <v>2.5000000000005684E-2</v>
      </c>
      <c r="AO323">
        <f t="shared" si="105"/>
        <v>3.0000000000001137E-2</v>
      </c>
      <c r="AP323">
        <v>20</v>
      </c>
      <c r="AQ323">
        <v>1017</v>
      </c>
      <c r="AR323">
        <v>22</v>
      </c>
      <c r="AS323">
        <v>34</v>
      </c>
      <c r="AT323">
        <f t="shared" si="107"/>
        <v>5.3137007027131622</v>
      </c>
      <c r="AU323">
        <f t="shared" si="108"/>
        <v>155.64000000000001</v>
      </c>
      <c r="AV323">
        <v>1017</v>
      </c>
      <c r="AW323">
        <f t="shared" si="109"/>
        <v>1147.6861989205859</v>
      </c>
      <c r="AX323">
        <f t="shared" si="110"/>
        <v>3.9229405600607889E-5</v>
      </c>
      <c r="AY323">
        <f t="shared" si="111"/>
        <v>1.4607705943994491E-3</v>
      </c>
      <c r="AZ323">
        <f t="shared" si="112"/>
        <v>32.575184255107715</v>
      </c>
      <c r="BA323">
        <f t="shared" si="113"/>
        <v>0.40882430264184066</v>
      </c>
    </row>
    <row r="324" spans="1:53" x14ac:dyDescent="0.25">
      <c r="A324" t="s">
        <v>15</v>
      </c>
      <c r="B324" t="s">
        <v>19</v>
      </c>
      <c r="C324">
        <v>20</v>
      </c>
      <c r="G324">
        <f t="shared" si="106"/>
        <v>329.35416666666424</v>
      </c>
      <c r="H324" s="7">
        <v>45044.354166666664</v>
      </c>
      <c r="AF324">
        <v>85.4</v>
      </c>
      <c r="AG324">
        <v>140.1</v>
      </c>
      <c r="AL324">
        <v>233.91</v>
      </c>
      <c r="AM324">
        <v>233.84</v>
      </c>
      <c r="AN324">
        <f t="shared" si="104"/>
        <v>2.0000000000010232E-2</v>
      </c>
      <c r="AO324">
        <f t="shared" si="105"/>
        <v>6.9999999999993179E-2</v>
      </c>
      <c r="AP324">
        <v>27.5</v>
      </c>
      <c r="AQ324">
        <v>1017</v>
      </c>
      <c r="AR324">
        <v>22</v>
      </c>
      <c r="AS324">
        <v>34</v>
      </c>
      <c r="AT324">
        <f t="shared" si="107"/>
        <v>5.3137007027131622</v>
      </c>
      <c r="AU324">
        <f t="shared" si="108"/>
        <v>164.6</v>
      </c>
      <c r="AV324">
        <v>1017</v>
      </c>
      <c r="AW324">
        <f t="shared" si="109"/>
        <v>1186.9119076549209</v>
      </c>
      <c r="AX324">
        <f t="shared" si="110"/>
        <v>3.7872168606687422E-5</v>
      </c>
      <c r="AY324">
        <f t="shared" si="111"/>
        <v>2.5075823768476099E-3</v>
      </c>
      <c r="AZ324">
        <f t="shared" si="112"/>
        <v>55.919087003701705</v>
      </c>
      <c r="BA324">
        <f t="shared" si="113"/>
        <v>-0.42578072948522372</v>
      </c>
    </row>
    <row r="325" spans="1:53" x14ac:dyDescent="0.25">
      <c r="A325" t="s">
        <v>0</v>
      </c>
      <c r="B325" t="s">
        <v>18</v>
      </c>
      <c r="C325">
        <v>10</v>
      </c>
      <c r="G325">
        <f t="shared" si="106"/>
        <v>332.58333333333576</v>
      </c>
      <c r="H325" s="7">
        <v>45047.583333333336</v>
      </c>
      <c r="AF325">
        <v>172.77</v>
      </c>
      <c r="AG325">
        <v>139.16999999999999</v>
      </c>
      <c r="AL325">
        <v>320.93</v>
      </c>
      <c r="AM325">
        <v>320.89</v>
      </c>
      <c r="AN325">
        <f t="shared" si="104"/>
        <v>1.999999999998181E-2</v>
      </c>
      <c r="AO325">
        <f t="shared" si="105"/>
        <v>4.0000000000020464E-2</v>
      </c>
      <c r="AP325">
        <v>35.5</v>
      </c>
      <c r="AQ325">
        <v>1013</v>
      </c>
      <c r="AR325">
        <v>22</v>
      </c>
      <c r="AS325">
        <v>34</v>
      </c>
      <c r="AT325">
        <f t="shared" ref="AT325:AT340" si="114">0.61094*EXP(17.625*AS325/(243.04+AS325))</f>
        <v>5.3137007027131622</v>
      </c>
      <c r="AU325">
        <f t="shared" ref="AU325:AU340" si="115">250-AF325</f>
        <v>77.22999999999999</v>
      </c>
      <c r="AV325">
        <v>1013</v>
      </c>
      <c r="AW325">
        <f t="shared" ref="AW325:AW340" si="116">AP325/AU325*AV325+AV325</f>
        <v>1478.6415900556779</v>
      </c>
      <c r="AX325">
        <f t="shared" ref="AX325:AX340" si="117">18.02*(AT325/(AW325/10-AT325)*1/22300)</f>
        <v>3.0121624798554614E-5</v>
      </c>
      <c r="AY325">
        <f t="shared" ref="AY325:AY340" si="118">(AL325-AM325)/AP325-AX325</f>
        <v>1.0966389385823035E-3</v>
      </c>
      <c r="AZ325">
        <f t="shared" ref="AZ325:AZ340" si="119">AY325*22300</f>
        <v>24.455048330385367</v>
      </c>
      <c r="BA325">
        <f t="shared" ref="BA325:BA340" si="120">(44.01-AZ325)/(44.01-16.04)</f>
        <v>0.69914020985393754</v>
      </c>
    </row>
    <row r="326" spans="1:53" x14ac:dyDescent="0.25">
      <c r="A326" t="s">
        <v>1</v>
      </c>
      <c r="B326" t="s">
        <v>18</v>
      </c>
      <c r="C326">
        <v>10</v>
      </c>
      <c r="G326">
        <f t="shared" si="106"/>
        <v>332.58333333333576</v>
      </c>
      <c r="H326" s="7">
        <v>45047.583333333336</v>
      </c>
      <c r="AF326">
        <v>173.93</v>
      </c>
      <c r="AG326">
        <v>141.25</v>
      </c>
      <c r="AL326">
        <v>324.14999999999998</v>
      </c>
      <c r="AM326">
        <v>324.10000000000002</v>
      </c>
      <c r="AN326">
        <f t="shared" si="104"/>
        <v>0</v>
      </c>
      <c r="AO326">
        <f t="shared" si="105"/>
        <v>4.9999999999954525E-2</v>
      </c>
      <c r="AP326">
        <v>33</v>
      </c>
      <c r="AQ326">
        <v>1013</v>
      </c>
      <c r="AR326">
        <v>22</v>
      </c>
      <c r="AS326">
        <v>34</v>
      </c>
      <c r="AT326">
        <f t="shared" si="114"/>
        <v>5.3137007027131622</v>
      </c>
      <c r="AU326">
        <f t="shared" si="115"/>
        <v>76.069999999999993</v>
      </c>
      <c r="AV326">
        <v>1013</v>
      </c>
      <c r="AW326">
        <f t="shared" si="116"/>
        <v>1452.4505061127909</v>
      </c>
      <c r="AX326">
        <f t="shared" si="117"/>
        <v>3.0685414116752847E-5</v>
      </c>
      <c r="AY326">
        <f t="shared" si="118"/>
        <v>1.4844661010333842E-3</v>
      </c>
      <c r="AZ326">
        <f t="shared" si="119"/>
        <v>33.103594053044468</v>
      </c>
      <c r="BA326">
        <f t="shared" si="120"/>
        <v>0.38993228269415553</v>
      </c>
    </row>
    <row r="327" spans="1:53" x14ac:dyDescent="0.25">
      <c r="A327" t="s">
        <v>2</v>
      </c>
      <c r="B327" t="s">
        <v>18</v>
      </c>
      <c r="C327">
        <v>10</v>
      </c>
      <c r="G327">
        <f t="shared" si="106"/>
        <v>332.58333333333576</v>
      </c>
      <c r="H327" s="7">
        <v>45047.583333333336</v>
      </c>
      <c r="AF327">
        <v>162.82000000000002</v>
      </c>
      <c r="AG327">
        <v>140.66</v>
      </c>
      <c r="AL327">
        <v>312.49</v>
      </c>
      <c r="AM327">
        <v>312.45</v>
      </c>
      <c r="AN327">
        <f t="shared" si="104"/>
        <v>0</v>
      </c>
      <c r="AO327">
        <f t="shared" si="105"/>
        <v>4.0000000000020464E-2</v>
      </c>
      <c r="AP327">
        <v>24</v>
      </c>
      <c r="AQ327">
        <v>1013</v>
      </c>
      <c r="AR327">
        <v>22</v>
      </c>
      <c r="AS327">
        <v>34</v>
      </c>
      <c r="AT327">
        <f t="shared" si="114"/>
        <v>5.3137007027131622</v>
      </c>
      <c r="AU327">
        <f t="shared" si="115"/>
        <v>87.179999999999978</v>
      </c>
      <c r="AV327">
        <v>1013</v>
      </c>
      <c r="AW327">
        <f t="shared" si="116"/>
        <v>1291.8713007570545</v>
      </c>
      <c r="AX327">
        <f t="shared" si="117"/>
        <v>3.4663215845356782E-5</v>
      </c>
      <c r="AY327">
        <f t="shared" si="118"/>
        <v>1.6320034508221625E-3</v>
      </c>
      <c r="AZ327">
        <f t="shared" si="119"/>
        <v>36.393676953334221</v>
      </c>
      <c r="BA327">
        <f t="shared" si="120"/>
        <v>0.27230329090689226</v>
      </c>
    </row>
    <row r="328" spans="1:53" x14ac:dyDescent="0.25">
      <c r="A328" t="s">
        <v>3</v>
      </c>
      <c r="B328" t="s">
        <v>18</v>
      </c>
      <c r="C328">
        <v>10</v>
      </c>
      <c r="G328">
        <f t="shared" si="106"/>
        <v>332.58333333333576</v>
      </c>
      <c r="H328" s="7">
        <v>45047.583333333336</v>
      </c>
      <c r="AF328">
        <v>187.81</v>
      </c>
      <c r="AG328">
        <v>140</v>
      </c>
      <c r="AL328">
        <v>336.73</v>
      </c>
      <c r="AM328">
        <v>336.7</v>
      </c>
      <c r="AN328">
        <f t="shared" si="104"/>
        <v>9.9999999999909051E-3</v>
      </c>
      <c r="AO328">
        <f t="shared" si="105"/>
        <v>3.0000000000029559E-2</v>
      </c>
      <c r="AP328">
        <v>23</v>
      </c>
      <c r="AQ328">
        <v>1013</v>
      </c>
      <c r="AR328">
        <v>22</v>
      </c>
      <c r="AS328">
        <v>34</v>
      </c>
      <c r="AT328">
        <f t="shared" si="114"/>
        <v>5.3137007027131622</v>
      </c>
      <c r="AU328">
        <f t="shared" si="115"/>
        <v>62.19</v>
      </c>
      <c r="AV328">
        <v>1013</v>
      </c>
      <c r="AW328">
        <f t="shared" si="116"/>
        <v>1387.6422254381732</v>
      </c>
      <c r="AX328">
        <f t="shared" si="117"/>
        <v>3.2175606064494539E-5</v>
      </c>
      <c r="AY328">
        <f t="shared" si="118"/>
        <v>1.2721722200237471E-3</v>
      </c>
      <c r="AZ328">
        <f t="shared" si="119"/>
        <v>28.369440506529561</v>
      </c>
      <c r="BA328">
        <f t="shared" si="120"/>
        <v>0.55919054320595063</v>
      </c>
    </row>
    <row r="329" spans="1:53" x14ac:dyDescent="0.25">
      <c r="A329" t="s">
        <v>4</v>
      </c>
      <c r="B329" t="s">
        <v>18</v>
      </c>
      <c r="C329">
        <v>20</v>
      </c>
      <c r="G329">
        <f t="shared" si="106"/>
        <v>332.58333333333576</v>
      </c>
      <c r="H329" s="7">
        <v>45047.583333333336</v>
      </c>
      <c r="AF329">
        <v>181.58</v>
      </c>
      <c r="AG329">
        <v>139.4</v>
      </c>
      <c r="AL329">
        <v>328.5</v>
      </c>
      <c r="AM329">
        <v>328.39</v>
      </c>
      <c r="AN329">
        <f t="shared" si="104"/>
        <v>0</v>
      </c>
      <c r="AO329">
        <f t="shared" si="105"/>
        <v>0.11000000000001364</v>
      </c>
      <c r="AP329">
        <f>61.5+27</f>
        <v>88.5</v>
      </c>
      <c r="AQ329">
        <v>1013</v>
      </c>
      <c r="AR329">
        <v>22</v>
      </c>
      <c r="AS329">
        <v>34</v>
      </c>
      <c r="AT329">
        <f t="shared" si="114"/>
        <v>5.3137007027131622</v>
      </c>
      <c r="AU329">
        <f t="shared" si="115"/>
        <v>68.419999999999987</v>
      </c>
      <c r="AV329">
        <v>1013</v>
      </c>
      <c r="AW329">
        <f t="shared" si="116"/>
        <v>2323.2966968722599</v>
      </c>
      <c r="AX329">
        <f t="shared" si="117"/>
        <v>1.8914314438177348E-5</v>
      </c>
      <c r="AY329">
        <f t="shared" si="118"/>
        <v>1.2240235386693215E-3</v>
      </c>
      <c r="AZ329">
        <f t="shared" si="119"/>
        <v>27.29572491232587</v>
      </c>
      <c r="BA329">
        <f t="shared" si="120"/>
        <v>0.59757865883711581</v>
      </c>
    </row>
    <row r="330" spans="1:53" x14ac:dyDescent="0.25">
      <c r="A330" t="s">
        <v>5</v>
      </c>
      <c r="B330" t="s">
        <v>18</v>
      </c>
      <c r="C330">
        <v>20</v>
      </c>
      <c r="G330">
        <f t="shared" si="106"/>
        <v>332.58333333333576</v>
      </c>
      <c r="H330" s="7">
        <v>45047.583333333336</v>
      </c>
      <c r="AF330">
        <v>201.8</v>
      </c>
      <c r="AG330">
        <v>139.81</v>
      </c>
      <c r="AL330">
        <v>349.29</v>
      </c>
      <c r="AM330">
        <v>349.18</v>
      </c>
      <c r="AN330">
        <f t="shared" si="104"/>
        <v>9.9999999999909051E-3</v>
      </c>
      <c r="AO330">
        <f t="shared" si="105"/>
        <v>0.11000000000001364</v>
      </c>
      <c r="AP330">
        <f>51+42</f>
        <v>93</v>
      </c>
      <c r="AQ330">
        <v>1013</v>
      </c>
      <c r="AR330">
        <v>22</v>
      </c>
      <c r="AS330">
        <v>34</v>
      </c>
      <c r="AT330">
        <f t="shared" si="114"/>
        <v>5.3137007027131622</v>
      </c>
      <c r="AU330">
        <f t="shared" si="115"/>
        <v>48.199999999999989</v>
      </c>
      <c r="AV330">
        <v>1013</v>
      </c>
      <c r="AW330">
        <f t="shared" si="116"/>
        <v>2967.5435684647309</v>
      </c>
      <c r="AX330">
        <f t="shared" si="117"/>
        <v>1.4733192948009793E-5</v>
      </c>
      <c r="AY330">
        <f t="shared" si="118"/>
        <v>1.1680625059768681E-3</v>
      </c>
      <c r="AZ330">
        <f t="shared" si="119"/>
        <v>26.047793883284161</v>
      </c>
      <c r="BA330">
        <f t="shared" si="120"/>
        <v>0.64219542784110972</v>
      </c>
    </row>
    <row r="331" spans="1:53" x14ac:dyDescent="0.25">
      <c r="A331" t="s">
        <v>6</v>
      </c>
      <c r="B331" t="s">
        <v>18</v>
      </c>
      <c r="C331">
        <v>20</v>
      </c>
      <c r="G331">
        <f t="shared" si="106"/>
        <v>332.58333333333576</v>
      </c>
      <c r="H331" s="7">
        <v>45047.583333333336</v>
      </c>
      <c r="AF331">
        <v>205.13</v>
      </c>
      <c r="AG331">
        <v>139.01</v>
      </c>
      <c r="AL331">
        <v>351.87</v>
      </c>
      <c r="AM331">
        <v>351.77</v>
      </c>
      <c r="AN331">
        <f t="shared" si="104"/>
        <v>0</v>
      </c>
      <c r="AO331">
        <f t="shared" si="105"/>
        <v>0.10000000000002274</v>
      </c>
      <c r="AP331">
        <f>61.5+23</f>
        <v>84.5</v>
      </c>
      <c r="AQ331">
        <v>1013</v>
      </c>
      <c r="AR331">
        <v>22</v>
      </c>
      <c r="AS331">
        <v>34</v>
      </c>
      <c r="AT331">
        <f t="shared" si="114"/>
        <v>5.3137007027131622</v>
      </c>
      <c r="AU331">
        <f t="shared" si="115"/>
        <v>44.870000000000005</v>
      </c>
      <c r="AV331">
        <v>1013</v>
      </c>
      <c r="AW331">
        <f t="shared" si="116"/>
        <v>2920.7000222866054</v>
      </c>
      <c r="AX331">
        <f t="shared" si="117"/>
        <v>1.497386943900188E-5</v>
      </c>
      <c r="AY331">
        <f t="shared" si="118"/>
        <v>1.1684580832239892E-3</v>
      </c>
      <c r="AZ331">
        <f t="shared" si="119"/>
        <v>26.056615255894958</v>
      </c>
      <c r="BA331">
        <f t="shared" si="120"/>
        <v>0.64188004090472084</v>
      </c>
    </row>
    <row r="332" spans="1:53" x14ac:dyDescent="0.25">
      <c r="A332" t="s">
        <v>7</v>
      </c>
      <c r="B332" t="s">
        <v>18</v>
      </c>
      <c r="C332">
        <v>20</v>
      </c>
      <c r="G332">
        <f t="shared" si="106"/>
        <v>332.58333333333576</v>
      </c>
      <c r="H332" s="7">
        <v>45047.583333333336</v>
      </c>
      <c r="AF332">
        <v>177.85000000000002</v>
      </c>
      <c r="AG332">
        <v>139.94999999999999</v>
      </c>
      <c r="AL332">
        <v>326</v>
      </c>
      <c r="AM332">
        <v>325.91500000000002</v>
      </c>
      <c r="AN332">
        <f t="shared" si="104"/>
        <v>0</v>
      </c>
      <c r="AO332">
        <f t="shared" si="105"/>
        <v>8.4999999999979536E-2</v>
      </c>
      <c r="AP332">
        <v>44</v>
      </c>
      <c r="AQ332">
        <v>1013</v>
      </c>
      <c r="AR332">
        <v>22</v>
      </c>
      <c r="AS332">
        <v>34</v>
      </c>
      <c r="AT332">
        <f t="shared" si="114"/>
        <v>5.3137007027131622</v>
      </c>
      <c r="AU332">
        <f t="shared" si="115"/>
        <v>72.149999999999977</v>
      </c>
      <c r="AV332">
        <v>1013</v>
      </c>
      <c r="AW332">
        <f t="shared" si="116"/>
        <v>1630.768537768538</v>
      </c>
      <c r="AX332">
        <f t="shared" si="117"/>
        <v>2.7217074051776206E-5</v>
      </c>
      <c r="AY332">
        <f t="shared" si="118"/>
        <v>1.9046011077659406E-3</v>
      </c>
      <c r="AZ332">
        <f t="shared" si="119"/>
        <v>42.472604703180473</v>
      </c>
      <c r="BA332">
        <f t="shared" si="120"/>
        <v>5.496586688664732E-2</v>
      </c>
    </row>
    <row r="333" spans="1:53" x14ac:dyDescent="0.25">
      <c r="A333" t="s">
        <v>8</v>
      </c>
      <c r="B333" t="s">
        <v>19</v>
      </c>
      <c r="C333">
        <v>10</v>
      </c>
      <c r="G333">
        <f t="shared" si="106"/>
        <v>332.58333333333576</v>
      </c>
      <c r="H333" s="7">
        <v>45047.583333333336</v>
      </c>
      <c r="AF333">
        <v>142.11999999999998</v>
      </c>
      <c r="AG333">
        <v>139.71</v>
      </c>
      <c r="AL333">
        <v>289.83999999999997</v>
      </c>
      <c r="AM333">
        <v>289.64</v>
      </c>
      <c r="AN333">
        <f t="shared" si="104"/>
        <v>2.0000000000038654E-2</v>
      </c>
      <c r="AO333">
        <f t="shared" si="105"/>
        <v>0.19999999999998863</v>
      </c>
      <c r="AP333">
        <f>61.5+64+65.5</f>
        <v>191</v>
      </c>
      <c r="AQ333">
        <v>1013</v>
      </c>
      <c r="AR333">
        <v>22</v>
      </c>
      <c r="AS333">
        <v>34</v>
      </c>
      <c r="AT333">
        <f t="shared" si="114"/>
        <v>5.3137007027131622</v>
      </c>
      <c r="AU333">
        <f t="shared" si="115"/>
        <v>107.88000000000002</v>
      </c>
      <c r="AV333">
        <v>1013</v>
      </c>
      <c r="AW333">
        <f t="shared" si="116"/>
        <v>2806.502039302929</v>
      </c>
      <c r="AX333">
        <f t="shared" si="117"/>
        <v>1.559492246587988E-5</v>
      </c>
      <c r="AY333">
        <f t="shared" si="118"/>
        <v>1.0315254963822282E-3</v>
      </c>
      <c r="AZ333">
        <f t="shared" si="119"/>
        <v>23.003018569323689</v>
      </c>
      <c r="BA333">
        <f t="shared" si="120"/>
        <v>0.75105403756440148</v>
      </c>
    </row>
    <row r="334" spans="1:53" x14ac:dyDescent="0.25">
      <c r="A334" t="s">
        <v>9</v>
      </c>
      <c r="B334" t="s">
        <v>19</v>
      </c>
      <c r="C334">
        <v>10</v>
      </c>
      <c r="G334">
        <f t="shared" si="106"/>
        <v>332.58333333333576</v>
      </c>
      <c r="H334" s="7">
        <v>45047.583333333336</v>
      </c>
      <c r="AF334">
        <v>136.42000000000002</v>
      </c>
      <c r="AG334">
        <v>139.75</v>
      </c>
      <c r="AL334">
        <v>284.245</v>
      </c>
      <c r="AM334">
        <v>284.05</v>
      </c>
      <c r="AN334">
        <f t="shared" si="104"/>
        <v>4.9999999999954525E-3</v>
      </c>
      <c r="AO334">
        <f t="shared" si="105"/>
        <v>0.19499999999999318</v>
      </c>
      <c r="AP334">
        <f>63+61.5+26</f>
        <v>150.5</v>
      </c>
      <c r="AQ334">
        <v>1013</v>
      </c>
      <c r="AR334">
        <v>22</v>
      </c>
      <c r="AS334">
        <v>34</v>
      </c>
      <c r="AT334">
        <f t="shared" si="114"/>
        <v>5.3137007027131622</v>
      </c>
      <c r="AU334">
        <f t="shared" si="115"/>
        <v>113.57999999999998</v>
      </c>
      <c r="AV334">
        <v>1013</v>
      </c>
      <c r="AW334">
        <f t="shared" si="116"/>
        <v>2355.2829723542882</v>
      </c>
      <c r="AX334">
        <f t="shared" si="117"/>
        <v>1.8651516821829299E-5</v>
      </c>
      <c r="AY334">
        <f t="shared" si="118"/>
        <v>1.2770295463010492E-3</v>
      </c>
      <c r="AZ334">
        <f t="shared" si="119"/>
        <v>28.477758882513395</v>
      </c>
      <c r="BA334">
        <f t="shared" si="120"/>
        <v>0.55531788049648201</v>
      </c>
    </row>
    <row r="335" spans="1:53" x14ac:dyDescent="0.25">
      <c r="A335" t="s">
        <v>10</v>
      </c>
      <c r="B335" t="s">
        <v>19</v>
      </c>
      <c r="C335">
        <v>10</v>
      </c>
      <c r="G335">
        <f t="shared" si="106"/>
        <v>332.58333333333576</v>
      </c>
      <c r="H335" s="7">
        <v>45047.583333333336</v>
      </c>
      <c r="AF335">
        <v>117.85000000000002</v>
      </c>
      <c r="AG335">
        <v>140.44999999999999</v>
      </c>
      <c r="AL335">
        <v>266.08</v>
      </c>
      <c r="AM335">
        <v>265.87</v>
      </c>
      <c r="AN335">
        <f t="shared" si="104"/>
        <v>2.0000000000038654E-2</v>
      </c>
      <c r="AO335">
        <f t="shared" si="105"/>
        <v>0.20999999999997954</v>
      </c>
      <c r="AP335">
        <f>57+60.5+45.5</f>
        <v>163</v>
      </c>
      <c r="AQ335">
        <v>1013</v>
      </c>
      <c r="AR335">
        <v>22</v>
      </c>
      <c r="AS335">
        <v>34</v>
      </c>
      <c r="AT335">
        <f t="shared" si="114"/>
        <v>5.3137007027131622</v>
      </c>
      <c r="AU335">
        <f t="shared" si="115"/>
        <v>132.14999999999998</v>
      </c>
      <c r="AV335">
        <v>1013</v>
      </c>
      <c r="AW335">
        <f t="shared" si="116"/>
        <v>2262.4816496405601</v>
      </c>
      <c r="AX335">
        <f t="shared" si="117"/>
        <v>1.9434955221750305E-5</v>
      </c>
      <c r="AY335">
        <f t="shared" si="118"/>
        <v>1.2689086030603328E-3</v>
      </c>
      <c r="AZ335">
        <f t="shared" si="119"/>
        <v>28.296661848245421</v>
      </c>
      <c r="BA335">
        <f t="shared" si="120"/>
        <v>0.56179256888647044</v>
      </c>
    </row>
    <row r="336" spans="1:53" x14ac:dyDescent="0.25">
      <c r="A336" t="s">
        <v>11</v>
      </c>
      <c r="B336" t="s">
        <v>19</v>
      </c>
      <c r="C336">
        <v>10</v>
      </c>
      <c r="G336">
        <f t="shared" si="106"/>
        <v>332.58333333333576</v>
      </c>
      <c r="H336" s="7">
        <v>45047.583333333336</v>
      </c>
      <c r="AF336">
        <v>107.53</v>
      </c>
      <c r="AG336">
        <v>140</v>
      </c>
      <c r="AL336">
        <v>255.97</v>
      </c>
      <c r="AM336">
        <v>255.82</v>
      </c>
      <c r="AN336">
        <f t="shared" si="104"/>
        <v>-9.9999999999909051E-3</v>
      </c>
      <c r="AO336">
        <f t="shared" si="105"/>
        <v>0.15000000000000568</v>
      </c>
      <c r="AP336">
        <f>61+61+36</f>
        <v>158</v>
      </c>
      <c r="AQ336">
        <v>1013</v>
      </c>
      <c r="AR336">
        <v>22</v>
      </c>
      <c r="AS336">
        <v>34</v>
      </c>
      <c r="AT336">
        <f t="shared" si="114"/>
        <v>5.3137007027131622</v>
      </c>
      <c r="AU336">
        <f t="shared" si="115"/>
        <v>142.47</v>
      </c>
      <c r="AV336">
        <v>1013</v>
      </c>
      <c r="AW336">
        <f t="shared" si="116"/>
        <v>2136.4224749069981</v>
      </c>
      <c r="AX336">
        <f t="shared" si="117"/>
        <v>2.0610960360753582E-5</v>
      </c>
      <c r="AY336">
        <f t="shared" si="118"/>
        <v>9.2875612824687729E-4</v>
      </c>
      <c r="AZ336">
        <f t="shared" si="119"/>
        <v>20.711261659905364</v>
      </c>
      <c r="BA336">
        <f t="shared" si="120"/>
        <v>0.83299028745422365</v>
      </c>
    </row>
    <row r="337" spans="1:53" x14ac:dyDescent="0.25">
      <c r="A337" t="s">
        <v>12</v>
      </c>
      <c r="B337" t="s">
        <v>19</v>
      </c>
      <c r="C337">
        <v>20</v>
      </c>
      <c r="G337">
        <f t="shared" si="106"/>
        <v>332.58333333333576</v>
      </c>
      <c r="H337" s="7">
        <v>45047.583333333336</v>
      </c>
      <c r="AF337">
        <v>109.43</v>
      </c>
      <c r="AG337">
        <v>140.19999999999999</v>
      </c>
      <c r="AL337">
        <v>257.89</v>
      </c>
      <c r="AM337">
        <v>257.85000000000002</v>
      </c>
      <c r="AN337">
        <f t="shared" si="104"/>
        <v>9.9999999999909051E-3</v>
      </c>
      <c r="AO337">
        <f t="shared" si="105"/>
        <v>3.999999999996362E-2</v>
      </c>
      <c r="AP337">
        <v>28</v>
      </c>
      <c r="AQ337">
        <v>1013</v>
      </c>
      <c r="AR337">
        <v>22</v>
      </c>
      <c r="AS337">
        <v>34</v>
      </c>
      <c r="AT337">
        <f t="shared" si="114"/>
        <v>5.3137007027131622</v>
      </c>
      <c r="AU337">
        <f t="shared" si="115"/>
        <v>140.57</v>
      </c>
      <c r="AV337">
        <v>1013</v>
      </c>
      <c r="AW337">
        <f t="shared" si="116"/>
        <v>1214.778473358469</v>
      </c>
      <c r="AX337">
        <f t="shared" si="117"/>
        <v>3.6963654830791376E-5</v>
      </c>
      <c r="AY337">
        <f t="shared" si="118"/>
        <v>1.3916077737393378E-3</v>
      </c>
      <c r="AZ337">
        <f t="shared" si="119"/>
        <v>31.032853354387232</v>
      </c>
      <c r="BA337">
        <f t="shared" si="120"/>
        <v>0.4639666301613431</v>
      </c>
    </row>
    <row r="338" spans="1:53" x14ac:dyDescent="0.25">
      <c r="A338" t="s">
        <v>13</v>
      </c>
      <c r="B338" t="s">
        <v>19</v>
      </c>
      <c r="C338">
        <v>20</v>
      </c>
      <c r="G338">
        <f t="shared" si="106"/>
        <v>332.58333333333576</v>
      </c>
      <c r="H338" s="7">
        <v>45047.583333333336</v>
      </c>
      <c r="AF338">
        <v>129.52999999999997</v>
      </c>
      <c r="AG338">
        <v>140.24</v>
      </c>
      <c r="AL338">
        <v>278.08</v>
      </c>
      <c r="AM338">
        <v>278.04000000000002</v>
      </c>
      <c r="AN338">
        <f t="shared" si="104"/>
        <v>9.9999999999909051E-3</v>
      </c>
      <c r="AO338">
        <f t="shared" si="105"/>
        <v>3.999999999996362E-2</v>
      </c>
      <c r="AP338">
        <v>30.5</v>
      </c>
      <c r="AQ338">
        <v>1013</v>
      </c>
      <c r="AR338">
        <v>22</v>
      </c>
      <c r="AS338">
        <v>34</v>
      </c>
      <c r="AT338">
        <f t="shared" si="114"/>
        <v>5.3137007027131622</v>
      </c>
      <c r="AU338">
        <f t="shared" si="115"/>
        <v>120.47000000000003</v>
      </c>
      <c r="AV338">
        <v>1013</v>
      </c>
      <c r="AW338">
        <f t="shared" si="116"/>
        <v>1269.4663401676767</v>
      </c>
      <c r="AX338">
        <f t="shared" si="117"/>
        <v>3.5301717247695799E-5</v>
      </c>
      <c r="AY338">
        <f t="shared" si="118"/>
        <v>1.2761736925871769E-3</v>
      </c>
      <c r="AZ338">
        <f t="shared" si="119"/>
        <v>28.458673344694045</v>
      </c>
      <c r="BA338">
        <f t="shared" si="120"/>
        <v>0.55600023794443887</v>
      </c>
    </row>
    <row r="339" spans="1:53" x14ac:dyDescent="0.25">
      <c r="A339" t="s">
        <v>14</v>
      </c>
      <c r="B339" t="s">
        <v>19</v>
      </c>
      <c r="C339">
        <v>20</v>
      </c>
      <c r="G339">
        <f t="shared" si="106"/>
        <v>332.58333333333576</v>
      </c>
      <c r="H339" s="7">
        <v>45047.583333333336</v>
      </c>
      <c r="AF339">
        <v>94.359999999999985</v>
      </c>
      <c r="AG339">
        <v>138.74</v>
      </c>
      <c r="AL339">
        <v>241.38</v>
      </c>
      <c r="AM339">
        <v>241.36</v>
      </c>
      <c r="AN339">
        <f t="shared" si="104"/>
        <v>0</v>
      </c>
      <c r="AO339">
        <f t="shared" si="105"/>
        <v>1.999999999998181E-2</v>
      </c>
      <c r="AP339">
        <v>18</v>
      </c>
      <c r="AQ339">
        <v>1013</v>
      </c>
      <c r="AR339">
        <v>22</v>
      </c>
      <c r="AS339">
        <v>34</v>
      </c>
      <c r="AT339">
        <f t="shared" si="114"/>
        <v>5.3137007027131622</v>
      </c>
      <c r="AU339">
        <f t="shared" si="115"/>
        <v>155.64000000000001</v>
      </c>
      <c r="AV339">
        <v>1013</v>
      </c>
      <c r="AW339">
        <f t="shared" si="116"/>
        <v>1130.1549730146492</v>
      </c>
      <c r="AX339">
        <f t="shared" si="117"/>
        <v>3.9867964652971777E-5</v>
      </c>
      <c r="AY339">
        <f t="shared" si="118"/>
        <v>1.0712431464571289E-3</v>
      </c>
      <c r="AZ339">
        <f t="shared" si="119"/>
        <v>23.888722165993975</v>
      </c>
      <c r="BA339">
        <f t="shared" si="120"/>
        <v>0.71938783818398366</v>
      </c>
    </row>
    <row r="340" spans="1:53" x14ac:dyDescent="0.25">
      <c r="A340" t="s">
        <v>15</v>
      </c>
      <c r="B340" t="s">
        <v>19</v>
      </c>
      <c r="C340">
        <v>20</v>
      </c>
      <c r="G340">
        <f t="shared" si="106"/>
        <v>332.58333333333576</v>
      </c>
      <c r="H340" s="7">
        <v>45047.583333333336</v>
      </c>
      <c r="AF340">
        <v>85.4</v>
      </c>
      <c r="AG340">
        <v>140.1</v>
      </c>
      <c r="AL340">
        <v>233.84</v>
      </c>
      <c r="AM340">
        <v>233.81</v>
      </c>
      <c r="AN340">
        <f t="shared" si="104"/>
        <v>0</v>
      </c>
      <c r="AO340">
        <f t="shared" si="105"/>
        <v>3.0000000000001137E-2</v>
      </c>
      <c r="AP340">
        <v>28.5</v>
      </c>
      <c r="AQ340">
        <v>1013</v>
      </c>
      <c r="AR340">
        <v>22</v>
      </c>
      <c r="AS340">
        <v>34</v>
      </c>
      <c r="AT340">
        <f t="shared" si="114"/>
        <v>5.3137007027131622</v>
      </c>
      <c r="AU340">
        <f t="shared" si="115"/>
        <v>164.6</v>
      </c>
      <c r="AV340">
        <v>1013</v>
      </c>
      <c r="AW340">
        <f t="shared" si="116"/>
        <v>1188.3979343863912</v>
      </c>
      <c r="AX340">
        <f t="shared" si="117"/>
        <v>3.7822594932854396E-5</v>
      </c>
      <c r="AY340">
        <f t="shared" si="118"/>
        <v>1.0148089840145539E-3</v>
      </c>
      <c r="AZ340">
        <f t="shared" si="119"/>
        <v>22.630240343524552</v>
      </c>
      <c r="BA340">
        <f t="shared" si="120"/>
        <v>0.76438182540133881</v>
      </c>
    </row>
    <row r="341" spans="1:53" x14ac:dyDescent="0.25">
      <c r="A341" t="s">
        <v>0</v>
      </c>
      <c r="B341" t="s">
        <v>18</v>
      </c>
      <c r="C341">
        <v>10</v>
      </c>
      <c r="G341">
        <f t="shared" si="106"/>
        <v>335.29166666666424</v>
      </c>
      <c r="H341" s="7">
        <v>45050.291666666664</v>
      </c>
      <c r="AF341">
        <v>172.77</v>
      </c>
      <c r="AG341">
        <v>139.16999999999999</v>
      </c>
      <c r="AL341">
        <v>320.86</v>
      </c>
      <c r="AM341">
        <v>320.82499999999999</v>
      </c>
      <c r="AN341">
        <f t="shared" si="104"/>
        <v>2.9999999999972715E-2</v>
      </c>
      <c r="AO341">
        <f t="shared" si="105"/>
        <v>3.5000000000025011E-2</v>
      </c>
      <c r="AP341">
        <v>35.5</v>
      </c>
      <c r="AQ341">
        <v>1027</v>
      </c>
      <c r="AR341">
        <v>22</v>
      </c>
      <c r="AS341">
        <v>34</v>
      </c>
      <c r="AT341">
        <f t="shared" ref="AT341:AT356" si="121">0.61094*EXP(17.625*AS341/(243.04+AS341))</f>
        <v>5.3137007027131622</v>
      </c>
      <c r="AU341">
        <f t="shared" ref="AU341:AU356" si="122">250-AF341</f>
        <v>77.22999999999999</v>
      </c>
      <c r="AV341">
        <v>1027</v>
      </c>
      <c r="AW341">
        <f t="shared" ref="AW341:AW356" si="123">AP341/AU341*AV341+AV341</f>
        <v>1499.0769131166646</v>
      </c>
      <c r="AX341">
        <f t="shared" ref="AX341:AX356" si="124">18.02*(AT341/(AW341/10-AT341)*1/22300)</f>
        <v>2.9695918909058138E-5</v>
      </c>
      <c r="AY341">
        <f t="shared" ref="AY341:AY356" si="125">(AL341-AM341)/AP341-AX341</f>
        <v>9.5621957404939278E-4</v>
      </c>
      <c r="AZ341">
        <f t="shared" ref="AZ341:AZ356" si="126">AY341*22300</f>
        <v>21.323696501301459</v>
      </c>
      <c r="BA341">
        <f t="shared" ref="BA341:BA356" si="127">(44.01-AZ341)/(44.01-16.04)</f>
        <v>0.81109415440466714</v>
      </c>
    </row>
    <row r="342" spans="1:53" x14ac:dyDescent="0.25">
      <c r="A342" t="s">
        <v>1</v>
      </c>
      <c r="B342" t="s">
        <v>18</v>
      </c>
      <c r="C342">
        <v>10</v>
      </c>
      <c r="G342">
        <f t="shared" si="106"/>
        <v>335.29166666666424</v>
      </c>
      <c r="H342" s="7">
        <v>45050.291666666664</v>
      </c>
      <c r="AF342">
        <v>173.93</v>
      </c>
      <c r="AG342">
        <v>141.25</v>
      </c>
      <c r="AL342">
        <v>324.09500000000003</v>
      </c>
      <c r="AM342">
        <v>324.05</v>
      </c>
      <c r="AN342">
        <f t="shared" si="104"/>
        <v>4.9999999999954525E-3</v>
      </c>
      <c r="AO342">
        <f t="shared" si="105"/>
        <v>4.5000000000015916E-2</v>
      </c>
      <c r="AP342">
        <v>33</v>
      </c>
      <c r="AQ342">
        <v>1027</v>
      </c>
      <c r="AR342">
        <v>22</v>
      </c>
      <c r="AS342">
        <v>34</v>
      </c>
      <c r="AT342">
        <f t="shared" si="121"/>
        <v>5.3137007027131622</v>
      </c>
      <c r="AU342">
        <f t="shared" si="122"/>
        <v>76.069999999999993</v>
      </c>
      <c r="AV342">
        <v>1027</v>
      </c>
      <c r="AW342">
        <f t="shared" si="123"/>
        <v>1472.5238596029972</v>
      </c>
      <c r="AX342">
        <f t="shared" si="124"/>
        <v>3.0251452675274708E-5</v>
      </c>
      <c r="AY342">
        <f t="shared" si="125"/>
        <v>1.3333849109615713E-3</v>
      </c>
      <c r="AZ342">
        <f t="shared" si="126"/>
        <v>29.734483514443042</v>
      </c>
      <c r="BA342">
        <f t="shared" si="127"/>
        <v>0.51038671739567243</v>
      </c>
    </row>
    <row r="343" spans="1:53" x14ac:dyDescent="0.25">
      <c r="A343" t="s">
        <v>2</v>
      </c>
      <c r="B343" t="s">
        <v>18</v>
      </c>
      <c r="C343">
        <v>10</v>
      </c>
      <c r="G343">
        <f t="shared" si="106"/>
        <v>335.29166666666424</v>
      </c>
      <c r="H343" s="7">
        <v>45050.291666666664</v>
      </c>
      <c r="AF343">
        <v>162.82000000000002</v>
      </c>
      <c r="AG343">
        <v>140.66</v>
      </c>
      <c r="AL343">
        <v>312.435</v>
      </c>
      <c r="AM343">
        <v>312.39999999999998</v>
      </c>
      <c r="AN343">
        <f t="shared" si="104"/>
        <v>1.4999999999986358E-2</v>
      </c>
      <c r="AO343">
        <f t="shared" si="105"/>
        <v>3.5000000000025011E-2</v>
      </c>
      <c r="AP343">
        <v>27.5</v>
      </c>
      <c r="AQ343">
        <v>1027</v>
      </c>
      <c r="AR343">
        <v>22</v>
      </c>
      <c r="AS343">
        <v>34</v>
      </c>
      <c r="AT343">
        <f t="shared" si="121"/>
        <v>5.3137007027131622</v>
      </c>
      <c r="AU343">
        <f t="shared" si="122"/>
        <v>87.179999999999978</v>
      </c>
      <c r="AV343">
        <v>1027</v>
      </c>
      <c r="AW343">
        <f t="shared" si="123"/>
        <v>1350.9561826106906</v>
      </c>
      <c r="AX343">
        <f t="shared" si="124"/>
        <v>3.3085128503590485E-5</v>
      </c>
      <c r="AY343">
        <f t="shared" si="125"/>
        <v>1.2396421442245917E-3</v>
      </c>
      <c r="AZ343">
        <f t="shared" si="126"/>
        <v>27.644019816208395</v>
      </c>
      <c r="BA343">
        <f t="shared" si="127"/>
        <v>0.58512621322100833</v>
      </c>
    </row>
    <row r="344" spans="1:53" x14ac:dyDescent="0.25">
      <c r="A344" t="s">
        <v>3</v>
      </c>
      <c r="B344" t="s">
        <v>18</v>
      </c>
      <c r="C344">
        <v>10</v>
      </c>
      <c r="G344">
        <f t="shared" si="106"/>
        <v>335.29166666666424</v>
      </c>
      <c r="H344" s="7">
        <v>45050.291666666664</v>
      </c>
      <c r="AF344">
        <v>187.81</v>
      </c>
      <c r="AG344">
        <v>140</v>
      </c>
      <c r="AL344">
        <v>336.69</v>
      </c>
      <c r="AM344">
        <v>336.66</v>
      </c>
      <c r="AN344">
        <f t="shared" si="104"/>
        <v>9.9999999999909051E-3</v>
      </c>
      <c r="AO344">
        <f t="shared" si="105"/>
        <v>2.9999999999972715E-2</v>
      </c>
      <c r="AP344">
        <v>19.2</v>
      </c>
      <c r="AQ344">
        <v>1027</v>
      </c>
      <c r="AR344">
        <v>22</v>
      </c>
      <c r="AS344">
        <v>34</v>
      </c>
      <c r="AT344">
        <f t="shared" si="121"/>
        <v>5.3137007027131622</v>
      </c>
      <c r="AU344">
        <f t="shared" si="122"/>
        <v>62.19</v>
      </c>
      <c r="AV344">
        <v>1027</v>
      </c>
      <c r="AW344">
        <f t="shared" si="123"/>
        <v>1344.0670525808009</v>
      </c>
      <c r="AX344">
        <f t="shared" si="124"/>
        <v>3.3261689389365742E-5</v>
      </c>
      <c r="AY344">
        <f t="shared" si="125"/>
        <v>1.5292383106092131E-3</v>
      </c>
      <c r="AZ344">
        <f t="shared" si="126"/>
        <v>34.102014326585454</v>
      </c>
      <c r="BA344">
        <f t="shared" si="127"/>
        <v>0.35423616994689111</v>
      </c>
    </row>
    <row r="345" spans="1:53" x14ac:dyDescent="0.25">
      <c r="A345" t="s">
        <v>4</v>
      </c>
      <c r="B345" t="s">
        <v>18</v>
      </c>
      <c r="C345">
        <v>20</v>
      </c>
      <c r="G345">
        <f t="shared" si="106"/>
        <v>335.29166666666424</v>
      </c>
      <c r="H345" s="7">
        <v>45050.291666666664</v>
      </c>
      <c r="AF345">
        <v>181.58</v>
      </c>
      <c r="AG345">
        <v>139.4</v>
      </c>
      <c r="AL345">
        <v>328.36</v>
      </c>
      <c r="AM345">
        <v>328.28</v>
      </c>
      <c r="AN345">
        <f t="shared" si="104"/>
        <v>2.9999999999972715E-2</v>
      </c>
      <c r="AO345">
        <f t="shared" si="105"/>
        <v>8.0000000000040927E-2</v>
      </c>
      <c r="AP345">
        <v>57</v>
      </c>
      <c r="AQ345">
        <v>1027</v>
      </c>
      <c r="AR345">
        <v>22</v>
      </c>
      <c r="AS345">
        <v>34</v>
      </c>
      <c r="AT345">
        <f t="shared" si="121"/>
        <v>5.3137007027131622</v>
      </c>
      <c r="AU345">
        <f t="shared" si="122"/>
        <v>68.419999999999987</v>
      </c>
      <c r="AV345">
        <v>1027</v>
      </c>
      <c r="AW345">
        <f t="shared" si="123"/>
        <v>1882.5831628178898</v>
      </c>
      <c r="AX345">
        <f t="shared" si="124"/>
        <v>2.3470772322373275E-5</v>
      </c>
      <c r="AY345">
        <f t="shared" si="125"/>
        <v>1.3800379996081694E-3</v>
      </c>
      <c r="AZ345">
        <f t="shared" si="126"/>
        <v>30.774847391262178</v>
      </c>
      <c r="BA345">
        <f t="shared" si="127"/>
        <v>0.47319101211075515</v>
      </c>
    </row>
    <row r="346" spans="1:53" x14ac:dyDescent="0.25">
      <c r="A346" t="s">
        <v>5</v>
      </c>
      <c r="B346" t="s">
        <v>18</v>
      </c>
      <c r="C346">
        <v>20</v>
      </c>
      <c r="G346">
        <f t="shared" si="106"/>
        <v>335.29166666666424</v>
      </c>
      <c r="H346" s="7">
        <v>45050.291666666664</v>
      </c>
      <c r="AF346">
        <v>201.8</v>
      </c>
      <c r="AG346">
        <v>139.81</v>
      </c>
      <c r="AL346">
        <v>349.15</v>
      </c>
      <c r="AM346">
        <v>349.07</v>
      </c>
      <c r="AN346">
        <f t="shared" si="104"/>
        <v>3.0000000000029559E-2</v>
      </c>
      <c r="AO346">
        <f t="shared" si="105"/>
        <v>7.9999999999984084E-2</v>
      </c>
      <c r="AP346">
        <v>68</v>
      </c>
      <c r="AQ346">
        <v>1027</v>
      </c>
      <c r="AR346">
        <v>22</v>
      </c>
      <c r="AS346">
        <v>34</v>
      </c>
      <c r="AT346">
        <f t="shared" si="121"/>
        <v>5.3137007027131622</v>
      </c>
      <c r="AU346">
        <f t="shared" si="122"/>
        <v>48.199999999999989</v>
      </c>
      <c r="AV346">
        <v>1027</v>
      </c>
      <c r="AW346">
        <f t="shared" si="123"/>
        <v>2475.8796680497926</v>
      </c>
      <c r="AX346">
        <f t="shared" si="124"/>
        <v>1.7723101544957806E-5</v>
      </c>
      <c r="AY346">
        <f t="shared" si="125"/>
        <v>1.1587474866901022E-3</v>
      </c>
      <c r="AZ346">
        <f t="shared" si="126"/>
        <v>25.840068953189277</v>
      </c>
      <c r="BA346">
        <f t="shared" si="127"/>
        <v>0.64962213252809153</v>
      </c>
    </row>
    <row r="347" spans="1:53" x14ac:dyDescent="0.25">
      <c r="A347" t="s">
        <v>6</v>
      </c>
      <c r="B347" t="s">
        <v>18</v>
      </c>
      <c r="C347">
        <v>20</v>
      </c>
      <c r="G347">
        <f t="shared" si="106"/>
        <v>335.29166666666424</v>
      </c>
      <c r="H347" s="7">
        <v>45050.291666666664</v>
      </c>
      <c r="AF347">
        <v>205.13</v>
      </c>
      <c r="AG347">
        <v>139.01</v>
      </c>
      <c r="AL347">
        <v>351.75</v>
      </c>
      <c r="AM347">
        <v>351.67</v>
      </c>
      <c r="AN347">
        <f t="shared" si="104"/>
        <v>1.999999999998181E-2</v>
      </c>
      <c r="AO347">
        <f t="shared" si="105"/>
        <v>7.9999999999984084E-2</v>
      </c>
      <c r="AP347">
        <v>60</v>
      </c>
      <c r="AQ347">
        <v>1027</v>
      </c>
      <c r="AR347">
        <v>22</v>
      </c>
      <c r="AS347">
        <v>34</v>
      </c>
      <c r="AT347">
        <f t="shared" si="121"/>
        <v>5.3137007027131622</v>
      </c>
      <c r="AU347">
        <f t="shared" si="122"/>
        <v>44.870000000000005</v>
      </c>
      <c r="AV347">
        <v>1027</v>
      </c>
      <c r="AW347">
        <f t="shared" si="123"/>
        <v>2400.3006463115667</v>
      </c>
      <c r="AX347">
        <f t="shared" si="124"/>
        <v>1.8293788076785435E-5</v>
      </c>
      <c r="AY347">
        <f t="shared" si="125"/>
        <v>1.3150395452562827E-3</v>
      </c>
      <c r="AZ347">
        <f t="shared" si="126"/>
        <v>29.325381859215103</v>
      </c>
      <c r="BA347">
        <f t="shared" si="127"/>
        <v>0.52501316198730408</v>
      </c>
    </row>
    <row r="348" spans="1:53" x14ac:dyDescent="0.25">
      <c r="A348" t="s">
        <v>7</v>
      </c>
      <c r="B348" t="s">
        <v>18</v>
      </c>
      <c r="C348">
        <v>20</v>
      </c>
      <c r="G348">
        <f t="shared" si="106"/>
        <v>335.29166666666424</v>
      </c>
      <c r="H348" s="7">
        <v>45050.291666666664</v>
      </c>
      <c r="AF348">
        <v>177.85000000000002</v>
      </c>
      <c r="AG348">
        <v>139.94999999999999</v>
      </c>
      <c r="AL348">
        <v>325.88</v>
      </c>
      <c r="AM348">
        <v>325.83999999999997</v>
      </c>
      <c r="AN348">
        <f t="shared" si="104"/>
        <v>3.5000000000025011E-2</v>
      </c>
      <c r="AO348">
        <f t="shared" si="105"/>
        <v>4.0000000000020464E-2</v>
      </c>
      <c r="AP348">
        <v>35</v>
      </c>
      <c r="AQ348">
        <v>1027</v>
      </c>
      <c r="AR348">
        <v>22</v>
      </c>
      <c r="AS348">
        <v>34</v>
      </c>
      <c r="AT348">
        <f t="shared" si="121"/>
        <v>5.3137007027131622</v>
      </c>
      <c r="AU348">
        <f t="shared" si="122"/>
        <v>72.149999999999977</v>
      </c>
      <c r="AV348">
        <v>1027</v>
      </c>
      <c r="AW348">
        <f t="shared" si="123"/>
        <v>1525.1981981981985</v>
      </c>
      <c r="AX348">
        <f t="shared" si="124"/>
        <v>2.916897371939212E-5</v>
      </c>
      <c r="AY348">
        <f t="shared" si="125"/>
        <v>1.1136881691383353E-3</v>
      </c>
      <c r="AZ348">
        <f t="shared" si="126"/>
        <v>24.835246171784878</v>
      </c>
      <c r="BA348">
        <f t="shared" si="127"/>
        <v>0.68554715152717627</v>
      </c>
    </row>
    <row r="349" spans="1:53" x14ac:dyDescent="0.25">
      <c r="A349" t="s">
        <v>8</v>
      </c>
      <c r="B349" t="s">
        <v>19</v>
      </c>
      <c r="C349">
        <v>10</v>
      </c>
      <c r="G349">
        <f t="shared" si="106"/>
        <v>335.29166666666424</v>
      </c>
      <c r="H349" s="7">
        <v>45050.291666666664</v>
      </c>
      <c r="AF349">
        <v>142.11999999999998</v>
      </c>
      <c r="AG349">
        <v>139.71</v>
      </c>
      <c r="AL349">
        <v>289.62</v>
      </c>
      <c r="AM349">
        <v>289.44</v>
      </c>
      <c r="AN349">
        <f t="shared" si="104"/>
        <v>1.999999999998181E-2</v>
      </c>
      <c r="AO349">
        <f t="shared" si="105"/>
        <v>0.18000000000000682</v>
      </c>
      <c r="AP349">
        <f>62+62+38</f>
        <v>162</v>
      </c>
      <c r="AQ349">
        <v>1027</v>
      </c>
      <c r="AR349">
        <v>22</v>
      </c>
      <c r="AS349">
        <v>34</v>
      </c>
      <c r="AT349">
        <f t="shared" si="121"/>
        <v>5.3137007027131622</v>
      </c>
      <c r="AU349">
        <f t="shared" si="122"/>
        <v>107.88000000000002</v>
      </c>
      <c r="AV349">
        <v>1027</v>
      </c>
      <c r="AW349">
        <f t="shared" si="123"/>
        <v>2569.2135706340378</v>
      </c>
      <c r="AX349">
        <f t="shared" si="124"/>
        <v>1.7065662794081141E-5</v>
      </c>
      <c r="AY349">
        <f t="shared" si="125"/>
        <v>1.0940454483170721E-3</v>
      </c>
      <c r="AZ349">
        <f t="shared" si="126"/>
        <v>24.397213497470709</v>
      </c>
      <c r="BA349">
        <f t="shared" si="127"/>
        <v>0.70120795504216271</v>
      </c>
    </row>
    <row r="350" spans="1:53" x14ac:dyDescent="0.25">
      <c r="A350" t="s">
        <v>9</v>
      </c>
      <c r="B350" t="s">
        <v>19</v>
      </c>
      <c r="C350">
        <v>10</v>
      </c>
      <c r="G350">
        <f t="shared" si="106"/>
        <v>335.29166666666424</v>
      </c>
      <c r="H350" s="7">
        <v>45050.291666666664</v>
      </c>
      <c r="AF350">
        <v>136.42000000000002</v>
      </c>
      <c r="AG350">
        <v>139.75</v>
      </c>
      <c r="AL350">
        <v>284.02</v>
      </c>
      <c r="AM350">
        <v>283.88</v>
      </c>
      <c r="AN350">
        <f t="shared" si="104"/>
        <v>3.0000000000029559E-2</v>
      </c>
      <c r="AO350">
        <f t="shared" si="105"/>
        <v>0.13999999999998636</v>
      </c>
      <c r="AP350">
        <f>63+65+23</f>
        <v>151</v>
      </c>
      <c r="AQ350">
        <v>1027</v>
      </c>
      <c r="AR350">
        <v>22</v>
      </c>
      <c r="AS350">
        <v>34</v>
      </c>
      <c r="AT350">
        <f t="shared" si="121"/>
        <v>5.3137007027131622</v>
      </c>
      <c r="AU350">
        <f t="shared" si="122"/>
        <v>113.57999999999998</v>
      </c>
      <c r="AV350">
        <v>1027</v>
      </c>
      <c r="AW350">
        <f t="shared" si="123"/>
        <v>2392.3548159887305</v>
      </c>
      <c r="AX350">
        <f t="shared" si="124"/>
        <v>1.8355928222719343E-5</v>
      </c>
      <c r="AY350">
        <f t="shared" si="125"/>
        <v>9.0879638965798504E-4</v>
      </c>
      <c r="AZ350">
        <f t="shared" si="126"/>
        <v>20.266159489373067</v>
      </c>
      <c r="BA350">
        <f t="shared" si="127"/>
        <v>0.84890384378358719</v>
      </c>
    </row>
    <row r="351" spans="1:53" x14ac:dyDescent="0.25">
      <c r="A351" t="s">
        <v>10</v>
      </c>
      <c r="B351" t="s">
        <v>19</v>
      </c>
      <c r="C351">
        <v>10</v>
      </c>
      <c r="G351">
        <f t="shared" si="106"/>
        <v>335.29166666666424</v>
      </c>
      <c r="H351" s="7">
        <v>45050.291666666664</v>
      </c>
      <c r="AF351">
        <v>117.85000000000002</v>
      </c>
      <c r="AG351">
        <v>140.44999999999999</v>
      </c>
      <c r="AL351">
        <v>265.85000000000002</v>
      </c>
      <c r="AM351">
        <v>265.68</v>
      </c>
      <c r="AN351">
        <f t="shared" si="104"/>
        <v>1.999999999998181E-2</v>
      </c>
      <c r="AO351">
        <f t="shared" si="105"/>
        <v>0.17000000000001592</v>
      </c>
      <c r="AP351">
        <f>64.5+61.5+33.5</f>
        <v>159.5</v>
      </c>
      <c r="AQ351">
        <v>1027</v>
      </c>
      <c r="AR351">
        <v>22</v>
      </c>
      <c r="AS351">
        <v>34</v>
      </c>
      <c r="AT351">
        <f t="shared" si="121"/>
        <v>5.3137007027131622</v>
      </c>
      <c r="AU351">
        <f t="shared" si="122"/>
        <v>132.14999999999998</v>
      </c>
      <c r="AV351">
        <v>1027</v>
      </c>
      <c r="AW351">
        <f t="shared" si="123"/>
        <v>2266.5497540673477</v>
      </c>
      <c r="AX351">
        <f t="shared" si="124"/>
        <v>1.9399235075348444E-5</v>
      </c>
      <c r="AY351">
        <f t="shared" si="125"/>
        <v>1.046431485927886E-3</v>
      </c>
      <c r="AZ351">
        <f t="shared" si="126"/>
        <v>23.335422136191859</v>
      </c>
      <c r="BA351">
        <f t="shared" si="127"/>
        <v>0.73916974843790273</v>
      </c>
    </row>
    <row r="352" spans="1:53" x14ac:dyDescent="0.25">
      <c r="A352" t="s">
        <v>11</v>
      </c>
      <c r="B352" t="s">
        <v>19</v>
      </c>
      <c r="C352">
        <v>10</v>
      </c>
      <c r="G352">
        <f t="shared" si="106"/>
        <v>335.29166666666424</v>
      </c>
      <c r="H352" s="7">
        <v>45050.291666666664</v>
      </c>
      <c r="AF352">
        <v>107.53</v>
      </c>
      <c r="AG352">
        <v>140</v>
      </c>
      <c r="AL352">
        <v>255.8</v>
      </c>
      <c r="AM352">
        <v>255.68</v>
      </c>
      <c r="AN352">
        <f t="shared" si="104"/>
        <v>1.999999999998181E-2</v>
      </c>
      <c r="AO352">
        <f t="shared" si="105"/>
        <v>0.12000000000000455</v>
      </c>
      <c r="AP352">
        <f>63+65 + 6.5</f>
        <v>134.5</v>
      </c>
      <c r="AQ352">
        <v>1027</v>
      </c>
      <c r="AR352">
        <v>22</v>
      </c>
      <c r="AS352">
        <v>34</v>
      </c>
      <c r="AT352">
        <f t="shared" si="121"/>
        <v>5.3137007027131622</v>
      </c>
      <c r="AU352">
        <f t="shared" si="122"/>
        <v>142.47</v>
      </c>
      <c r="AV352">
        <v>1027</v>
      </c>
      <c r="AW352">
        <f t="shared" si="123"/>
        <v>1996.5479750122831</v>
      </c>
      <c r="AX352">
        <f t="shared" si="124"/>
        <v>2.2094407670819512E-5</v>
      </c>
      <c r="AY352">
        <f t="shared" si="125"/>
        <v>8.7009890087940019E-4</v>
      </c>
      <c r="AZ352">
        <f t="shared" si="126"/>
        <v>19.403205489610624</v>
      </c>
      <c r="BA352">
        <f t="shared" si="127"/>
        <v>0.87975668610616287</v>
      </c>
    </row>
    <row r="353" spans="1:53" x14ac:dyDescent="0.25">
      <c r="A353" t="s">
        <v>12</v>
      </c>
      <c r="B353" t="s">
        <v>19</v>
      </c>
      <c r="C353">
        <v>20</v>
      </c>
      <c r="G353">
        <f t="shared" si="106"/>
        <v>335.29166666666424</v>
      </c>
      <c r="H353" s="7">
        <v>45050.291666666664</v>
      </c>
      <c r="AF353">
        <v>109.43</v>
      </c>
      <c r="AG353">
        <v>140.19999999999999</v>
      </c>
      <c r="AL353">
        <v>257.85000000000002</v>
      </c>
      <c r="AM353">
        <v>257.81</v>
      </c>
      <c r="AN353">
        <f t="shared" si="104"/>
        <v>0</v>
      </c>
      <c r="AO353">
        <f t="shared" si="105"/>
        <v>4.0000000000020464E-2</v>
      </c>
      <c r="AP353">
        <v>10.5</v>
      </c>
      <c r="AQ353">
        <v>1027</v>
      </c>
      <c r="AR353">
        <v>22</v>
      </c>
      <c r="AS353">
        <v>34</v>
      </c>
      <c r="AT353">
        <f t="shared" si="121"/>
        <v>5.3137007027131622</v>
      </c>
      <c r="AU353">
        <f t="shared" si="122"/>
        <v>140.57</v>
      </c>
      <c r="AV353">
        <v>1027</v>
      </c>
      <c r="AW353">
        <f t="shared" si="123"/>
        <v>1103.7126698442057</v>
      </c>
      <c r="AX353">
        <f t="shared" si="124"/>
        <v>4.0871415280521643E-5</v>
      </c>
      <c r="AY353">
        <f t="shared" si="125"/>
        <v>3.7686523942452367E-3</v>
      </c>
      <c r="AZ353">
        <f t="shared" si="126"/>
        <v>84.040948391668778</v>
      </c>
      <c r="BA353">
        <f t="shared" si="127"/>
        <v>-1.4312101677393201</v>
      </c>
    </row>
    <row r="354" spans="1:53" x14ac:dyDescent="0.25">
      <c r="A354" t="s">
        <v>13</v>
      </c>
      <c r="B354" t="s">
        <v>19</v>
      </c>
      <c r="C354">
        <v>20</v>
      </c>
      <c r="G354">
        <f t="shared" si="106"/>
        <v>335.29166666666424</v>
      </c>
      <c r="H354" s="7">
        <v>45050.291666666664</v>
      </c>
      <c r="AF354">
        <v>129.52999999999997</v>
      </c>
      <c r="AG354">
        <v>140.24</v>
      </c>
      <c r="AL354">
        <v>278.01499999999999</v>
      </c>
      <c r="AM354">
        <v>277.99</v>
      </c>
      <c r="AN354">
        <f t="shared" si="104"/>
        <v>2.5000000000034106E-2</v>
      </c>
      <c r="AO354">
        <f t="shared" si="105"/>
        <v>2.4999999999977263E-2</v>
      </c>
      <c r="AP354">
        <v>26</v>
      </c>
      <c r="AQ354">
        <v>1027</v>
      </c>
      <c r="AR354">
        <v>22</v>
      </c>
      <c r="AS354">
        <v>34</v>
      </c>
      <c r="AT354">
        <f t="shared" si="121"/>
        <v>5.3137007027131622</v>
      </c>
      <c r="AU354">
        <f t="shared" si="122"/>
        <v>120.47000000000003</v>
      </c>
      <c r="AV354">
        <v>1027</v>
      </c>
      <c r="AW354">
        <f t="shared" si="123"/>
        <v>1248.6485432057773</v>
      </c>
      <c r="AX354">
        <f t="shared" si="124"/>
        <v>3.5916436520433196E-5</v>
      </c>
      <c r="AY354">
        <f t="shared" si="125"/>
        <v>9.256220250171539E-4</v>
      </c>
      <c r="AZ354">
        <f t="shared" si="126"/>
        <v>20.641371157882531</v>
      </c>
      <c r="BA354">
        <f t="shared" si="127"/>
        <v>0.83548905406211893</v>
      </c>
    </row>
    <row r="355" spans="1:53" x14ac:dyDescent="0.25">
      <c r="A355" t="s">
        <v>14</v>
      </c>
      <c r="B355" t="s">
        <v>19</v>
      </c>
      <c r="C355">
        <v>20</v>
      </c>
      <c r="G355">
        <f t="shared" si="106"/>
        <v>335.29166666666424</v>
      </c>
      <c r="H355" s="7">
        <v>45050.291666666664</v>
      </c>
      <c r="AF355">
        <v>94.359999999999985</v>
      </c>
      <c r="AG355">
        <v>138.74</v>
      </c>
      <c r="AL355">
        <v>241.33</v>
      </c>
      <c r="AM355">
        <v>241.32</v>
      </c>
      <c r="AN355">
        <f t="shared" si="104"/>
        <v>3.0000000000001137E-2</v>
      </c>
      <c r="AO355">
        <f t="shared" si="105"/>
        <v>1.0000000000019327E-2</v>
      </c>
      <c r="AP355">
        <v>10</v>
      </c>
      <c r="AQ355">
        <v>1027</v>
      </c>
      <c r="AR355">
        <v>22</v>
      </c>
      <c r="AS355">
        <v>34</v>
      </c>
      <c r="AT355">
        <f t="shared" si="121"/>
        <v>5.3137007027131622</v>
      </c>
      <c r="AU355">
        <f t="shared" si="122"/>
        <v>155.64000000000001</v>
      </c>
      <c r="AV355">
        <v>1027</v>
      </c>
      <c r="AW355">
        <f t="shared" si="123"/>
        <v>1092.9856078129017</v>
      </c>
      <c r="AX355">
        <f t="shared" si="124"/>
        <v>4.1293044166390257E-5</v>
      </c>
      <c r="AY355">
        <f t="shared" si="125"/>
        <v>9.5870695583554248E-4</v>
      </c>
      <c r="AZ355">
        <f t="shared" si="126"/>
        <v>21.379165115132597</v>
      </c>
      <c r="BA355">
        <f t="shared" si="127"/>
        <v>0.80911100768206656</v>
      </c>
    </row>
    <row r="356" spans="1:53" x14ac:dyDescent="0.25">
      <c r="A356" t="s">
        <v>15</v>
      </c>
      <c r="B356" t="s">
        <v>19</v>
      </c>
      <c r="C356">
        <v>20</v>
      </c>
      <c r="G356">
        <f t="shared" si="106"/>
        <v>335.29166666666424</v>
      </c>
      <c r="H356" s="7">
        <v>45050.291666666664</v>
      </c>
      <c r="AF356">
        <v>85.4</v>
      </c>
      <c r="AG356">
        <v>140.1</v>
      </c>
      <c r="AL356">
        <v>233.79</v>
      </c>
      <c r="AM356">
        <v>233.77</v>
      </c>
      <c r="AN356">
        <f t="shared" si="104"/>
        <v>2.0000000000010232E-2</v>
      </c>
      <c r="AO356">
        <f t="shared" si="105"/>
        <v>1.999999999998181E-2</v>
      </c>
      <c r="AP356">
        <v>14</v>
      </c>
      <c r="AQ356">
        <v>1027</v>
      </c>
      <c r="AR356">
        <v>22</v>
      </c>
      <c r="AS356">
        <v>34</v>
      </c>
      <c r="AT356">
        <f t="shared" si="121"/>
        <v>5.3137007027131622</v>
      </c>
      <c r="AU356">
        <f t="shared" si="122"/>
        <v>164.6</v>
      </c>
      <c r="AV356">
        <v>1027</v>
      </c>
      <c r="AW356">
        <f t="shared" si="123"/>
        <v>1114.3511543134873</v>
      </c>
      <c r="AX356">
        <f t="shared" si="124"/>
        <v>4.0461686558179168E-5</v>
      </c>
      <c r="AY356">
        <f t="shared" si="125"/>
        <v>1.3881097420119501E-3</v>
      </c>
      <c r="AZ356">
        <f t="shared" si="126"/>
        <v>30.954847246866489</v>
      </c>
      <c r="BA356">
        <f t="shared" si="127"/>
        <v>0.46675555070194885</v>
      </c>
    </row>
    <row r="357" spans="1:53" x14ac:dyDescent="0.25">
      <c r="A357" t="s">
        <v>0</v>
      </c>
      <c r="B357" t="s">
        <v>18</v>
      </c>
      <c r="C357">
        <v>10</v>
      </c>
      <c r="G357">
        <f t="shared" si="106"/>
        <v>338.625</v>
      </c>
      <c r="H357" s="7">
        <v>45053.625</v>
      </c>
      <c r="AF357">
        <v>172.77</v>
      </c>
      <c r="AG357">
        <v>139.16999999999999</v>
      </c>
      <c r="AL357">
        <v>320.82</v>
      </c>
      <c r="AM357">
        <v>320.76</v>
      </c>
      <c r="AN357">
        <f t="shared" ref="AN357:AN372" si="128">AM341-AL357</f>
        <v>4.9999999999954525E-3</v>
      </c>
      <c r="AO357">
        <f t="shared" ref="AO357:AO372" si="129">AL357-AM357</f>
        <v>6.0000000000002274E-2</v>
      </c>
      <c r="AP357">
        <v>57.5</v>
      </c>
      <c r="AQ357">
        <v>1011</v>
      </c>
      <c r="AR357">
        <v>22</v>
      </c>
      <c r="AS357">
        <v>34</v>
      </c>
      <c r="AT357">
        <f t="shared" ref="AT357:AT372" si="130">0.61094*EXP(17.625*AS357/(243.04+AS357))</f>
        <v>5.3137007027131622</v>
      </c>
      <c r="AU357">
        <f t="shared" ref="AU357:AU388" si="131">250-AF357</f>
        <v>77.22999999999999</v>
      </c>
      <c r="AV357">
        <v>1011</v>
      </c>
      <c r="AW357">
        <f t="shared" ref="AW357:AW388" si="132">AP357/AU357*AV357+AV357</f>
        <v>1763.7191505891494</v>
      </c>
      <c r="AX357">
        <f t="shared" ref="AX357:AX388" si="133">18.02*(AT357/(AW357/10-AT357)*1/22300)</f>
        <v>2.5101696729508247E-5</v>
      </c>
      <c r="AY357">
        <f t="shared" ref="AY357:AY388" si="134">(AL357-AM357)/AP357-AX357</f>
        <v>1.0183765641400965E-3</v>
      </c>
      <c r="AZ357">
        <f t="shared" ref="AZ357:AZ388" si="135">AY357*22300</f>
        <v>22.709797380324151</v>
      </c>
      <c r="BA357">
        <f t="shared" ref="BA357:BA388" si="136">(44.01-AZ357)/(44.01-16.04)</f>
        <v>0.76153745511890769</v>
      </c>
    </row>
    <row r="358" spans="1:53" x14ac:dyDescent="0.25">
      <c r="A358" t="s">
        <v>1</v>
      </c>
      <c r="B358" t="s">
        <v>18</v>
      </c>
      <c r="C358">
        <v>10</v>
      </c>
      <c r="G358">
        <f t="shared" si="106"/>
        <v>338.625</v>
      </c>
      <c r="H358" s="7">
        <v>45053.625</v>
      </c>
      <c r="AF358">
        <v>173.93</v>
      </c>
      <c r="AG358">
        <v>141.25</v>
      </c>
      <c r="AL358">
        <v>324.05</v>
      </c>
      <c r="AM358">
        <v>323.97000000000003</v>
      </c>
      <c r="AN358">
        <f t="shared" si="128"/>
        <v>0</v>
      </c>
      <c r="AO358">
        <f t="shared" si="129"/>
        <v>7.9999999999984084E-2</v>
      </c>
      <c r="AP358">
        <f>59+5</f>
        <v>64</v>
      </c>
      <c r="AQ358">
        <v>1011</v>
      </c>
      <c r="AR358">
        <v>22</v>
      </c>
      <c r="AS358">
        <v>34</v>
      </c>
      <c r="AT358">
        <f t="shared" si="130"/>
        <v>5.3137007027131622</v>
      </c>
      <c r="AU358">
        <f t="shared" si="131"/>
        <v>76.069999999999993</v>
      </c>
      <c r="AV358">
        <v>1011</v>
      </c>
      <c r="AW358">
        <f t="shared" si="132"/>
        <v>1861.5849875115027</v>
      </c>
      <c r="AX358">
        <f t="shared" si="133"/>
        <v>2.3743295169101491E-5</v>
      </c>
      <c r="AY358">
        <f t="shared" si="134"/>
        <v>1.2262567048306498E-3</v>
      </c>
      <c r="AZ358">
        <f t="shared" si="135"/>
        <v>27.34552451772349</v>
      </c>
      <c r="BA358">
        <f t="shared" si="136"/>
        <v>0.59579819386044008</v>
      </c>
    </row>
    <row r="359" spans="1:53" x14ac:dyDescent="0.25">
      <c r="A359" t="s">
        <v>2</v>
      </c>
      <c r="B359" t="s">
        <v>18</v>
      </c>
      <c r="C359">
        <v>10</v>
      </c>
      <c r="G359">
        <f t="shared" ref="G359:G422" si="137">H359-$H$18</f>
        <v>338.625</v>
      </c>
      <c r="H359" s="7">
        <v>45053.625</v>
      </c>
      <c r="AF359">
        <v>162.82000000000002</v>
      </c>
      <c r="AG359">
        <v>140.66</v>
      </c>
      <c r="AL359">
        <v>312.41000000000003</v>
      </c>
      <c r="AM359">
        <v>312.35000000000002</v>
      </c>
      <c r="AN359">
        <f t="shared" si="128"/>
        <v>-1.0000000000047748E-2</v>
      </c>
      <c r="AO359">
        <f t="shared" si="129"/>
        <v>6.0000000000002274E-2</v>
      </c>
      <c r="AP359">
        <v>53.5</v>
      </c>
      <c r="AQ359">
        <v>1011</v>
      </c>
      <c r="AR359">
        <v>22</v>
      </c>
      <c r="AS359">
        <v>34</v>
      </c>
      <c r="AT359">
        <f t="shared" si="130"/>
        <v>5.3137007027131622</v>
      </c>
      <c r="AU359">
        <f t="shared" si="131"/>
        <v>87.179999999999978</v>
      </c>
      <c r="AV359">
        <v>1011</v>
      </c>
      <c r="AW359">
        <f t="shared" si="132"/>
        <v>1631.4232622161048</v>
      </c>
      <c r="AX359">
        <f t="shared" si="133"/>
        <v>2.7205783524652658E-5</v>
      </c>
      <c r="AY359">
        <f t="shared" si="134"/>
        <v>1.0942895435781936E-3</v>
      </c>
      <c r="AZ359">
        <f t="shared" si="135"/>
        <v>24.402656821793716</v>
      </c>
      <c r="BA359">
        <f t="shared" si="136"/>
        <v>0.70101334208817601</v>
      </c>
    </row>
    <row r="360" spans="1:53" x14ac:dyDescent="0.25">
      <c r="A360" t="s">
        <v>3</v>
      </c>
      <c r="B360" t="s">
        <v>18</v>
      </c>
      <c r="C360">
        <v>10</v>
      </c>
      <c r="G360">
        <f t="shared" si="137"/>
        <v>338.625</v>
      </c>
      <c r="H360" s="7">
        <v>45053.625</v>
      </c>
      <c r="AF360">
        <v>187.81</v>
      </c>
      <c r="AG360">
        <v>140</v>
      </c>
      <c r="AL360">
        <v>336.66</v>
      </c>
      <c r="AM360">
        <v>336.59</v>
      </c>
      <c r="AN360">
        <f t="shared" si="128"/>
        <v>0</v>
      </c>
      <c r="AO360">
        <f t="shared" si="129"/>
        <v>7.0000000000050022E-2</v>
      </c>
      <c r="AP360">
        <v>35</v>
      </c>
      <c r="AQ360">
        <v>1011</v>
      </c>
      <c r="AR360">
        <v>22</v>
      </c>
      <c r="AS360">
        <v>34</v>
      </c>
      <c r="AT360">
        <f t="shared" si="130"/>
        <v>5.3137007027131622</v>
      </c>
      <c r="AU360">
        <f t="shared" si="131"/>
        <v>62.19</v>
      </c>
      <c r="AV360">
        <v>1011</v>
      </c>
      <c r="AW360">
        <f t="shared" si="132"/>
        <v>1579.9821514712976</v>
      </c>
      <c r="AX360">
        <f t="shared" si="133"/>
        <v>2.8122376624014008E-5</v>
      </c>
      <c r="AY360">
        <f t="shared" si="134"/>
        <v>1.9718776233774151E-3</v>
      </c>
      <c r="AZ360">
        <f t="shared" si="135"/>
        <v>43.972871001316356</v>
      </c>
      <c r="BA360">
        <f t="shared" si="136"/>
        <v>1.3274579436411017E-3</v>
      </c>
    </row>
    <row r="361" spans="1:53" x14ac:dyDescent="0.25">
      <c r="A361" t="s">
        <v>4</v>
      </c>
      <c r="B361" t="s">
        <v>18</v>
      </c>
      <c r="C361">
        <v>20</v>
      </c>
      <c r="G361">
        <f t="shared" si="137"/>
        <v>338.625</v>
      </c>
      <c r="H361" s="7">
        <v>45053.625</v>
      </c>
      <c r="AF361">
        <v>181.58</v>
      </c>
      <c r="AG361">
        <v>139.4</v>
      </c>
      <c r="AL361">
        <v>328.27</v>
      </c>
      <c r="AM361">
        <v>328.16</v>
      </c>
      <c r="AN361">
        <f t="shared" si="128"/>
        <v>9.9999999999909051E-3</v>
      </c>
      <c r="AO361">
        <f t="shared" si="129"/>
        <v>0.1099999999999568</v>
      </c>
      <c r="AP361">
        <f>54+5</f>
        <v>59</v>
      </c>
      <c r="AQ361">
        <v>1011</v>
      </c>
      <c r="AR361">
        <v>22</v>
      </c>
      <c r="AS361">
        <v>34</v>
      </c>
      <c r="AT361">
        <f t="shared" si="130"/>
        <v>5.3137007027131622</v>
      </c>
      <c r="AU361">
        <f t="shared" si="131"/>
        <v>68.419999999999987</v>
      </c>
      <c r="AV361">
        <v>1011</v>
      </c>
      <c r="AW361">
        <f t="shared" si="132"/>
        <v>1882.8064893306052</v>
      </c>
      <c r="AX361">
        <f t="shared" si="133"/>
        <v>2.3467907517672651E-5</v>
      </c>
      <c r="AY361">
        <f t="shared" si="134"/>
        <v>1.8409388721426121E-3</v>
      </c>
      <c r="AZ361">
        <f t="shared" si="135"/>
        <v>41.052936848780249</v>
      </c>
      <c r="BA361">
        <f t="shared" si="136"/>
        <v>0.10572267254986591</v>
      </c>
    </row>
    <row r="362" spans="1:53" x14ac:dyDescent="0.25">
      <c r="A362" t="s">
        <v>5</v>
      </c>
      <c r="B362" t="s">
        <v>18</v>
      </c>
      <c r="C362">
        <v>20</v>
      </c>
      <c r="G362">
        <f t="shared" si="137"/>
        <v>338.625</v>
      </c>
      <c r="H362" s="7">
        <v>45053.625</v>
      </c>
      <c r="AF362">
        <v>201.8</v>
      </c>
      <c r="AG362">
        <v>139.81</v>
      </c>
      <c r="AL362">
        <v>349.06</v>
      </c>
      <c r="AM362">
        <v>348.97</v>
      </c>
      <c r="AN362">
        <f t="shared" si="128"/>
        <v>9.9999999999909051E-3</v>
      </c>
      <c r="AO362">
        <f t="shared" si="129"/>
        <v>8.9999999999974989E-2</v>
      </c>
      <c r="AP362">
        <f>54.5+5.5</f>
        <v>60</v>
      </c>
      <c r="AQ362">
        <v>1011</v>
      </c>
      <c r="AR362">
        <v>22</v>
      </c>
      <c r="AS362">
        <v>34</v>
      </c>
      <c r="AT362">
        <f t="shared" si="130"/>
        <v>5.3137007027131622</v>
      </c>
      <c r="AU362">
        <f t="shared" si="131"/>
        <v>48.199999999999989</v>
      </c>
      <c r="AV362">
        <v>1011</v>
      </c>
      <c r="AW362">
        <f t="shared" si="132"/>
        <v>2269.5062240663901</v>
      </c>
      <c r="AX362">
        <f t="shared" si="133"/>
        <v>1.9373357953403364E-5</v>
      </c>
      <c r="AY362">
        <f t="shared" si="134"/>
        <v>1.4806266420461798E-3</v>
      </c>
      <c r="AZ362">
        <f t="shared" si="135"/>
        <v>33.017974117629805</v>
      </c>
      <c r="BA362">
        <f t="shared" si="136"/>
        <v>0.39299341731748993</v>
      </c>
    </row>
    <row r="363" spans="1:53" x14ac:dyDescent="0.25">
      <c r="A363" t="s">
        <v>6</v>
      </c>
      <c r="B363" t="s">
        <v>18</v>
      </c>
      <c r="C363">
        <v>20</v>
      </c>
      <c r="G363">
        <f t="shared" si="137"/>
        <v>338.625</v>
      </c>
      <c r="H363" s="7">
        <v>45053.625</v>
      </c>
      <c r="AF363">
        <v>205.13</v>
      </c>
      <c r="AG363">
        <v>139.01</v>
      </c>
      <c r="AL363">
        <v>351.67</v>
      </c>
      <c r="AM363">
        <v>351.55</v>
      </c>
      <c r="AN363">
        <f t="shared" si="128"/>
        <v>0</v>
      </c>
      <c r="AO363">
        <f t="shared" si="129"/>
        <v>0.12000000000000455</v>
      </c>
      <c r="AP363">
        <f>60+11+8</f>
        <v>79</v>
      </c>
      <c r="AQ363">
        <v>1011</v>
      </c>
      <c r="AR363">
        <v>22</v>
      </c>
      <c r="AS363">
        <v>34</v>
      </c>
      <c r="AT363">
        <f t="shared" si="130"/>
        <v>5.3137007027131622</v>
      </c>
      <c r="AU363">
        <f t="shared" si="131"/>
        <v>44.870000000000005</v>
      </c>
      <c r="AV363">
        <v>1011</v>
      </c>
      <c r="AW363">
        <f t="shared" si="132"/>
        <v>2791.0089146422997</v>
      </c>
      <c r="AX363">
        <f t="shared" si="133"/>
        <v>1.5683171327035399E-5</v>
      </c>
      <c r="AY363">
        <f t="shared" si="134"/>
        <v>1.5033041704451743E-3</v>
      </c>
      <c r="AZ363">
        <f t="shared" si="135"/>
        <v>33.523683000927385</v>
      </c>
      <c r="BA363">
        <f t="shared" si="136"/>
        <v>0.37491301391035448</v>
      </c>
    </row>
    <row r="364" spans="1:53" x14ac:dyDescent="0.25">
      <c r="A364" t="s">
        <v>7</v>
      </c>
      <c r="B364" t="s">
        <v>18</v>
      </c>
      <c r="C364">
        <v>20</v>
      </c>
      <c r="G364">
        <f t="shared" si="137"/>
        <v>338.625</v>
      </c>
      <c r="H364" s="7">
        <v>45053.625</v>
      </c>
      <c r="AF364">
        <v>177.85000000000002</v>
      </c>
      <c r="AG364">
        <v>139.94999999999999</v>
      </c>
      <c r="AL364">
        <v>325.83999999999997</v>
      </c>
      <c r="AM364">
        <v>325.77</v>
      </c>
      <c r="AN364">
        <f t="shared" si="128"/>
        <v>0</v>
      </c>
      <c r="AO364">
        <f t="shared" si="129"/>
        <v>6.9999999999993179E-2</v>
      </c>
      <c r="AP364">
        <v>38</v>
      </c>
      <c r="AQ364">
        <v>1011</v>
      </c>
      <c r="AR364">
        <v>22</v>
      </c>
      <c r="AS364">
        <v>34</v>
      </c>
      <c r="AT364">
        <f t="shared" si="130"/>
        <v>5.3137007027131622</v>
      </c>
      <c r="AU364">
        <f t="shared" si="131"/>
        <v>72.149999999999977</v>
      </c>
      <c r="AV364">
        <v>1011</v>
      </c>
      <c r="AW364">
        <f t="shared" si="132"/>
        <v>1543.4740124740129</v>
      </c>
      <c r="AX364">
        <f t="shared" si="133"/>
        <v>2.8811278282478593E-5</v>
      </c>
      <c r="AY364">
        <f t="shared" si="134"/>
        <v>1.8132939848752366E-3</v>
      </c>
      <c r="AZ364">
        <f t="shared" si="135"/>
        <v>40.436455862717779</v>
      </c>
      <c r="BA364">
        <f t="shared" si="136"/>
        <v>0.12776346575910688</v>
      </c>
    </row>
    <row r="365" spans="1:53" x14ac:dyDescent="0.25">
      <c r="A365" t="s">
        <v>8</v>
      </c>
      <c r="B365" t="s">
        <v>19</v>
      </c>
      <c r="C365">
        <v>10</v>
      </c>
      <c r="G365">
        <f t="shared" si="137"/>
        <v>338.625</v>
      </c>
      <c r="H365" s="7">
        <v>45053.625</v>
      </c>
      <c r="AF365">
        <v>142.11999999999998</v>
      </c>
      <c r="AG365">
        <v>139.71</v>
      </c>
      <c r="AL365">
        <v>289.43</v>
      </c>
      <c r="AM365">
        <v>289.22000000000003</v>
      </c>
      <c r="AN365">
        <f t="shared" si="128"/>
        <v>9.9999999999909051E-3</v>
      </c>
      <c r="AO365">
        <f t="shared" si="129"/>
        <v>0.20999999999997954</v>
      </c>
      <c r="AP365">
        <f>60+61+56.5+9</f>
        <v>186.5</v>
      </c>
      <c r="AQ365">
        <v>1011</v>
      </c>
      <c r="AR365">
        <v>22</v>
      </c>
      <c r="AS365">
        <v>34</v>
      </c>
      <c r="AT365">
        <f t="shared" si="130"/>
        <v>5.3137007027131622</v>
      </c>
      <c r="AU365">
        <f t="shared" si="131"/>
        <v>107.88000000000002</v>
      </c>
      <c r="AV365">
        <v>1011</v>
      </c>
      <c r="AW365">
        <f t="shared" si="132"/>
        <v>2758.7892102335927</v>
      </c>
      <c r="AX365">
        <f t="shared" si="133"/>
        <v>1.5869931156606007E-5</v>
      </c>
      <c r="AY365">
        <f t="shared" si="134"/>
        <v>1.1101354307735793E-3</v>
      </c>
      <c r="AZ365">
        <f t="shared" si="135"/>
        <v>24.756020106250819</v>
      </c>
      <c r="BA365">
        <f t="shared" si="136"/>
        <v>0.68837968872896604</v>
      </c>
    </row>
    <row r="366" spans="1:53" x14ac:dyDescent="0.25">
      <c r="A366" t="s">
        <v>9</v>
      </c>
      <c r="B366" t="s">
        <v>19</v>
      </c>
      <c r="C366">
        <v>10</v>
      </c>
      <c r="G366">
        <f t="shared" si="137"/>
        <v>338.625</v>
      </c>
      <c r="H366" s="7">
        <v>45053.625</v>
      </c>
      <c r="AF366">
        <v>136.42000000000002</v>
      </c>
      <c r="AG366">
        <v>139.75</v>
      </c>
      <c r="AL366">
        <v>283.87</v>
      </c>
      <c r="AM366">
        <v>283.63</v>
      </c>
      <c r="AN366">
        <f t="shared" si="128"/>
        <v>9.9999999999909051E-3</v>
      </c>
      <c r="AO366">
        <f t="shared" si="129"/>
        <v>0.24000000000000909</v>
      </c>
      <c r="AP366">
        <f>60+52+53+58+18</f>
        <v>241</v>
      </c>
      <c r="AQ366">
        <v>1011</v>
      </c>
      <c r="AR366">
        <v>22</v>
      </c>
      <c r="AS366">
        <v>34</v>
      </c>
      <c r="AT366">
        <f t="shared" si="130"/>
        <v>5.3137007027131622</v>
      </c>
      <c r="AU366">
        <f t="shared" si="131"/>
        <v>113.57999999999998</v>
      </c>
      <c r="AV366">
        <v>1011</v>
      </c>
      <c r="AW366">
        <f t="shared" si="132"/>
        <v>3156.1928156365561</v>
      </c>
      <c r="AX366">
        <f t="shared" si="133"/>
        <v>1.3837493376520352E-5</v>
      </c>
      <c r="AY366">
        <f t="shared" si="134"/>
        <v>9.8201312903015646E-4</v>
      </c>
      <c r="AZ366">
        <f t="shared" si="135"/>
        <v>21.898892777372488</v>
      </c>
      <c r="BA366">
        <f t="shared" si="136"/>
        <v>0.79052939659018628</v>
      </c>
    </row>
    <row r="367" spans="1:53" x14ac:dyDescent="0.25">
      <c r="A367" t="s">
        <v>10</v>
      </c>
      <c r="B367" t="s">
        <v>19</v>
      </c>
      <c r="C367">
        <v>10</v>
      </c>
      <c r="G367">
        <f t="shared" si="137"/>
        <v>338.625</v>
      </c>
      <c r="H367" s="7">
        <v>45053.625</v>
      </c>
      <c r="AF367">
        <v>117.85000000000002</v>
      </c>
      <c r="AG367">
        <v>140.44999999999999</v>
      </c>
      <c r="AL367">
        <v>265.67</v>
      </c>
      <c r="AM367">
        <v>265.49</v>
      </c>
      <c r="AN367">
        <f t="shared" si="128"/>
        <v>9.9999999999909051E-3</v>
      </c>
      <c r="AO367">
        <f t="shared" si="129"/>
        <v>0.18000000000000682</v>
      </c>
      <c r="AP367">
        <f>58+67+56.5+21</f>
        <v>202.5</v>
      </c>
      <c r="AQ367">
        <v>1011</v>
      </c>
      <c r="AR367">
        <v>22</v>
      </c>
      <c r="AS367">
        <v>34</v>
      </c>
      <c r="AT367">
        <f t="shared" si="130"/>
        <v>5.3137007027131622</v>
      </c>
      <c r="AU367">
        <f t="shared" si="131"/>
        <v>132.14999999999998</v>
      </c>
      <c r="AV367">
        <v>1011</v>
      </c>
      <c r="AW367">
        <f t="shared" si="132"/>
        <v>2560.2054483541433</v>
      </c>
      <c r="AX367">
        <f t="shared" si="133"/>
        <v>1.712698125459958E-5</v>
      </c>
      <c r="AY367">
        <f t="shared" si="134"/>
        <v>8.7176190763432293E-4</v>
      </c>
      <c r="AZ367">
        <f t="shared" si="135"/>
        <v>19.4402905402454</v>
      </c>
      <c r="BA367">
        <f t="shared" si="136"/>
        <v>0.87843079941918478</v>
      </c>
    </row>
    <row r="368" spans="1:53" x14ac:dyDescent="0.25">
      <c r="A368" t="s">
        <v>11</v>
      </c>
      <c r="B368" t="s">
        <v>19</v>
      </c>
      <c r="C368">
        <v>10</v>
      </c>
      <c r="G368">
        <f t="shared" si="137"/>
        <v>338.625</v>
      </c>
      <c r="H368" s="7">
        <v>45053.625</v>
      </c>
      <c r="AF368">
        <v>107.53</v>
      </c>
      <c r="AG368">
        <v>140</v>
      </c>
      <c r="AL368">
        <v>255.68</v>
      </c>
      <c r="AM368">
        <v>255.55</v>
      </c>
      <c r="AN368">
        <f t="shared" si="128"/>
        <v>0</v>
      </c>
      <c r="AO368">
        <f t="shared" si="129"/>
        <v>0.12999999999999545</v>
      </c>
      <c r="AP368">
        <f>54+56+28.5</f>
        <v>138.5</v>
      </c>
      <c r="AQ368">
        <v>1011</v>
      </c>
      <c r="AR368">
        <v>22</v>
      </c>
      <c r="AS368">
        <v>34</v>
      </c>
      <c r="AT368">
        <f t="shared" si="130"/>
        <v>5.3137007027131622</v>
      </c>
      <c r="AU368">
        <f t="shared" si="131"/>
        <v>142.47</v>
      </c>
      <c r="AV368">
        <v>1011</v>
      </c>
      <c r="AW368">
        <f t="shared" si="132"/>
        <v>1993.8279637818489</v>
      </c>
      <c r="AX368">
        <f t="shared" si="133"/>
        <v>2.2125374495694569E-5</v>
      </c>
      <c r="AY368">
        <f t="shared" si="134"/>
        <v>9.16502784349038E-4</v>
      </c>
      <c r="AZ368">
        <f t="shared" si="135"/>
        <v>20.438012090983548</v>
      </c>
      <c r="BA368">
        <f t="shared" si="136"/>
        <v>0.84275966782325529</v>
      </c>
    </row>
    <row r="369" spans="1:53" x14ac:dyDescent="0.25">
      <c r="A369" t="s">
        <v>12</v>
      </c>
      <c r="B369" t="s">
        <v>19</v>
      </c>
      <c r="C369">
        <v>20</v>
      </c>
      <c r="G369">
        <f t="shared" si="137"/>
        <v>338.625</v>
      </c>
      <c r="H369" s="7">
        <v>45053.625</v>
      </c>
      <c r="AF369">
        <v>109.43</v>
      </c>
      <c r="AG369">
        <v>140.19999999999999</v>
      </c>
      <c r="AL369">
        <v>257.815</v>
      </c>
      <c r="AM369">
        <v>257.76499999999999</v>
      </c>
      <c r="AN369">
        <f t="shared" si="128"/>
        <v>-4.9999999999954525E-3</v>
      </c>
      <c r="AO369">
        <f t="shared" si="129"/>
        <v>5.0000000000011369E-2</v>
      </c>
      <c r="AP369">
        <v>28.5</v>
      </c>
      <c r="AQ369">
        <v>1011</v>
      </c>
      <c r="AR369">
        <v>22</v>
      </c>
      <c r="AS369">
        <v>34</v>
      </c>
      <c r="AT369">
        <f t="shared" si="130"/>
        <v>5.3137007027131622</v>
      </c>
      <c r="AU369">
        <f t="shared" si="131"/>
        <v>140.57</v>
      </c>
      <c r="AV369">
        <v>1011</v>
      </c>
      <c r="AW369">
        <f t="shared" si="132"/>
        <v>1215.9761684569964</v>
      </c>
      <c r="AX369">
        <f t="shared" si="133"/>
        <v>3.6925583195708092E-5</v>
      </c>
      <c r="AY369">
        <f t="shared" si="134"/>
        <v>1.7174603817169715E-3</v>
      </c>
      <c r="AZ369">
        <f t="shared" si="135"/>
        <v>38.299366512288465</v>
      </c>
      <c r="BA369">
        <f t="shared" si="136"/>
        <v>0.20416994950702658</v>
      </c>
    </row>
    <row r="370" spans="1:53" x14ac:dyDescent="0.25">
      <c r="A370" t="s">
        <v>13</v>
      </c>
      <c r="B370" t="s">
        <v>19</v>
      </c>
      <c r="C370">
        <v>20</v>
      </c>
      <c r="G370">
        <f t="shared" si="137"/>
        <v>338.625</v>
      </c>
      <c r="H370" s="7">
        <v>45053.625</v>
      </c>
      <c r="AF370">
        <v>129.52999999999997</v>
      </c>
      <c r="AG370">
        <v>140.24</v>
      </c>
      <c r="AL370">
        <v>277.99</v>
      </c>
      <c r="AM370">
        <v>277.93</v>
      </c>
      <c r="AN370">
        <f t="shared" si="128"/>
        <v>0</v>
      </c>
      <c r="AO370">
        <f t="shared" si="129"/>
        <v>6.0000000000002274E-2</v>
      </c>
      <c r="AP370">
        <v>30</v>
      </c>
      <c r="AQ370">
        <v>1011</v>
      </c>
      <c r="AR370">
        <v>22</v>
      </c>
      <c r="AS370">
        <v>34</v>
      </c>
      <c r="AT370">
        <f t="shared" si="130"/>
        <v>5.3137007027131622</v>
      </c>
      <c r="AU370">
        <f t="shared" si="131"/>
        <v>120.47000000000003</v>
      </c>
      <c r="AV370">
        <v>1011</v>
      </c>
      <c r="AW370">
        <f t="shared" si="132"/>
        <v>1262.7639246285382</v>
      </c>
      <c r="AX370">
        <f t="shared" si="133"/>
        <v>3.5497320350434618E-5</v>
      </c>
      <c r="AY370">
        <f t="shared" si="134"/>
        <v>1.9645026796496412E-3</v>
      </c>
      <c r="AZ370">
        <f t="shared" si="135"/>
        <v>43.808409756186997</v>
      </c>
      <c r="BA370">
        <f t="shared" si="136"/>
        <v>7.2073737509117369E-3</v>
      </c>
    </row>
    <row r="371" spans="1:53" x14ac:dyDescent="0.25">
      <c r="A371" t="s">
        <v>14</v>
      </c>
      <c r="B371" t="s">
        <v>19</v>
      </c>
      <c r="C371">
        <v>20</v>
      </c>
      <c r="G371">
        <f t="shared" si="137"/>
        <v>338.625</v>
      </c>
      <c r="H371" s="7">
        <v>45053.625</v>
      </c>
      <c r="AF371">
        <v>94.359999999999985</v>
      </c>
      <c r="AG371">
        <v>138.74</v>
      </c>
      <c r="AL371">
        <v>241.3</v>
      </c>
      <c r="AM371">
        <v>241.24</v>
      </c>
      <c r="AN371">
        <f t="shared" si="128"/>
        <v>1.999999999998181E-2</v>
      </c>
      <c r="AO371">
        <f t="shared" si="129"/>
        <v>6.0000000000002274E-2</v>
      </c>
      <c r="AP371">
        <v>20.5</v>
      </c>
      <c r="AQ371">
        <v>1011</v>
      </c>
      <c r="AR371">
        <v>22</v>
      </c>
      <c r="AS371">
        <v>34</v>
      </c>
      <c r="AT371">
        <f t="shared" si="130"/>
        <v>5.3137007027131622</v>
      </c>
      <c r="AU371">
        <f t="shared" si="131"/>
        <v>155.64000000000001</v>
      </c>
      <c r="AV371">
        <v>1011</v>
      </c>
      <c r="AW371">
        <f t="shared" si="132"/>
        <v>1144.1630686198921</v>
      </c>
      <c r="AX371">
        <f t="shared" si="133"/>
        <v>3.935608479958865E-5</v>
      </c>
      <c r="AY371">
        <f t="shared" si="134"/>
        <v>2.8874731834932052E-3</v>
      </c>
      <c r="AZ371">
        <f t="shared" si="135"/>
        <v>64.39065199189848</v>
      </c>
      <c r="BA371">
        <f t="shared" si="136"/>
        <v>-0.72866113664277732</v>
      </c>
    </row>
    <row r="372" spans="1:53" x14ac:dyDescent="0.25">
      <c r="A372" t="s">
        <v>15</v>
      </c>
      <c r="B372" t="s">
        <v>19</v>
      </c>
      <c r="C372">
        <v>20</v>
      </c>
      <c r="G372">
        <f t="shared" si="137"/>
        <v>338.625</v>
      </c>
      <c r="H372" s="7">
        <v>45053.625</v>
      </c>
      <c r="AF372">
        <v>85.4</v>
      </c>
      <c r="AG372">
        <v>140.1</v>
      </c>
      <c r="AL372">
        <v>233.75</v>
      </c>
      <c r="AM372">
        <v>233.68</v>
      </c>
      <c r="AN372">
        <f t="shared" si="128"/>
        <v>2.0000000000010232E-2</v>
      </c>
      <c r="AO372">
        <f t="shared" si="129"/>
        <v>6.9999999999993179E-2</v>
      </c>
      <c r="AP372">
        <v>30</v>
      </c>
      <c r="AQ372">
        <v>1011</v>
      </c>
      <c r="AR372">
        <v>22</v>
      </c>
      <c r="AS372">
        <v>34</v>
      </c>
      <c r="AT372">
        <f t="shared" si="130"/>
        <v>5.3137007027131622</v>
      </c>
      <c r="AU372">
        <f t="shared" si="131"/>
        <v>164.6</v>
      </c>
      <c r="AV372">
        <v>1011</v>
      </c>
      <c r="AW372">
        <f t="shared" si="132"/>
        <v>1195.2648845686513</v>
      </c>
      <c r="AX372">
        <f t="shared" si="133"/>
        <v>3.7595189683166602E-5</v>
      </c>
      <c r="AY372">
        <f t="shared" si="134"/>
        <v>2.2957381436499395E-3</v>
      </c>
      <c r="AZ372">
        <f t="shared" si="135"/>
        <v>51.194960603393653</v>
      </c>
      <c r="BA372">
        <f t="shared" si="136"/>
        <v>-0.25688096544131767</v>
      </c>
    </row>
    <row r="373" spans="1:53" x14ac:dyDescent="0.25">
      <c r="A373" t="s">
        <v>0</v>
      </c>
      <c r="B373" t="s">
        <v>18</v>
      </c>
      <c r="C373">
        <v>10</v>
      </c>
      <c r="G373">
        <f t="shared" si="137"/>
        <v>341.41666666666424</v>
      </c>
      <c r="H373" s="7">
        <v>45056.416666666664</v>
      </c>
      <c r="AF373">
        <v>172.77</v>
      </c>
      <c r="AG373">
        <v>139.16999999999999</v>
      </c>
      <c r="AL373">
        <v>320.77</v>
      </c>
      <c r="AM373">
        <v>320.67500000000001</v>
      </c>
      <c r="AN373">
        <f t="shared" ref="AN373:AN389" si="138">AM357-AL373</f>
        <v>-9.9999999999909051E-3</v>
      </c>
      <c r="AO373">
        <f t="shared" ref="AO373:AO389" si="139">AL373-AM373</f>
        <v>9.4999999999970441E-2</v>
      </c>
      <c r="AP373">
        <f>60+15</f>
        <v>75</v>
      </c>
      <c r="AQ373">
        <v>1011</v>
      </c>
      <c r="AR373">
        <v>22</v>
      </c>
      <c r="AS373">
        <v>34</v>
      </c>
      <c r="AT373">
        <f t="shared" ref="AT373:AT388" si="140">0.61094*EXP(17.625*AS373/(243.04+AS373))</f>
        <v>5.3137007027131622</v>
      </c>
      <c r="AU373">
        <f t="shared" si="131"/>
        <v>77.22999999999999</v>
      </c>
      <c r="AV373">
        <v>1011</v>
      </c>
      <c r="AW373">
        <f t="shared" si="132"/>
        <v>1992.8075877249776</v>
      </c>
      <c r="AX373">
        <f t="shared" si="133"/>
        <v>2.2137013689797619E-5</v>
      </c>
      <c r="AY373">
        <f t="shared" si="134"/>
        <v>1.2445296529764751E-3</v>
      </c>
      <c r="AZ373">
        <f t="shared" si="135"/>
        <v>27.753011261375395</v>
      </c>
      <c r="BA373">
        <f t="shared" si="136"/>
        <v>0.58122948654360396</v>
      </c>
    </row>
    <row r="374" spans="1:53" x14ac:dyDescent="0.25">
      <c r="A374" t="s">
        <v>1</v>
      </c>
      <c r="B374" t="s">
        <v>18</v>
      </c>
      <c r="C374">
        <v>10</v>
      </c>
      <c r="G374">
        <f t="shared" si="137"/>
        <v>341.41666666666424</v>
      </c>
      <c r="H374" s="7">
        <v>45056.416666666664</v>
      </c>
      <c r="AF374">
        <v>173.93</v>
      </c>
      <c r="AG374">
        <v>141.25</v>
      </c>
      <c r="AL374">
        <v>323.98</v>
      </c>
      <c r="AM374">
        <v>323.89499999999998</v>
      </c>
      <c r="AN374">
        <f t="shared" si="138"/>
        <v>-9.9999999999909051E-3</v>
      </c>
      <c r="AO374">
        <f t="shared" si="139"/>
        <v>8.500000000003638E-2</v>
      </c>
      <c r="AP374">
        <f>56+36</f>
        <v>92</v>
      </c>
      <c r="AQ374">
        <v>1011</v>
      </c>
      <c r="AR374">
        <v>22</v>
      </c>
      <c r="AS374">
        <v>34</v>
      </c>
      <c r="AT374">
        <f t="shared" si="140"/>
        <v>5.3137007027131622</v>
      </c>
      <c r="AU374">
        <f t="shared" si="131"/>
        <v>76.069999999999993</v>
      </c>
      <c r="AV374">
        <v>1011</v>
      </c>
      <c r="AW374">
        <f t="shared" si="132"/>
        <v>2233.7159195477852</v>
      </c>
      <c r="AX374">
        <f t="shared" si="133"/>
        <v>1.9691336989483619E-5</v>
      </c>
      <c r="AY374">
        <f t="shared" si="134"/>
        <v>9.0422170648917269E-4</v>
      </c>
      <c r="AZ374">
        <f t="shared" si="135"/>
        <v>20.164144054708551</v>
      </c>
      <c r="BA374">
        <f t="shared" si="136"/>
        <v>0.85255116000326947</v>
      </c>
    </row>
    <row r="375" spans="1:53" x14ac:dyDescent="0.25">
      <c r="A375" t="s">
        <v>2</v>
      </c>
      <c r="B375" t="s">
        <v>18</v>
      </c>
      <c r="C375">
        <v>10</v>
      </c>
      <c r="G375">
        <f t="shared" si="137"/>
        <v>341.41666666666424</v>
      </c>
      <c r="H375" s="7">
        <v>45056.416666666664</v>
      </c>
      <c r="AF375">
        <v>162.82000000000002</v>
      </c>
      <c r="AG375">
        <v>140.66</v>
      </c>
      <c r="AL375">
        <v>312.35500000000002</v>
      </c>
      <c r="AM375">
        <v>312.3</v>
      </c>
      <c r="AN375">
        <f t="shared" si="138"/>
        <v>-4.9999999999954525E-3</v>
      </c>
      <c r="AO375">
        <f t="shared" si="139"/>
        <v>5.5000000000006821E-2</v>
      </c>
      <c r="AP375">
        <f>51+21</f>
        <v>72</v>
      </c>
      <c r="AQ375">
        <v>1011</v>
      </c>
      <c r="AR375">
        <v>22</v>
      </c>
      <c r="AS375">
        <v>34</v>
      </c>
      <c r="AT375">
        <f t="shared" si="140"/>
        <v>5.3137007027131622</v>
      </c>
      <c r="AU375">
        <f t="shared" si="131"/>
        <v>87.179999999999978</v>
      </c>
      <c r="AV375">
        <v>1011</v>
      </c>
      <c r="AW375">
        <f t="shared" si="132"/>
        <v>1845.962147281487</v>
      </c>
      <c r="AX375">
        <f t="shared" si="133"/>
        <v>2.3950196388095073E-5</v>
      </c>
      <c r="AY375">
        <f t="shared" si="134"/>
        <v>7.3993869250088854E-4</v>
      </c>
      <c r="AZ375">
        <f t="shared" si="135"/>
        <v>16.500632842769814</v>
      </c>
      <c r="BA375">
        <f t="shared" si="136"/>
        <v>0.98353118188166555</v>
      </c>
    </row>
    <row r="376" spans="1:53" x14ac:dyDescent="0.25">
      <c r="A376" t="s">
        <v>3</v>
      </c>
      <c r="B376" t="s">
        <v>18</v>
      </c>
      <c r="C376">
        <v>10</v>
      </c>
      <c r="G376">
        <f t="shared" si="137"/>
        <v>341.41666666666424</v>
      </c>
      <c r="H376" s="7">
        <v>45056.416666666664</v>
      </c>
      <c r="AF376">
        <v>187.81</v>
      </c>
      <c r="AG376">
        <v>140</v>
      </c>
      <c r="AL376">
        <v>336.6</v>
      </c>
      <c r="AM376">
        <v>336.52499999999998</v>
      </c>
      <c r="AN376">
        <f t="shared" si="138"/>
        <v>-1.0000000000047748E-2</v>
      </c>
      <c r="AO376">
        <f t="shared" si="139"/>
        <v>7.5000000000045475E-2</v>
      </c>
      <c r="AP376">
        <v>48</v>
      </c>
      <c r="AQ376">
        <v>1011</v>
      </c>
      <c r="AR376">
        <v>22</v>
      </c>
      <c r="AS376">
        <v>34</v>
      </c>
      <c r="AT376">
        <f t="shared" si="140"/>
        <v>5.3137007027131622</v>
      </c>
      <c r="AU376">
        <f t="shared" si="131"/>
        <v>62.19</v>
      </c>
      <c r="AV376">
        <v>1011</v>
      </c>
      <c r="AW376">
        <f t="shared" si="132"/>
        <v>1791.3183791606368</v>
      </c>
      <c r="AX376">
        <f t="shared" si="133"/>
        <v>2.4703126432601022E-5</v>
      </c>
      <c r="AY376">
        <f t="shared" si="134"/>
        <v>1.5377968735683465E-3</v>
      </c>
      <c r="AZ376">
        <f t="shared" si="135"/>
        <v>34.292870280574128</v>
      </c>
      <c r="BA376">
        <f t="shared" si="136"/>
        <v>0.34741257488115374</v>
      </c>
    </row>
    <row r="377" spans="1:53" x14ac:dyDescent="0.25">
      <c r="A377" t="s">
        <v>4</v>
      </c>
      <c r="B377" t="s">
        <v>18</v>
      </c>
      <c r="C377">
        <v>20</v>
      </c>
      <c r="G377">
        <f t="shared" si="137"/>
        <v>341.41666666666424</v>
      </c>
      <c r="H377" s="7">
        <v>45056.416666666664</v>
      </c>
      <c r="AF377">
        <v>181.58</v>
      </c>
      <c r="AG377">
        <v>139.4</v>
      </c>
      <c r="AL377">
        <v>328.17</v>
      </c>
      <c r="AM377">
        <v>328.05</v>
      </c>
      <c r="AN377">
        <f t="shared" si="138"/>
        <v>-9.9999999999909051E-3</v>
      </c>
      <c r="AO377">
        <f t="shared" si="139"/>
        <v>0.12000000000000455</v>
      </c>
      <c r="AP377">
        <v>49</v>
      </c>
      <c r="AQ377">
        <v>1011</v>
      </c>
      <c r="AR377">
        <v>22</v>
      </c>
      <c r="AS377">
        <v>34</v>
      </c>
      <c r="AT377">
        <f t="shared" si="140"/>
        <v>5.3137007027131622</v>
      </c>
      <c r="AU377">
        <f t="shared" si="131"/>
        <v>68.419999999999987</v>
      </c>
      <c r="AV377">
        <v>1011</v>
      </c>
      <c r="AW377">
        <f t="shared" si="132"/>
        <v>1735.0426775796552</v>
      </c>
      <c r="AX377">
        <f t="shared" si="133"/>
        <v>2.5529680380053752E-5</v>
      </c>
      <c r="AY377">
        <f t="shared" si="134"/>
        <v>2.4234499114567736E-3</v>
      </c>
      <c r="AZ377">
        <f t="shared" si="135"/>
        <v>54.04293302548605</v>
      </c>
      <c r="BA377">
        <f t="shared" si="136"/>
        <v>-0.35870336165484634</v>
      </c>
    </row>
    <row r="378" spans="1:53" x14ac:dyDescent="0.25">
      <c r="A378" t="s">
        <v>5</v>
      </c>
      <c r="B378" t="s">
        <v>18</v>
      </c>
      <c r="C378">
        <v>20</v>
      </c>
      <c r="G378">
        <f t="shared" si="137"/>
        <v>341.41666666666424</v>
      </c>
      <c r="H378" s="7">
        <v>45056.416666666664</v>
      </c>
      <c r="AF378">
        <v>201.8</v>
      </c>
      <c r="AG378">
        <v>139.81</v>
      </c>
      <c r="AL378">
        <v>348.98</v>
      </c>
      <c r="AM378">
        <v>348.91</v>
      </c>
      <c r="AN378">
        <f t="shared" si="138"/>
        <v>-9.9999999999909051E-3</v>
      </c>
      <c r="AO378">
        <f t="shared" si="139"/>
        <v>6.9999999999993179E-2</v>
      </c>
      <c r="AP378">
        <v>46.5</v>
      </c>
      <c r="AQ378">
        <v>1011</v>
      </c>
      <c r="AR378">
        <v>22</v>
      </c>
      <c r="AS378">
        <v>34</v>
      </c>
      <c r="AT378">
        <f t="shared" si="140"/>
        <v>5.3137007027131622</v>
      </c>
      <c r="AU378">
        <f t="shared" si="131"/>
        <v>48.199999999999989</v>
      </c>
      <c r="AV378">
        <v>1011</v>
      </c>
      <c r="AW378">
        <f t="shared" si="132"/>
        <v>1986.3423236514525</v>
      </c>
      <c r="AX378">
        <f t="shared" si="133"/>
        <v>2.2211047026077542E-5</v>
      </c>
      <c r="AY378">
        <f t="shared" si="134"/>
        <v>1.4831652970597974E-3</v>
      </c>
      <c r="AZ378">
        <f t="shared" si="135"/>
        <v>33.07458612443348</v>
      </c>
      <c r="BA378">
        <f t="shared" si="136"/>
        <v>0.39096939133237463</v>
      </c>
    </row>
    <row r="379" spans="1:53" x14ac:dyDescent="0.25">
      <c r="A379" t="s">
        <v>6</v>
      </c>
      <c r="B379" t="s">
        <v>18</v>
      </c>
      <c r="C379">
        <v>20</v>
      </c>
      <c r="G379">
        <f t="shared" si="137"/>
        <v>341.41666666666424</v>
      </c>
      <c r="H379" s="7">
        <v>45056.416666666664</v>
      </c>
      <c r="AF379">
        <v>205.13</v>
      </c>
      <c r="AG379">
        <v>139.01</v>
      </c>
      <c r="AL379">
        <v>351.55</v>
      </c>
      <c r="AM379">
        <v>351.45</v>
      </c>
      <c r="AN379">
        <f t="shared" si="138"/>
        <v>0</v>
      </c>
      <c r="AO379">
        <f t="shared" si="139"/>
        <v>0.10000000000002274</v>
      </c>
      <c r="AP379">
        <v>55</v>
      </c>
      <c r="AQ379">
        <v>1011</v>
      </c>
      <c r="AR379">
        <v>22</v>
      </c>
      <c r="AS379">
        <v>34</v>
      </c>
      <c r="AT379">
        <f t="shared" si="140"/>
        <v>5.3137007027131622</v>
      </c>
      <c r="AU379">
        <f t="shared" si="131"/>
        <v>44.870000000000005</v>
      </c>
      <c r="AV379">
        <v>1011</v>
      </c>
      <c r="AW379">
        <f t="shared" si="132"/>
        <v>2250.2467127256518</v>
      </c>
      <c r="AX379">
        <f t="shared" si="133"/>
        <v>1.9543181702415086E-5</v>
      </c>
      <c r="AY379">
        <f t="shared" si="134"/>
        <v>1.7986386364798165E-3</v>
      </c>
      <c r="AZ379">
        <f t="shared" si="135"/>
        <v>40.109641593499909</v>
      </c>
      <c r="BA379">
        <f t="shared" si="136"/>
        <v>0.1394479230067962</v>
      </c>
    </row>
    <row r="380" spans="1:53" x14ac:dyDescent="0.25">
      <c r="A380" t="s">
        <v>7</v>
      </c>
      <c r="B380" t="s">
        <v>18</v>
      </c>
      <c r="C380">
        <v>20</v>
      </c>
      <c r="G380">
        <f t="shared" si="137"/>
        <v>341.41666666666424</v>
      </c>
      <c r="H380" s="7">
        <v>45056.416666666664</v>
      </c>
      <c r="AF380">
        <v>177.85000000000002</v>
      </c>
      <c r="AG380">
        <v>139.94999999999999</v>
      </c>
      <c r="AL380">
        <v>325.77999999999997</v>
      </c>
      <c r="AM380">
        <v>325.69</v>
      </c>
      <c r="AN380">
        <f t="shared" si="138"/>
        <v>-9.9999999999909051E-3</v>
      </c>
      <c r="AO380">
        <f t="shared" si="139"/>
        <v>8.9999999999974989E-2</v>
      </c>
      <c r="AP380">
        <v>36</v>
      </c>
      <c r="AQ380">
        <v>1011</v>
      </c>
      <c r="AR380">
        <v>22</v>
      </c>
      <c r="AS380">
        <v>34</v>
      </c>
      <c r="AT380">
        <f t="shared" si="140"/>
        <v>5.3137007027131622</v>
      </c>
      <c r="AU380">
        <f t="shared" si="131"/>
        <v>72.149999999999977</v>
      </c>
      <c r="AV380">
        <v>1011</v>
      </c>
      <c r="AW380">
        <f t="shared" si="132"/>
        <v>1515.4490644490645</v>
      </c>
      <c r="AX380">
        <f t="shared" si="133"/>
        <v>2.9363441257748253E-5</v>
      </c>
      <c r="AY380">
        <f t="shared" si="134"/>
        <v>2.4706365587415569E-3</v>
      </c>
      <c r="AZ380">
        <f t="shared" si="135"/>
        <v>55.095195259936723</v>
      </c>
      <c r="BA380">
        <f t="shared" si="136"/>
        <v>-0.39632446406638278</v>
      </c>
    </row>
    <row r="381" spans="1:53" x14ac:dyDescent="0.25">
      <c r="A381" t="s">
        <v>8</v>
      </c>
      <c r="B381" t="s">
        <v>19</v>
      </c>
      <c r="C381">
        <v>10</v>
      </c>
      <c r="G381">
        <f t="shared" si="137"/>
        <v>341.41666666666424</v>
      </c>
      <c r="H381" s="7">
        <v>45056.416666666664</v>
      </c>
      <c r="AF381">
        <v>142.11999999999998</v>
      </c>
      <c r="AG381">
        <v>139.71</v>
      </c>
      <c r="AL381">
        <v>289.20999999999998</v>
      </c>
      <c r="AM381">
        <v>289</v>
      </c>
      <c r="AN381">
        <f t="shared" si="138"/>
        <v>1.0000000000047748E-2</v>
      </c>
      <c r="AO381">
        <f t="shared" si="139"/>
        <v>0.20999999999997954</v>
      </c>
      <c r="AP381">
        <f>51+53+55+14</f>
        <v>173</v>
      </c>
      <c r="AQ381">
        <v>1011</v>
      </c>
      <c r="AR381">
        <v>22</v>
      </c>
      <c r="AS381">
        <v>34</v>
      </c>
      <c r="AT381">
        <f t="shared" si="140"/>
        <v>5.3137007027131622</v>
      </c>
      <c r="AU381">
        <f t="shared" si="131"/>
        <v>107.88000000000002</v>
      </c>
      <c r="AV381">
        <v>1011</v>
      </c>
      <c r="AW381">
        <f t="shared" si="132"/>
        <v>2632.2736373748603</v>
      </c>
      <c r="AX381">
        <f t="shared" si="133"/>
        <v>1.6648406173354523E-5</v>
      </c>
      <c r="AY381">
        <f t="shared" si="134"/>
        <v>1.1972244261964694E-3</v>
      </c>
      <c r="AZ381">
        <f t="shared" si="135"/>
        <v>26.698104704181269</v>
      </c>
      <c r="BA381">
        <f t="shared" si="136"/>
        <v>0.61894513034746979</v>
      </c>
    </row>
    <row r="382" spans="1:53" x14ac:dyDescent="0.25">
      <c r="A382" t="s">
        <v>9</v>
      </c>
      <c r="B382" t="s">
        <v>19</v>
      </c>
      <c r="C382">
        <v>10</v>
      </c>
      <c r="G382">
        <f t="shared" si="137"/>
        <v>341.41666666666424</v>
      </c>
      <c r="H382" s="7">
        <v>45056.416666666664</v>
      </c>
      <c r="AF382">
        <v>136.42000000000002</v>
      </c>
      <c r="AG382">
        <v>139.75</v>
      </c>
      <c r="AL382">
        <v>283.62</v>
      </c>
      <c r="AM382">
        <v>283.36</v>
      </c>
      <c r="AN382">
        <f t="shared" si="138"/>
        <v>9.9999999999909051E-3</v>
      </c>
      <c r="AO382">
        <f t="shared" si="139"/>
        <v>0.25999999999999091</v>
      </c>
      <c r="AP382">
        <f>56+51+57+41+38</f>
        <v>243</v>
      </c>
      <c r="AQ382">
        <v>1011</v>
      </c>
      <c r="AR382">
        <v>22</v>
      </c>
      <c r="AS382">
        <v>34</v>
      </c>
      <c r="AT382">
        <f t="shared" si="140"/>
        <v>5.3137007027131622</v>
      </c>
      <c r="AU382">
        <f t="shared" si="131"/>
        <v>113.57999999999998</v>
      </c>
      <c r="AV382">
        <v>1011</v>
      </c>
      <c r="AW382">
        <f t="shared" si="132"/>
        <v>3173.9952456418387</v>
      </c>
      <c r="AX382">
        <f t="shared" si="133"/>
        <v>1.3758559638282559E-5</v>
      </c>
      <c r="AY382">
        <f t="shared" si="134"/>
        <v>1.0562002880983056E-3</v>
      </c>
      <c r="AZ382">
        <f t="shared" si="135"/>
        <v>23.553266424592216</v>
      </c>
      <c r="BA382">
        <f t="shared" si="136"/>
        <v>0.73138125046148672</v>
      </c>
    </row>
    <row r="383" spans="1:53" x14ac:dyDescent="0.25">
      <c r="A383" t="s">
        <v>10</v>
      </c>
      <c r="B383" t="s">
        <v>19</v>
      </c>
      <c r="C383">
        <v>10</v>
      </c>
      <c r="G383">
        <f t="shared" si="137"/>
        <v>341.41666666666424</v>
      </c>
      <c r="H383" s="7">
        <v>45056.416666666664</v>
      </c>
      <c r="AF383">
        <v>117.85000000000002</v>
      </c>
      <c r="AG383">
        <v>140.44999999999999</v>
      </c>
      <c r="AL383">
        <v>265.49</v>
      </c>
      <c r="AM383">
        <v>265.29000000000002</v>
      </c>
      <c r="AN383">
        <f t="shared" si="138"/>
        <v>0</v>
      </c>
      <c r="AO383">
        <f t="shared" si="139"/>
        <v>0.19999999999998863</v>
      </c>
      <c r="AP383">
        <f>55+55+55</f>
        <v>165</v>
      </c>
      <c r="AQ383">
        <v>1011</v>
      </c>
      <c r="AR383">
        <v>22</v>
      </c>
      <c r="AS383">
        <v>34</v>
      </c>
      <c r="AT383">
        <f t="shared" si="140"/>
        <v>5.3137007027131622</v>
      </c>
      <c r="AU383">
        <f t="shared" si="131"/>
        <v>132.14999999999998</v>
      </c>
      <c r="AV383">
        <v>1011</v>
      </c>
      <c r="AW383">
        <f t="shared" si="132"/>
        <v>2273.3155505107834</v>
      </c>
      <c r="AX383">
        <f t="shared" si="133"/>
        <v>1.9340117633616834E-5</v>
      </c>
      <c r="AY383">
        <f t="shared" si="134"/>
        <v>1.1927810944875263E-3</v>
      </c>
      <c r="AZ383">
        <f t="shared" si="135"/>
        <v>26.599018407071835</v>
      </c>
      <c r="BA383">
        <f t="shared" si="136"/>
        <v>0.62248772230704907</v>
      </c>
    </row>
    <row r="384" spans="1:53" x14ac:dyDescent="0.25">
      <c r="A384" t="s">
        <v>11</v>
      </c>
      <c r="B384" t="s">
        <v>19</v>
      </c>
      <c r="C384">
        <v>10</v>
      </c>
      <c r="G384">
        <f t="shared" si="137"/>
        <v>341.41666666666424</v>
      </c>
      <c r="H384" s="7">
        <v>45056.416666666664</v>
      </c>
      <c r="AF384">
        <v>107.53</v>
      </c>
      <c r="AG384">
        <v>140</v>
      </c>
      <c r="AL384">
        <v>255.56</v>
      </c>
      <c r="AM384">
        <v>255.44</v>
      </c>
      <c r="AN384">
        <f t="shared" si="138"/>
        <v>-9.9999999999909051E-3</v>
      </c>
      <c r="AO384">
        <f t="shared" si="139"/>
        <v>0.12000000000000455</v>
      </c>
      <c r="AP384">
        <f>49.5+57.5+22</f>
        <v>129</v>
      </c>
      <c r="AQ384">
        <v>1011</v>
      </c>
      <c r="AR384">
        <v>22</v>
      </c>
      <c r="AS384">
        <v>34</v>
      </c>
      <c r="AT384">
        <f t="shared" si="140"/>
        <v>5.3137007027131622</v>
      </c>
      <c r="AU384">
        <f t="shared" si="131"/>
        <v>142.47</v>
      </c>
      <c r="AV384">
        <v>1011</v>
      </c>
      <c r="AW384">
        <f t="shared" si="132"/>
        <v>1926.4137713202781</v>
      </c>
      <c r="AX384">
        <f t="shared" si="133"/>
        <v>2.2921607216330433E-5</v>
      </c>
      <c r="AY384">
        <f t="shared" si="134"/>
        <v>9.0731095092323971E-4</v>
      </c>
      <c r="AZ384">
        <f t="shared" si="135"/>
        <v>20.233034205588247</v>
      </c>
      <c r="BA384">
        <f t="shared" si="136"/>
        <v>0.85008815854171438</v>
      </c>
    </row>
    <row r="385" spans="1:53" x14ac:dyDescent="0.25">
      <c r="A385" t="s">
        <v>12</v>
      </c>
      <c r="B385" t="s">
        <v>19</v>
      </c>
      <c r="C385">
        <v>20</v>
      </c>
      <c r="G385">
        <f t="shared" si="137"/>
        <v>341.41666666666424</v>
      </c>
      <c r="H385" s="7">
        <v>45056.416666666664</v>
      </c>
      <c r="AF385">
        <v>109.43</v>
      </c>
      <c r="AG385">
        <v>140.19999999999999</v>
      </c>
      <c r="AL385">
        <v>257.75</v>
      </c>
      <c r="AM385">
        <v>257.73</v>
      </c>
      <c r="AN385">
        <f t="shared" si="138"/>
        <v>1.4999999999986358E-2</v>
      </c>
      <c r="AO385">
        <f t="shared" si="139"/>
        <v>1.999999999998181E-2</v>
      </c>
      <c r="AP385">
        <v>25.5</v>
      </c>
      <c r="AQ385">
        <v>1011</v>
      </c>
      <c r="AR385">
        <v>22</v>
      </c>
      <c r="AS385">
        <v>34</v>
      </c>
      <c r="AT385">
        <f t="shared" si="140"/>
        <v>5.3137007027131622</v>
      </c>
      <c r="AU385">
        <f t="shared" si="131"/>
        <v>140.57</v>
      </c>
      <c r="AV385">
        <v>1011</v>
      </c>
      <c r="AW385">
        <f t="shared" si="132"/>
        <v>1194.3997296720495</v>
      </c>
      <c r="AX385">
        <f t="shared" si="133"/>
        <v>3.7623689398260852E-5</v>
      </c>
      <c r="AY385">
        <f t="shared" si="134"/>
        <v>7.4669003609122186E-4</v>
      </c>
      <c r="AZ385">
        <f t="shared" si="135"/>
        <v>16.651187804834247</v>
      </c>
      <c r="BA385">
        <f t="shared" si="136"/>
        <v>0.97814845173992682</v>
      </c>
    </row>
    <row r="386" spans="1:53" x14ac:dyDescent="0.25">
      <c r="A386" t="s">
        <v>13</v>
      </c>
      <c r="B386" t="s">
        <v>19</v>
      </c>
      <c r="C386">
        <v>20</v>
      </c>
      <c r="G386">
        <f t="shared" si="137"/>
        <v>341.41666666666424</v>
      </c>
      <c r="H386" s="7">
        <v>45056.416666666664</v>
      </c>
      <c r="AF386">
        <v>129.52999999999997</v>
      </c>
      <c r="AG386">
        <v>140.24</v>
      </c>
      <c r="AL386">
        <v>277.92500000000001</v>
      </c>
      <c r="AM386">
        <v>277.83499999999998</v>
      </c>
      <c r="AN386">
        <f t="shared" si="138"/>
        <v>4.9999999999954525E-3</v>
      </c>
      <c r="AO386">
        <f t="shared" si="139"/>
        <v>9.0000000000031832E-2</v>
      </c>
      <c r="AP386">
        <v>29</v>
      </c>
      <c r="AQ386">
        <v>1011</v>
      </c>
      <c r="AR386">
        <v>22</v>
      </c>
      <c r="AS386">
        <v>34</v>
      </c>
      <c r="AT386">
        <f t="shared" si="140"/>
        <v>5.3137007027131622</v>
      </c>
      <c r="AU386">
        <f t="shared" si="131"/>
        <v>120.47000000000003</v>
      </c>
      <c r="AV386">
        <v>1011</v>
      </c>
      <c r="AW386">
        <f t="shared" si="132"/>
        <v>1254.371793807587</v>
      </c>
      <c r="AX386">
        <f t="shared" si="133"/>
        <v>3.5745313631558696E-5</v>
      </c>
      <c r="AY386">
        <f t="shared" si="134"/>
        <v>3.0677029622316076E-3</v>
      </c>
      <c r="AZ386">
        <f t="shared" si="135"/>
        <v>68.409776057764844</v>
      </c>
      <c r="BA386">
        <f t="shared" si="136"/>
        <v>-0.8723552398199802</v>
      </c>
    </row>
    <row r="387" spans="1:53" x14ac:dyDescent="0.25">
      <c r="A387" t="s">
        <v>14</v>
      </c>
      <c r="B387" t="s">
        <v>19</v>
      </c>
      <c r="C387">
        <v>20</v>
      </c>
      <c r="G387">
        <f t="shared" si="137"/>
        <v>341.41666666666424</v>
      </c>
      <c r="H387" s="7">
        <v>45056.416666666664</v>
      </c>
      <c r="AF387">
        <v>94.359999999999985</v>
      </c>
      <c r="AG387">
        <v>138.74</v>
      </c>
      <c r="AL387">
        <v>241.25</v>
      </c>
      <c r="AM387">
        <v>241.22</v>
      </c>
      <c r="AN387">
        <f t="shared" si="138"/>
        <v>-9.9999999999909051E-3</v>
      </c>
      <c r="AO387">
        <f t="shared" si="139"/>
        <v>3.0000000000001137E-2</v>
      </c>
      <c r="AP387">
        <v>18.5</v>
      </c>
      <c r="AQ387">
        <v>1011</v>
      </c>
      <c r="AR387">
        <v>22</v>
      </c>
      <c r="AS387">
        <v>34</v>
      </c>
      <c r="AT387">
        <f t="shared" si="140"/>
        <v>5.3137007027131622</v>
      </c>
      <c r="AU387">
        <f t="shared" si="131"/>
        <v>155.64000000000001</v>
      </c>
      <c r="AV387">
        <v>1011</v>
      </c>
      <c r="AW387">
        <f t="shared" si="132"/>
        <v>1131.1715497301466</v>
      </c>
      <c r="AX387">
        <f t="shared" si="133"/>
        <v>3.9830369526883454E-5</v>
      </c>
      <c r="AY387">
        <f t="shared" si="134"/>
        <v>1.5817912520947996E-3</v>
      </c>
      <c r="AZ387">
        <f t="shared" si="135"/>
        <v>35.273944921714033</v>
      </c>
      <c r="BA387">
        <f t="shared" si="136"/>
        <v>0.31233661345319863</v>
      </c>
    </row>
    <row r="388" spans="1:53" x14ac:dyDescent="0.25">
      <c r="A388" t="s">
        <v>15</v>
      </c>
      <c r="B388" t="s">
        <v>19</v>
      </c>
      <c r="C388">
        <v>20</v>
      </c>
      <c r="G388">
        <f t="shared" si="137"/>
        <v>341.41666666666424</v>
      </c>
      <c r="H388" s="7">
        <v>45056.416666666664</v>
      </c>
      <c r="AF388">
        <v>85.4</v>
      </c>
      <c r="AG388">
        <v>140.1</v>
      </c>
      <c r="AL388">
        <v>233.69499999999999</v>
      </c>
      <c r="AM388">
        <v>233.62</v>
      </c>
      <c r="AN388">
        <f t="shared" si="138"/>
        <v>-1.4999999999986358E-2</v>
      </c>
      <c r="AO388">
        <f t="shared" si="139"/>
        <v>7.4999999999988631E-2</v>
      </c>
      <c r="AP388">
        <v>28</v>
      </c>
      <c r="AQ388">
        <v>1011</v>
      </c>
      <c r="AR388">
        <v>22</v>
      </c>
      <c r="AS388">
        <v>34</v>
      </c>
      <c r="AT388">
        <f t="shared" si="140"/>
        <v>5.3137007027131622</v>
      </c>
      <c r="AU388">
        <f t="shared" si="131"/>
        <v>164.6</v>
      </c>
      <c r="AV388">
        <v>1011</v>
      </c>
      <c r="AW388">
        <f t="shared" si="132"/>
        <v>1182.9805589307412</v>
      </c>
      <c r="AX388">
        <f t="shared" si="133"/>
        <v>3.8003946764365055E-5</v>
      </c>
      <c r="AY388">
        <f t="shared" si="134"/>
        <v>2.6405674818066574E-3</v>
      </c>
      <c r="AZ388">
        <f t="shared" si="135"/>
        <v>58.884654844288463</v>
      </c>
      <c r="BA388">
        <f t="shared" si="136"/>
        <v>-0.53180746672465018</v>
      </c>
    </row>
    <row r="389" spans="1:53" x14ac:dyDescent="0.25">
      <c r="A389" t="s">
        <v>0</v>
      </c>
      <c r="B389" t="s">
        <v>18</v>
      </c>
      <c r="C389">
        <v>10</v>
      </c>
      <c r="G389">
        <f t="shared" si="137"/>
        <v>343.41666666666424</v>
      </c>
      <c r="H389" s="7">
        <v>45058.416666666664</v>
      </c>
      <c r="AF389">
        <v>172.77</v>
      </c>
      <c r="AG389">
        <v>139.16999999999999</v>
      </c>
      <c r="AL389">
        <v>320.66000000000003</v>
      </c>
      <c r="AM389">
        <v>320.56</v>
      </c>
      <c r="AN389">
        <f t="shared" si="138"/>
        <v>1.4999999999986358E-2</v>
      </c>
      <c r="AO389">
        <f t="shared" si="139"/>
        <v>0.10000000000002274</v>
      </c>
      <c r="AP389">
        <f>52+15</f>
        <v>67</v>
      </c>
      <c r="AQ389">
        <v>1011</v>
      </c>
      <c r="AR389">
        <v>22</v>
      </c>
      <c r="AS389">
        <v>34</v>
      </c>
      <c r="AT389">
        <f t="shared" ref="AT389:AT420" si="141">0.61094*EXP(17.625*AS389/(243.04+AS389))</f>
        <v>5.3137007027131622</v>
      </c>
      <c r="AU389">
        <f t="shared" ref="AU389:AU420" si="142">250-AF389</f>
        <v>77.22999999999999</v>
      </c>
      <c r="AV389">
        <v>1011</v>
      </c>
      <c r="AW389">
        <f t="shared" ref="AW389:AW420" si="143">AP389/AU389*AV389+AV389</f>
        <v>1888.0814450343132</v>
      </c>
      <c r="AX389">
        <f t="shared" ref="AX389:AX420" si="144">18.02*(AT389/(AW389/10-AT389)*1/22300)</f>
        <v>2.3400443800488448E-5</v>
      </c>
      <c r="AY389">
        <f t="shared" ref="AY389:AY420" si="145">(AL389-AM389)/AP389-AX389</f>
        <v>1.4691368696326868E-3</v>
      </c>
      <c r="AZ389">
        <f t="shared" ref="AZ389:AZ420" si="146">AY389*22300</f>
        <v>32.761752192808913</v>
      </c>
      <c r="BA389">
        <f t="shared" ref="BA389:BA420" si="147">(44.01-AZ389)/(44.01-16.04)</f>
        <v>0.40215401527318861</v>
      </c>
    </row>
    <row r="390" spans="1:53" x14ac:dyDescent="0.25">
      <c r="A390" t="s">
        <v>1</v>
      </c>
      <c r="B390" t="s">
        <v>18</v>
      </c>
      <c r="C390">
        <v>10</v>
      </c>
      <c r="G390">
        <f t="shared" si="137"/>
        <v>343.41666666666424</v>
      </c>
      <c r="H390" s="7">
        <v>45058.416666666664</v>
      </c>
      <c r="AF390">
        <v>173.93</v>
      </c>
      <c r="AG390">
        <v>141.25</v>
      </c>
      <c r="AL390">
        <v>323.875</v>
      </c>
      <c r="AM390">
        <v>323.79000000000002</v>
      </c>
      <c r="AN390">
        <f t="shared" ref="AN390:AN453" si="148">AM374-AL390</f>
        <v>1.999999999998181E-2</v>
      </c>
      <c r="AO390">
        <f t="shared" ref="AO390:AO453" si="149">AL390-AM390</f>
        <v>8.4999999999979536E-2</v>
      </c>
      <c r="AP390">
        <f>55.5+24</f>
        <v>79.5</v>
      </c>
      <c r="AQ390">
        <v>1011</v>
      </c>
      <c r="AR390">
        <v>22</v>
      </c>
      <c r="AS390">
        <v>34</v>
      </c>
      <c r="AT390">
        <f t="shared" si="141"/>
        <v>5.3137007027131622</v>
      </c>
      <c r="AU390">
        <f t="shared" si="142"/>
        <v>76.069999999999993</v>
      </c>
      <c r="AV390">
        <v>1011</v>
      </c>
      <c r="AW390">
        <f t="shared" si="143"/>
        <v>2067.5860391744445</v>
      </c>
      <c r="AX390">
        <f t="shared" si="144"/>
        <v>2.1315264627388153E-5</v>
      </c>
      <c r="AY390">
        <f t="shared" si="145"/>
        <v>1.0478671253094612E-3</v>
      </c>
      <c r="AZ390">
        <f t="shared" si="146"/>
        <v>23.367436894400985</v>
      </c>
      <c r="BA390">
        <f t="shared" si="147"/>
        <v>0.73802513784765866</v>
      </c>
    </row>
    <row r="391" spans="1:53" x14ac:dyDescent="0.25">
      <c r="A391" t="s">
        <v>2</v>
      </c>
      <c r="B391" t="s">
        <v>18</v>
      </c>
      <c r="C391">
        <v>10</v>
      </c>
      <c r="G391">
        <f t="shared" si="137"/>
        <v>343.41666666666424</v>
      </c>
      <c r="H391" s="7">
        <v>45058.416666666664</v>
      </c>
      <c r="AF391">
        <v>162.82000000000002</v>
      </c>
      <c r="AG391">
        <v>140.66</v>
      </c>
      <c r="AL391">
        <v>312.29000000000002</v>
      </c>
      <c r="AM391">
        <v>312.20999999999998</v>
      </c>
      <c r="AN391">
        <f t="shared" si="148"/>
        <v>9.9999999999909051E-3</v>
      </c>
      <c r="AO391">
        <f t="shared" si="149"/>
        <v>8.0000000000040927E-2</v>
      </c>
      <c r="AP391">
        <f>59+20.5</f>
        <v>79.5</v>
      </c>
      <c r="AQ391">
        <v>1011</v>
      </c>
      <c r="AR391">
        <v>22</v>
      </c>
      <c r="AS391">
        <v>34</v>
      </c>
      <c r="AT391">
        <f t="shared" si="141"/>
        <v>5.3137007027131622</v>
      </c>
      <c r="AU391">
        <f t="shared" si="142"/>
        <v>87.179999999999978</v>
      </c>
      <c r="AV391">
        <v>1011</v>
      </c>
      <c r="AW391">
        <f t="shared" si="143"/>
        <v>1932.9373709566416</v>
      </c>
      <c r="AX391">
        <f t="shared" si="144"/>
        <v>2.2842060796736846E-5</v>
      </c>
      <c r="AY391">
        <f t="shared" si="145"/>
        <v>9.8344724737987844E-4</v>
      </c>
      <c r="AZ391">
        <f t="shared" si="146"/>
        <v>21.93087361657129</v>
      </c>
      <c r="BA391">
        <f t="shared" si="147"/>
        <v>0.78938599869248149</v>
      </c>
    </row>
    <row r="392" spans="1:53" x14ac:dyDescent="0.25">
      <c r="A392" t="s">
        <v>3</v>
      </c>
      <c r="B392" t="s">
        <v>18</v>
      </c>
      <c r="C392">
        <v>10</v>
      </c>
      <c r="G392">
        <f t="shared" si="137"/>
        <v>343.41666666666424</v>
      </c>
      <c r="H392" s="7">
        <v>45058.416666666664</v>
      </c>
      <c r="AF392">
        <v>187.81</v>
      </c>
      <c r="AG392">
        <v>140</v>
      </c>
      <c r="AL392">
        <v>336.52</v>
      </c>
      <c r="AM392">
        <v>336.45</v>
      </c>
      <c r="AN392">
        <f t="shared" si="148"/>
        <v>4.9999999999954525E-3</v>
      </c>
      <c r="AO392">
        <f t="shared" si="149"/>
        <v>6.9999999999993179E-2</v>
      </c>
      <c r="AP392">
        <v>48</v>
      </c>
      <c r="AQ392">
        <v>1011</v>
      </c>
      <c r="AR392">
        <v>22</v>
      </c>
      <c r="AS392">
        <v>34</v>
      </c>
      <c r="AT392">
        <f t="shared" si="141"/>
        <v>5.3137007027131622</v>
      </c>
      <c r="AU392">
        <f t="shared" si="142"/>
        <v>62.19</v>
      </c>
      <c r="AV392">
        <v>1011</v>
      </c>
      <c r="AW392">
        <f t="shared" si="143"/>
        <v>1791.3183791606368</v>
      </c>
      <c r="AX392">
        <f t="shared" si="144"/>
        <v>2.4703126432601022E-5</v>
      </c>
      <c r="AY392">
        <f t="shared" si="145"/>
        <v>1.4336302069005902E-3</v>
      </c>
      <c r="AZ392">
        <f t="shared" si="146"/>
        <v>31.96995361388316</v>
      </c>
      <c r="BA392">
        <f t="shared" si="147"/>
        <v>0.43046286686152446</v>
      </c>
    </row>
    <row r="393" spans="1:53" x14ac:dyDescent="0.25">
      <c r="A393" t="s">
        <v>4</v>
      </c>
      <c r="B393" t="s">
        <v>18</v>
      </c>
      <c r="C393">
        <v>20</v>
      </c>
      <c r="G393">
        <f t="shared" si="137"/>
        <v>343.41666666666424</v>
      </c>
      <c r="H393" s="7">
        <v>45058.416666666664</v>
      </c>
      <c r="AF393">
        <v>181.58</v>
      </c>
      <c r="AG393">
        <v>139.4</v>
      </c>
      <c r="AL393">
        <v>328.04</v>
      </c>
      <c r="AM393">
        <v>327.97</v>
      </c>
      <c r="AN393">
        <f t="shared" si="148"/>
        <v>9.9999999999909051E-3</v>
      </c>
      <c r="AO393">
        <f t="shared" si="149"/>
        <v>6.9999999999993179E-2</v>
      </c>
      <c r="AP393">
        <v>34</v>
      </c>
      <c r="AQ393">
        <v>1011</v>
      </c>
      <c r="AR393">
        <v>22</v>
      </c>
      <c r="AS393">
        <v>34</v>
      </c>
      <c r="AT393">
        <f t="shared" si="141"/>
        <v>5.3137007027131622</v>
      </c>
      <c r="AU393">
        <f t="shared" si="142"/>
        <v>68.419999999999987</v>
      </c>
      <c r="AV393">
        <v>1011</v>
      </c>
      <c r="AW393">
        <f t="shared" si="143"/>
        <v>1513.3969599532302</v>
      </c>
      <c r="AX393">
        <f t="shared" si="144"/>
        <v>2.9404705725555812E-5</v>
      </c>
      <c r="AY393">
        <f t="shared" si="145"/>
        <v>2.0294188236860081E-3</v>
      </c>
      <c r="AZ393">
        <f t="shared" si="146"/>
        <v>45.256039768197979</v>
      </c>
      <c r="BA393">
        <f t="shared" si="147"/>
        <v>-4.454915152656351E-2</v>
      </c>
    </row>
    <row r="394" spans="1:53" x14ac:dyDescent="0.25">
      <c r="A394" t="s">
        <v>5</v>
      </c>
      <c r="B394" t="s">
        <v>18</v>
      </c>
      <c r="C394">
        <v>20</v>
      </c>
      <c r="G394">
        <f t="shared" si="137"/>
        <v>343.41666666666424</v>
      </c>
      <c r="H394" s="7">
        <v>45058.416666666664</v>
      </c>
      <c r="AF394">
        <v>201.8</v>
      </c>
      <c r="AG394">
        <v>139.81</v>
      </c>
      <c r="AL394">
        <v>348.90499999999997</v>
      </c>
      <c r="AM394">
        <v>348.86</v>
      </c>
      <c r="AN394">
        <f t="shared" si="148"/>
        <v>5.0000000000522959E-3</v>
      </c>
      <c r="AO394">
        <f t="shared" si="149"/>
        <v>4.4999999999959073E-2</v>
      </c>
      <c r="AP394">
        <v>30</v>
      </c>
      <c r="AQ394">
        <v>1011</v>
      </c>
      <c r="AR394">
        <v>22</v>
      </c>
      <c r="AS394">
        <v>34</v>
      </c>
      <c r="AT394">
        <f t="shared" si="141"/>
        <v>5.3137007027131622</v>
      </c>
      <c r="AU394">
        <f t="shared" si="142"/>
        <v>48.199999999999989</v>
      </c>
      <c r="AV394">
        <v>1011</v>
      </c>
      <c r="AW394">
        <f t="shared" si="143"/>
        <v>1640.2531120331951</v>
      </c>
      <c r="AX394">
        <f t="shared" si="144"/>
        <v>2.7054425358781084E-5</v>
      </c>
      <c r="AY394">
        <f t="shared" si="145"/>
        <v>1.4729455746398546E-3</v>
      </c>
      <c r="AZ394">
        <f t="shared" si="146"/>
        <v>32.846686314468755</v>
      </c>
      <c r="BA394">
        <f t="shared" si="147"/>
        <v>0.39911740026926146</v>
      </c>
    </row>
    <row r="395" spans="1:53" x14ac:dyDescent="0.25">
      <c r="A395" t="s">
        <v>6</v>
      </c>
      <c r="B395" t="s">
        <v>18</v>
      </c>
      <c r="C395">
        <v>20</v>
      </c>
      <c r="G395">
        <f t="shared" si="137"/>
        <v>343.41666666666424</v>
      </c>
      <c r="H395" s="7">
        <v>45058.416666666664</v>
      </c>
      <c r="AF395">
        <v>205.13</v>
      </c>
      <c r="AG395">
        <v>139.01</v>
      </c>
      <c r="AL395">
        <v>351.43</v>
      </c>
      <c r="AM395">
        <v>351.38</v>
      </c>
      <c r="AN395">
        <f t="shared" si="148"/>
        <v>1.999999999998181E-2</v>
      </c>
      <c r="AO395">
        <f t="shared" si="149"/>
        <v>5.0000000000011369E-2</v>
      </c>
      <c r="AP395">
        <v>35</v>
      </c>
      <c r="AQ395">
        <v>1011</v>
      </c>
      <c r="AR395">
        <v>22</v>
      </c>
      <c r="AS395">
        <v>34</v>
      </c>
      <c r="AT395">
        <f t="shared" si="141"/>
        <v>5.3137007027131622</v>
      </c>
      <c r="AU395">
        <f t="shared" si="142"/>
        <v>44.870000000000005</v>
      </c>
      <c r="AV395">
        <v>1011</v>
      </c>
      <c r="AW395">
        <f t="shared" si="143"/>
        <v>1799.6115444617785</v>
      </c>
      <c r="AX395">
        <f t="shared" si="144"/>
        <v>2.4585823198818132E-5</v>
      </c>
      <c r="AY395">
        <f t="shared" si="145"/>
        <v>1.4039856053729353E-3</v>
      </c>
      <c r="AZ395">
        <f t="shared" si="146"/>
        <v>31.308878999816457</v>
      </c>
      <c r="BA395">
        <f t="shared" si="147"/>
        <v>0.45409799786140653</v>
      </c>
    </row>
    <row r="396" spans="1:53" x14ac:dyDescent="0.25">
      <c r="A396" t="s">
        <v>7</v>
      </c>
      <c r="B396" t="s">
        <v>18</v>
      </c>
      <c r="C396">
        <v>20</v>
      </c>
      <c r="G396">
        <f t="shared" si="137"/>
        <v>343.41666666666424</v>
      </c>
      <c r="H396" s="7">
        <v>45058.416666666664</v>
      </c>
      <c r="AF396">
        <v>177.85000000000002</v>
      </c>
      <c r="AG396">
        <v>139.94999999999999</v>
      </c>
      <c r="AL396">
        <v>325.67</v>
      </c>
      <c r="AM396">
        <v>325.62</v>
      </c>
      <c r="AN396">
        <f t="shared" si="148"/>
        <v>1.999999999998181E-2</v>
      </c>
      <c r="AO396">
        <f t="shared" si="149"/>
        <v>5.0000000000011369E-2</v>
      </c>
      <c r="AP396">
        <v>27.5</v>
      </c>
      <c r="AQ396">
        <v>1011</v>
      </c>
      <c r="AR396">
        <v>22</v>
      </c>
      <c r="AS396">
        <v>34</v>
      </c>
      <c r="AT396">
        <f t="shared" si="141"/>
        <v>5.3137007027131622</v>
      </c>
      <c r="AU396">
        <f t="shared" si="142"/>
        <v>72.149999999999977</v>
      </c>
      <c r="AV396">
        <v>1011</v>
      </c>
      <c r="AW396">
        <f t="shared" si="143"/>
        <v>1396.3430353430354</v>
      </c>
      <c r="AX396">
        <f t="shared" si="144"/>
        <v>3.1967183956464015E-5</v>
      </c>
      <c r="AY396">
        <f t="shared" si="145"/>
        <v>1.7862146342257678E-3</v>
      </c>
      <c r="AZ396">
        <f t="shared" si="146"/>
        <v>39.832586343234624</v>
      </c>
      <c r="BA396">
        <f t="shared" si="147"/>
        <v>0.14935336634842239</v>
      </c>
    </row>
    <row r="397" spans="1:53" x14ac:dyDescent="0.25">
      <c r="A397" t="s">
        <v>8</v>
      </c>
      <c r="B397" t="s">
        <v>19</v>
      </c>
      <c r="C397">
        <v>10</v>
      </c>
      <c r="G397">
        <f t="shared" si="137"/>
        <v>343.41666666666424</v>
      </c>
      <c r="H397" s="7">
        <v>45058.416666666664</v>
      </c>
      <c r="AF397">
        <v>142.11999999999998</v>
      </c>
      <c r="AG397">
        <v>139.71</v>
      </c>
      <c r="AL397">
        <v>288.97000000000003</v>
      </c>
      <c r="AM397">
        <v>288.84500000000003</v>
      </c>
      <c r="AN397">
        <f t="shared" si="148"/>
        <v>2.9999999999972715E-2</v>
      </c>
      <c r="AO397">
        <f t="shared" si="149"/>
        <v>0.125</v>
      </c>
      <c r="AP397">
        <f>58+41.5+10</f>
        <v>109.5</v>
      </c>
      <c r="AQ397">
        <v>1011</v>
      </c>
      <c r="AR397">
        <v>22</v>
      </c>
      <c r="AS397">
        <v>34</v>
      </c>
      <c r="AT397">
        <f t="shared" si="141"/>
        <v>5.3137007027131622</v>
      </c>
      <c r="AU397">
        <f t="shared" si="142"/>
        <v>107.88000000000002</v>
      </c>
      <c r="AV397">
        <v>1011</v>
      </c>
      <c r="AW397">
        <f t="shared" si="143"/>
        <v>2037.1818687430477</v>
      </c>
      <c r="AX397">
        <f t="shared" si="144"/>
        <v>2.164190690802738E-5</v>
      </c>
      <c r="AY397">
        <f t="shared" si="145"/>
        <v>1.1199106045074977E-3</v>
      </c>
      <c r="AZ397">
        <f t="shared" si="146"/>
        <v>24.974006480517197</v>
      </c>
      <c r="BA397">
        <f t="shared" si="147"/>
        <v>0.68058611081454423</v>
      </c>
    </row>
    <row r="398" spans="1:53" x14ac:dyDescent="0.25">
      <c r="A398" t="s">
        <v>9</v>
      </c>
      <c r="B398" t="s">
        <v>19</v>
      </c>
      <c r="C398">
        <v>10</v>
      </c>
      <c r="G398">
        <f t="shared" si="137"/>
        <v>343.41666666666424</v>
      </c>
      <c r="H398" s="7">
        <v>45058.416666666664</v>
      </c>
      <c r="AF398">
        <v>136.42000000000002</v>
      </c>
      <c r="AG398">
        <v>139.75</v>
      </c>
      <c r="AL398">
        <v>283.33999999999997</v>
      </c>
      <c r="AM398">
        <v>283.14</v>
      </c>
      <c r="AN398">
        <f t="shared" si="148"/>
        <v>2.0000000000038654E-2</v>
      </c>
      <c r="AO398">
        <f t="shared" si="149"/>
        <v>0.19999999999998863</v>
      </c>
      <c r="AP398">
        <f>62+57+55</f>
        <v>174</v>
      </c>
      <c r="AQ398">
        <v>1011</v>
      </c>
      <c r="AR398">
        <v>22</v>
      </c>
      <c r="AS398">
        <v>34</v>
      </c>
      <c r="AT398">
        <f t="shared" si="141"/>
        <v>5.3137007027131622</v>
      </c>
      <c r="AU398">
        <f t="shared" si="142"/>
        <v>113.57999999999998</v>
      </c>
      <c r="AV398">
        <v>1011</v>
      </c>
      <c r="AW398">
        <f t="shared" si="143"/>
        <v>2559.8114104595879</v>
      </c>
      <c r="AX398">
        <f t="shared" si="144"/>
        <v>1.7129673538696951E-5</v>
      </c>
      <c r="AY398">
        <f t="shared" si="145"/>
        <v>1.1322956138175597E-3</v>
      </c>
      <c r="AZ398">
        <f t="shared" si="146"/>
        <v>25.250192188131582</v>
      </c>
      <c r="BA398">
        <f t="shared" si="147"/>
        <v>0.67071175587659693</v>
      </c>
    </row>
    <row r="399" spans="1:53" x14ac:dyDescent="0.25">
      <c r="A399" t="s">
        <v>10</v>
      </c>
      <c r="B399" t="s">
        <v>19</v>
      </c>
      <c r="C399">
        <v>10</v>
      </c>
      <c r="G399">
        <f t="shared" si="137"/>
        <v>343.41666666666424</v>
      </c>
      <c r="H399" s="7">
        <v>45058.416666666664</v>
      </c>
      <c r="AF399">
        <v>117.85000000000002</v>
      </c>
      <c r="AG399">
        <v>140.44999999999999</v>
      </c>
      <c r="AL399">
        <v>265.27</v>
      </c>
      <c r="AM399">
        <v>265.16000000000003</v>
      </c>
      <c r="AN399">
        <f t="shared" si="148"/>
        <v>2.0000000000038654E-2</v>
      </c>
      <c r="AO399">
        <f t="shared" si="149"/>
        <v>0.1099999999999568</v>
      </c>
      <c r="AP399">
        <f>58+38.5</f>
        <v>96.5</v>
      </c>
      <c r="AQ399">
        <v>1011</v>
      </c>
      <c r="AR399">
        <v>22</v>
      </c>
      <c r="AS399">
        <v>34</v>
      </c>
      <c r="AT399">
        <f t="shared" si="141"/>
        <v>5.3137007027131622</v>
      </c>
      <c r="AU399">
        <f t="shared" si="142"/>
        <v>132.14999999999998</v>
      </c>
      <c r="AV399">
        <v>1011</v>
      </c>
      <c r="AW399">
        <f t="shared" si="143"/>
        <v>1749.2633371169127</v>
      </c>
      <c r="AX399">
        <f t="shared" si="144"/>
        <v>2.5315634476550489E-5</v>
      </c>
      <c r="AY399">
        <f t="shared" si="145"/>
        <v>1.1145807385799966E-3</v>
      </c>
      <c r="AZ399">
        <f t="shared" si="146"/>
        <v>24.855150470333925</v>
      </c>
      <c r="BA399">
        <f t="shared" si="147"/>
        <v>0.68483552126085356</v>
      </c>
    </row>
    <row r="400" spans="1:53" x14ac:dyDescent="0.25">
      <c r="A400" t="s">
        <v>11</v>
      </c>
      <c r="B400" t="s">
        <v>19</v>
      </c>
      <c r="C400">
        <v>10</v>
      </c>
      <c r="G400">
        <f t="shared" si="137"/>
        <v>343.41666666666424</v>
      </c>
      <c r="H400" s="7">
        <v>45058.416666666664</v>
      </c>
      <c r="AF400">
        <v>107.53</v>
      </c>
      <c r="AG400">
        <v>140</v>
      </c>
      <c r="AL400">
        <v>255.43</v>
      </c>
      <c r="AM400">
        <v>255.34</v>
      </c>
      <c r="AN400">
        <f t="shared" si="148"/>
        <v>9.9999999999909051E-3</v>
      </c>
      <c r="AO400">
        <f t="shared" si="149"/>
        <v>9.0000000000003411E-2</v>
      </c>
      <c r="AP400">
        <f>52.5+36+14.5</f>
        <v>103</v>
      </c>
      <c r="AQ400">
        <v>1011</v>
      </c>
      <c r="AR400">
        <v>22</v>
      </c>
      <c r="AS400">
        <v>34</v>
      </c>
      <c r="AT400">
        <f t="shared" si="141"/>
        <v>5.3137007027131622</v>
      </c>
      <c r="AU400">
        <f t="shared" si="142"/>
        <v>142.47</v>
      </c>
      <c r="AV400">
        <v>1011</v>
      </c>
      <c r="AW400">
        <f t="shared" si="143"/>
        <v>1741.9117708991366</v>
      </c>
      <c r="AX400">
        <f t="shared" si="144"/>
        <v>2.5425838375365666E-5</v>
      </c>
      <c r="AY400">
        <f t="shared" si="145"/>
        <v>8.4836056939165767E-4</v>
      </c>
      <c r="AZ400">
        <f t="shared" si="146"/>
        <v>18.918440697433965</v>
      </c>
      <c r="BA400">
        <f t="shared" si="147"/>
        <v>0.89708828396732332</v>
      </c>
    </row>
    <row r="401" spans="1:53" x14ac:dyDescent="0.25">
      <c r="A401" t="s">
        <v>12</v>
      </c>
      <c r="B401" t="s">
        <v>19</v>
      </c>
      <c r="C401">
        <v>20</v>
      </c>
      <c r="G401">
        <f t="shared" si="137"/>
        <v>343.41666666666424</v>
      </c>
      <c r="H401" s="7">
        <v>45058.416666666664</v>
      </c>
      <c r="AF401">
        <v>109.43</v>
      </c>
      <c r="AG401">
        <v>140.19999999999999</v>
      </c>
      <c r="AL401">
        <v>257.72500000000002</v>
      </c>
      <c r="AM401">
        <v>257.67</v>
      </c>
      <c r="AN401">
        <f t="shared" si="148"/>
        <v>4.9999999999954525E-3</v>
      </c>
      <c r="AO401">
        <f t="shared" si="149"/>
        <v>5.5000000000006821E-2</v>
      </c>
      <c r="AP401">
        <v>16</v>
      </c>
      <c r="AQ401">
        <v>1011</v>
      </c>
      <c r="AR401">
        <v>22</v>
      </c>
      <c r="AS401">
        <v>34</v>
      </c>
      <c r="AT401">
        <f t="shared" si="141"/>
        <v>5.3137007027131622</v>
      </c>
      <c r="AU401">
        <f t="shared" si="142"/>
        <v>140.57</v>
      </c>
      <c r="AV401">
        <v>1011</v>
      </c>
      <c r="AW401">
        <f t="shared" si="143"/>
        <v>1126.074340186384</v>
      </c>
      <c r="AX401">
        <f t="shared" si="144"/>
        <v>4.0019591891889821E-5</v>
      </c>
      <c r="AY401">
        <f t="shared" si="145"/>
        <v>3.3974804081085366E-3</v>
      </c>
      <c r="AZ401">
        <f t="shared" si="146"/>
        <v>75.763813100820371</v>
      </c>
      <c r="BA401">
        <f t="shared" si="147"/>
        <v>-1.1352811262359805</v>
      </c>
    </row>
    <row r="402" spans="1:53" x14ac:dyDescent="0.25">
      <c r="A402" t="s">
        <v>13</v>
      </c>
      <c r="B402" t="s">
        <v>19</v>
      </c>
      <c r="C402">
        <v>20</v>
      </c>
      <c r="G402">
        <f t="shared" si="137"/>
        <v>343.41666666666424</v>
      </c>
      <c r="H402" s="7">
        <v>45058.416666666664</v>
      </c>
      <c r="AF402">
        <v>129.52999999999997</v>
      </c>
      <c r="AG402">
        <v>140.24</v>
      </c>
      <c r="AL402">
        <v>277.82499999999999</v>
      </c>
      <c r="AM402">
        <v>277.8</v>
      </c>
      <c r="AN402">
        <f t="shared" si="148"/>
        <v>9.9999999999909051E-3</v>
      </c>
      <c r="AO402">
        <f t="shared" si="149"/>
        <v>2.4999999999977263E-2</v>
      </c>
      <c r="AP402">
        <v>19</v>
      </c>
      <c r="AQ402">
        <v>1011</v>
      </c>
      <c r="AR402">
        <v>22</v>
      </c>
      <c r="AS402">
        <v>34</v>
      </c>
      <c r="AT402">
        <f t="shared" si="141"/>
        <v>5.3137007027131622</v>
      </c>
      <c r="AU402">
        <f t="shared" si="142"/>
        <v>120.47000000000003</v>
      </c>
      <c r="AV402">
        <v>1011</v>
      </c>
      <c r="AW402">
        <f t="shared" si="143"/>
        <v>1170.4504855980742</v>
      </c>
      <c r="AX402">
        <f t="shared" si="144"/>
        <v>3.8430140709950788E-5</v>
      </c>
      <c r="AY402">
        <f t="shared" si="145"/>
        <v>1.277359332973063E-3</v>
      </c>
      <c r="AZ402">
        <f t="shared" si="146"/>
        <v>28.485113125299304</v>
      </c>
      <c r="BA402">
        <f t="shared" si="147"/>
        <v>0.55505494725422577</v>
      </c>
    </row>
    <row r="403" spans="1:53" x14ac:dyDescent="0.25">
      <c r="A403" t="s">
        <v>14</v>
      </c>
      <c r="B403" t="s">
        <v>19</v>
      </c>
      <c r="C403">
        <v>20</v>
      </c>
      <c r="G403">
        <f t="shared" si="137"/>
        <v>343.41666666666424</v>
      </c>
      <c r="H403" s="7">
        <v>45058.416666666664</v>
      </c>
      <c r="AF403">
        <v>94.359999999999985</v>
      </c>
      <c r="AG403">
        <v>138.74</v>
      </c>
      <c r="AL403">
        <v>241.21</v>
      </c>
      <c r="AM403">
        <v>241.2</v>
      </c>
      <c r="AN403">
        <f t="shared" si="148"/>
        <v>9.9999999999909051E-3</v>
      </c>
      <c r="AO403">
        <f t="shared" si="149"/>
        <v>1.0000000000019327E-2</v>
      </c>
      <c r="AP403">
        <v>11</v>
      </c>
      <c r="AQ403">
        <v>1011</v>
      </c>
      <c r="AR403">
        <v>22</v>
      </c>
      <c r="AS403">
        <v>34</v>
      </c>
      <c r="AT403">
        <f t="shared" si="141"/>
        <v>5.3137007027131622</v>
      </c>
      <c r="AU403">
        <f t="shared" si="142"/>
        <v>155.64000000000001</v>
      </c>
      <c r="AV403">
        <v>1011</v>
      </c>
      <c r="AW403">
        <f t="shared" si="143"/>
        <v>1082.4533538936007</v>
      </c>
      <c r="AX403">
        <f t="shared" si="144"/>
        <v>4.1715566190435935E-5</v>
      </c>
      <c r="AY403">
        <f t="shared" si="145"/>
        <v>8.6737534290223014E-4</v>
      </c>
      <c r="AZ403">
        <f t="shared" si="146"/>
        <v>19.342470146719734</v>
      </c>
      <c r="BA403">
        <f t="shared" si="147"/>
        <v>0.88192813204434273</v>
      </c>
    </row>
    <row r="404" spans="1:53" x14ac:dyDescent="0.25">
      <c r="A404" t="s">
        <v>15</v>
      </c>
      <c r="B404" t="s">
        <v>19</v>
      </c>
      <c r="C404">
        <v>20</v>
      </c>
      <c r="G404">
        <f t="shared" si="137"/>
        <v>343.41666666666424</v>
      </c>
      <c r="H404" s="7">
        <v>45058.416666666664</v>
      </c>
      <c r="AF404">
        <v>85.4</v>
      </c>
      <c r="AG404">
        <v>140.1</v>
      </c>
      <c r="AL404">
        <v>233.61</v>
      </c>
      <c r="AM404">
        <v>233.56</v>
      </c>
      <c r="AN404">
        <f t="shared" si="148"/>
        <v>9.9999999999909051E-3</v>
      </c>
      <c r="AO404">
        <f t="shared" si="149"/>
        <v>5.0000000000011369E-2</v>
      </c>
      <c r="AP404">
        <v>14</v>
      </c>
      <c r="AQ404">
        <v>1011</v>
      </c>
      <c r="AR404">
        <v>22</v>
      </c>
      <c r="AS404">
        <v>34</v>
      </c>
      <c r="AT404">
        <f t="shared" si="141"/>
        <v>5.3137007027131622</v>
      </c>
      <c r="AU404">
        <f t="shared" si="142"/>
        <v>164.6</v>
      </c>
      <c r="AV404">
        <v>1011</v>
      </c>
      <c r="AW404">
        <f t="shared" si="143"/>
        <v>1096.9902794653706</v>
      </c>
      <c r="AX404">
        <f t="shared" si="144"/>
        <v>4.1134626227984957E-5</v>
      </c>
      <c r="AY404">
        <f t="shared" si="145"/>
        <v>3.5302939452013988E-3</v>
      </c>
      <c r="AZ404">
        <f t="shared" si="146"/>
        <v>78.725554977991195</v>
      </c>
      <c r="BA404">
        <f t="shared" si="147"/>
        <v>-1.2411710753661493</v>
      </c>
    </row>
    <row r="405" spans="1:53" x14ac:dyDescent="0.25">
      <c r="A405" t="s">
        <v>0</v>
      </c>
      <c r="B405" t="s">
        <v>18</v>
      </c>
      <c r="C405">
        <v>10</v>
      </c>
      <c r="G405">
        <f t="shared" si="137"/>
        <v>346.54166666666424</v>
      </c>
      <c r="H405" s="7">
        <v>45061.541666666664</v>
      </c>
      <c r="AF405">
        <v>172.77</v>
      </c>
      <c r="AG405">
        <v>139.16999999999999</v>
      </c>
      <c r="AL405">
        <v>320.56</v>
      </c>
      <c r="AM405">
        <v>320.43</v>
      </c>
      <c r="AN405">
        <f t="shared" si="148"/>
        <v>0</v>
      </c>
      <c r="AO405">
        <f t="shared" si="149"/>
        <v>0.12999999999999545</v>
      </c>
      <c r="AP405">
        <f>61+53.5</f>
        <v>114.5</v>
      </c>
      <c r="AQ405">
        <v>1011</v>
      </c>
      <c r="AR405">
        <v>22</v>
      </c>
      <c r="AS405">
        <v>34</v>
      </c>
      <c r="AT405">
        <f t="shared" si="141"/>
        <v>5.3137007027131622</v>
      </c>
      <c r="AU405">
        <f t="shared" si="142"/>
        <v>77.22999999999999</v>
      </c>
      <c r="AV405">
        <v>1011</v>
      </c>
      <c r="AW405">
        <f t="shared" si="143"/>
        <v>2509.892917260132</v>
      </c>
      <c r="AX405">
        <f t="shared" si="144"/>
        <v>1.7477729073432284E-5</v>
      </c>
      <c r="AY405">
        <f t="shared" si="145"/>
        <v>1.1178934499658291E-3</v>
      </c>
      <c r="AZ405">
        <f t="shared" si="146"/>
        <v>24.929023934237989</v>
      </c>
      <c r="BA405">
        <f t="shared" si="147"/>
        <v>0.68219435344161639</v>
      </c>
    </row>
    <row r="406" spans="1:53" x14ac:dyDescent="0.25">
      <c r="A406" t="s">
        <v>1</v>
      </c>
      <c r="B406" t="s">
        <v>18</v>
      </c>
      <c r="C406">
        <v>10</v>
      </c>
      <c r="G406">
        <f t="shared" si="137"/>
        <v>346.54166666666424</v>
      </c>
      <c r="H406" s="7">
        <v>45061.541666666664</v>
      </c>
      <c r="AF406">
        <v>173.93</v>
      </c>
      <c r="AG406">
        <v>141.25</v>
      </c>
      <c r="AL406">
        <v>323.79000000000002</v>
      </c>
      <c r="AM406">
        <v>323.64999999999998</v>
      </c>
      <c r="AN406">
        <f t="shared" si="148"/>
        <v>0</v>
      </c>
      <c r="AO406">
        <f t="shared" si="149"/>
        <v>0.1400000000000432</v>
      </c>
      <c r="AP406">
        <f>64+61+38</f>
        <v>163</v>
      </c>
      <c r="AQ406">
        <v>1011</v>
      </c>
      <c r="AR406">
        <v>22</v>
      </c>
      <c r="AS406">
        <v>34</v>
      </c>
      <c r="AT406">
        <f t="shared" si="141"/>
        <v>5.3137007027131622</v>
      </c>
      <c r="AU406">
        <f t="shared" si="142"/>
        <v>76.069999999999993</v>
      </c>
      <c r="AV406">
        <v>1011</v>
      </c>
      <c r="AW406">
        <f t="shared" si="143"/>
        <v>3177.3336400683584</v>
      </c>
      <c r="AX406">
        <f t="shared" si="144"/>
        <v>1.3743857779146162E-5</v>
      </c>
      <c r="AY406">
        <f t="shared" si="145"/>
        <v>8.4515184774259123E-4</v>
      </c>
      <c r="AZ406">
        <f t="shared" si="146"/>
        <v>18.846886204659786</v>
      </c>
      <c r="BA406">
        <f t="shared" si="147"/>
        <v>0.89964654255774812</v>
      </c>
    </row>
    <row r="407" spans="1:53" x14ac:dyDescent="0.25">
      <c r="A407" t="s">
        <v>2</v>
      </c>
      <c r="B407" t="s">
        <v>18</v>
      </c>
      <c r="C407">
        <v>10</v>
      </c>
      <c r="G407">
        <f t="shared" si="137"/>
        <v>346.54166666666424</v>
      </c>
      <c r="H407" s="7">
        <v>45061.541666666664</v>
      </c>
      <c r="AF407">
        <v>162.82000000000002</v>
      </c>
      <c r="AG407">
        <v>140.66</v>
      </c>
      <c r="AL407">
        <v>312.20999999999998</v>
      </c>
      <c r="AM407">
        <v>312.04000000000002</v>
      </c>
      <c r="AN407">
        <f t="shared" si="148"/>
        <v>0</v>
      </c>
      <c r="AO407">
        <f t="shared" si="149"/>
        <v>0.16999999999995907</v>
      </c>
      <c r="AP407">
        <f>62+63+59</f>
        <v>184</v>
      </c>
      <c r="AQ407">
        <v>1011</v>
      </c>
      <c r="AR407">
        <v>22</v>
      </c>
      <c r="AS407">
        <v>34</v>
      </c>
      <c r="AT407">
        <f t="shared" si="141"/>
        <v>5.3137007027131622</v>
      </c>
      <c r="AU407">
        <f t="shared" si="142"/>
        <v>87.179999999999978</v>
      </c>
      <c r="AV407">
        <v>1011</v>
      </c>
      <c r="AW407">
        <f t="shared" si="143"/>
        <v>3144.7921541637993</v>
      </c>
      <c r="AX407">
        <f t="shared" si="144"/>
        <v>1.3888519952936328E-5</v>
      </c>
      <c r="AY407">
        <f t="shared" si="145"/>
        <v>9.1002452352510201E-4</v>
      </c>
      <c r="AZ407">
        <f t="shared" si="146"/>
        <v>20.293546874609774</v>
      </c>
      <c r="BA407">
        <f t="shared" si="147"/>
        <v>0.84792467377154901</v>
      </c>
    </row>
    <row r="408" spans="1:53" x14ac:dyDescent="0.25">
      <c r="A408" t="s">
        <v>3</v>
      </c>
      <c r="B408" t="s">
        <v>18</v>
      </c>
      <c r="C408">
        <v>10</v>
      </c>
      <c r="G408">
        <f t="shared" si="137"/>
        <v>346.54166666666424</v>
      </c>
      <c r="H408" s="7">
        <v>45061.541666666664</v>
      </c>
      <c r="AF408">
        <v>187.81</v>
      </c>
      <c r="AG408">
        <v>140</v>
      </c>
      <c r="AL408">
        <v>336.44</v>
      </c>
      <c r="AM408">
        <v>336.36</v>
      </c>
      <c r="AN408">
        <f t="shared" si="148"/>
        <v>9.9999999999909051E-3</v>
      </c>
      <c r="AO408">
        <f t="shared" si="149"/>
        <v>7.9999999999984084E-2</v>
      </c>
      <c r="AP408">
        <f>62.5+24.5</f>
        <v>87</v>
      </c>
      <c r="AQ408">
        <v>1011</v>
      </c>
      <c r="AR408">
        <v>22</v>
      </c>
      <c r="AS408">
        <v>34</v>
      </c>
      <c r="AT408">
        <f t="shared" si="141"/>
        <v>5.3137007027131622</v>
      </c>
      <c r="AU408">
        <f t="shared" si="142"/>
        <v>62.19</v>
      </c>
      <c r="AV408">
        <v>1011</v>
      </c>
      <c r="AW408">
        <f t="shared" si="143"/>
        <v>2425.3270622286545</v>
      </c>
      <c r="AX408">
        <f t="shared" si="144"/>
        <v>1.8100790071374863E-5</v>
      </c>
      <c r="AY408">
        <f t="shared" si="145"/>
        <v>9.0143943981349972E-4</v>
      </c>
      <c r="AZ408">
        <f t="shared" si="146"/>
        <v>20.102099507841043</v>
      </c>
      <c r="BA408">
        <f t="shared" si="147"/>
        <v>0.85476941337715251</v>
      </c>
    </row>
    <row r="409" spans="1:53" x14ac:dyDescent="0.25">
      <c r="A409" t="s">
        <v>4</v>
      </c>
      <c r="B409" t="s">
        <v>18</v>
      </c>
      <c r="C409">
        <v>20</v>
      </c>
      <c r="G409">
        <f t="shared" si="137"/>
        <v>346.54166666666424</v>
      </c>
      <c r="H409" s="7">
        <v>45061.541666666664</v>
      </c>
      <c r="AF409">
        <v>181.58</v>
      </c>
      <c r="AG409">
        <v>139.4</v>
      </c>
      <c r="AL409">
        <v>327.96</v>
      </c>
      <c r="AM409">
        <v>327.89</v>
      </c>
      <c r="AN409">
        <f t="shared" si="148"/>
        <v>1.0000000000047748E-2</v>
      </c>
      <c r="AO409">
        <f t="shared" si="149"/>
        <v>6.9999999999993179E-2</v>
      </c>
      <c r="AP409">
        <v>40</v>
      </c>
      <c r="AQ409">
        <v>1011</v>
      </c>
      <c r="AR409">
        <v>22</v>
      </c>
      <c r="AS409">
        <v>34</v>
      </c>
      <c r="AT409">
        <f t="shared" si="141"/>
        <v>5.3137007027131622</v>
      </c>
      <c r="AU409">
        <f t="shared" si="142"/>
        <v>68.419999999999987</v>
      </c>
      <c r="AV409">
        <v>1011</v>
      </c>
      <c r="AW409">
        <f t="shared" si="143"/>
        <v>1602.0552470038001</v>
      </c>
      <c r="AX409">
        <f t="shared" si="144"/>
        <v>2.7721614408293557E-5</v>
      </c>
      <c r="AY409">
        <f t="shared" si="145"/>
        <v>1.7222783855915357E-3</v>
      </c>
      <c r="AZ409">
        <f t="shared" si="146"/>
        <v>38.406807998691249</v>
      </c>
      <c r="BA409">
        <f t="shared" si="147"/>
        <v>0.20032863787303357</v>
      </c>
    </row>
    <row r="410" spans="1:53" x14ac:dyDescent="0.25">
      <c r="A410" t="s">
        <v>5</v>
      </c>
      <c r="B410" t="s">
        <v>18</v>
      </c>
      <c r="C410">
        <v>20</v>
      </c>
      <c r="G410">
        <f t="shared" si="137"/>
        <v>346.54166666666424</v>
      </c>
      <c r="H410" s="7">
        <v>45061.541666666664</v>
      </c>
      <c r="AF410">
        <v>201.8</v>
      </c>
      <c r="AG410">
        <v>139.81</v>
      </c>
      <c r="AL410">
        <v>348.86</v>
      </c>
      <c r="AM410">
        <v>348.8</v>
      </c>
      <c r="AN410">
        <f t="shared" si="148"/>
        <v>0</v>
      </c>
      <c r="AO410">
        <f t="shared" si="149"/>
        <v>6.0000000000002274E-2</v>
      </c>
      <c r="AP410">
        <v>38.5</v>
      </c>
      <c r="AQ410">
        <v>1011</v>
      </c>
      <c r="AR410">
        <v>22</v>
      </c>
      <c r="AS410">
        <v>34</v>
      </c>
      <c r="AT410">
        <f t="shared" si="141"/>
        <v>5.3137007027131622</v>
      </c>
      <c r="AU410">
        <f t="shared" si="142"/>
        <v>48.199999999999989</v>
      </c>
      <c r="AV410">
        <v>1011</v>
      </c>
      <c r="AW410">
        <f t="shared" si="143"/>
        <v>1818.5414937759338</v>
      </c>
      <c r="AX410">
        <f t="shared" si="144"/>
        <v>2.4322196143095901E-5</v>
      </c>
      <c r="AY410">
        <f t="shared" si="145"/>
        <v>1.5341193622985215E-3</v>
      </c>
      <c r="AZ410">
        <f t="shared" si="146"/>
        <v>34.21086177925703</v>
      </c>
      <c r="BA410">
        <f t="shared" si="147"/>
        <v>0.35034459137443574</v>
      </c>
    </row>
    <row r="411" spans="1:53" x14ac:dyDescent="0.25">
      <c r="A411" t="s">
        <v>6</v>
      </c>
      <c r="B411" t="s">
        <v>18</v>
      </c>
      <c r="C411">
        <v>20</v>
      </c>
      <c r="G411">
        <f t="shared" si="137"/>
        <v>346.54166666666424</v>
      </c>
      <c r="H411" s="7">
        <v>45061.541666666664</v>
      </c>
      <c r="AF411">
        <v>205.13</v>
      </c>
      <c r="AG411">
        <v>139.01</v>
      </c>
      <c r="AL411">
        <v>351.38</v>
      </c>
      <c r="AM411">
        <v>351.32</v>
      </c>
      <c r="AN411">
        <f t="shared" si="148"/>
        <v>0</v>
      </c>
      <c r="AO411">
        <f t="shared" si="149"/>
        <v>6.0000000000002274E-2</v>
      </c>
      <c r="AP411">
        <v>54.5</v>
      </c>
      <c r="AQ411">
        <v>1011</v>
      </c>
      <c r="AR411">
        <v>22</v>
      </c>
      <c r="AS411">
        <v>34</v>
      </c>
      <c r="AT411">
        <f t="shared" si="141"/>
        <v>5.3137007027131622</v>
      </c>
      <c r="AU411">
        <f t="shared" si="142"/>
        <v>44.870000000000005</v>
      </c>
      <c r="AV411">
        <v>1011</v>
      </c>
      <c r="AW411">
        <f t="shared" si="143"/>
        <v>2238.9808335190546</v>
      </c>
      <c r="AX411">
        <f t="shared" si="144"/>
        <v>1.9643907619657465E-5</v>
      </c>
      <c r="AY411">
        <f t="shared" si="145"/>
        <v>1.0812735235730447E-3</v>
      </c>
      <c r="AZ411">
        <f t="shared" si="146"/>
        <v>24.112399575678896</v>
      </c>
      <c r="BA411">
        <f t="shared" si="147"/>
        <v>0.71139079100182701</v>
      </c>
    </row>
    <row r="412" spans="1:53" x14ac:dyDescent="0.25">
      <c r="A412" t="s">
        <v>7</v>
      </c>
      <c r="B412" t="s">
        <v>18</v>
      </c>
      <c r="C412">
        <v>20</v>
      </c>
      <c r="G412">
        <f t="shared" si="137"/>
        <v>346.54166666666424</v>
      </c>
      <c r="H412" s="7">
        <v>45061.541666666664</v>
      </c>
      <c r="AF412">
        <v>177.85000000000002</v>
      </c>
      <c r="AG412">
        <v>139.94999999999999</v>
      </c>
      <c r="AL412">
        <v>325.63</v>
      </c>
      <c r="AM412">
        <v>325.58</v>
      </c>
      <c r="AN412">
        <f t="shared" si="148"/>
        <v>-9.9999999999909051E-3</v>
      </c>
      <c r="AO412">
        <f t="shared" si="149"/>
        <v>5.0000000000011369E-2</v>
      </c>
      <c r="AP412">
        <v>34</v>
      </c>
      <c r="AQ412">
        <v>1011</v>
      </c>
      <c r="AR412">
        <v>22</v>
      </c>
      <c r="AS412">
        <v>34</v>
      </c>
      <c r="AT412">
        <f t="shared" si="141"/>
        <v>5.3137007027131622</v>
      </c>
      <c r="AU412">
        <f t="shared" si="142"/>
        <v>72.149999999999977</v>
      </c>
      <c r="AV412">
        <v>1011</v>
      </c>
      <c r="AW412">
        <f t="shared" si="143"/>
        <v>1487.4241164241166</v>
      </c>
      <c r="AX412">
        <f t="shared" si="144"/>
        <v>2.9937181975133612E-5</v>
      </c>
      <c r="AY412">
        <f t="shared" si="145"/>
        <v>1.4406510533193184E-3</v>
      </c>
      <c r="AZ412">
        <f t="shared" si="146"/>
        <v>32.126518489020803</v>
      </c>
      <c r="BA412">
        <f t="shared" si="147"/>
        <v>0.42486526674934555</v>
      </c>
    </row>
    <row r="413" spans="1:53" x14ac:dyDescent="0.25">
      <c r="A413" t="s">
        <v>8</v>
      </c>
      <c r="B413" t="s">
        <v>19</v>
      </c>
      <c r="C413">
        <v>10</v>
      </c>
      <c r="G413">
        <f t="shared" si="137"/>
        <v>346.54166666666424</v>
      </c>
      <c r="H413" s="7">
        <v>45061.541666666664</v>
      </c>
      <c r="AF413">
        <v>142.11999999999998</v>
      </c>
      <c r="AG413">
        <v>139.71</v>
      </c>
      <c r="AL413">
        <v>288.83499999999998</v>
      </c>
      <c r="AM413">
        <v>288.67</v>
      </c>
      <c r="AN413">
        <f t="shared" si="148"/>
        <v>1.0000000000047748E-2</v>
      </c>
      <c r="AO413">
        <f t="shared" si="149"/>
        <v>0.16499999999996362</v>
      </c>
      <c r="AP413">
        <f>62+62+32</f>
        <v>156</v>
      </c>
      <c r="AQ413">
        <v>1011</v>
      </c>
      <c r="AR413">
        <v>22</v>
      </c>
      <c r="AS413">
        <v>34</v>
      </c>
      <c r="AT413">
        <f t="shared" si="141"/>
        <v>5.3137007027131622</v>
      </c>
      <c r="AU413">
        <f t="shared" si="142"/>
        <v>107.88000000000002</v>
      </c>
      <c r="AV413">
        <v>1011</v>
      </c>
      <c r="AW413">
        <f t="shared" si="143"/>
        <v>2472.9577308120133</v>
      </c>
      <c r="AX413">
        <f t="shared" si="144"/>
        <v>1.7744502217273795E-5</v>
      </c>
      <c r="AY413">
        <f t="shared" si="145"/>
        <v>1.0399478054748008E-3</v>
      </c>
      <c r="AZ413">
        <f t="shared" si="146"/>
        <v>23.19083606208806</v>
      </c>
      <c r="BA413">
        <f t="shared" si="147"/>
        <v>0.74433907536331567</v>
      </c>
    </row>
    <row r="414" spans="1:53" x14ac:dyDescent="0.25">
      <c r="A414" t="s">
        <v>9</v>
      </c>
      <c r="B414" t="s">
        <v>19</v>
      </c>
      <c r="C414">
        <v>10</v>
      </c>
      <c r="G414">
        <f t="shared" si="137"/>
        <v>346.54166666666424</v>
      </c>
      <c r="H414" s="7">
        <v>45061.541666666664</v>
      </c>
      <c r="AF414">
        <v>136.42000000000002</v>
      </c>
      <c r="AG414">
        <v>139.75</v>
      </c>
      <c r="AL414">
        <v>283.14999999999998</v>
      </c>
      <c r="AM414">
        <v>282.91000000000003</v>
      </c>
      <c r="AN414">
        <f t="shared" si="148"/>
        <v>-9.9999999999909051E-3</v>
      </c>
      <c r="AO414">
        <f t="shared" si="149"/>
        <v>0.23999999999995225</v>
      </c>
      <c r="AP414">
        <f>64.5+65+65+25</f>
        <v>219.5</v>
      </c>
      <c r="AQ414">
        <v>1011</v>
      </c>
      <c r="AR414">
        <v>22</v>
      </c>
      <c r="AS414">
        <v>34</v>
      </c>
      <c r="AT414">
        <f t="shared" si="141"/>
        <v>5.3137007027131622</v>
      </c>
      <c r="AU414">
        <f t="shared" si="142"/>
        <v>113.57999999999998</v>
      </c>
      <c r="AV414">
        <v>1011</v>
      </c>
      <c r="AW414">
        <f t="shared" si="143"/>
        <v>2964.8166930797679</v>
      </c>
      <c r="AX414">
        <f t="shared" si="144"/>
        <v>1.4746991025244829E-5</v>
      </c>
      <c r="AY414">
        <f t="shared" si="145"/>
        <v>1.0786470864232848E-3</v>
      </c>
      <c r="AZ414">
        <f t="shared" si="146"/>
        <v>24.05383002723925</v>
      </c>
      <c r="BA414">
        <f t="shared" si="147"/>
        <v>0.71348480417449944</v>
      </c>
    </row>
    <row r="415" spans="1:53" x14ac:dyDescent="0.25">
      <c r="A415" t="s">
        <v>10</v>
      </c>
      <c r="B415" t="s">
        <v>19</v>
      </c>
      <c r="C415">
        <v>10</v>
      </c>
      <c r="G415">
        <f t="shared" si="137"/>
        <v>346.54166666666424</v>
      </c>
      <c r="H415" s="7">
        <v>45061.541666666664</v>
      </c>
      <c r="AF415">
        <v>117.85000000000002</v>
      </c>
      <c r="AG415">
        <v>140.44999999999999</v>
      </c>
      <c r="AL415">
        <v>265.14999999999998</v>
      </c>
      <c r="AM415">
        <v>265</v>
      </c>
      <c r="AN415">
        <f t="shared" si="148"/>
        <v>1.0000000000047748E-2</v>
      </c>
      <c r="AO415">
        <f t="shared" si="149"/>
        <v>0.14999999999997726</v>
      </c>
      <c r="AP415">
        <f>62.5+33.5</f>
        <v>96</v>
      </c>
      <c r="AQ415">
        <v>1011</v>
      </c>
      <c r="AR415">
        <v>22</v>
      </c>
      <c r="AS415">
        <v>34</v>
      </c>
      <c r="AT415">
        <f t="shared" si="141"/>
        <v>5.3137007027131622</v>
      </c>
      <c r="AU415">
        <f t="shared" si="142"/>
        <v>132.14999999999998</v>
      </c>
      <c r="AV415">
        <v>1011</v>
      </c>
      <c r="AW415">
        <f t="shared" si="143"/>
        <v>1745.4381384790013</v>
      </c>
      <c r="AX415">
        <f t="shared" si="144"/>
        <v>2.5372856757335989E-5</v>
      </c>
      <c r="AY415">
        <f t="shared" si="145"/>
        <v>1.5371271432424271E-3</v>
      </c>
      <c r="AZ415">
        <f t="shared" si="146"/>
        <v>34.277935294306126</v>
      </c>
      <c r="BA415">
        <f t="shared" si="147"/>
        <v>0.34794653935265901</v>
      </c>
    </row>
    <row r="416" spans="1:53" x14ac:dyDescent="0.25">
      <c r="A416" t="s">
        <v>11</v>
      </c>
      <c r="B416" t="s">
        <v>19</v>
      </c>
      <c r="C416">
        <v>10</v>
      </c>
      <c r="G416">
        <f t="shared" si="137"/>
        <v>346.54166666666424</v>
      </c>
      <c r="H416" s="7">
        <v>45061.541666666664</v>
      </c>
      <c r="AF416">
        <v>107.53</v>
      </c>
      <c r="AG416">
        <v>140</v>
      </c>
      <c r="AL416">
        <v>255.33500000000001</v>
      </c>
      <c r="AM416">
        <v>255.2</v>
      </c>
      <c r="AN416">
        <f t="shared" si="148"/>
        <v>4.9999999999954525E-3</v>
      </c>
      <c r="AO416">
        <f t="shared" si="149"/>
        <v>0.13500000000001933</v>
      </c>
      <c r="AP416">
        <f>60+63+26</f>
        <v>149</v>
      </c>
      <c r="AQ416">
        <v>1011</v>
      </c>
      <c r="AR416">
        <v>22</v>
      </c>
      <c r="AS416">
        <v>34</v>
      </c>
      <c r="AT416">
        <f t="shared" si="141"/>
        <v>5.3137007027131622</v>
      </c>
      <c r="AU416">
        <f t="shared" si="142"/>
        <v>142.47</v>
      </c>
      <c r="AV416">
        <v>1011</v>
      </c>
      <c r="AW416">
        <f t="shared" si="143"/>
        <v>2068.338387028848</v>
      </c>
      <c r="AX416">
        <f t="shared" si="144"/>
        <v>2.1307306865068415E-5</v>
      </c>
      <c r="AY416">
        <f t="shared" si="145"/>
        <v>8.8473296159143706E-4</v>
      </c>
      <c r="AZ416">
        <f t="shared" si="146"/>
        <v>19.729545043489047</v>
      </c>
      <c r="BA416">
        <f t="shared" si="147"/>
        <v>0.86808920116235078</v>
      </c>
    </row>
    <row r="417" spans="1:53" x14ac:dyDescent="0.25">
      <c r="A417" t="s">
        <v>12</v>
      </c>
      <c r="B417" t="s">
        <v>19</v>
      </c>
      <c r="C417">
        <v>20</v>
      </c>
      <c r="G417">
        <f t="shared" si="137"/>
        <v>346.54166666666424</v>
      </c>
      <c r="H417" s="7">
        <v>45061.541666666664</v>
      </c>
      <c r="AF417">
        <v>109.43</v>
      </c>
      <c r="AG417">
        <v>140.19999999999999</v>
      </c>
      <c r="AL417">
        <v>257.68</v>
      </c>
      <c r="AM417">
        <v>257.63</v>
      </c>
      <c r="AN417">
        <f t="shared" si="148"/>
        <v>-9.9999999999909051E-3</v>
      </c>
      <c r="AO417">
        <f t="shared" si="149"/>
        <v>5.0000000000011369E-2</v>
      </c>
      <c r="AP417">
        <f>19</f>
        <v>19</v>
      </c>
      <c r="AQ417">
        <v>1011</v>
      </c>
      <c r="AR417">
        <v>22</v>
      </c>
      <c r="AS417">
        <v>34</v>
      </c>
      <c r="AT417">
        <f t="shared" si="141"/>
        <v>5.3137007027131622</v>
      </c>
      <c r="AU417">
        <f t="shared" si="142"/>
        <v>140.57</v>
      </c>
      <c r="AV417">
        <v>1011</v>
      </c>
      <c r="AW417">
        <f t="shared" si="143"/>
        <v>1147.650778971331</v>
      </c>
      <c r="AX417">
        <f t="shared" si="144"/>
        <v>3.9230675117347913E-5</v>
      </c>
      <c r="AY417">
        <f t="shared" si="145"/>
        <v>2.5923482722516717E-3</v>
      </c>
      <c r="AZ417">
        <f t="shared" si="146"/>
        <v>57.809366471212279</v>
      </c>
      <c r="BA417">
        <f t="shared" si="147"/>
        <v>-0.49336312017205153</v>
      </c>
    </row>
    <row r="418" spans="1:53" x14ac:dyDescent="0.25">
      <c r="A418" t="s">
        <v>13</v>
      </c>
      <c r="B418" t="s">
        <v>19</v>
      </c>
      <c r="C418">
        <v>20</v>
      </c>
      <c r="G418">
        <f t="shared" si="137"/>
        <v>346.54166666666424</v>
      </c>
      <c r="H418" s="7">
        <v>45061.541666666664</v>
      </c>
      <c r="AF418">
        <v>129.52999999999997</v>
      </c>
      <c r="AG418">
        <v>140.24</v>
      </c>
      <c r="AL418">
        <v>277.81</v>
      </c>
      <c r="AM418">
        <v>277.74</v>
      </c>
      <c r="AN418">
        <f t="shared" si="148"/>
        <v>-9.9999999999909051E-3</v>
      </c>
      <c r="AO418">
        <f t="shared" si="149"/>
        <v>6.9999999999993179E-2</v>
      </c>
      <c r="AP418">
        <v>25.5</v>
      </c>
      <c r="AQ418">
        <v>1011</v>
      </c>
      <c r="AR418">
        <v>22</v>
      </c>
      <c r="AS418">
        <v>34</v>
      </c>
      <c r="AT418">
        <f t="shared" si="141"/>
        <v>5.3137007027131622</v>
      </c>
      <c r="AU418">
        <f t="shared" si="142"/>
        <v>120.47000000000003</v>
      </c>
      <c r="AV418">
        <v>1011</v>
      </c>
      <c r="AW418">
        <f t="shared" si="143"/>
        <v>1224.9993359342575</v>
      </c>
      <c r="AX418">
        <f t="shared" si="144"/>
        <v>3.6641261639198002E-5</v>
      </c>
      <c r="AY418">
        <f t="shared" si="145"/>
        <v>2.7084567775762206E-3</v>
      </c>
      <c r="AZ418">
        <f t="shared" si="146"/>
        <v>60.398586139949721</v>
      </c>
      <c r="BA418">
        <f t="shared" si="147"/>
        <v>-0.58593443474972196</v>
      </c>
    </row>
    <row r="419" spans="1:53" x14ac:dyDescent="0.25">
      <c r="A419" t="s">
        <v>14</v>
      </c>
      <c r="B419" t="s">
        <v>19</v>
      </c>
      <c r="C419">
        <v>20</v>
      </c>
      <c r="G419">
        <f t="shared" si="137"/>
        <v>346.54166666666424</v>
      </c>
      <c r="H419" s="7">
        <v>45061.541666666664</v>
      </c>
      <c r="AF419">
        <v>94.359999999999985</v>
      </c>
      <c r="AG419">
        <v>138.74</v>
      </c>
      <c r="AL419">
        <v>241.2</v>
      </c>
      <c r="AM419">
        <v>241.18</v>
      </c>
      <c r="AN419">
        <f t="shared" si="148"/>
        <v>0</v>
      </c>
      <c r="AO419">
        <f t="shared" si="149"/>
        <v>1.999999999998181E-2</v>
      </c>
      <c r="AP419">
        <v>16</v>
      </c>
      <c r="AQ419">
        <v>1011</v>
      </c>
      <c r="AR419">
        <v>22</v>
      </c>
      <c r="AS419">
        <v>34</v>
      </c>
      <c r="AT419">
        <f t="shared" si="141"/>
        <v>5.3137007027131622</v>
      </c>
      <c r="AU419">
        <f t="shared" si="142"/>
        <v>155.64000000000001</v>
      </c>
      <c r="AV419">
        <v>1011</v>
      </c>
      <c r="AW419">
        <f t="shared" si="143"/>
        <v>1114.9321511179646</v>
      </c>
      <c r="AX419">
        <f t="shared" si="144"/>
        <v>4.0439546590102569E-5</v>
      </c>
      <c r="AY419">
        <f t="shared" si="145"/>
        <v>1.2095604534087606E-3</v>
      </c>
      <c r="AZ419">
        <f t="shared" si="146"/>
        <v>26.97319811101536</v>
      </c>
      <c r="BA419">
        <f t="shared" si="147"/>
        <v>0.60910982799373037</v>
      </c>
    </row>
    <row r="420" spans="1:53" x14ac:dyDescent="0.25">
      <c r="A420" t="s">
        <v>15</v>
      </c>
      <c r="B420" t="s">
        <v>19</v>
      </c>
      <c r="C420">
        <v>20</v>
      </c>
      <c r="G420">
        <f t="shared" si="137"/>
        <v>346.54166666666424</v>
      </c>
      <c r="H420" s="7">
        <v>45061.541666666664</v>
      </c>
      <c r="AF420">
        <v>85.4</v>
      </c>
      <c r="AG420">
        <v>140.1</v>
      </c>
      <c r="AL420">
        <v>233.57</v>
      </c>
      <c r="AM420">
        <v>233.53</v>
      </c>
      <c r="AN420">
        <f t="shared" si="148"/>
        <v>-9.9999999999909051E-3</v>
      </c>
      <c r="AO420">
        <f t="shared" si="149"/>
        <v>3.9999999999992042E-2</v>
      </c>
      <c r="AP420">
        <v>26</v>
      </c>
      <c r="AQ420">
        <v>1011</v>
      </c>
      <c r="AR420">
        <v>22</v>
      </c>
      <c r="AS420">
        <v>34</v>
      </c>
      <c r="AT420">
        <f t="shared" si="141"/>
        <v>5.3137007027131622</v>
      </c>
      <c r="AU420">
        <f t="shared" si="142"/>
        <v>164.6</v>
      </c>
      <c r="AV420">
        <v>1011</v>
      </c>
      <c r="AW420">
        <f t="shared" si="143"/>
        <v>1170.696233292831</v>
      </c>
      <c r="AX420">
        <f t="shared" si="144"/>
        <v>3.8421690045085169E-5</v>
      </c>
      <c r="AY420">
        <f t="shared" si="145"/>
        <v>1.5000398484161471E-3</v>
      </c>
      <c r="AZ420">
        <f t="shared" si="146"/>
        <v>33.450888619680079</v>
      </c>
      <c r="BA420">
        <f t="shared" si="147"/>
        <v>0.37751560172756238</v>
      </c>
    </row>
    <row r="421" spans="1:53" x14ac:dyDescent="0.25">
      <c r="A421" t="s">
        <v>0</v>
      </c>
      <c r="B421" t="s">
        <v>18</v>
      </c>
      <c r="C421">
        <v>10</v>
      </c>
      <c r="G421">
        <f t="shared" si="137"/>
        <v>348.58333333333576</v>
      </c>
      <c r="H421" s="7">
        <v>45063.583333333336</v>
      </c>
      <c r="AF421">
        <v>172.77</v>
      </c>
      <c r="AG421">
        <v>139.16999999999999</v>
      </c>
      <c r="AL421">
        <v>320.38</v>
      </c>
      <c r="AM421">
        <v>320.29000000000002</v>
      </c>
      <c r="AN421">
        <f t="shared" si="148"/>
        <v>5.0000000000011369E-2</v>
      </c>
      <c r="AO421">
        <f t="shared" si="149"/>
        <v>8.9999999999974989E-2</v>
      </c>
      <c r="AP421">
        <f>62+38.5</f>
        <v>100.5</v>
      </c>
      <c r="AQ421">
        <v>1004</v>
      </c>
      <c r="AR421">
        <v>22</v>
      </c>
      <c r="AS421">
        <v>34</v>
      </c>
      <c r="AT421">
        <f t="shared" ref="AT421:AT436" si="150">0.61094*EXP(17.625*AS421/(243.04+AS421))</f>
        <v>5.3137007027131622</v>
      </c>
      <c r="AU421">
        <f t="shared" ref="AU421:AU436" si="151">250-AF421</f>
        <v>77.22999999999999</v>
      </c>
      <c r="AV421">
        <v>1004</v>
      </c>
      <c r="AW421">
        <f t="shared" ref="AW421:AW436" si="152">AP421/AU421*AV421+AV421</f>
        <v>2310.5130130778198</v>
      </c>
      <c r="AX421">
        <f t="shared" ref="AX421:AX436" si="153">18.02*(AT421/(AW421/10-AT421)*1/22300)</f>
        <v>1.9021427570556776E-5</v>
      </c>
      <c r="AY421">
        <f t="shared" ref="AY421:AY436" si="154">(AL421-AM421)/AP421-AX421</f>
        <v>8.7650096048889588E-4</v>
      </c>
      <c r="AZ421">
        <f t="shared" ref="AZ421:AZ436" si="155">AY421*22300</f>
        <v>19.545971418902379</v>
      </c>
      <c r="BA421">
        <f t="shared" ref="BA421:BA436" si="156">(44.01-AZ421)/(44.01-16.04)</f>
        <v>0.87465243407571036</v>
      </c>
    </row>
    <row r="422" spans="1:53" x14ac:dyDescent="0.25">
      <c r="A422" t="s">
        <v>1</v>
      </c>
      <c r="B422" t="s">
        <v>18</v>
      </c>
      <c r="C422">
        <v>10</v>
      </c>
      <c r="G422">
        <f t="shared" si="137"/>
        <v>348.58333333333576</v>
      </c>
      <c r="H422" s="7">
        <v>45063.583333333336</v>
      </c>
      <c r="AF422">
        <v>173.93</v>
      </c>
      <c r="AG422">
        <v>141.25</v>
      </c>
      <c r="AL422">
        <v>323.58999999999997</v>
      </c>
      <c r="AM422">
        <v>323.41000000000003</v>
      </c>
      <c r="AN422">
        <f t="shared" si="148"/>
        <v>6.0000000000002274E-2</v>
      </c>
      <c r="AO422">
        <f t="shared" si="149"/>
        <v>0.17999999999994998</v>
      </c>
      <c r="AP422">
        <f>17+63+52</f>
        <v>132</v>
      </c>
      <c r="AQ422">
        <v>1004</v>
      </c>
      <c r="AR422">
        <v>22</v>
      </c>
      <c r="AS422">
        <v>34</v>
      </c>
      <c r="AT422">
        <f t="shared" si="150"/>
        <v>5.3137007027131622</v>
      </c>
      <c r="AU422">
        <f t="shared" si="151"/>
        <v>76.069999999999993</v>
      </c>
      <c r="AV422">
        <v>1004</v>
      </c>
      <c r="AW422">
        <f t="shared" si="152"/>
        <v>2746.1848297620613</v>
      </c>
      <c r="AX422">
        <f t="shared" si="153"/>
        <v>1.5944207836235017E-5</v>
      </c>
      <c r="AY422">
        <f t="shared" si="154"/>
        <v>1.3476921557997498E-3</v>
      </c>
      <c r="AZ422">
        <f t="shared" si="155"/>
        <v>30.05353507433442</v>
      </c>
      <c r="BA422">
        <f t="shared" si="156"/>
        <v>0.49897979712783619</v>
      </c>
    </row>
    <row r="423" spans="1:53" x14ac:dyDescent="0.25">
      <c r="A423" t="s">
        <v>2</v>
      </c>
      <c r="B423" t="s">
        <v>18</v>
      </c>
      <c r="C423">
        <v>10</v>
      </c>
      <c r="G423">
        <f t="shared" ref="G423:G486" si="157">H423-$H$18</f>
        <v>348.58333333333576</v>
      </c>
      <c r="H423" s="7">
        <v>45063.583333333336</v>
      </c>
      <c r="AF423">
        <v>162.82000000000002</v>
      </c>
      <c r="AG423">
        <v>140.66</v>
      </c>
      <c r="AL423">
        <v>312.05</v>
      </c>
      <c r="AM423">
        <v>311.87</v>
      </c>
      <c r="AN423">
        <f t="shared" si="148"/>
        <v>-9.9999999999909051E-3</v>
      </c>
      <c r="AO423">
        <f t="shared" si="149"/>
        <v>0.18000000000000682</v>
      </c>
      <c r="AP423">
        <f>60+65+32</f>
        <v>157</v>
      </c>
      <c r="AQ423">
        <v>1004</v>
      </c>
      <c r="AR423">
        <v>22</v>
      </c>
      <c r="AS423">
        <v>34</v>
      </c>
      <c r="AT423">
        <f t="shared" si="150"/>
        <v>5.3137007027131622</v>
      </c>
      <c r="AU423">
        <f t="shared" si="151"/>
        <v>87.179999999999978</v>
      </c>
      <c r="AV423">
        <v>1004</v>
      </c>
      <c r="AW423">
        <f t="shared" si="152"/>
        <v>2812.0752466161966</v>
      </c>
      <c r="AX423">
        <f t="shared" si="153"/>
        <v>1.5563419862925768E-5</v>
      </c>
      <c r="AY423">
        <f t="shared" si="154"/>
        <v>1.1309333954237419E-3</v>
      </c>
      <c r="AZ423">
        <f t="shared" si="155"/>
        <v>25.219814717949443</v>
      </c>
      <c r="BA423">
        <f t="shared" si="156"/>
        <v>0.67179782917592257</v>
      </c>
    </row>
    <row r="424" spans="1:53" x14ac:dyDescent="0.25">
      <c r="A424" t="s">
        <v>3</v>
      </c>
      <c r="B424" t="s">
        <v>18</v>
      </c>
      <c r="C424">
        <v>10</v>
      </c>
      <c r="G424">
        <f t="shared" si="157"/>
        <v>348.58333333333576</v>
      </c>
      <c r="H424" s="7">
        <v>45063.583333333336</v>
      </c>
      <c r="AF424">
        <v>187.81</v>
      </c>
      <c r="AG424">
        <v>140</v>
      </c>
      <c r="AL424">
        <v>336.39</v>
      </c>
      <c r="AM424">
        <v>336.3</v>
      </c>
      <c r="AN424">
        <f t="shared" si="148"/>
        <v>-2.9999999999972715E-2</v>
      </c>
      <c r="AO424">
        <f t="shared" si="149"/>
        <v>8.9999999999974989E-2</v>
      </c>
      <c r="AP424">
        <f>62+25</f>
        <v>87</v>
      </c>
      <c r="AQ424">
        <v>1004</v>
      </c>
      <c r="AR424">
        <v>22</v>
      </c>
      <c r="AS424">
        <v>34</v>
      </c>
      <c r="AT424">
        <f t="shared" si="150"/>
        <v>5.3137007027131622</v>
      </c>
      <c r="AU424">
        <f t="shared" si="151"/>
        <v>62.19</v>
      </c>
      <c r="AV424">
        <v>1004</v>
      </c>
      <c r="AW424">
        <f t="shared" si="152"/>
        <v>2408.5344910757358</v>
      </c>
      <c r="AX424">
        <f t="shared" si="153"/>
        <v>1.8229837846646806E-5</v>
      </c>
      <c r="AY424">
        <f t="shared" si="154"/>
        <v>1.0162529207737552E-3</v>
      </c>
      <c r="AZ424">
        <f t="shared" si="155"/>
        <v>22.662440133254741</v>
      </c>
      <c r="BA424">
        <f t="shared" si="156"/>
        <v>0.76323059945460348</v>
      </c>
    </row>
    <row r="425" spans="1:53" x14ac:dyDescent="0.25">
      <c r="A425" t="s">
        <v>4</v>
      </c>
      <c r="B425" t="s">
        <v>18</v>
      </c>
      <c r="C425">
        <v>20</v>
      </c>
      <c r="G425">
        <f t="shared" si="157"/>
        <v>348.58333333333576</v>
      </c>
      <c r="H425" s="7">
        <v>45063.583333333336</v>
      </c>
      <c r="AF425">
        <v>181.58</v>
      </c>
      <c r="AG425">
        <v>139.4</v>
      </c>
      <c r="AL425">
        <v>327.89</v>
      </c>
      <c r="AM425">
        <v>327.89</v>
      </c>
      <c r="AN425">
        <f t="shared" si="148"/>
        <v>0</v>
      </c>
      <c r="AO425">
        <f t="shared" si="149"/>
        <v>0</v>
      </c>
      <c r="AP425">
        <v>0</v>
      </c>
      <c r="AQ425">
        <v>1004</v>
      </c>
      <c r="AR425">
        <v>22</v>
      </c>
      <c r="AS425">
        <v>34</v>
      </c>
      <c r="AT425">
        <f t="shared" si="150"/>
        <v>5.3137007027131622</v>
      </c>
      <c r="AU425">
        <f t="shared" si="151"/>
        <v>68.419999999999987</v>
      </c>
      <c r="AV425">
        <v>1004</v>
      </c>
      <c r="AW425">
        <f t="shared" si="152"/>
        <v>1004</v>
      </c>
      <c r="AX425">
        <f t="shared" si="153"/>
        <v>4.5157414386649812E-5</v>
      </c>
      <c r="AY425" t="e">
        <f t="shared" si="154"/>
        <v>#DIV/0!</v>
      </c>
      <c r="AZ425" t="e">
        <f t="shared" si="155"/>
        <v>#DIV/0!</v>
      </c>
      <c r="BA425" t="e">
        <f t="shared" si="156"/>
        <v>#DIV/0!</v>
      </c>
    </row>
    <row r="426" spans="1:53" x14ac:dyDescent="0.25">
      <c r="A426" t="s">
        <v>5</v>
      </c>
      <c r="B426" t="s">
        <v>18</v>
      </c>
      <c r="C426">
        <v>20</v>
      </c>
      <c r="G426">
        <f t="shared" si="157"/>
        <v>348.58333333333576</v>
      </c>
      <c r="H426" s="7">
        <v>45063.583333333336</v>
      </c>
      <c r="AF426">
        <v>201.8</v>
      </c>
      <c r="AG426">
        <v>139.81</v>
      </c>
      <c r="AL426">
        <v>348.8</v>
      </c>
      <c r="AM426">
        <v>348.8</v>
      </c>
      <c r="AN426">
        <f t="shared" si="148"/>
        <v>0</v>
      </c>
      <c r="AO426">
        <f t="shared" si="149"/>
        <v>0</v>
      </c>
      <c r="AP426">
        <v>0</v>
      </c>
      <c r="AQ426">
        <v>1004</v>
      </c>
      <c r="AR426">
        <v>22</v>
      </c>
      <c r="AS426">
        <v>34</v>
      </c>
      <c r="AT426">
        <f t="shared" si="150"/>
        <v>5.3137007027131622</v>
      </c>
      <c r="AU426">
        <f t="shared" si="151"/>
        <v>48.199999999999989</v>
      </c>
      <c r="AV426">
        <v>1004</v>
      </c>
      <c r="AW426">
        <f t="shared" si="152"/>
        <v>1004</v>
      </c>
      <c r="AX426">
        <f t="shared" si="153"/>
        <v>4.5157414386649812E-5</v>
      </c>
      <c r="AY426" t="e">
        <f t="shared" si="154"/>
        <v>#DIV/0!</v>
      </c>
      <c r="AZ426" t="e">
        <f t="shared" si="155"/>
        <v>#DIV/0!</v>
      </c>
      <c r="BA426" t="e">
        <f t="shared" si="156"/>
        <v>#DIV/0!</v>
      </c>
    </row>
    <row r="427" spans="1:53" x14ac:dyDescent="0.25">
      <c r="A427" t="s">
        <v>6</v>
      </c>
      <c r="B427" t="s">
        <v>18</v>
      </c>
      <c r="C427">
        <v>20</v>
      </c>
      <c r="G427">
        <f t="shared" si="157"/>
        <v>348.58333333333576</v>
      </c>
      <c r="H427" s="7">
        <v>45063.583333333336</v>
      </c>
      <c r="AF427">
        <v>205.13</v>
      </c>
      <c r="AG427">
        <v>139.01</v>
      </c>
      <c r="AL427">
        <v>351.32</v>
      </c>
      <c r="AM427">
        <v>351.32</v>
      </c>
      <c r="AN427">
        <f t="shared" si="148"/>
        <v>0</v>
      </c>
      <c r="AO427">
        <f t="shared" si="149"/>
        <v>0</v>
      </c>
      <c r="AP427">
        <v>0</v>
      </c>
      <c r="AQ427">
        <v>1004</v>
      </c>
      <c r="AR427">
        <v>22</v>
      </c>
      <c r="AS427">
        <v>34</v>
      </c>
      <c r="AT427">
        <f t="shared" si="150"/>
        <v>5.3137007027131622</v>
      </c>
      <c r="AU427">
        <f t="shared" si="151"/>
        <v>44.870000000000005</v>
      </c>
      <c r="AV427">
        <v>1004</v>
      </c>
      <c r="AW427">
        <f t="shared" si="152"/>
        <v>1004</v>
      </c>
      <c r="AX427">
        <f t="shared" si="153"/>
        <v>4.5157414386649812E-5</v>
      </c>
      <c r="AY427" t="e">
        <f t="shared" si="154"/>
        <v>#DIV/0!</v>
      </c>
      <c r="AZ427" t="e">
        <f t="shared" si="155"/>
        <v>#DIV/0!</v>
      </c>
      <c r="BA427" t="e">
        <f t="shared" si="156"/>
        <v>#DIV/0!</v>
      </c>
    </row>
    <row r="428" spans="1:53" x14ac:dyDescent="0.25">
      <c r="A428" t="s">
        <v>7</v>
      </c>
      <c r="B428" t="s">
        <v>18</v>
      </c>
      <c r="C428">
        <v>20</v>
      </c>
      <c r="G428">
        <f t="shared" si="157"/>
        <v>348.58333333333576</v>
      </c>
      <c r="H428" s="7">
        <v>45063.583333333336</v>
      </c>
      <c r="AF428">
        <v>177.85000000000002</v>
      </c>
      <c r="AG428">
        <v>139.94999999999999</v>
      </c>
      <c r="AL428">
        <v>325.58</v>
      </c>
      <c r="AM428">
        <v>325.58</v>
      </c>
      <c r="AN428">
        <f t="shared" si="148"/>
        <v>0</v>
      </c>
      <c r="AO428">
        <f t="shared" si="149"/>
        <v>0</v>
      </c>
      <c r="AP428">
        <v>0</v>
      </c>
      <c r="AQ428">
        <v>1004</v>
      </c>
      <c r="AR428">
        <v>22</v>
      </c>
      <c r="AS428">
        <v>34</v>
      </c>
      <c r="AT428">
        <f t="shared" si="150"/>
        <v>5.3137007027131622</v>
      </c>
      <c r="AU428">
        <f t="shared" si="151"/>
        <v>72.149999999999977</v>
      </c>
      <c r="AV428">
        <v>1004</v>
      </c>
      <c r="AW428">
        <f t="shared" si="152"/>
        <v>1004</v>
      </c>
      <c r="AX428">
        <f t="shared" si="153"/>
        <v>4.5157414386649812E-5</v>
      </c>
      <c r="AY428" t="e">
        <f t="shared" si="154"/>
        <v>#DIV/0!</v>
      </c>
      <c r="AZ428" t="e">
        <f t="shared" si="155"/>
        <v>#DIV/0!</v>
      </c>
      <c r="BA428" t="e">
        <f t="shared" si="156"/>
        <v>#DIV/0!</v>
      </c>
    </row>
    <row r="429" spans="1:53" x14ac:dyDescent="0.25">
      <c r="A429" t="s">
        <v>8</v>
      </c>
      <c r="B429" t="s">
        <v>19</v>
      </c>
      <c r="C429">
        <v>10</v>
      </c>
      <c r="G429">
        <f t="shared" si="157"/>
        <v>348.58333333333576</v>
      </c>
      <c r="H429" s="7">
        <v>45063.583333333336</v>
      </c>
      <c r="AF429">
        <v>142.11999999999998</v>
      </c>
      <c r="AG429">
        <v>139.71</v>
      </c>
      <c r="AL429">
        <v>288.62</v>
      </c>
      <c r="AM429">
        <v>288.46499999999997</v>
      </c>
      <c r="AN429">
        <f t="shared" si="148"/>
        <v>5.0000000000011369E-2</v>
      </c>
      <c r="AO429">
        <f t="shared" si="149"/>
        <v>0.15500000000002956</v>
      </c>
      <c r="AP429">
        <f>62+47</f>
        <v>109</v>
      </c>
      <c r="AQ429">
        <v>1004</v>
      </c>
      <c r="AR429">
        <v>22</v>
      </c>
      <c r="AS429">
        <v>34</v>
      </c>
      <c r="AT429">
        <f t="shared" si="150"/>
        <v>5.3137007027131622</v>
      </c>
      <c r="AU429">
        <f t="shared" si="151"/>
        <v>107.88000000000002</v>
      </c>
      <c r="AV429">
        <v>1004</v>
      </c>
      <c r="AW429">
        <f t="shared" si="152"/>
        <v>2018.4234334445678</v>
      </c>
      <c r="AX429">
        <f t="shared" si="153"/>
        <v>2.184847644670272E-5</v>
      </c>
      <c r="AY429">
        <f t="shared" si="154"/>
        <v>1.4001698721774216E-3</v>
      </c>
      <c r="AZ429">
        <f t="shared" si="155"/>
        <v>31.223788149556501</v>
      </c>
      <c r="BA429">
        <f t="shared" si="156"/>
        <v>0.45714021631903817</v>
      </c>
    </row>
    <row r="430" spans="1:53" x14ac:dyDescent="0.25">
      <c r="A430" t="s">
        <v>9</v>
      </c>
      <c r="B430" t="s">
        <v>19</v>
      </c>
      <c r="C430">
        <v>10</v>
      </c>
      <c r="G430">
        <f t="shared" si="157"/>
        <v>348.58333333333576</v>
      </c>
      <c r="H430" s="7">
        <v>45063.583333333336</v>
      </c>
      <c r="AF430">
        <v>136.42000000000002</v>
      </c>
      <c r="AG430">
        <v>139.75</v>
      </c>
      <c r="AL430">
        <v>282.87</v>
      </c>
      <c r="AM430">
        <v>282.74</v>
      </c>
      <c r="AN430">
        <f t="shared" si="148"/>
        <v>4.0000000000020464E-2</v>
      </c>
      <c r="AO430">
        <f t="shared" si="149"/>
        <v>0.12999999999999545</v>
      </c>
      <c r="AP430">
        <f>61+56.5</f>
        <v>117.5</v>
      </c>
      <c r="AQ430">
        <v>1004</v>
      </c>
      <c r="AR430">
        <v>22</v>
      </c>
      <c r="AS430">
        <v>34</v>
      </c>
      <c r="AT430">
        <f t="shared" si="150"/>
        <v>5.3137007027131622</v>
      </c>
      <c r="AU430">
        <f t="shared" si="151"/>
        <v>113.57999999999998</v>
      </c>
      <c r="AV430">
        <v>1004</v>
      </c>
      <c r="AW430">
        <f t="shared" si="152"/>
        <v>2042.6511709808067</v>
      </c>
      <c r="AX430">
        <f t="shared" si="153"/>
        <v>2.1582411915719197E-5</v>
      </c>
      <c r="AY430">
        <f t="shared" si="154"/>
        <v>1.0848005668076463E-3</v>
      </c>
      <c r="AZ430">
        <f t="shared" si="155"/>
        <v>24.191052639810511</v>
      </c>
      <c r="BA430">
        <f t="shared" si="156"/>
        <v>0.70857874008543043</v>
      </c>
    </row>
    <row r="431" spans="1:53" x14ac:dyDescent="0.25">
      <c r="A431" t="s">
        <v>10</v>
      </c>
      <c r="B431" t="s">
        <v>19</v>
      </c>
      <c r="C431">
        <v>10</v>
      </c>
      <c r="G431">
        <f t="shared" si="157"/>
        <v>348.58333333333576</v>
      </c>
      <c r="H431" s="7">
        <v>45063.583333333336</v>
      </c>
      <c r="AF431">
        <v>117.85000000000002</v>
      </c>
      <c r="AG431">
        <v>140.44999999999999</v>
      </c>
      <c r="AL431">
        <v>264.98</v>
      </c>
      <c r="AM431">
        <v>264.93</v>
      </c>
      <c r="AN431">
        <f t="shared" si="148"/>
        <v>1.999999999998181E-2</v>
      </c>
      <c r="AO431">
        <f t="shared" si="149"/>
        <v>5.0000000000011369E-2</v>
      </c>
      <c r="AP431">
        <f>57.5</f>
        <v>57.5</v>
      </c>
      <c r="AQ431">
        <v>1004</v>
      </c>
      <c r="AR431">
        <v>22</v>
      </c>
      <c r="AS431">
        <v>34</v>
      </c>
      <c r="AT431">
        <f t="shared" si="150"/>
        <v>5.3137007027131622</v>
      </c>
      <c r="AU431">
        <f t="shared" si="151"/>
        <v>132.14999999999998</v>
      </c>
      <c r="AV431">
        <v>1004</v>
      </c>
      <c r="AW431">
        <f t="shared" si="152"/>
        <v>1440.8520620507002</v>
      </c>
      <c r="AX431">
        <f t="shared" si="153"/>
        <v>3.0941881075057342E-5</v>
      </c>
      <c r="AY431">
        <f t="shared" si="154"/>
        <v>8.3862333631644467E-4</v>
      </c>
      <c r="AZ431">
        <f t="shared" si="155"/>
        <v>18.701300399856716</v>
      </c>
      <c r="BA431">
        <f t="shared" si="156"/>
        <v>0.90485161244702472</v>
      </c>
    </row>
    <row r="432" spans="1:53" x14ac:dyDescent="0.25">
      <c r="A432" t="s">
        <v>11</v>
      </c>
      <c r="B432" t="s">
        <v>19</v>
      </c>
      <c r="C432">
        <v>10</v>
      </c>
      <c r="G432">
        <f t="shared" si="157"/>
        <v>348.58333333333576</v>
      </c>
      <c r="H432" s="7">
        <v>45063.583333333336</v>
      </c>
      <c r="AF432">
        <v>107.53</v>
      </c>
      <c r="AG432">
        <v>140</v>
      </c>
      <c r="AL432">
        <v>255.17</v>
      </c>
      <c r="AM432">
        <v>255.01</v>
      </c>
      <c r="AN432">
        <f t="shared" si="148"/>
        <v>3.0000000000001137E-2</v>
      </c>
      <c r="AO432">
        <f t="shared" si="149"/>
        <v>0.15999999999999659</v>
      </c>
      <c r="AP432">
        <f>62.5+50.5</f>
        <v>113</v>
      </c>
      <c r="AQ432">
        <v>1004</v>
      </c>
      <c r="AR432">
        <v>22</v>
      </c>
      <c r="AS432">
        <v>34</v>
      </c>
      <c r="AT432">
        <f t="shared" si="150"/>
        <v>5.3137007027131622</v>
      </c>
      <c r="AU432">
        <f t="shared" si="151"/>
        <v>142.47</v>
      </c>
      <c r="AV432">
        <v>1004</v>
      </c>
      <c r="AW432">
        <f t="shared" si="152"/>
        <v>1800.3220327086406</v>
      </c>
      <c r="AX432">
        <f t="shared" si="153"/>
        <v>2.4575825437753665E-5</v>
      </c>
      <c r="AY432">
        <f t="shared" si="154"/>
        <v>1.3913533781020392E-3</v>
      </c>
      <c r="AZ432">
        <f t="shared" si="155"/>
        <v>31.027180331675474</v>
      </c>
      <c r="BA432">
        <f t="shared" si="156"/>
        <v>0.46416945542812027</v>
      </c>
    </row>
    <row r="433" spans="1:53" x14ac:dyDescent="0.25">
      <c r="A433" t="s">
        <v>12</v>
      </c>
      <c r="B433" t="s">
        <v>19</v>
      </c>
      <c r="C433">
        <v>20</v>
      </c>
      <c r="G433">
        <f t="shared" si="157"/>
        <v>348.58333333333576</v>
      </c>
      <c r="H433" s="7">
        <v>45063.583333333336</v>
      </c>
      <c r="AF433">
        <v>109.43</v>
      </c>
      <c r="AG433">
        <v>140.19999999999999</v>
      </c>
      <c r="AL433">
        <v>257.63</v>
      </c>
      <c r="AM433">
        <v>257.63</v>
      </c>
      <c r="AN433">
        <f t="shared" si="148"/>
        <v>0</v>
      </c>
      <c r="AO433">
        <f t="shared" si="149"/>
        <v>0</v>
      </c>
      <c r="AP433">
        <v>0</v>
      </c>
      <c r="AQ433">
        <v>1004</v>
      </c>
      <c r="AR433">
        <v>22</v>
      </c>
      <c r="AS433">
        <v>34</v>
      </c>
      <c r="AT433">
        <f t="shared" si="150"/>
        <v>5.3137007027131622</v>
      </c>
      <c r="AU433">
        <f t="shared" si="151"/>
        <v>140.57</v>
      </c>
      <c r="AV433">
        <v>1004</v>
      </c>
      <c r="AW433">
        <f t="shared" si="152"/>
        <v>1004</v>
      </c>
      <c r="AX433">
        <f t="shared" si="153"/>
        <v>4.5157414386649812E-5</v>
      </c>
      <c r="AY433" t="e">
        <f t="shared" si="154"/>
        <v>#DIV/0!</v>
      </c>
      <c r="AZ433" t="e">
        <f t="shared" si="155"/>
        <v>#DIV/0!</v>
      </c>
      <c r="BA433" t="e">
        <f t="shared" si="156"/>
        <v>#DIV/0!</v>
      </c>
    </row>
    <row r="434" spans="1:53" x14ac:dyDescent="0.25">
      <c r="A434" t="s">
        <v>13</v>
      </c>
      <c r="B434" t="s">
        <v>19</v>
      </c>
      <c r="C434">
        <v>20</v>
      </c>
      <c r="G434">
        <f t="shared" si="157"/>
        <v>348.58333333333576</v>
      </c>
      <c r="H434" s="7">
        <v>45063.583333333336</v>
      </c>
      <c r="AF434">
        <v>129.52999999999997</v>
      </c>
      <c r="AG434">
        <v>140.24</v>
      </c>
      <c r="AL434">
        <v>277.74</v>
      </c>
      <c r="AM434">
        <v>277.74</v>
      </c>
      <c r="AN434">
        <f t="shared" si="148"/>
        <v>0</v>
      </c>
      <c r="AO434">
        <f t="shared" si="149"/>
        <v>0</v>
      </c>
      <c r="AP434">
        <v>0</v>
      </c>
      <c r="AQ434">
        <v>1004</v>
      </c>
      <c r="AR434">
        <v>22</v>
      </c>
      <c r="AS434">
        <v>34</v>
      </c>
      <c r="AT434">
        <f t="shared" si="150"/>
        <v>5.3137007027131622</v>
      </c>
      <c r="AU434">
        <f t="shared" si="151"/>
        <v>120.47000000000003</v>
      </c>
      <c r="AV434">
        <v>1004</v>
      </c>
      <c r="AW434">
        <f t="shared" si="152"/>
        <v>1004</v>
      </c>
      <c r="AX434">
        <f t="shared" si="153"/>
        <v>4.5157414386649812E-5</v>
      </c>
      <c r="AY434" t="e">
        <f t="shared" si="154"/>
        <v>#DIV/0!</v>
      </c>
      <c r="AZ434" t="e">
        <f t="shared" si="155"/>
        <v>#DIV/0!</v>
      </c>
      <c r="BA434" t="e">
        <f t="shared" si="156"/>
        <v>#DIV/0!</v>
      </c>
    </row>
    <row r="435" spans="1:53" x14ac:dyDescent="0.25">
      <c r="A435" t="s">
        <v>14</v>
      </c>
      <c r="B435" t="s">
        <v>19</v>
      </c>
      <c r="C435">
        <v>20</v>
      </c>
      <c r="G435">
        <f t="shared" si="157"/>
        <v>348.58333333333576</v>
      </c>
      <c r="H435" s="7">
        <v>45063.583333333336</v>
      </c>
      <c r="AF435">
        <v>94.359999999999985</v>
      </c>
      <c r="AG435">
        <v>138.74</v>
      </c>
      <c r="AL435">
        <v>241.18</v>
      </c>
      <c r="AM435">
        <v>241.18</v>
      </c>
      <c r="AN435">
        <f t="shared" si="148"/>
        <v>0</v>
      </c>
      <c r="AO435">
        <f t="shared" si="149"/>
        <v>0</v>
      </c>
      <c r="AP435">
        <v>0</v>
      </c>
      <c r="AQ435">
        <v>1004</v>
      </c>
      <c r="AR435">
        <v>22</v>
      </c>
      <c r="AS435">
        <v>34</v>
      </c>
      <c r="AT435">
        <f t="shared" si="150"/>
        <v>5.3137007027131622</v>
      </c>
      <c r="AU435">
        <f t="shared" si="151"/>
        <v>155.64000000000001</v>
      </c>
      <c r="AV435">
        <v>1004</v>
      </c>
      <c r="AW435">
        <f t="shared" si="152"/>
        <v>1004</v>
      </c>
      <c r="AX435">
        <f t="shared" si="153"/>
        <v>4.5157414386649812E-5</v>
      </c>
      <c r="AY435" t="e">
        <f t="shared" si="154"/>
        <v>#DIV/0!</v>
      </c>
      <c r="AZ435" t="e">
        <f t="shared" si="155"/>
        <v>#DIV/0!</v>
      </c>
      <c r="BA435" t="e">
        <f t="shared" si="156"/>
        <v>#DIV/0!</v>
      </c>
    </row>
    <row r="436" spans="1:53" x14ac:dyDescent="0.25">
      <c r="A436" t="s">
        <v>15</v>
      </c>
      <c r="B436" t="s">
        <v>19</v>
      </c>
      <c r="C436">
        <v>20</v>
      </c>
      <c r="G436">
        <f t="shared" si="157"/>
        <v>348.58333333333576</v>
      </c>
      <c r="H436" s="7">
        <v>45063.583333333336</v>
      </c>
      <c r="AF436">
        <v>85.4</v>
      </c>
      <c r="AG436">
        <v>140.1</v>
      </c>
      <c r="AL436">
        <v>233.53</v>
      </c>
      <c r="AM436">
        <v>233.53</v>
      </c>
      <c r="AN436">
        <f t="shared" si="148"/>
        <v>0</v>
      </c>
      <c r="AO436">
        <f t="shared" si="149"/>
        <v>0</v>
      </c>
      <c r="AP436">
        <v>0</v>
      </c>
      <c r="AQ436">
        <v>1004</v>
      </c>
      <c r="AR436">
        <v>22</v>
      </c>
      <c r="AS436">
        <v>34</v>
      </c>
      <c r="AT436">
        <f t="shared" si="150"/>
        <v>5.3137007027131622</v>
      </c>
      <c r="AU436">
        <f t="shared" si="151"/>
        <v>164.6</v>
      </c>
      <c r="AV436">
        <v>1004</v>
      </c>
      <c r="AW436">
        <f t="shared" si="152"/>
        <v>1004</v>
      </c>
      <c r="AX436">
        <f t="shared" si="153"/>
        <v>4.5157414386649812E-5</v>
      </c>
      <c r="AY436" t="e">
        <f t="shared" si="154"/>
        <v>#DIV/0!</v>
      </c>
      <c r="AZ436" t="e">
        <f t="shared" si="155"/>
        <v>#DIV/0!</v>
      </c>
      <c r="BA436" t="e">
        <f t="shared" si="156"/>
        <v>#DIV/0!</v>
      </c>
    </row>
    <row r="437" spans="1:53" x14ac:dyDescent="0.25">
      <c r="A437" t="s">
        <v>0</v>
      </c>
      <c r="B437" t="s">
        <v>18</v>
      </c>
      <c r="C437">
        <v>10</v>
      </c>
      <c r="G437">
        <f t="shared" si="157"/>
        <v>350.5</v>
      </c>
      <c r="H437" s="7">
        <v>45065.5</v>
      </c>
      <c r="AF437">
        <v>172.77</v>
      </c>
      <c r="AG437">
        <v>139.16999999999999</v>
      </c>
      <c r="AL437">
        <v>320.27999999999997</v>
      </c>
      <c r="AM437">
        <v>320.18</v>
      </c>
      <c r="AN437">
        <f t="shared" si="148"/>
        <v>1.0000000000047748E-2</v>
      </c>
      <c r="AO437">
        <f t="shared" si="149"/>
        <v>9.9999999999965894E-2</v>
      </c>
      <c r="AP437">
        <v>94</v>
      </c>
      <c r="AQ437">
        <v>1014</v>
      </c>
      <c r="AR437">
        <v>22</v>
      </c>
      <c r="AS437">
        <v>34</v>
      </c>
      <c r="AT437">
        <f t="shared" ref="AT437:AT452" si="158">0.61094*EXP(17.625*AS437/(243.04+AS437))</f>
        <v>5.3137007027131622</v>
      </c>
      <c r="AU437">
        <f t="shared" ref="AU437:AU452" si="159">250-AF437</f>
        <v>77.22999999999999</v>
      </c>
      <c r="AV437">
        <v>1014</v>
      </c>
      <c r="AW437">
        <f t="shared" ref="AW437:AW452" si="160">AP437/AU437*AV437+AV437</f>
        <v>2248.1836074064486</v>
      </c>
      <c r="AX437">
        <f t="shared" ref="AX437:AX452" si="161">18.02*(AT437/(AW437/10-AT437)*1/22300)</f>
        <v>1.9561550169907954E-5</v>
      </c>
      <c r="AY437">
        <f t="shared" ref="AY437:AY452" si="162">(AL437-AM437)/AP437-AX437</f>
        <v>1.0442682370637719E-3</v>
      </c>
      <c r="AZ437">
        <f t="shared" ref="AZ437:AZ452" si="163">AY437*22300</f>
        <v>23.287181686522114</v>
      </c>
      <c r="BA437">
        <f t="shared" ref="BA437:BA452" si="164">(44.01-AZ437)/(44.01-16.04)</f>
        <v>0.74089446955587723</v>
      </c>
    </row>
    <row r="438" spans="1:53" x14ac:dyDescent="0.25">
      <c r="A438" t="s">
        <v>1</v>
      </c>
      <c r="B438" t="s">
        <v>18</v>
      </c>
      <c r="C438">
        <v>10</v>
      </c>
      <c r="G438">
        <f t="shared" si="157"/>
        <v>350.5</v>
      </c>
      <c r="H438" s="7">
        <v>45065.5</v>
      </c>
      <c r="AF438">
        <v>173.93</v>
      </c>
      <c r="AG438">
        <v>141.25</v>
      </c>
      <c r="AL438">
        <v>323.39</v>
      </c>
      <c r="AM438">
        <v>323.23</v>
      </c>
      <c r="AN438">
        <f t="shared" si="148"/>
        <v>2.0000000000038654E-2</v>
      </c>
      <c r="AO438">
        <f t="shared" si="149"/>
        <v>0.15999999999996817</v>
      </c>
      <c r="AP438">
        <f>61.5+62+36</f>
        <v>159.5</v>
      </c>
      <c r="AQ438">
        <v>1014</v>
      </c>
      <c r="AR438">
        <v>22</v>
      </c>
      <c r="AS438">
        <v>34</v>
      </c>
      <c r="AT438">
        <f t="shared" si="158"/>
        <v>5.3137007027131622</v>
      </c>
      <c r="AU438">
        <f t="shared" si="159"/>
        <v>76.069999999999993</v>
      </c>
      <c r="AV438">
        <v>1014</v>
      </c>
      <c r="AW438">
        <f t="shared" si="160"/>
        <v>3140.1075325358224</v>
      </c>
      <c r="AX438">
        <f t="shared" si="161"/>
        <v>1.3909596429182044E-5</v>
      </c>
      <c r="AY438">
        <f t="shared" si="162"/>
        <v>9.8922519980886307E-4</v>
      </c>
      <c r="AZ438">
        <f t="shared" si="163"/>
        <v>22.059721955737647</v>
      </c>
      <c r="BA438">
        <f t="shared" si="164"/>
        <v>0.78477933658428145</v>
      </c>
    </row>
    <row r="439" spans="1:53" x14ac:dyDescent="0.25">
      <c r="A439" t="s">
        <v>2</v>
      </c>
      <c r="B439" t="s">
        <v>18</v>
      </c>
      <c r="C439">
        <v>10</v>
      </c>
      <c r="G439">
        <f t="shared" si="157"/>
        <v>350.5</v>
      </c>
      <c r="H439" s="7">
        <v>45065.5</v>
      </c>
      <c r="AF439">
        <v>162.82000000000002</v>
      </c>
      <c r="AG439">
        <v>140.66</v>
      </c>
      <c r="AL439">
        <v>311.87</v>
      </c>
      <c r="AM439">
        <v>311.73</v>
      </c>
      <c r="AN439">
        <f t="shared" si="148"/>
        <v>0</v>
      </c>
      <c r="AO439">
        <f t="shared" si="149"/>
        <v>0.13999999999998636</v>
      </c>
      <c r="AP439">
        <f>63+62.5+31.5</f>
        <v>157</v>
      </c>
      <c r="AQ439">
        <v>1014</v>
      </c>
      <c r="AR439">
        <v>22</v>
      </c>
      <c r="AS439">
        <v>34</v>
      </c>
      <c r="AT439">
        <f t="shared" si="158"/>
        <v>5.3137007027131622</v>
      </c>
      <c r="AU439">
        <f t="shared" si="159"/>
        <v>87.179999999999978</v>
      </c>
      <c r="AV439">
        <v>1014</v>
      </c>
      <c r="AW439">
        <f t="shared" si="160"/>
        <v>2840.0839642119759</v>
      </c>
      <c r="AX439">
        <f t="shared" si="161"/>
        <v>1.5407008047967671E-5</v>
      </c>
      <c r="AY439">
        <f t="shared" si="162"/>
        <v>8.7631273717487536E-4</v>
      </c>
      <c r="AZ439">
        <f t="shared" si="163"/>
        <v>19.541774038999719</v>
      </c>
      <c r="BA439">
        <f t="shared" si="164"/>
        <v>0.87480250128710335</v>
      </c>
    </row>
    <row r="440" spans="1:53" x14ac:dyDescent="0.25">
      <c r="A440" t="s">
        <v>3</v>
      </c>
      <c r="B440" t="s">
        <v>18</v>
      </c>
      <c r="C440">
        <v>10</v>
      </c>
      <c r="G440">
        <f t="shared" si="157"/>
        <v>350.5</v>
      </c>
      <c r="H440" s="7">
        <v>45065.5</v>
      </c>
      <c r="AF440">
        <v>187.81</v>
      </c>
      <c r="AG440">
        <v>140</v>
      </c>
      <c r="AL440">
        <v>336.27</v>
      </c>
      <c r="AM440">
        <v>336.17</v>
      </c>
      <c r="AN440">
        <f t="shared" si="148"/>
        <v>3.0000000000029559E-2</v>
      </c>
      <c r="AO440">
        <f t="shared" si="149"/>
        <v>9.9999999999965894E-2</v>
      </c>
      <c r="AP440">
        <f>61+33.5</f>
        <v>94.5</v>
      </c>
      <c r="AQ440">
        <v>1014</v>
      </c>
      <c r="AR440">
        <v>22</v>
      </c>
      <c r="AS440">
        <v>34</v>
      </c>
      <c r="AT440">
        <f t="shared" si="158"/>
        <v>5.3137007027131622</v>
      </c>
      <c r="AU440">
        <f t="shared" si="159"/>
        <v>62.19</v>
      </c>
      <c r="AV440">
        <v>1014</v>
      </c>
      <c r="AW440">
        <f t="shared" si="160"/>
        <v>2554.8104196816212</v>
      </c>
      <c r="AX440">
        <f t="shared" si="161"/>
        <v>1.7163916753244171E-5</v>
      </c>
      <c r="AY440">
        <f t="shared" si="162"/>
        <v>1.041037141447453E-3</v>
      </c>
      <c r="AZ440">
        <f t="shared" si="163"/>
        <v>23.215128254278202</v>
      </c>
      <c r="BA440">
        <f t="shared" si="164"/>
        <v>0.74347056652562737</v>
      </c>
    </row>
    <row r="441" spans="1:53" x14ac:dyDescent="0.25">
      <c r="A441" t="s">
        <v>4</v>
      </c>
      <c r="B441" t="s">
        <v>18</v>
      </c>
      <c r="C441">
        <v>20</v>
      </c>
      <c r="G441">
        <f t="shared" si="157"/>
        <v>350.5</v>
      </c>
      <c r="H441" s="7">
        <v>45065.5</v>
      </c>
      <c r="AF441">
        <v>181.58</v>
      </c>
      <c r="AG441">
        <v>139.4</v>
      </c>
      <c r="AL441">
        <v>327.86</v>
      </c>
      <c r="AM441">
        <v>327.75</v>
      </c>
      <c r="AN441">
        <f t="shared" si="148"/>
        <v>2.9999999999972715E-2</v>
      </c>
      <c r="AO441">
        <f t="shared" si="149"/>
        <v>0.11000000000001364</v>
      </c>
      <c r="AP441">
        <v>49</v>
      </c>
      <c r="AQ441">
        <v>1014</v>
      </c>
      <c r="AR441">
        <v>22</v>
      </c>
      <c r="AS441">
        <v>34</v>
      </c>
      <c r="AT441">
        <f t="shared" si="158"/>
        <v>5.3137007027131622</v>
      </c>
      <c r="AU441">
        <f t="shared" si="159"/>
        <v>68.419999999999987</v>
      </c>
      <c r="AV441">
        <v>1014</v>
      </c>
      <c r="AW441">
        <f t="shared" si="160"/>
        <v>1740.1911721718798</v>
      </c>
      <c r="AX441">
        <f t="shared" si="161"/>
        <v>2.5451769768709119E-5</v>
      </c>
      <c r="AY441">
        <f t="shared" si="162"/>
        <v>2.219446189415243E-3</v>
      </c>
      <c r="AZ441">
        <f t="shared" si="163"/>
        <v>49.493650023959916</v>
      </c>
      <c r="BA441">
        <f t="shared" si="164"/>
        <v>-0.19605470232248545</v>
      </c>
    </row>
    <row r="442" spans="1:53" x14ac:dyDescent="0.25">
      <c r="A442" t="s">
        <v>5</v>
      </c>
      <c r="B442" t="s">
        <v>18</v>
      </c>
      <c r="C442">
        <v>20</v>
      </c>
      <c r="G442">
        <f t="shared" si="157"/>
        <v>350.5</v>
      </c>
      <c r="H442" s="7">
        <v>45065.5</v>
      </c>
      <c r="AF442">
        <v>201.8</v>
      </c>
      <c r="AG442">
        <v>139.81</v>
      </c>
      <c r="AL442">
        <v>348.77</v>
      </c>
      <c r="AM442">
        <v>348.69</v>
      </c>
      <c r="AN442">
        <f t="shared" si="148"/>
        <v>3.0000000000029559E-2</v>
      </c>
      <c r="AO442">
        <f t="shared" si="149"/>
        <v>7.9999999999984084E-2</v>
      </c>
      <c r="AP442">
        <v>48.5</v>
      </c>
      <c r="AQ442">
        <v>1014</v>
      </c>
      <c r="AR442">
        <v>22</v>
      </c>
      <c r="AS442">
        <v>34</v>
      </c>
      <c r="AT442">
        <f t="shared" si="158"/>
        <v>5.3137007027131622</v>
      </c>
      <c r="AU442">
        <f t="shared" si="159"/>
        <v>48.199999999999989</v>
      </c>
      <c r="AV442">
        <v>1014</v>
      </c>
      <c r="AW442">
        <f t="shared" si="160"/>
        <v>2034.3112033195023</v>
      </c>
      <c r="AX442">
        <f t="shared" si="161"/>
        <v>2.1673265419548841E-5</v>
      </c>
      <c r="AY442">
        <f t="shared" si="162"/>
        <v>1.6278112706625972E-3</v>
      </c>
      <c r="AZ442">
        <f t="shared" si="163"/>
        <v>36.300191335775921</v>
      </c>
      <c r="BA442">
        <f t="shared" si="164"/>
        <v>0.27564564405520475</v>
      </c>
    </row>
    <row r="443" spans="1:53" x14ac:dyDescent="0.25">
      <c r="A443" t="s">
        <v>6</v>
      </c>
      <c r="B443" t="s">
        <v>18</v>
      </c>
      <c r="C443">
        <v>20</v>
      </c>
      <c r="G443">
        <f t="shared" si="157"/>
        <v>350.5</v>
      </c>
      <c r="H443" s="7">
        <v>45065.5</v>
      </c>
      <c r="AF443">
        <v>205.13</v>
      </c>
      <c r="AG443">
        <v>139.01</v>
      </c>
      <c r="AL443">
        <v>351.28</v>
      </c>
      <c r="AM443">
        <v>351.14</v>
      </c>
      <c r="AN443">
        <f t="shared" si="148"/>
        <v>4.0000000000020464E-2</v>
      </c>
      <c r="AO443">
        <f t="shared" si="149"/>
        <v>0.13999999999998636</v>
      </c>
      <c r="AP443">
        <v>63</v>
      </c>
      <c r="AQ443">
        <v>1014</v>
      </c>
      <c r="AR443">
        <v>22</v>
      </c>
      <c r="AS443">
        <v>34</v>
      </c>
      <c r="AT443">
        <f t="shared" si="158"/>
        <v>5.3137007027131622</v>
      </c>
      <c r="AU443">
        <f t="shared" si="159"/>
        <v>44.870000000000005</v>
      </c>
      <c r="AV443">
        <v>1014</v>
      </c>
      <c r="AW443">
        <f t="shared" si="160"/>
        <v>2437.7129485179407</v>
      </c>
      <c r="AX443">
        <f t="shared" si="161"/>
        <v>1.8006771540167956E-5</v>
      </c>
      <c r="AY443">
        <f t="shared" si="162"/>
        <v>2.204215450681838E-3</v>
      </c>
      <c r="AZ443">
        <f t="shared" si="163"/>
        <v>49.154004550204988</v>
      </c>
      <c r="BA443">
        <f t="shared" si="164"/>
        <v>-0.18391149625330674</v>
      </c>
    </row>
    <row r="444" spans="1:53" x14ac:dyDescent="0.25">
      <c r="A444" t="s">
        <v>7</v>
      </c>
      <c r="B444" t="s">
        <v>18</v>
      </c>
      <c r="C444">
        <v>20</v>
      </c>
      <c r="G444">
        <f t="shared" si="157"/>
        <v>350.5</v>
      </c>
      <c r="H444" s="7">
        <v>45065.5</v>
      </c>
      <c r="AF444">
        <v>177.85000000000002</v>
      </c>
      <c r="AG444">
        <v>139.94999999999999</v>
      </c>
      <c r="AL444">
        <v>325.52999999999997</v>
      </c>
      <c r="AM444">
        <v>325.42</v>
      </c>
      <c r="AN444">
        <f t="shared" si="148"/>
        <v>5.0000000000011369E-2</v>
      </c>
      <c r="AO444">
        <f t="shared" si="149"/>
        <v>0.1099999999999568</v>
      </c>
      <c r="AP444">
        <v>45.5</v>
      </c>
      <c r="AQ444">
        <v>1014</v>
      </c>
      <c r="AR444">
        <v>22</v>
      </c>
      <c r="AS444">
        <v>34</v>
      </c>
      <c r="AT444">
        <f t="shared" si="158"/>
        <v>5.3137007027131622</v>
      </c>
      <c r="AU444">
        <f t="shared" si="159"/>
        <v>72.149999999999977</v>
      </c>
      <c r="AV444">
        <v>1014</v>
      </c>
      <c r="AW444">
        <f t="shared" si="160"/>
        <v>1653.4594594594596</v>
      </c>
      <c r="AX444">
        <f t="shared" si="161"/>
        <v>2.6831164015316863E-5</v>
      </c>
      <c r="AY444">
        <f t="shared" si="162"/>
        <v>2.3907512535661516E-3</v>
      </c>
      <c r="AZ444">
        <f t="shared" si="163"/>
        <v>53.313752954525178</v>
      </c>
      <c r="BA444">
        <f t="shared" si="164"/>
        <v>-0.33263328403736792</v>
      </c>
    </row>
    <row r="445" spans="1:53" x14ac:dyDescent="0.25">
      <c r="A445" t="s">
        <v>8</v>
      </c>
      <c r="B445" t="s">
        <v>19</v>
      </c>
      <c r="C445">
        <v>10</v>
      </c>
      <c r="G445">
        <f t="shared" si="157"/>
        <v>350.5</v>
      </c>
      <c r="H445" s="7">
        <v>45065.5</v>
      </c>
      <c r="AF445">
        <v>142.11999999999998</v>
      </c>
      <c r="AG445">
        <v>139.71</v>
      </c>
      <c r="AL445">
        <v>288.44</v>
      </c>
      <c r="AM445">
        <v>288.34500000000003</v>
      </c>
      <c r="AN445">
        <f t="shared" si="148"/>
        <v>2.4999999999977263E-2</v>
      </c>
      <c r="AO445">
        <f t="shared" si="149"/>
        <v>9.4999999999970441E-2</v>
      </c>
      <c r="AP445">
        <f>65 +16.5</f>
        <v>81.5</v>
      </c>
      <c r="AQ445">
        <v>1014</v>
      </c>
      <c r="AR445">
        <v>22</v>
      </c>
      <c r="AS445">
        <v>34</v>
      </c>
      <c r="AT445">
        <f t="shared" si="158"/>
        <v>5.3137007027131622</v>
      </c>
      <c r="AU445">
        <f t="shared" si="159"/>
        <v>107.88000000000002</v>
      </c>
      <c r="AV445">
        <v>1014</v>
      </c>
      <c r="AW445">
        <f t="shared" si="160"/>
        <v>1780.0456062291432</v>
      </c>
      <c r="AX445">
        <f t="shared" si="161"/>
        <v>2.486438148402724E-5</v>
      </c>
      <c r="AY445">
        <f t="shared" si="162"/>
        <v>1.1407797902947513E-3</v>
      </c>
      <c r="AZ445">
        <f t="shared" si="163"/>
        <v>25.439389323572954</v>
      </c>
      <c r="BA445">
        <f t="shared" si="164"/>
        <v>0.66394746787368775</v>
      </c>
    </row>
    <row r="446" spans="1:53" x14ac:dyDescent="0.25">
      <c r="A446" t="s">
        <v>9</v>
      </c>
      <c r="B446" t="s">
        <v>19</v>
      </c>
      <c r="C446">
        <v>10</v>
      </c>
      <c r="G446">
        <f t="shared" si="157"/>
        <v>350.5</v>
      </c>
      <c r="H446" s="7">
        <v>45065.5</v>
      </c>
      <c r="AF446">
        <v>136.42000000000002</v>
      </c>
      <c r="AG446">
        <v>139.75</v>
      </c>
      <c r="AL446">
        <v>282.74</v>
      </c>
      <c r="AM446">
        <v>282.67</v>
      </c>
      <c r="AN446">
        <f t="shared" si="148"/>
        <v>0</v>
      </c>
      <c r="AO446">
        <f t="shared" si="149"/>
        <v>6.9999999999993179E-2</v>
      </c>
      <c r="AP446">
        <f>61.5+19.5</f>
        <v>81</v>
      </c>
      <c r="AQ446">
        <v>1014</v>
      </c>
      <c r="AR446">
        <v>22</v>
      </c>
      <c r="AS446">
        <v>34</v>
      </c>
      <c r="AT446">
        <f t="shared" si="158"/>
        <v>5.3137007027131622</v>
      </c>
      <c r="AU446">
        <f t="shared" si="159"/>
        <v>113.57999999999998</v>
      </c>
      <c r="AV446">
        <v>1014</v>
      </c>
      <c r="AW446">
        <f t="shared" si="160"/>
        <v>1737.1378763866878</v>
      </c>
      <c r="AX446">
        <f t="shared" si="161"/>
        <v>2.5497916883460933E-5</v>
      </c>
      <c r="AY446">
        <f t="shared" si="162"/>
        <v>8.3869961398065239E-4</v>
      </c>
      <c r="AZ446">
        <f t="shared" si="163"/>
        <v>18.703001391768549</v>
      </c>
      <c r="BA446">
        <f t="shared" si="164"/>
        <v>0.90479079757709868</v>
      </c>
    </row>
    <row r="447" spans="1:53" x14ac:dyDescent="0.25">
      <c r="A447" t="s">
        <v>10</v>
      </c>
      <c r="B447" t="s">
        <v>19</v>
      </c>
      <c r="C447">
        <v>10</v>
      </c>
      <c r="G447">
        <f t="shared" si="157"/>
        <v>350.5</v>
      </c>
      <c r="H447" s="7">
        <v>45065.5</v>
      </c>
      <c r="AF447">
        <v>117.85000000000002</v>
      </c>
      <c r="AG447">
        <v>140.44999999999999</v>
      </c>
      <c r="AL447">
        <v>264.88</v>
      </c>
      <c r="AM447">
        <v>264.87</v>
      </c>
      <c r="AN447">
        <f t="shared" si="148"/>
        <v>5.0000000000011369E-2</v>
      </c>
      <c r="AO447">
        <f t="shared" si="149"/>
        <v>9.9999999999909051E-3</v>
      </c>
      <c r="AP447">
        <v>58.5</v>
      </c>
      <c r="AQ447">
        <v>1014</v>
      </c>
      <c r="AR447">
        <v>22</v>
      </c>
      <c r="AS447">
        <v>34</v>
      </c>
      <c r="AT447">
        <f t="shared" si="158"/>
        <v>5.3137007027131622</v>
      </c>
      <c r="AU447">
        <f t="shared" si="159"/>
        <v>132.14999999999998</v>
      </c>
      <c r="AV447">
        <v>1014</v>
      </c>
      <c r="AW447">
        <f t="shared" si="160"/>
        <v>1462.8762769580023</v>
      </c>
      <c r="AX447">
        <f t="shared" si="161"/>
        <v>3.0458479177296013E-5</v>
      </c>
      <c r="AY447">
        <f t="shared" si="162"/>
        <v>1.4048169176271945E-4</v>
      </c>
      <c r="AZ447">
        <f t="shared" si="163"/>
        <v>3.1327417263086437</v>
      </c>
      <c r="BA447">
        <f t="shared" si="164"/>
        <v>1.4614679397100949</v>
      </c>
    </row>
    <row r="448" spans="1:53" x14ac:dyDescent="0.25">
      <c r="A448" t="s">
        <v>11</v>
      </c>
      <c r="B448" t="s">
        <v>19</v>
      </c>
      <c r="C448">
        <v>10</v>
      </c>
      <c r="G448">
        <f t="shared" si="157"/>
        <v>350.5</v>
      </c>
      <c r="H448" s="7">
        <v>45065.5</v>
      </c>
      <c r="AF448">
        <v>107.53</v>
      </c>
      <c r="AG448">
        <v>140</v>
      </c>
      <c r="AL448">
        <v>255.03</v>
      </c>
      <c r="AM448">
        <v>254.94</v>
      </c>
      <c r="AN448">
        <f t="shared" si="148"/>
        <v>-2.0000000000010232E-2</v>
      </c>
      <c r="AO448">
        <f t="shared" si="149"/>
        <v>9.0000000000003411E-2</v>
      </c>
      <c r="AP448">
        <f>65+23</f>
        <v>88</v>
      </c>
      <c r="AQ448">
        <v>1014</v>
      </c>
      <c r="AR448">
        <v>22</v>
      </c>
      <c r="AS448">
        <v>34</v>
      </c>
      <c r="AT448">
        <f t="shared" si="158"/>
        <v>5.3137007027131622</v>
      </c>
      <c r="AU448">
        <f t="shared" si="159"/>
        <v>142.47</v>
      </c>
      <c r="AV448">
        <v>1014</v>
      </c>
      <c r="AW448">
        <f t="shared" si="160"/>
        <v>1640.3213308064855</v>
      </c>
      <c r="AX448">
        <f t="shared" si="161"/>
        <v>2.7053262532458775E-5</v>
      </c>
      <c r="AY448">
        <f t="shared" si="162"/>
        <v>9.9567401019485255E-4</v>
      </c>
      <c r="AZ448">
        <f t="shared" si="163"/>
        <v>22.203530427345211</v>
      </c>
      <c r="BA448">
        <f t="shared" si="164"/>
        <v>0.77963781096370355</v>
      </c>
    </row>
    <row r="449" spans="1:53" x14ac:dyDescent="0.25">
      <c r="A449" t="s">
        <v>12</v>
      </c>
      <c r="B449" t="s">
        <v>19</v>
      </c>
      <c r="C449">
        <v>20</v>
      </c>
      <c r="G449">
        <f t="shared" si="157"/>
        <v>350.5</v>
      </c>
      <c r="H449" s="7">
        <v>45065.5</v>
      </c>
      <c r="AF449">
        <v>109.43</v>
      </c>
      <c r="AG449">
        <v>140.19999999999999</v>
      </c>
      <c r="AL449">
        <v>257.63</v>
      </c>
      <c r="AM449">
        <v>257.63</v>
      </c>
      <c r="AN449">
        <f t="shared" si="148"/>
        <v>0</v>
      </c>
      <c r="AO449">
        <f t="shared" si="149"/>
        <v>0</v>
      </c>
      <c r="AP449">
        <v>0</v>
      </c>
      <c r="AQ449">
        <v>1014</v>
      </c>
      <c r="AR449">
        <v>22</v>
      </c>
      <c r="AS449">
        <v>34</v>
      </c>
      <c r="AT449">
        <f t="shared" si="158"/>
        <v>5.3137007027131622</v>
      </c>
      <c r="AU449">
        <f t="shared" si="159"/>
        <v>140.57</v>
      </c>
      <c r="AV449">
        <v>1014</v>
      </c>
      <c r="AW449">
        <f t="shared" si="160"/>
        <v>1014</v>
      </c>
      <c r="AX449">
        <f t="shared" si="161"/>
        <v>4.4687447130996278E-5</v>
      </c>
      <c r="AY449" t="e">
        <f t="shared" si="162"/>
        <v>#DIV/0!</v>
      </c>
      <c r="AZ449" t="e">
        <f t="shared" si="163"/>
        <v>#DIV/0!</v>
      </c>
      <c r="BA449" t="e">
        <f t="shared" si="164"/>
        <v>#DIV/0!</v>
      </c>
    </row>
    <row r="450" spans="1:53" x14ac:dyDescent="0.25">
      <c r="A450" t="s">
        <v>13</v>
      </c>
      <c r="B450" t="s">
        <v>19</v>
      </c>
      <c r="C450">
        <v>20</v>
      </c>
      <c r="G450">
        <f t="shared" si="157"/>
        <v>350.5</v>
      </c>
      <c r="H450" s="7">
        <v>45065.5</v>
      </c>
      <c r="AF450">
        <v>129.52999999999997</v>
      </c>
      <c r="AG450">
        <v>140.24</v>
      </c>
      <c r="AL450">
        <v>277.74</v>
      </c>
      <c r="AM450">
        <v>277.74</v>
      </c>
      <c r="AN450">
        <f t="shared" si="148"/>
        <v>0</v>
      </c>
      <c r="AO450">
        <f t="shared" si="149"/>
        <v>0</v>
      </c>
      <c r="AP450">
        <v>0</v>
      </c>
      <c r="AQ450">
        <v>1014</v>
      </c>
      <c r="AR450">
        <v>22</v>
      </c>
      <c r="AS450">
        <v>34</v>
      </c>
      <c r="AT450">
        <f t="shared" si="158"/>
        <v>5.3137007027131622</v>
      </c>
      <c r="AU450">
        <f t="shared" si="159"/>
        <v>120.47000000000003</v>
      </c>
      <c r="AV450">
        <v>1014</v>
      </c>
      <c r="AW450">
        <f t="shared" si="160"/>
        <v>1014</v>
      </c>
      <c r="AX450">
        <f t="shared" si="161"/>
        <v>4.4687447130996278E-5</v>
      </c>
      <c r="AY450" t="e">
        <f t="shared" si="162"/>
        <v>#DIV/0!</v>
      </c>
      <c r="AZ450" t="e">
        <f t="shared" si="163"/>
        <v>#DIV/0!</v>
      </c>
      <c r="BA450" t="e">
        <f t="shared" si="164"/>
        <v>#DIV/0!</v>
      </c>
    </row>
    <row r="451" spans="1:53" x14ac:dyDescent="0.25">
      <c r="A451" t="s">
        <v>14</v>
      </c>
      <c r="B451" t="s">
        <v>19</v>
      </c>
      <c r="C451">
        <v>20</v>
      </c>
      <c r="G451">
        <f t="shared" si="157"/>
        <v>350.5</v>
      </c>
      <c r="H451" s="7">
        <v>45065.5</v>
      </c>
      <c r="AF451">
        <v>94.359999999999985</v>
      </c>
      <c r="AG451">
        <v>138.74</v>
      </c>
      <c r="AL451">
        <v>241.18</v>
      </c>
      <c r="AM451">
        <v>241.18</v>
      </c>
      <c r="AN451">
        <f t="shared" si="148"/>
        <v>0</v>
      </c>
      <c r="AO451">
        <f t="shared" si="149"/>
        <v>0</v>
      </c>
      <c r="AP451">
        <v>0</v>
      </c>
      <c r="AQ451">
        <v>1014</v>
      </c>
      <c r="AR451">
        <v>22</v>
      </c>
      <c r="AS451">
        <v>34</v>
      </c>
      <c r="AT451">
        <f t="shared" si="158"/>
        <v>5.3137007027131622</v>
      </c>
      <c r="AU451">
        <f t="shared" si="159"/>
        <v>155.64000000000001</v>
      </c>
      <c r="AV451">
        <v>1014</v>
      </c>
      <c r="AW451">
        <f t="shared" si="160"/>
        <v>1014</v>
      </c>
      <c r="AX451">
        <f t="shared" si="161"/>
        <v>4.4687447130996278E-5</v>
      </c>
      <c r="AY451" t="e">
        <f t="shared" si="162"/>
        <v>#DIV/0!</v>
      </c>
      <c r="AZ451" t="e">
        <f t="shared" si="163"/>
        <v>#DIV/0!</v>
      </c>
      <c r="BA451" t="e">
        <f t="shared" si="164"/>
        <v>#DIV/0!</v>
      </c>
    </row>
    <row r="452" spans="1:53" x14ac:dyDescent="0.25">
      <c r="A452" t="s">
        <v>15</v>
      </c>
      <c r="B452" t="s">
        <v>19</v>
      </c>
      <c r="C452">
        <v>20</v>
      </c>
      <c r="G452">
        <f t="shared" si="157"/>
        <v>350.5</v>
      </c>
      <c r="H452" s="7">
        <v>45065.5</v>
      </c>
      <c r="AF452">
        <v>85.4</v>
      </c>
      <c r="AG452">
        <v>140.1</v>
      </c>
      <c r="AL452">
        <v>233.53</v>
      </c>
      <c r="AM452">
        <v>233.53</v>
      </c>
      <c r="AN452">
        <f t="shared" si="148"/>
        <v>0</v>
      </c>
      <c r="AO452">
        <f t="shared" si="149"/>
        <v>0</v>
      </c>
      <c r="AP452">
        <v>0</v>
      </c>
      <c r="AQ452">
        <v>1014</v>
      </c>
      <c r="AR452">
        <v>22</v>
      </c>
      <c r="AS452">
        <v>34</v>
      </c>
      <c r="AT452">
        <f t="shared" si="158"/>
        <v>5.3137007027131622</v>
      </c>
      <c r="AU452">
        <f t="shared" si="159"/>
        <v>164.6</v>
      </c>
      <c r="AV452">
        <v>1014</v>
      </c>
      <c r="AW452">
        <f t="shared" si="160"/>
        <v>1014</v>
      </c>
      <c r="AX452">
        <f t="shared" si="161"/>
        <v>4.4687447130996278E-5</v>
      </c>
      <c r="AY452" t="e">
        <f t="shared" si="162"/>
        <v>#DIV/0!</v>
      </c>
      <c r="AZ452" t="e">
        <f t="shared" si="163"/>
        <v>#DIV/0!</v>
      </c>
      <c r="BA452" t="e">
        <f t="shared" si="164"/>
        <v>#DIV/0!</v>
      </c>
    </row>
    <row r="453" spans="1:53" x14ac:dyDescent="0.25">
      <c r="A453" t="s">
        <v>0</v>
      </c>
      <c r="B453" t="s">
        <v>18</v>
      </c>
      <c r="C453">
        <v>10</v>
      </c>
      <c r="G453">
        <f t="shared" si="157"/>
        <v>353.625</v>
      </c>
      <c r="H453" s="7">
        <v>45068.625</v>
      </c>
      <c r="AF453">
        <v>172.77</v>
      </c>
      <c r="AG453">
        <v>139.16999999999999</v>
      </c>
      <c r="AL453">
        <v>320.17500000000001</v>
      </c>
      <c r="AM453">
        <v>320.02</v>
      </c>
      <c r="AN453">
        <f t="shared" si="148"/>
        <v>4.9999999999954525E-3</v>
      </c>
      <c r="AO453">
        <f t="shared" si="149"/>
        <v>0.15500000000002956</v>
      </c>
      <c r="AP453">
        <f>57+51.5+41</f>
        <v>149.5</v>
      </c>
      <c r="AQ453">
        <v>1014</v>
      </c>
      <c r="AR453">
        <v>22</v>
      </c>
      <c r="AS453">
        <v>34</v>
      </c>
      <c r="AT453">
        <f t="shared" ref="AT453:AT468" si="165">0.61094*EXP(17.625*AS453/(243.04+AS453))</f>
        <v>5.3137007027131622</v>
      </c>
      <c r="AU453">
        <f t="shared" ref="AU453:AU468" si="166">250-AF453</f>
        <v>77.22999999999999</v>
      </c>
      <c r="AV453">
        <v>1014</v>
      </c>
      <c r="AW453">
        <f t="shared" ref="AW453:AW468" si="167">AP453/AU453*AV453+AV453</f>
        <v>2976.877120290043</v>
      </c>
      <c r="AX453">
        <f t="shared" ref="AX453:AX468" si="168">18.02*(AT453/(AW453/10-AT453)*1/22300)</f>
        <v>1.4686159691083581E-5</v>
      </c>
      <c r="AY453">
        <f t="shared" ref="AY453:AY468" si="169">(AL453-AM453)/AP453-AX453</f>
        <v>1.022103137967977E-3</v>
      </c>
      <c r="AZ453">
        <f t="shared" ref="AZ453:AZ468" si="170">AY453*22300</f>
        <v>22.792899976685888</v>
      </c>
      <c r="BA453">
        <f t="shared" ref="BA453:BA468" si="171">(44.01-AZ453)/(44.01-16.04)</f>
        <v>0.75856632189181661</v>
      </c>
    </row>
    <row r="454" spans="1:53" x14ac:dyDescent="0.25">
      <c r="A454" t="s">
        <v>1</v>
      </c>
      <c r="B454" t="s">
        <v>18</v>
      </c>
      <c r="C454">
        <v>10</v>
      </c>
      <c r="G454">
        <f t="shared" si="157"/>
        <v>353.625</v>
      </c>
      <c r="H454" s="7">
        <v>45068.625</v>
      </c>
      <c r="AF454">
        <v>173.93</v>
      </c>
      <c r="AG454">
        <v>141.25</v>
      </c>
      <c r="AL454">
        <v>323.23</v>
      </c>
      <c r="AM454">
        <v>322.89499999999998</v>
      </c>
      <c r="AN454">
        <f t="shared" ref="AN454:AN500" si="172">AM438-AL454</f>
        <v>0</v>
      </c>
      <c r="AO454">
        <f t="shared" ref="AO454:AO500" si="173">AL454-AM454</f>
        <v>0.33500000000003638</v>
      </c>
      <c r="AP454">
        <f>54+55+55.5+55+53.5+37.5</f>
        <v>310.5</v>
      </c>
      <c r="AQ454">
        <v>1014</v>
      </c>
      <c r="AR454">
        <v>22</v>
      </c>
      <c r="AS454">
        <v>34</v>
      </c>
      <c r="AT454">
        <f t="shared" si="165"/>
        <v>5.3137007027131622</v>
      </c>
      <c r="AU454">
        <f t="shared" si="166"/>
        <v>76.069999999999993</v>
      </c>
      <c r="AV454">
        <v>1014</v>
      </c>
      <c r="AW454">
        <f t="shared" si="167"/>
        <v>5152.911528855002</v>
      </c>
      <c r="AX454">
        <f t="shared" si="168"/>
        <v>8.4196887558110739E-6</v>
      </c>
      <c r="AY454">
        <f t="shared" si="169"/>
        <v>1.0704853031927764E-3</v>
      </c>
      <c r="AZ454">
        <f t="shared" si="170"/>
        <v>23.871822261198911</v>
      </c>
      <c r="BA454">
        <f t="shared" si="171"/>
        <v>0.71999205358602392</v>
      </c>
    </row>
    <row r="455" spans="1:53" x14ac:dyDescent="0.25">
      <c r="A455" t="s">
        <v>2</v>
      </c>
      <c r="B455" t="s">
        <v>18</v>
      </c>
      <c r="C455">
        <v>10</v>
      </c>
      <c r="G455">
        <f t="shared" si="157"/>
        <v>353.625</v>
      </c>
      <c r="H455" s="7">
        <v>45068.625</v>
      </c>
      <c r="AF455">
        <v>162.82000000000002</v>
      </c>
      <c r="AG455">
        <v>140.66</v>
      </c>
      <c r="AL455">
        <v>311.73</v>
      </c>
      <c r="AM455">
        <v>311.49</v>
      </c>
      <c r="AN455">
        <f t="shared" si="172"/>
        <v>0</v>
      </c>
      <c r="AO455">
        <f t="shared" si="173"/>
        <v>0.24000000000000909</v>
      </c>
      <c r="AP455">
        <f>65+55+52.5+54+28.5</f>
        <v>255</v>
      </c>
      <c r="AQ455">
        <v>1014</v>
      </c>
      <c r="AR455">
        <v>22</v>
      </c>
      <c r="AS455">
        <v>34</v>
      </c>
      <c r="AT455">
        <f t="shared" si="165"/>
        <v>5.3137007027131622</v>
      </c>
      <c r="AU455">
        <f t="shared" si="166"/>
        <v>87.179999999999978</v>
      </c>
      <c r="AV455">
        <v>1014</v>
      </c>
      <c r="AW455">
        <f t="shared" si="167"/>
        <v>3979.9325533379224</v>
      </c>
      <c r="AX455">
        <f t="shared" si="168"/>
        <v>1.0934746587187732E-5</v>
      </c>
      <c r="AY455">
        <f t="shared" si="169"/>
        <v>9.3024172400108321E-4</v>
      </c>
      <c r="AZ455">
        <f t="shared" si="170"/>
        <v>20.744390445224155</v>
      </c>
      <c r="BA455">
        <f t="shared" si="171"/>
        <v>0.83180584750718067</v>
      </c>
    </row>
    <row r="456" spans="1:53" x14ac:dyDescent="0.25">
      <c r="A456" t="s">
        <v>3</v>
      </c>
      <c r="B456" t="s">
        <v>18</v>
      </c>
      <c r="C456">
        <v>10</v>
      </c>
      <c r="G456">
        <f t="shared" si="157"/>
        <v>353.625</v>
      </c>
      <c r="H456" s="7">
        <v>45068.625</v>
      </c>
      <c r="AF456">
        <v>187.81</v>
      </c>
      <c r="AG456">
        <v>140</v>
      </c>
      <c r="AL456">
        <v>336.15</v>
      </c>
      <c r="AM456">
        <v>335.99</v>
      </c>
      <c r="AN456">
        <f t="shared" si="172"/>
        <v>2.0000000000038654E-2</v>
      </c>
      <c r="AO456">
        <f t="shared" si="173"/>
        <v>0.15999999999996817</v>
      </c>
      <c r="AP456">
        <f>50+55+47+12</f>
        <v>164</v>
      </c>
      <c r="AQ456">
        <v>1014</v>
      </c>
      <c r="AR456">
        <v>22</v>
      </c>
      <c r="AS456">
        <v>34</v>
      </c>
      <c r="AT456">
        <f t="shared" si="165"/>
        <v>5.3137007027131622</v>
      </c>
      <c r="AU456">
        <f t="shared" si="166"/>
        <v>62.19</v>
      </c>
      <c r="AV456">
        <v>1014</v>
      </c>
      <c r="AW456">
        <f t="shared" si="167"/>
        <v>3687.9990352146651</v>
      </c>
      <c r="AX456">
        <f t="shared" si="168"/>
        <v>1.1812969478793812E-5</v>
      </c>
      <c r="AY456">
        <f t="shared" si="169"/>
        <v>9.6379678661857307E-4</v>
      </c>
      <c r="AZ456">
        <f t="shared" si="170"/>
        <v>21.492668341594179</v>
      </c>
      <c r="BA456">
        <f t="shared" si="171"/>
        <v>0.80505297312855983</v>
      </c>
    </row>
    <row r="457" spans="1:53" x14ac:dyDescent="0.25">
      <c r="A457" t="s">
        <v>4</v>
      </c>
      <c r="B457" t="s">
        <v>18</v>
      </c>
      <c r="C457">
        <v>20</v>
      </c>
      <c r="G457">
        <f t="shared" si="157"/>
        <v>353.625</v>
      </c>
      <c r="H457" s="7">
        <v>45068.625</v>
      </c>
      <c r="AF457">
        <v>181.58</v>
      </c>
      <c r="AG457">
        <v>139.4</v>
      </c>
      <c r="AL457">
        <v>327.76</v>
      </c>
      <c r="AM457">
        <v>327.70499999999998</v>
      </c>
      <c r="AN457">
        <f t="shared" si="172"/>
        <v>-9.9999999999909051E-3</v>
      </c>
      <c r="AO457">
        <f t="shared" si="173"/>
        <v>5.5000000000006821E-2</v>
      </c>
      <c r="AP457">
        <v>40</v>
      </c>
      <c r="AQ457">
        <v>1014</v>
      </c>
      <c r="AR457">
        <v>22</v>
      </c>
      <c r="AS457">
        <v>34</v>
      </c>
      <c r="AT457">
        <f t="shared" si="165"/>
        <v>5.3137007027131622</v>
      </c>
      <c r="AU457">
        <f t="shared" si="166"/>
        <v>68.419999999999987</v>
      </c>
      <c r="AV457">
        <v>1014</v>
      </c>
      <c r="AW457">
        <f t="shared" si="167"/>
        <v>1606.8091201403099</v>
      </c>
      <c r="AX457">
        <f t="shared" si="168"/>
        <v>2.7636792754532776E-5</v>
      </c>
      <c r="AY457">
        <f t="shared" si="169"/>
        <v>1.3473632072456378E-3</v>
      </c>
      <c r="AZ457">
        <f t="shared" si="170"/>
        <v>30.046199521577723</v>
      </c>
      <c r="BA457">
        <f t="shared" si="171"/>
        <v>0.49924206215310246</v>
      </c>
    </row>
    <row r="458" spans="1:53" x14ac:dyDescent="0.25">
      <c r="A458" t="s">
        <v>5</v>
      </c>
      <c r="B458" t="s">
        <v>18</v>
      </c>
      <c r="C458">
        <v>20</v>
      </c>
      <c r="G458">
        <f t="shared" si="157"/>
        <v>353.625</v>
      </c>
      <c r="H458" s="7">
        <v>45068.625</v>
      </c>
      <c r="AF458">
        <v>201.8</v>
      </c>
      <c r="AG458">
        <v>139.81</v>
      </c>
      <c r="AL458">
        <v>348.68</v>
      </c>
      <c r="AM458">
        <v>348.64</v>
      </c>
      <c r="AN458">
        <f t="shared" si="172"/>
        <v>9.9999999999909051E-3</v>
      </c>
      <c r="AO458">
        <f t="shared" si="173"/>
        <v>4.0000000000020464E-2</v>
      </c>
      <c r="AP458">
        <v>38</v>
      </c>
      <c r="AQ458">
        <v>1014</v>
      </c>
      <c r="AR458">
        <v>22</v>
      </c>
      <c r="AS458">
        <v>34</v>
      </c>
      <c r="AT458">
        <f t="shared" si="165"/>
        <v>5.3137007027131622</v>
      </c>
      <c r="AU458">
        <f t="shared" si="166"/>
        <v>48.199999999999989</v>
      </c>
      <c r="AV458">
        <v>1014</v>
      </c>
      <c r="AW458">
        <f t="shared" si="167"/>
        <v>1813.4190871369296</v>
      </c>
      <c r="AX458">
        <f t="shared" si="168"/>
        <v>2.4392973537472822E-5</v>
      </c>
      <c r="AY458">
        <f t="shared" si="169"/>
        <v>1.0282386054104341E-3</v>
      </c>
      <c r="AZ458">
        <f t="shared" si="170"/>
        <v>22.929720900652683</v>
      </c>
      <c r="BA458">
        <f t="shared" si="171"/>
        <v>0.75367461921155943</v>
      </c>
    </row>
    <row r="459" spans="1:53" x14ac:dyDescent="0.25">
      <c r="A459" t="s">
        <v>6</v>
      </c>
      <c r="B459" t="s">
        <v>18</v>
      </c>
      <c r="C459">
        <v>20</v>
      </c>
      <c r="G459">
        <f t="shared" si="157"/>
        <v>353.625</v>
      </c>
      <c r="H459" s="7">
        <v>45068.625</v>
      </c>
      <c r="AF459">
        <v>205.13</v>
      </c>
      <c r="AG459">
        <v>139.01</v>
      </c>
      <c r="AL459">
        <v>351.15499999999997</v>
      </c>
      <c r="AM459">
        <v>351.07499999999999</v>
      </c>
      <c r="AN459">
        <f t="shared" si="172"/>
        <v>-1.4999999999986358E-2</v>
      </c>
      <c r="AO459">
        <f t="shared" si="173"/>
        <v>7.9999999999984084E-2</v>
      </c>
      <c r="AP459">
        <v>50</v>
      </c>
      <c r="AQ459">
        <v>1014</v>
      </c>
      <c r="AR459">
        <v>22</v>
      </c>
      <c r="AS459">
        <v>34</v>
      </c>
      <c r="AT459">
        <f t="shared" si="165"/>
        <v>5.3137007027131622</v>
      </c>
      <c r="AU459">
        <f t="shared" si="166"/>
        <v>44.870000000000005</v>
      </c>
      <c r="AV459">
        <v>1014</v>
      </c>
      <c r="AW459">
        <f t="shared" si="167"/>
        <v>2143.9309115221749</v>
      </c>
      <c r="AX459">
        <f t="shared" si="168"/>
        <v>2.053694250126302E-5</v>
      </c>
      <c r="AY459">
        <f t="shared" si="169"/>
        <v>1.5794630574984187E-3</v>
      </c>
      <c r="AZ459">
        <f t="shared" si="170"/>
        <v>35.222026182214734</v>
      </c>
      <c r="BA459">
        <f t="shared" si="171"/>
        <v>0.31419284296693833</v>
      </c>
    </row>
    <row r="460" spans="1:53" x14ac:dyDescent="0.25">
      <c r="A460" t="s">
        <v>7</v>
      </c>
      <c r="B460" t="s">
        <v>18</v>
      </c>
      <c r="C460">
        <v>20</v>
      </c>
      <c r="G460">
        <f t="shared" si="157"/>
        <v>353.625</v>
      </c>
      <c r="H460" s="7">
        <v>45068.625</v>
      </c>
      <c r="AF460">
        <v>177.85000000000002</v>
      </c>
      <c r="AG460">
        <v>139.94999999999999</v>
      </c>
      <c r="AL460">
        <v>325.43</v>
      </c>
      <c r="AM460">
        <v>325.35000000000002</v>
      </c>
      <c r="AN460">
        <f t="shared" si="172"/>
        <v>-9.9999999999909051E-3</v>
      </c>
      <c r="AO460">
        <f t="shared" si="173"/>
        <v>7.9999999999984084E-2</v>
      </c>
      <c r="AP460">
        <v>40</v>
      </c>
      <c r="AQ460">
        <v>1014</v>
      </c>
      <c r="AR460">
        <v>22</v>
      </c>
      <c r="AS460">
        <v>34</v>
      </c>
      <c r="AT460">
        <f t="shared" si="165"/>
        <v>5.3137007027131622</v>
      </c>
      <c r="AU460">
        <f t="shared" si="166"/>
        <v>72.149999999999977</v>
      </c>
      <c r="AV460">
        <v>1014</v>
      </c>
      <c r="AW460">
        <f t="shared" si="167"/>
        <v>1576.1621621621623</v>
      </c>
      <c r="AX460">
        <f t="shared" si="168"/>
        <v>2.8192912017135397E-5</v>
      </c>
      <c r="AY460">
        <f t="shared" si="169"/>
        <v>1.9718070879824667E-3</v>
      </c>
      <c r="AZ460">
        <f t="shared" si="170"/>
        <v>43.971298062009005</v>
      </c>
      <c r="BA460">
        <f t="shared" si="171"/>
        <v>1.383694601036574E-3</v>
      </c>
    </row>
    <row r="461" spans="1:53" x14ac:dyDescent="0.25">
      <c r="A461" t="s">
        <v>8</v>
      </c>
      <c r="B461" t="s">
        <v>19</v>
      </c>
      <c r="C461">
        <v>10</v>
      </c>
      <c r="G461">
        <f t="shared" si="157"/>
        <v>353.625</v>
      </c>
      <c r="H461" s="7">
        <v>45068.625</v>
      </c>
      <c r="AF461">
        <v>142.11999999999998</v>
      </c>
      <c r="AG461">
        <v>139.71</v>
      </c>
      <c r="AL461">
        <v>288.33499999999998</v>
      </c>
      <c r="AM461">
        <v>288.14999999999998</v>
      </c>
      <c r="AN461">
        <f t="shared" si="172"/>
        <v>1.0000000000047748E-2</v>
      </c>
      <c r="AO461">
        <f t="shared" si="173"/>
        <v>0.18500000000000227</v>
      </c>
      <c r="AP461">
        <f>55+58</f>
        <v>113</v>
      </c>
      <c r="AQ461">
        <v>1014</v>
      </c>
      <c r="AR461">
        <v>22</v>
      </c>
      <c r="AS461">
        <v>34</v>
      </c>
      <c r="AT461">
        <f t="shared" si="165"/>
        <v>5.3137007027131622</v>
      </c>
      <c r="AU461">
        <f t="shared" si="166"/>
        <v>107.88000000000002</v>
      </c>
      <c r="AV461">
        <v>1014</v>
      </c>
      <c r="AW461">
        <f t="shared" si="167"/>
        <v>2076.1245828698552</v>
      </c>
      <c r="AX461">
        <f t="shared" si="168"/>
        <v>2.1225298025233226E-5</v>
      </c>
      <c r="AY461">
        <f t="shared" si="169"/>
        <v>1.6159428435677072E-3</v>
      </c>
      <c r="AZ461">
        <f t="shared" si="170"/>
        <v>36.035525411559874</v>
      </c>
      <c r="BA461">
        <f t="shared" si="171"/>
        <v>0.28510813687665798</v>
      </c>
    </row>
    <row r="462" spans="1:53" x14ac:dyDescent="0.25">
      <c r="A462" t="s">
        <v>9</v>
      </c>
      <c r="B462" t="s">
        <v>19</v>
      </c>
      <c r="C462">
        <v>10</v>
      </c>
      <c r="G462">
        <f t="shared" si="157"/>
        <v>353.625</v>
      </c>
      <c r="H462" s="7">
        <v>45068.625</v>
      </c>
      <c r="AF462">
        <v>136.42000000000002</v>
      </c>
      <c r="AG462">
        <v>139.75</v>
      </c>
      <c r="AL462">
        <v>282.66000000000003</v>
      </c>
      <c r="AM462">
        <v>282.54000000000002</v>
      </c>
      <c r="AN462">
        <f t="shared" si="172"/>
        <v>9.9999999999909051E-3</v>
      </c>
      <c r="AO462">
        <f t="shared" si="173"/>
        <v>0.12000000000000455</v>
      </c>
      <c r="AP462">
        <f>56+16</f>
        <v>72</v>
      </c>
      <c r="AQ462">
        <v>1014</v>
      </c>
      <c r="AR462">
        <v>22</v>
      </c>
      <c r="AS462">
        <v>34</v>
      </c>
      <c r="AT462">
        <f t="shared" si="165"/>
        <v>5.3137007027131622</v>
      </c>
      <c r="AU462">
        <f t="shared" si="166"/>
        <v>113.57999999999998</v>
      </c>
      <c r="AV462">
        <v>1014</v>
      </c>
      <c r="AW462">
        <f t="shared" si="167"/>
        <v>1656.7892234548335</v>
      </c>
      <c r="AX462">
        <f t="shared" si="168"/>
        <v>2.677545278131178E-5</v>
      </c>
      <c r="AY462">
        <f t="shared" si="169"/>
        <v>1.6398912138854181E-3</v>
      </c>
      <c r="AZ462">
        <f t="shared" si="170"/>
        <v>36.569574069644823</v>
      </c>
      <c r="BA462">
        <f t="shared" si="171"/>
        <v>0.26601451306239454</v>
      </c>
    </row>
    <row r="463" spans="1:53" x14ac:dyDescent="0.25">
      <c r="A463" t="s">
        <v>10</v>
      </c>
      <c r="B463" t="s">
        <v>19</v>
      </c>
      <c r="C463">
        <v>10</v>
      </c>
      <c r="G463">
        <f t="shared" si="157"/>
        <v>353.625</v>
      </c>
      <c r="H463" s="7">
        <v>45068.625</v>
      </c>
      <c r="AF463">
        <v>117.85000000000002</v>
      </c>
      <c r="AG463">
        <v>140.44999999999999</v>
      </c>
      <c r="AL463">
        <v>264.86</v>
      </c>
      <c r="AM463">
        <v>264.71499999999997</v>
      </c>
      <c r="AN463">
        <f t="shared" si="172"/>
        <v>9.9999999999909051E-3</v>
      </c>
      <c r="AO463">
        <f t="shared" si="173"/>
        <v>0.14500000000003865</v>
      </c>
      <c r="AP463">
        <f>53+15</f>
        <v>68</v>
      </c>
      <c r="AQ463">
        <v>1014</v>
      </c>
      <c r="AR463">
        <v>22</v>
      </c>
      <c r="AS463">
        <v>34</v>
      </c>
      <c r="AT463">
        <f t="shared" si="165"/>
        <v>5.3137007027131622</v>
      </c>
      <c r="AU463">
        <f t="shared" si="166"/>
        <v>132.14999999999998</v>
      </c>
      <c r="AV463">
        <v>1014</v>
      </c>
      <c r="AW463">
        <f t="shared" si="167"/>
        <v>1535.7707150964814</v>
      </c>
      <c r="AX463">
        <f t="shared" si="168"/>
        <v>2.8960972602275055E-5</v>
      </c>
      <c r="AY463">
        <f t="shared" si="169"/>
        <v>2.1033919685747643E-3</v>
      </c>
      <c r="AZ463">
        <f t="shared" si="170"/>
        <v>46.905640899217246</v>
      </c>
      <c r="BA463">
        <f t="shared" si="171"/>
        <v>-0.10352666783043435</v>
      </c>
    </row>
    <row r="464" spans="1:53" x14ac:dyDescent="0.25">
      <c r="A464" t="s">
        <v>11</v>
      </c>
      <c r="B464" t="s">
        <v>19</v>
      </c>
      <c r="C464">
        <v>10</v>
      </c>
      <c r="G464">
        <f t="shared" si="157"/>
        <v>353.625</v>
      </c>
      <c r="H464" s="7">
        <v>45068.625</v>
      </c>
      <c r="AF464">
        <v>107.53</v>
      </c>
      <c r="AG464">
        <v>140</v>
      </c>
      <c r="AL464">
        <v>254.95</v>
      </c>
      <c r="AM464">
        <v>254.87</v>
      </c>
      <c r="AN464">
        <f t="shared" si="172"/>
        <v>-9.9999999999909051E-3</v>
      </c>
      <c r="AO464">
        <f t="shared" si="173"/>
        <v>7.9999999999984084E-2</v>
      </c>
      <c r="AP464">
        <f>61.5+28</f>
        <v>89.5</v>
      </c>
      <c r="AQ464">
        <v>1014</v>
      </c>
      <c r="AR464">
        <v>22</v>
      </c>
      <c r="AS464">
        <v>34</v>
      </c>
      <c r="AT464">
        <f t="shared" si="165"/>
        <v>5.3137007027131622</v>
      </c>
      <c r="AU464">
        <f t="shared" si="166"/>
        <v>142.47</v>
      </c>
      <c r="AV464">
        <v>1014</v>
      </c>
      <c r="AW464">
        <f t="shared" si="167"/>
        <v>1650.997262581596</v>
      </c>
      <c r="AX464">
        <f t="shared" si="168"/>
        <v>2.6872509062881759E-5</v>
      </c>
      <c r="AY464">
        <f t="shared" si="169"/>
        <v>8.6698223954029241E-4</v>
      </c>
      <c r="AZ464">
        <f t="shared" si="170"/>
        <v>19.333703941748521</v>
      </c>
      <c r="BA464">
        <f t="shared" si="171"/>
        <v>0.88224154659461851</v>
      </c>
    </row>
    <row r="465" spans="1:53" x14ac:dyDescent="0.25">
      <c r="A465" t="s">
        <v>12</v>
      </c>
      <c r="B465" t="s">
        <v>19</v>
      </c>
      <c r="C465">
        <v>20</v>
      </c>
      <c r="G465">
        <f t="shared" si="157"/>
        <v>353.625</v>
      </c>
      <c r="H465" s="7">
        <v>45068.625</v>
      </c>
      <c r="AF465">
        <v>109.43</v>
      </c>
      <c r="AG465">
        <v>140.19999999999999</v>
      </c>
      <c r="AL465">
        <v>257.62</v>
      </c>
      <c r="AM465">
        <v>257.52</v>
      </c>
      <c r="AN465">
        <f t="shared" si="172"/>
        <v>9.9999999999909051E-3</v>
      </c>
      <c r="AO465">
        <f t="shared" si="173"/>
        <v>0.10000000000002274</v>
      </c>
      <c r="AP465">
        <v>45.5</v>
      </c>
      <c r="AQ465">
        <v>1014</v>
      </c>
      <c r="AR465">
        <v>22</v>
      </c>
      <c r="AS465">
        <v>34</v>
      </c>
      <c r="AT465">
        <f t="shared" si="165"/>
        <v>5.3137007027131622</v>
      </c>
      <c r="AU465">
        <f t="shared" si="166"/>
        <v>140.57</v>
      </c>
      <c r="AV465">
        <v>1014</v>
      </c>
      <c r="AW465">
        <f t="shared" si="167"/>
        <v>1342.2137013587535</v>
      </c>
      <c r="AX465">
        <f t="shared" si="168"/>
        <v>3.3309510898317232E-5</v>
      </c>
      <c r="AY465">
        <f t="shared" si="169"/>
        <v>2.1644926869043802E-3</v>
      </c>
      <c r="AZ465">
        <f t="shared" si="170"/>
        <v>48.268186917967682</v>
      </c>
      <c r="BA465">
        <f t="shared" si="171"/>
        <v>-0.15224121980578065</v>
      </c>
    </row>
    <row r="466" spans="1:53" x14ac:dyDescent="0.25">
      <c r="A466" t="s">
        <v>13</v>
      </c>
      <c r="B466" t="s">
        <v>19</v>
      </c>
      <c r="C466">
        <v>20</v>
      </c>
      <c r="G466">
        <f t="shared" si="157"/>
        <v>353.625</v>
      </c>
      <c r="H466" s="7">
        <v>45068.625</v>
      </c>
      <c r="AF466">
        <v>129.52999999999997</v>
      </c>
      <c r="AG466">
        <v>140.24</v>
      </c>
      <c r="AL466">
        <v>277.73</v>
      </c>
      <c r="AM466">
        <v>277.685</v>
      </c>
      <c r="AN466">
        <f t="shared" si="172"/>
        <v>9.9999999999909051E-3</v>
      </c>
      <c r="AO466">
        <f t="shared" si="173"/>
        <v>4.5000000000015916E-2</v>
      </c>
      <c r="AP466">
        <v>48</v>
      </c>
      <c r="AQ466">
        <v>1014</v>
      </c>
      <c r="AR466">
        <v>22</v>
      </c>
      <c r="AS466">
        <v>34</v>
      </c>
      <c r="AT466">
        <f t="shared" si="165"/>
        <v>5.3137007027131622</v>
      </c>
      <c r="AU466">
        <f t="shared" si="166"/>
        <v>120.47000000000003</v>
      </c>
      <c r="AV466">
        <v>1014</v>
      </c>
      <c r="AW466">
        <f t="shared" si="167"/>
        <v>1418.0175977421763</v>
      </c>
      <c r="AX466">
        <f t="shared" si="168"/>
        <v>3.1459539018069658E-5</v>
      </c>
      <c r="AY466">
        <f t="shared" si="169"/>
        <v>9.0604046098226201E-4</v>
      </c>
      <c r="AZ466">
        <f t="shared" si="170"/>
        <v>20.204702279904442</v>
      </c>
      <c r="BA466">
        <f t="shared" si="171"/>
        <v>0.85110109832304459</v>
      </c>
    </row>
    <row r="467" spans="1:53" x14ac:dyDescent="0.25">
      <c r="A467" t="s">
        <v>14</v>
      </c>
      <c r="B467" t="s">
        <v>19</v>
      </c>
      <c r="C467">
        <v>20</v>
      </c>
      <c r="G467">
        <f t="shared" si="157"/>
        <v>353.625</v>
      </c>
      <c r="H467" s="7">
        <v>45068.625</v>
      </c>
      <c r="AF467">
        <v>94.359999999999985</v>
      </c>
      <c r="AG467">
        <v>138.74</v>
      </c>
      <c r="AL467">
        <v>241.155</v>
      </c>
      <c r="AM467">
        <v>241.1</v>
      </c>
      <c r="AN467">
        <f t="shared" si="172"/>
        <v>2.5000000000005684E-2</v>
      </c>
      <c r="AO467">
        <f t="shared" si="173"/>
        <v>5.5000000000006821E-2</v>
      </c>
      <c r="AP467">
        <v>27.5</v>
      </c>
      <c r="AQ467">
        <v>1014</v>
      </c>
      <c r="AR467">
        <v>22</v>
      </c>
      <c r="AS467">
        <v>34</v>
      </c>
      <c r="AT467">
        <f t="shared" si="165"/>
        <v>5.3137007027131622</v>
      </c>
      <c r="AU467">
        <f t="shared" si="166"/>
        <v>155.64000000000001</v>
      </c>
      <c r="AV467">
        <v>1014</v>
      </c>
      <c r="AW467">
        <f t="shared" si="167"/>
        <v>1193.1634541249036</v>
      </c>
      <c r="AX467">
        <f t="shared" si="168"/>
        <v>3.766448954576172E-5</v>
      </c>
      <c r="AY467">
        <f t="shared" si="169"/>
        <v>1.9623355104544864E-3</v>
      </c>
      <c r="AZ467">
        <f t="shared" si="170"/>
        <v>43.760081883135044</v>
      </c>
      <c r="BA467">
        <f t="shared" si="171"/>
        <v>8.9352204814070173E-3</v>
      </c>
    </row>
    <row r="468" spans="1:53" x14ac:dyDescent="0.25">
      <c r="A468" t="s">
        <v>15</v>
      </c>
      <c r="B468" t="s">
        <v>19</v>
      </c>
      <c r="C468">
        <v>20</v>
      </c>
      <c r="G468">
        <f t="shared" si="157"/>
        <v>353.625</v>
      </c>
      <c r="H468" s="7">
        <v>45068.625</v>
      </c>
      <c r="AF468">
        <v>85.4</v>
      </c>
      <c r="AG468">
        <v>140.1</v>
      </c>
      <c r="AL468">
        <v>233.52500000000001</v>
      </c>
      <c r="AM468">
        <v>233.43</v>
      </c>
      <c r="AN468">
        <f t="shared" si="172"/>
        <v>4.9999999999954525E-3</v>
      </c>
      <c r="AO468">
        <f t="shared" si="173"/>
        <v>9.4999999999998863E-2</v>
      </c>
      <c r="AP468">
        <v>40</v>
      </c>
      <c r="AQ468">
        <v>1014</v>
      </c>
      <c r="AR468">
        <v>22</v>
      </c>
      <c r="AS468">
        <v>34</v>
      </c>
      <c r="AT468">
        <f t="shared" si="165"/>
        <v>5.3137007027131622</v>
      </c>
      <c r="AU468">
        <f t="shared" si="166"/>
        <v>164.6</v>
      </c>
      <c r="AV468">
        <v>1014</v>
      </c>
      <c r="AW468">
        <f t="shared" si="167"/>
        <v>1260.415552855407</v>
      </c>
      <c r="AX468">
        <f t="shared" si="168"/>
        <v>3.5566368960153402E-5</v>
      </c>
      <c r="AY468">
        <f t="shared" si="169"/>
        <v>2.3394336310398182E-3</v>
      </c>
      <c r="AZ468">
        <f t="shared" si="170"/>
        <v>52.169369972187944</v>
      </c>
      <c r="BA468">
        <f t="shared" si="171"/>
        <v>-0.29171862610611177</v>
      </c>
    </row>
    <row r="469" spans="1:53" x14ac:dyDescent="0.25">
      <c r="A469" t="s">
        <v>0</v>
      </c>
      <c r="B469" t="s">
        <v>18</v>
      </c>
      <c r="C469">
        <v>10</v>
      </c>
      <c r="G469">
        <f t="shared" si="157"/>
        <v>356.625</v>
      </c>
      <c r="H469" s="7">
        <v>45071.625</v>
      </c>
      <c r="AF469">
        <v>172.77</v>
      </c>
      <c r="AG469">
        <v>139.16999999999999</v>
      </c>
      <c r="AL469">
        <v>319.98</v>
      </c>
      <c r="AM469">
        <v>319.82</v>
      </c>
      <c r="AN469">
        <f t="shared" si="172"/>
        <v>3.999999999996362E-2</v>
      </c>
      <c r="AO469">
        <f t="shared" si="173"/>
        <v>0.16000000000002501</v>
      </c>
      <c r="AP469">
        <f>60+62+42+10</f>
        <v>174</v>
      </c>
      <c r="AQ469">
        <v>1009</v>
      </c>
      <c r="AR469">
        <v>22</v>
      </c>
      <c r="AS469">
        <v>34</v>
      </c>
      <c r="AT469">
        <f t="shared" ref="AT469:AT516" si="174">0.61094*EXP(17.625*AS469/(243.04+AS469))</f>
        <v>5.3137007027131622</v>
      </c>
      <c r="AU469">
        <f t="shared" ref="AU469:AU516" si="175">250-AF469</f>
        <v>77.22999999999999</v>
      </c>
      <c r="AV469">
        <v>1009</v>
      </c>
      <c r="AW469">
        <f t="shared" ref="AW469:AW516" si="176">AP469/AU469*AV469+AV469</f>
        <v>3282.2875825456431</v>
      </c>
      <c r="AX469">
        <f t="shared" ref="AX469:AX516" si="177">18.02*(AT469/(AW469/10-AT469)*1/22300)</f>
        <v>1.3297154528543836E-5</v>
      </c>
      <c r="AY469">
        <f t="shared" ref="AY469:AY516" si="178">(AL469-AM469)/AP469-AX469</f>
        <v>9.0624307535665737E-4</v>
      </c>
      <c r="AZ469">
        <f t="shared" ref="AZ469:AZ516" si="179">AY469*22300</f>
        <v>20.209220580453458</v>
      </c>
      <c r="BA469">
        <f t="shared" ref="BA469:BA516" si="180">(44.01-AZ469)/(44.01-16.04)</f>
        <v>0.85093955736669791</v>
      </c>
    </row>
    <row r="470" spans="1:53" x14ac:dyDescent="0.25">
      <c r="A470" t="s">
        <v>1</v>
      </c>
      <c r="B470" t="s">
        <v>18</v>
      </c>
      <c r="C470">
        <v>10</v>
      </c>
      <c r="G470">
        <f t="shared" si="157"/>
        <v>356.625</v>
      </c>
      <c r="H470" s="7">
        <v>45071.625</v>
      </c>
      <c r="AF470">
        <v>173.93</v>
      </c>
      <c r="AG470">
        <v>141.25</v>
      </c>
      <c r="AL470">
        <v>322.87</v>
      </c>
      <c r="AM470">
        <v>322.56</v>
      </c>
      <c r="AN470">
        <f t="shared" si="172"/>
        <v>2.4999999999977263E-2</v>
      </c>
      <c r="AO470">
        <f t="shared" si="173"/>
        <v>0.31000000000000227</v>
      </c>
      <c r="AP470">
        <f>65+60+65+64+60</f>
        <v>314</v>
      </c>
      <c r="AQ470">
        <v>1009</v>
      </c>
      <c r="AR470">
        <v>22</v>
      </c>
      <c r="AS470">
        <v>34</v>
      </c>
      <c r="AT470">
        <f t="shared" si="174"/>
        <v>5.3137007027131622</v>
      </c>
      <c r="AU470">
        <f t="shared" si="175"/>
        <v>76.069999999999993</v>
      </c>
      <c r="AV470">
        <v>1009</v>
      </c>
      <c r="AW470">
        <f t="shared" si="176"/>
        <v>5173.9270408833972</v>
      </c>
      <c r="AX470">
        <f t="shared" si="177"/>
        <v>8.3851346988875862E-6</v>
      </c>
      <c r="AY470">
        <f t="shared" si="178"/>
        <v>9.7887601179793508E-4</v>
      </c>
      <c r="AZ470">
        <f t="shared" si="179"/>
        <v>21.828935063093951</v>
      </c>
      <c r="BA470">
        <f t="shared" si="180"/>
        <v>0.79303056621044143</v>
      </c>
    </row>
    <row r="471" spans="1:53" x14ac:dyDescent="0.25">
      <c r="A471" t="s">
        <v>2</v>
      </c>
      <c r="B471" t="s">
        <v>18</v>
      </c>
      <c r="C471">
        <v>10</v>
      </c>
      <c r="G471">
        <f t="shared" si="157"/>
        <v>356.625</v>
      </c>
      <c r="H471" s="7">
        <v>45071.625</v>
      </c>
      <c r="AF471">
        <v>162.82000000000002</v>
      </c>
      <c r="AG471">
        <v>140.66</v>
      </c>
      <c r="AL471">
        <v>311.45</v>
      </c>
      <c r="AM471">
        <v>311.18</v>
      </c>
      <c r="AN471">
        <f t="shared" si="172"/>
        <v>4.0000000000020464E-2</v>
      </c>
      <c r="AO471">
        <f t="shared" si="173"/>
        <v>0.26999999999998181</v>
      </c>
      <c r="AP471">
        <f>62+62.5+65+61.5+60+12</f>
        <v>323</v>
      </c>
      <c r="AQ471">
        <v>1009</v>
      </c>
      <c r="AR471">
        <v>22</v>
      </c>
      <c r="AS471">
        <v>34</v>
      </c>
      <c r="AT471">
        <f t="shared" si="174"/>
        <v>5.3137007027131622</v>
      </c>
      <c r="AU471">
        <f t="shared" si="175"/>
        <v>87.179999999999978</v>
      </c>
      <c r="AV471">
        <v>1009</v>
      </c>
      <c r="AW471">
        <f t="shared" si="176"/>
        <v>4747.3230098646491</v>
      </c>
      <c r="AX471">
        <f t="shared" si="177"/>
        <v>9.1471693223597584E-6</v>
      </c>
      <c r="AY471">
        <f t="shared" si="178"/>
        <v>8.2676614337108241E-4</v>
      </c>
      <c r="AZ471">
        <f t="shared" si="179"/>
        <v>18.436884997175138</v>
      </c>
      <c r="BA471">
        <f t="shared" si="180"/>
        <v>0.91430514847425315</v>
      </c>
    </row>
    <row r="472" spans="1:53" x14ac:dyDescent="0.25">
      <c r="A472" t="s">
        <v>3</v>
      </c>
      <c r="B472" t="s">
        <v>18</v>
      </c>
      <c r="C472">
        <v>10</v>
      </c>
      <c r="G472">
        <f t="shared" si="157"/>
        <v>356.625</v>
      </c>
      <c r="H472" s="7">
        <v>45071.625</v>
      </c>
      <c r="AF472">
        <v>187.81</v>
      </c>
      <c r="AG472">
        <v>140</v>
      </c>
      <c r="AL472">
        <v>335.95</v>
      </c>
      <c r="AM472">
        <v>335.76</v>
      </c>
      <c r="AN472">
        <f t="shared" si="172"/>
        <v>4.0000000000020464E-2</v>
      </c>
      <c r="AO472">
        <f t="shared" si="173"/>
        <v>0.18999999999999773</v>
      </c>
      <c r="AP472">
        <f>63+61.5+51+27</f>
        <v>202.5</v>
      </c>
      <c r="AQ472">
        <v>1009</v>
      </c>
      <c r="AR472">
        <v>22</v>
      </c>
      <c r="AS472">
        <v>34</v>
      </c>
      <c r="AT472">
        <f t="shared" si="174"/>
        <v>5.3137007027131622</v>
      </c>
      <c r="AU472">
        <f t="shared" si="175"/>
        <v>62.19</v>
      </c>
      <c r="AV472">
        <v>1009</v>
      </c>
      <c r="AW472">
        <f t="shared" si="176"/>
        <v>4294.4558610709119</v>
      </c>
      <c r="AX472">
        <f t="shared" si="177"/>
        <v>1.0123859034476327E-5</v>
      </c>
      <c r="AY472">
        <f t="shared" si="178"/>
        <v>9.2814774590378399E-4</v>
      </c>
      <c r="AZ472">
        <f t="shared" si="179"/>
        <v>20.697694733654384</v>
      </c>
      <c r="BA472">
        <f t="shared" si="180"/>
        <v>0.8334753402340227</v>
      </c>
    </row>
    <row r="473" spans="1:53" x14ac:dyDescent="0.25">
      <c r="A473" t="s">
        <v>4</v>
      </c>
      <c r="B473" t="s">
        <v>18</v>
      </c>
      <c r="C473">
        <v>20</v>
      </c>
      <c r="G473">
        <f t="shared" si="157"/>
        <v>356.625</v>
      </c>
      <c r="H473" s="7">
        <v>45071.625</v>
      </c>
      <c r="AF473">
        <v>181.58</v>
      </c>
      <c r="AG473">
        <v>139.4</v>
      </c>
      <c r="AL473">
        <v>327.68</v>
      </c>
      <c r="AM473">
        <v>327.63</v>
      </c>
      <c r="AN473">
        <f t="shared" si="172"/>
        <v>2.4999999999977263E-2</v>
      </c>
      <c r="AO473">
        <f t="shared" si="173"/>
        <v>5.0000000000011369E-2</v>
      </c>
      <c r="AP473">
        <v>33.5</v>
      </c>
      <c r="AQ473">
        <v>1009</v>
      </c>
      <c r="AR473">
        <v>22</v>
      </c>
      <c r="AS473">
        <v>34</v>
      </c>
      <c r="AT473">
        <f t="shared" si="174"/>
        <v>5.3137007027131622</v>
      </c>
      <c r="AU473">
        <f t="shared" si="175"/>
        <v>68.419999999999987</v>
      </c>
      <c r="AV473">
        <v>1009</v>
      </c>
      <c r="AW473">
        <f t="shared" si="176"/>
        <v>1503.0295235311314</v>
      </c>
      <c r="AX473">
        <f t="shared" si="177"/>
        <v>2.9614963667886108E-5</v>
      </c>
      <c r="AY473">
        <f t="shared" si="178"/>
        <v>1.4629223497652892E-3</v>
      </c>
      <c r="AZ473">
        <f t="shared" si="179"/>
        <v>32.623168399765952</v>
      </c>
      <c r="BA473">
        <f t="shared" si="180"/>
        <v>0.40710874509238637</v>
      </c>
    </row>
    <row r="474" spans="1:53" x14ac:dyDescent="0.25">
      <c r="A474" t="s">
        <v>5</v>
      </c>
      <c r="B474" t="s">
        <v>18</v>
      </c>
      <c r="C474">
        <v>20</v>
      </c>
      <c r="G474">
        <f t="shared" si="157"/>
        <v>356.625</v>
      </c>
      <c r="H474" s="7">
        <v>45071.625</v>
      </c>
      <c r="AF474">
        <v>201.8</v>
      </c>
      <c r="AG474">
        <v>139.81</v>
      </c>
      <c r="AL474">
        <v>348.58499999999998</v>
      </c>
      <c r="AM474">
        <v>348.55</v>
      </c>
      <c r="AN474">
        <f t="shared" si="172"/>
        <v>5.5000000000006821E-2</v>
      </c>
      <c r="AO474">
        <f t="shared" si="173"/>
        <v>3.4999999999968168E-2</v>
      </c>
      <c r="AP474">
        <v>36.5</v>
      </c>
      <c r="AQ474">
        <v>1009</v>
      </c>
      <c r="AR474">
        <v>22</v>
      </c>
      <c r="AS474">
        <v>34</v>
      </c>
      <c r="AT474">
        <f t="shared" si="174"/>
        <v>5.3137007027131622</v>
      </c>
      <c r="AU474">
        <f t="shared" si="175"/>
        <v>48.199999999999989</v>
      </c>
      <c r="AV474">
        <v>1009</v>
      </c>
      <c r="AW474">
        <f t="shared" si="176"/>
        <v>1773.0767634854774</v>
      </c>
      <c r="AX474">
        <f t="shared" si="177"/>
        <v>2.4965126852479854E-5</v>
      </c>
      <c r="AY474">
        <f t="shared" si="178"/>
        <v>9.3393898273568909E-4</v>
      </c>
      <c r="AZ474">
        <f t="shared" si="179"/>
        <v>20.826839315005866</v>
      </c>
      <c r="BA474">
        <f t="shared" si="180"/>
        <v>0.82885808669982597</v>
      </c>
    </row>
    <row r="475" spans="1:53" x14ac:dyDescent="0.25">
      <c r="A475" t="s">
        <v>6</v>
      </c>
      <c r="B475" t="s">
        <v>18</v>
      </c>
      <c r="C475">
        <v>20</v>
      </c>
      <c r="G475">
        <f t="shared" si="157"/>
        <v>356.625</v>
      </c>
      <c r="H475" s="7">
        <v>45071.625</v>
      </c>
      <c r="AF475">
        <v>205.13</v>
      </c>
      <c r="AG475">
        <v>139.01</v>
      </c>
      <c r="AL475">
        <v>351.04</v>
      </c>
      <c r="AM475">
        <v>350.99</v>
      </c>
      <c r="AN475">
        <f t="shared" si="172"/>
        <v>3.4999999999968168E-2</v>
      </c>
      <c r="AO475">
        <f t="shared" si="173"/>
        <v>5.0000000000011369E-2</v>
      </c>
      <c r="AP475">
        <v>45.5</v>
      </c>
      <c r="AQ475">
        <v>1009</v>
      </c>
      <c r="AR475">
        <v>22</v>
      </c>
      <c r="AS475">
        <v>34</v>
      </c>
      <c r="AT475">
        <f t="shared" si="174"/>
        <v>5.3137007027131622</v>
      </c>
      <c r="AU475">
        <f t="shared" si="175"/>
        <v>44.870000000000005</v>
      </c>
      <c r="AV475">
        <v>1009</v>
      </c>
      <c r="AW475">
        <f t="shared" si="176"/>
        <v>2032.1669266770668</v>
      </c>
      <c r="AX475">
        <f t="shared" si="177"/>
        <v>2.1696748377710819E-5</v>
      </c>
      <c r="AY475">
        <f t="shared" si="178"/>
        <v>1.0772043505236379E-3</v>
      </c>
      <c r="AZ475">
        <f t="shared" si="179"/>
        <v>24.021657016677125</v>
      </c>
      <c r="BA475">
        <f t="shared" si="180"/>
        <v>0.71463507269656323</v>
      </c>
    </row>
    <row r="476" spans="1:53" x14ac:dyDescent="0.25">
      <c r="A476" t="s">
        <v>7</v>
      </c>
      <c r="B476" t="s">
        <v>18</v>
      </c>
      <c r="C476">
        <v>20</v>
      </c>
      <c r="G476">
        <f t="shared" si="157"/>
        <v>356.625</v>
      </c>
      <c r="H476" s="7">
        <v>45071.625</v>
      </c>
      <c r="AF476">
        <v>177.85000000000002</v>
      </c>
      <c r="AG476">
        <v>139.94999999999999</v>
      </c>
      <c r="AL476">
        <v>325.33</v>
      </c>
      <c r="AM476">
        <v>325.26499999999999</v>
      </c>
      <c r="AN476">
        <f t="shared" si="172"/>
        <v>2.0000000000038654E-2</v>
      </c>
      <c r="AO476">
        <f t="shared" si="173"/>
        <v>6.4999999999997726E-2</v>
      </c>
      <c r="AP476">
        <v>40</v>
      </c>
      <c r="AQ476">
        <v>1009</v>
      </c>
      <c r="AR476">
        <v>22</v>
      </c>
      <c r="AS476">
        <v>34</v>
      </c>
      <c r="AT476">
        <f t="shared" si="174"/>
        <v>5.3137007027131622</v>
      </c>
      <c r="AU476">
        <f t="shared" si="175"/>
        <v>72.149999999999977</v>
      </c>
      <c r="AV476">
        <v>1009</v>
      </c>
      <c r="AW476">
        <f t="shared" si="176"/>
        <v>1568.3901593901596</v>
      </c>
      <c r="AX476">
        <f t="shared" si="177"/>
        <v>2.8337518474483005E-5</v>
      </c>
      <c r="AY476">
        <f t="shared" si="178"/>
        <v>1.5966624815254601E-3</v>
      </c>
      <c r="AZ476">
        <f t="shared" si="179"/>
        <v>35.605573338017763</v>
      </c>
      <c r="BA476">
        <f t="shared" si="180"/>
        <v>0.30048003796861766</v>
      </c>
    </row>
    <row r="477" spans="1:53" x14ac:dyDescent="0.25">
      <c r="A477" t="s">
        <v>8</v>
      </c>
      <c r="B477" t="s">
        <v>19</v>
      </c>
      <c r="C477">
        <v>10</v>
      </c>
      <c r="G477">
        <f t="shared" si="157"/>
        <v>356.625</v>
      </c>
      <c r="H477" s="7">
        <v>45071.625</v>
      </c>
      <c r="AF477">
        <v>142.11999999999998</v>
      </c>
      <c r="AG477">
        <v>139.71</v>
      </c>
      <c r="AL477">
        <v>288.13</v>
      </c>
      <c r="AM477">
        <v>287.98</v>
      </c>
      <c r="AN477">
        <f t="shared" si="172"/>
        <v>1.999999999998181E-2</v>
      </c>
      <c r="AO477">
        <f t="shared" si="173"/>
        <v>0.14999999999997726</v>
      </c>
      <c r="AP477">
        <f>61+47.5</f>
        <v>108.5</v>
      </c>
      <c r="AQ477">
        <v>1009</v>
      </c>
      <c r="AR477">
        <v>22</v>
      </c>
      <c r="AS477">
        <v>34</v>
      </c>
      <c r="AT477">
        <f t="shared" si="174"/>
        <v>5.3137007027131622</v>
      </c>
      <c r="AU477">
        <f t="shared" si="175"/>
        <v>107.88000000000002</v>
      </c>
      <c r="AV477">
        <v>1009</v>
      </c>
      <c r="AW477">
        <f t="shared" si="176"/>
        <v>2023.7988505747126</v>
      </c>
      <c r="AX477">
        <f t="shared" si="177"/>
        <v>2.1788879882764714E-5</v>
      </c>
      <c r="AY477">
        <f t="shared" si="178"/>
        <v>1.3606995993796986E-3</v>
      </c>
      <c r="AZ477">
        <f t="shared" si="179"/>
        <v>30.343601066167277</v>
      </c>
      <c r="BA477">
        <f t="shared" si="180"/>
        <v>0.48860918605050846</v>
      </c>
    </row>
    <row r="478" spans="1:53" x14ac:dyDescent="0.25">
      <c r="A478" t="s">
        <v>9</v>
      </c>
      <c r="B478" t="s">
        <v>19</v>
      </c>
      <c r="C478">
        <v>10</v>
      </c>
      <c r="G478">
        <f t="shared" si="157"/>
        <v>356.625</v>
      </c>
      <c r="H478" s="7">
        <v>45071.625</v>
      </c>
      <c r="AF478">
        <v>136.42000000000002</v>
      </c>
      <c r="AG478">
        <v>139.75</v>
      </c>
      <c r="AL478">
        <v>282.51</v>
      </c>
      <c r="AM478">
        <v>282.45</v>
      </c>
      <c r="AN478">
        <f t="shared" si="172"/>
        <v>3.0000000000029559E-2</v>
      </c>
      <c r="AO478">
        <f t="shared" si="173"/>
        <v>6.0000000000002274E-2</v>
      </c>
      <c r="AP478">
        <v>62</v>
      </c>
      <c r="AQ478">
        <v>1009</v>
      </c>
      <c r="AR478">
        <v>22</v>
      </c>
      <c r="AS478">
        <v>34</v>
      </c>
      <c r="AT478">
        <f t="shared" si="174"/>
        <v>5.3137007027131622</v>
      </c>
      <c r="AU478">
        <f t="shared" si="175"/>
        <v>113.57999999999998</v>
      </c>
      <c r="AV478">
        <v>1009</v>
      </c>
      <c r="AW478">
        <f t="shared" si="176"/>
        <v>1559.7835886599755</v>
      </c>
      <c r="AX478">
        <f t="shared" si="177"/>
        <v>2.8499393767628533E-5</v>
      </c>
      <c r="AY478">
        <f t="shared" si="178"/>
        <v>9.3924254171627911E-4</v>
      </c>
      <c r="AZ478">
        <f t="shared" si="179"/>
        <v>20.945108680273023</v>
      </c>
      <c r="BA478">
        <f t="shared" si="180"/>
        <v>0.82462965032988833</v>
      </c>
    </row>
    <row r="479" spans="1:53" x14ac:dyDescent="0.25">
      <c r="A479" t="s">
        <v>10</v>
      </c>
      <c r="B479" t="s">
        <v>19</v>
      </c>
      <c r="C479">
        <v>10</v>
      </c>
      <c r="G479">
        <f t="shared" si="157"/>
        <v>356.625</v>
      </c>
      <c r="H479" s="7">
        <v>45071.625</v>
      </c>
      <c r="AF479">
        <v>117.85000000000002</v>
      </c>
      <c r="AG479">
        <v>140.44999999999999</v>
      </c>
      <c r="AL479">
        <v>264.7</v>
      </c>
      <c r="AM479">
        <v>264.60000000000002</v>
      </c>
      <c r="AN479">
        <f t="shared" si="172"/>
        <v>1.4999999999986358E-2</v>
      </c>
      <c r="AO479">
        <f t="shared" si="173"/>
        <v>9.9999999999965894E-2</v>
      </c>
      <c r="AP479">
        <f>65+26.5</f>
        <v>91.5</v>
      </c>
      <c r="AQ479">
        <v>1009</v>
      </c>
      <c r="AR479">
        <v>22</v>
      </c>
      <c r="AS479">
        <v>34</v>
      </c>
      <c r="AT479">
        <f t="shared" si="174"/>
        <v>5.3137007027131622</v>
      </c>
      <c r="AU479">
        <f t="shared" si="175"/>
        <v>132.14999999999998</v>
      </c>
      <c r="AV479">
        <v>1009</v>
      </c>
      <c r="AW479">
        <f t="shared" si="176"/>
        <v>1707.6265607264472</v>
      </c>
      <c r="AX479">
        <f t="shared" si="177"/>
        <v>2.5952726085576421E-5</v>
      </c>
      <c r="AY479">
        <f t="shared" si="178"/>
        <v>1.0669434487774387E-3</v>
      </c>
      <c r="AZ479">
        <f t="shared" si="179"/>
        <v>23.792838907736883</v>
      </c>
      <c r="BA479">
        <f t="shared" si="180"/>
        <v>0.72281591320211358</v>
      </c>
    </row>
    <row r="480" spans="1:53" x14ac:dyDescent="0.25">
      <c r="A480" t="s">
        <v>11</v>
      </c>
      <c r="B480" t="s">
        <v>19</v>
      </c>
      <c r="C480">
        <v>10</v>
      </c>
      <c r="G480">
        <f t="shared" si="157"/>
        <v>356.625</v>
      </c>
      <c r="H480" s="7">
        <v>45071.625</v>
      </c>
      <c r="AF480">
        <v>107.53</v>
      </c>
      <c r="AG480">
        <v>140</v>
      </c>
      <c r="AL480">
        <v>254.86</v>
      </c>
      <c r="AM480">
        <v>254.76</v>
      </c>
      <c r="AN480">
        <f t="shared" si="172"/>
        <v>9.9999999999909051E-3</v>
      </c>
      <c r="AO480">
        <f t="shared" si="173"/>
        <v>0.10000000000002274</v>
      </c>
      <c r="AP480">
        <f>65+10</f>
        <v>75</v>
      </c>
      <c r="AQ480">
        <v>1009</v>
      </c>
      <c r="AR480">
        <v>22</v>
      </c>
      <c r="AS480">
        <v>34</v>
      </c>
      <c r="AT480">
        <f t="shared" si="174"/>
        <v>5.3137007027131622</v>
      </c>
      <c r="AU480">
        <f t="shared" si="175"/>
        <v>142.47</v>
      </c>
      <c r="AV480">
        <v>1009</v>
      </c>
      <c r="AW480">
        <f t="shared" si="176"/>
        <v>1540.1644556748788</v>
      </c>
      <c r="AX480">
        <f t="shared" si="177"/>
        <v>2.8875401215796488E-5</v>
      </c>
      <c r="AY480">
        <f t="shared" si="178"/>
        <v>1.3044579321178399E-3</v>
      </c>
      <c r="AZ480">
        <f t="shared" si="179"/>
        <v>29.089411886227829</v>
      </c>
      <c r="BA480">
        <f t="shared" si="180"/>
        <v>0.53344970017061744</v>
      </c>
    </row>
    <row r="481" spans="1:53" x14ac:dyDescent="0.25">
      <c r="A481" t="s">
        <v>12</v>
      </c>
      <c r="B481" t="s">
        <v>19</v>
      </c>
      <c r="C481">
        <v>20</v>
      </c>
      <c r="G481">
        <f t="shared" si="157"/>
        <v>356.625</v>
      </c>
      <c r="H481" s="7">
        <v>45071.625</v>
      </c>
      <c r="AF481">
        <v>109.43</v>
      </c>
      <c r="AG481">
        <v>140.19999999999999</v>
      </c>
      <c r="AL481">
        <v>257.49</v>
      </c>
      <c r="AM481">
        <v>257.48</v>
      </c>
      <c r="AN481">
        <f t="shared" si="172"/>
        <v>2.9999999999972715E-2</v>
      </c>
      <c r="AO481">
        <f t="shared" si="173"/>
        <v>9.9999999999909051E-3</v>
      </c>
      <c r="AP481">
        <v>20.5</v>
      </c>
      <c r="AQ481">
        <v>1009</v>
      </c>
      <c r="AR481">
        <v>22</v>
      </c>
      <c r="AS481">
        <v>34</v>
      </c>
      <c r="AT481">
        <f t="shared" si="174"/>
        <v>5.3137007027131622</v>
      </c>
      <c r="AU481">
        <f t="shared" si="175"/>
        <v>140.57</v>
      </c>
      <c r="AV481">
        <v>1009</v>
      </c>
      <c r="AW481">
        <f t="shared" si="176"/>
        <v>1156.1473287330157</v>
      </c>
      <c r="AX481">
        <f t="shared" si="177"/>
        <v>3.8928479048317918E-5</v>
      </c>
      <c r="AY481">
        <f t="shared" si="178"/>
        <v>4.4887639900001891E-4</v>
      </c>
      <c r="AZ481">
        <f t="shared" si="179"/>
        <v>10.009943697700422</v>
      </c>
      <c r="BA481">
        <f t="shared" si="180"/>
        <v>1.2155901430925842</v>
      </c>
    </row>
    <row r="482" spans="1:53" x14ac:dyDescent="0.25">
      <c r="A482" t="s">
        <v>13</v>
      </c>
      <c r="B482" t="s">
        <v>19</v>
      </c>
      <c r="C482">
        <v>20</v>
      </c>
      <c r="G482">
        <f t="shared" si="157"/>
        <v>356.625</v>
      </c>
      <c r="H482" s="7">
        <v>45071.625</v>
      </c>
      <c r="AF482">
        <v>129.52999999999997</v>
      </c>
      <c r="AG482">
        <v>140.24</v>
      </c>
      <c r="AL482">
        <v>277.67</v>
      </c>
      <c r="AM482">
        <v>277.62</v>
      </c>
      <c r="AN482">
        <f t="shared" si="172"/>
        <v>1.4999999999986358E-2</v>
      </c>
      <c r="AO482">
        <f t="shared" si="173"/>
        <v>5.0000000000011369E-2</v>
      </c>
      <c r="AP482">
        <v>26</v>
      </c>
      <c r="AQ482">
        <v>1009</v>
      </c>
      <c r="AR482">
        <v>22</v>
      </c>
      <c r="AS482">
        <v>34</v>
      </c>
      <c r="AT482">
        <f t="shared" si="174"/>
        <v>5.3137007027131622</v>
      </c>
      <c r="AU482">
        <f t="shared" si="175"/>
        <v>120.47000000000003</v>
      </c>
      <c r="AV482">
        <v>1009</v>
      </c>
      <c r="AW482">
        <f t="shared" si="176"/>
        <v>1226.7637586121025</v>
      </c>
      <c r="AX482">
        <f t="shared" si="177"/>
        <v>3.6586175409360673E-5</v>
      </c>
      <c r="AY482">
        <f t="shared" si="178"/>
        <v>1.8864907476679996E-3</v>
      </c>
      <c r="AZ482">
        <f t="shared" si="179"/>
        <v>42.068743672996391</v>
      </c>
      <c r="BA482">
        <f t="shared" si="180"/>
        <v>6.9404945548931271E-2</v>
      </c>
    </row>
    <row r="483" spans="1:53" x14ac:dyDescent="0.25">
      <c r="A483" t="s">
        <v>14</v>
      </c>
      <c r="B483" t="s">
        <v>19</v>
      </c>
      <c r="C483">
        <v>20</v>
      </c>
      <c r="G483">
        <f t="shared" si="157"/>
        <v>356.625</v>
      </c>
      <c r="H483" s="7">
        <v>45071.625</v>
      </c>
      <c r="AF483">
        <v>94.359999999999985</v>
      </c>
      <c r="AG483">
        <v>138.74</v>
      </c>
      <c r="AL483">
        <v>241.08</v>
      </c>
      <c r="AM483">
        <v>241.05</v>
      </c>
      <c r="AN483">
        <f t="shared" si="172"/>
        <v>1.999999999998181E-2</v>
      </c>
      <c r="AO483">
        <f t="shared" si="173"/>
        <v>3.0000000000001137E-2</v>
      </c>
      <c r="AP483">
        <v>10.5</v>
      </c>
      <c r="AQ483">
        <v>1009</v>
      </c>
      <c r="AR483">
        <v>22</v>
      </c>
      <c r="AS483">
        <v>34</v>
      </c>
      <c r="AT483">
        <f t="shared" si="174"/>
        <v>5.3137007027131622</v>
      </c>
      <c r="AU483">
        <f t="shared" si="175"/>
        <v>155.64000000000001</v>
      </c>
      <c r="AV483">
        <v>1009</v>
      </c>
      <c r="AW483">
        <f t="shared" si="176"/>
        <v>1077.0705474171164</v>
      </c>
      <c r="AX483">
        <f t="shared" si="177"/>
        <v>4.1934864427091582E-5</v>
      </c>
      <c r="AY483">
        <f t="shared" si="178"/>
        <v>2.815207992715874E-3</v>
      </c>
      <c r="AZ483">
        <f t="shared" si="179"/>
        <v>62.779138237563991</v>
      </c>
      <c r="BA483">
        <f t="shared" si="180"/>
        <v>-0.6710453427802644</v>
      </c>
    </row>
    <row r="484" spans="1:53" x14ac:dyDescent="0.25">
      <c r="A484" t="s">
        <v>15</v>
      </c>
      <c r="B484" t="s">
        <v>19</v>
      </c>
      <c r="C484">
        <v>20</v>
      </c>
      <c r="G484">
        <f t="shared" si="157"/>
        <v>356.625</v>
      </c>
      <c r="H484" s="7">
        <v>45071.625</v>
      </c>
      <c r="AF484">
        <v>85.4</v>
      </c>
      <c r="AG484">
        <v>140.1</v>
      </c>
      <c r="AL484">
        <v>233.41</v>
      </c>
      <c r="AM484">
        <v>233.34</v>
      </c>
      <c r="AN484">
        <f t="shared" si="172"/>
        <v>2.0000000000010232E-2</v>
      </c>
      <c r="AO484">
        <f t="shared" si="173"/>
        <v>6.9999999999993179E-2</v>
      </c>
      <c r="AP484">
        <v>19</v>
      </c>
      <c r="AQ484">
        <v>1009</v>
      </c>
      <c r="AR484">
        <v>22</v>
      </c>
      <c r="AS484">
        <v>34</v>
      </c>
      <c r="AT484">
        <f t="shared" si="174"/>
        <v>5.3137007027131622</v>
      </c>
      <c r="AU484">
        <f t="shared" si="175"/>
        <v>164.6</v>
      </c>
      <c r="AV484">
        <v>1009</v>
      </c>
      <c r="AW484">
        <f t="shared" si="176"/>
        <v>1125.4702308626975</v>
      </c>
      <c r="AX484">
        <f t="shared" si="177"/>
        <v>4.0042137317187332E-5</v>
      </c>
      <c r="AY484">
        <f t="shared" si="178"/>
        <v>3.6441683889982431E-3</v>
      </c>
      <c r="AZ484">
        <f t="shared" si="179"/>
        <v>81.264955074660818</v>
      </c>
      <c r="BA484">
        <f t="shared" si="180"/>
        <v>-1.3319612111069297</v>
      </c>
    </row>
    <row r="485" spans="1:53" x14ac:dyDescent="0.25">
      <c r="A485" t="s">
        <v>0</v>
      </c>
      <c r="B485" t="s">
        <v>18</v>
      </c>
      <c r="C485">
        <v>10</v>
      </c>
      <c r="G485">
        <f t="shared" si="157"/>
        <v>359.625</v>
      </c>
      <c r="H485" s="7">
        <v>45074.625</v>
      </c>
      <c r="AF485">
        <v>172.77</v>
      </c>
      <c r="AG485">
        <v>139.16999999999999</v>
      </c>
      <c r="AL485">
        <v>319.79000000000002</v>
      </c>
      <c r="AM485">
        <v>319.54000000000002</v>
      </c>
      <c r="AN485">
        <f t="shared" si="172"/>
        <v>2.9999999999972715E-2</v>
      </c>
      <c r="AO485">
        <f t="shared" si="173"/>
        <v>0.25</v>
      </c>
      <c r="AP485">
        <f>62.5+64+62.5+30.5</f>
        <v>219.5</v>
      </c>
      <c r="AQ485">
        <v>1004</v>
      </c>
      <c r="AR485">
        <v>22</v>
      </c>
      <c r="AS485">
        <v>34</v>
      </c>
      <c r="AT485">
        <f t="shared" si="174"/>
        <v>5.3137007027131622</v>
      </c>
      <c r="AU485">
        <f t="shared" si="175"/>
        <v>77.22999999999999</v>
      </c>
      <c r="AV485">
        <v>1004</v>
      </c>
      <c r="AW485">
        <f t="shared" si="176"/>
        <v>3857.5284215978249</v>
      </c>
      <c r="AX485">
        <f t="shared" si="177"/>
        <v>1.1286565844448291E-5</v>
      </c>
      <c r="AY485">
        <f t="shared" si="178"/>
        <v>1.1276655981646633E-3</v>
      </c>
      <c r="AZ485">
        <f t="shared" si="179"/>
        <v>25.146942839071993</v>
      </c>
      <c r="BA485">
        <f t="shared" si="180"/>
        <v>0.67440318773428698</v>
      </c>
    </row>
    <row r="486" spans="1:53" x14ac:dyDescent="0.25">
      <c r="A486" t="s">
        <v>1</v>
      </c>
      <c r="B486" t="s">
        <v>18</v>
      </c>
      <c r="C486">
        <v>10</v>
      </c>
      <c r="G486">
        <f t="shared" si="157"/>
        <v>359.625</v>
      </c>
      <c r="H486" s="7">
        <v>45074.625</v>
      </c>
      <c r="AF486">
        <v>173.93</v>
      </c>
      <c r="AG486">
        <v>141.25</v>
      </c>
      <c r="AL486">
        <v>322.55</v>
      </c>
      <c r="AM486">
        <v>322.27</v>
      </c>
      <c r="AN486">
        <f t="shared" si="172"/>
        <v>9.9999999999909051E-3</v>
      </c>
      <c r="AO486">
        <f t="shared" si="173"/>
        <v>0.28000000000002956</v>
      </c>
      <c r="AP486">
        <f>62+62+61.5+62.5+45</f>
        <v>293</v>
      </c>
      <c r="AQ486">
        <v>1004</v>
      </c>
      <c r="AR486">
        <v>22</v>
      </c>
      <c r="AS486">
        <v>34</v>
      </c>
      <c r="AT486">
        <f t="shared" si="174"/>
        <v>5.3137007027131622</v>
      </c>
      <c r="AU486">
        <f t="shared" si="175"/>
        <v>76.069999999999993</v>
      </c>
      <c r="AV486">
        <v>1004</v>
      </c>
      <c r="AW486">
        <f t="shared" si="176"/>
        <v>4871.1223872748787</v>
      </c>
      <c r="AX486">
        <f t="shared" si="177"/>
        <v>8.9121304466054561E-6</v>
      </c>
      <c r="AY486">
        <f t="shared" si="178"/>
        <v>9.4671926887090151E-4</v>
      </c>
      <c r="AZ486">
        <f t="shared" si="179"/>
        <v>21.111839695821104</v>
      </c>
      <c r="BA486">
        <f t="shared" si="180"/>
        <v>0.8186685843467606</v>
      </c>
    </row>
    <row r="487" spans="1:53" x14ac:dyDescent="0.25">
      <c r="A487" t="s">
        <v>2</v>
      </c>
      <c r="B487" t="s">
        <v>18</v>
      </c>
      <c r="C487">
        <v>10</v>
      </c>
      <c r="G487">
        <f t="shared" ref="G487:G550" si="181">H487-$H$18</f>
        <v>359.625</v>
      </c>
      <c r="H487" s="7">
        <v>45074.625</v>
      </c>
      <c r="AF487">
        <v>162.82000000000002</v>
      </c>
      <c r="AG487">
        <v>140.66</v>
      </c>
      <c r="AL487">
        <v>311.18</v>
      </c>
      <c r="AM487">
        <v>310.92</v>
      </c>
      <c r="AN487">
        <f t="shared" si="172"/>
        <v>0</v>
      </c>
      <c r="AO487">
        <f t="shared" si="173"/>
        <v>0.25999999999999091</v>
      </c>
      <c r="AP487">
        <f>64+63+61.5+62+39</f>
        <v>289.5</v>
      </c>
      <c r="AQ487">
        <v>1004</v>
      </c>
      <c r="AR487">
        <v>22</v>
      </c>
      <c r="AS487">
        <v>34</v>
      </c>
      <c r="AT487">
        <f t="shared" si="174"/>
        <v>5.3137007027131622</v>
      </c>
      <c r="AU487">
        <f t="shared" si="175"/>
        <v>87.179999999999978</v>
      </c>
      <c r="AV487">
        <v>1004</v>
      </c>
      <c r="AW487">
        <f t="shared" si="176"/>
        <v>4337.998623537509</v>
      </c>
      <c r="AX487">
        <f t="shared" si="177"/>
        <v>1.0020980381993141E-5</v>
      </c>
      <c r="AY487">
        <f t="shared" si="178"/>
        <v>8.880791923295471E-4</v>
      </c>
      <c r="AZ487">
        <f t="shared" si="179"/>
        <v>19.804165988948899</v>
      </c>
      <c r="BA487">
        <f t="shared" si="180"/>
        <v>0.86542130893997493</v>
      </c>
    </row>
    <row r="488" spans="1:53" x14ac:dyDescent="0.25">
      <c r="A488" t="s">
        <v>3</v>
      </c>
      <c r="B488" t="s">
        <v>18</v>
      </c>
      <c r="C488">
        <v>10</v>
      </c>
      <c r="G488">
        <f t="shared" si="181"/>
        <v>359.625</v>
      </c>
      <c r="H488" s="7">
        <v>45074.625</v>
      </c>
      <c r="AF488">
        <v>187.81</v>
      </c>
      <c r="AG488">
        <v>140</v>
      </c>
      <c r="AL488">
        <v>335.75</v>
      </c>
      <c r="AM488">
        <v>335.54</v>
      </c>
      <c r="AN488">
        <f t="shared" si="172"/>
        <v>9.9999999999909051E-3</v>
      </c>
      <c r="AO488">
        <f t="shared" si="173"/>
        <v>0.20999999999997954</v>
      </c>
      <c r="AP488">
        <f>63.5+63+61.5+40.5</f>
        <v>228.5</v>
      </c>
      <c r="AQ488">
        <v>1004</v>
      </c>
      <c r="AR488">
        <v>22</v>
      </c>
      <c r="AS488">
        <v>34</v>
      </c>
      <c r="AT488">
        <f t="shared" si="174"/>
        <v>5.3137007027131622</v>
      </c>
      <c r="AU488">
        <f t="shared" si="175"/>
        <v>62.19</v>
      </c>
      <c r="AV488">
        <v>1004</v>
      </c>
      <c r="AW488">
        <f t="shared" si="176"/>
        <v>4692.921048400065</v>
      </c>
      <c r="AX488">
        <f t="shared" si="177"/>
        <v>9.2544208557388387E-6</v>
      </c>
      <c r="AY488">
        <f t="shared" si="178"/>
        <v>9.0978277826889815E-4</v>
      </c>
      <c r="AZ488">
        <f t="shared" si="179"/>
        <v>20.28815595539643</v>
      </c>
      <c r="BA488">
        <f t="shared" si="180"/>
        <v>0.84811741310702782</v>
      </c>
    </row>
    <row r="489" spans="1:53" x14ac:dyDescent="0.25">
      <c r="A489" t="s">
        <v>4</v>
      </c>
      <c r="B489" t="s">
        <v>18</v>
      </c>
      <c r="C489">
        <v>20</v>
      </c>
      <c r="G489">
        <f t="shared" si="181"/>
        <v>359.625</v>
      </c>
      <c r="H489" s="7">
        <v>45074.625</v>
      </c>
      <c r="AF489">
        <v>181.58</v>
      </c>
      <c r="AG489">
        <v>139.4</v>
      </c>
      <c r="AL489">
        <v>327.63</v>
      </c>
      <c r="AM489">
        <v>327.63</v>
      </c>
      <c r="AN489">
        <f t="shared" si="172"/>
        <v>0</v>
      </c>
      <c r="AO489">
        <f t="shared" si="173"/>
        <v>0</v>
      </c>
      <c r="AP489">
        <v>0</v>
      </c>
      <c r="AQ489">
        <v>1004</v>
      </c>
      <c r="AR489">
        <v>22</v>
      </c>
      <c r="AS489">
        <v>34</v>
      </c>
      <c r="AT489">
        <f t="shared" si="174"/>
        <v>5.3137007027131622</v>
      </c>
      <c r="AU489">
        <f t="shared" si="175"/>
        <v>68.419999999999987</v>
      </c>
      <c r="AV489">
        <v>1004</v>
      </c>
      <c r="AW489">
        <f t="shared" si="176"/>
        <v>1004</v>
      </c>
      <c r="AX489">
        <f t="shared" si="177"/>
        <v>4.5157414386649812E-5</v>
      </c>
      <c r="AY489" t="e">
        <f t="shared" si="178"/>
        <v>#DIV/0!</v>
      </c>
      <c r="AZ489" t="e">
        <f t="shared" si="179"/>
        <v>#DIV/0!</v>
      </c>
      <c r="BA489" t="e">
        <f t="shared" si="180"/>
        <v>#DIV/0!</v>
      </c>
    </row>
    <row r="490" spans="1:53" x14ac:dyDescent="0.25">
      <c r="A490" t="s">
        <v>5</v>
      </c>
      <c r="B490" t="s">
        <v>18</v>
      </c>
      <c r="C490">
        <v>20</v>
      </c>
      <c r="G490">
        <f t="shared" si="181"/>
        <v>359.625</v>
      </c>
      <c r="H490" s="7">
        <v>45074.625</v>
      </c>
      <c r="AF490">
        <v>201.8</v>
      </c>
      <c r="AG490">
        <v>139.81</v>
      </c>
      <c r="AL490">
        <v>348.55</v>
      </c>
      <c r="AM490">
        <v>348.55</v>
      </c>
      <c r="AN490">
        <f t="shared" si="172"/>
        <v>0</v>
      </c>
      <c r="AO490">
        <f t="shared" si="173"/>
        <v>0</v>
      </c>
      <c r="AP490">
        <v>0</v>
      </c>
      <c r="AQ490">
        <v>1004</v>
      </c>
      <c r="AR490">
        <v>22</v>
      </c>
      <c r="AS490">
        <v>34</v>
      </c>
      <c r="AT490">
        <f t="shared" si="174"/>
        <v>5.3137007027131622</v>
      </c>
      <c r="AU490">
        <f t="shared" si="175"/>
        <v>48.199999999999989</v>
      </c>
      <c r="AV490">
        <v>1004</v>
      </c>
      <c r="AW490">
        <f t="shared" si="176"/>
        <v>1004</v>
      </c>
      <c r="AX490">
        <f t="shared" si="177"/>
        <v>4.5157414386649812E-5</v>
      </c>
      <c r="AY490" t="e">
        <f t="shared" si="178"/>
        <v>#DIV/0!</v>
      </c>
      <c r="AZ490" t="e">
        <f t="shared" si="179"/>
        <v>#DIV/0!</v>
      </c>
      <c r="BA490" t="e">
        <f t="shared" si="180"/>
        <v>#DIV/0!</v>
      </c>
    </row>
    <row r="491" spans="1:53" x14ac:dyDescent="0.25">
      <c r="A491" t="s">
        <v>6</v>
      </c>
      <c r="B491" t="s">
        <v>18</v>
      </c>
      <c r="C491">
        <v>20</v>
      </c>
      <c r="G491">
        <f t="shared" si="181"/>
        <v>359.625</v>
      </c>
      <c r="H491" s="7">
        <v>45074.625</v>
      </c>
      <c r="AF491">
        <v>205.13</v>
      </c>
      <c r="AG491">
        <v>139.01</v>
      </c>
      <c r="AL491">
        <v>350.99</v>
      </c>
      <c r="AM491">
        <v>350.99</v>
      </c>
      <c r="AN491">
        <f t="shared" si="172"/>
        <v>0</v>
      </c>
      <c r="AO491">
        <f t="shared" si="173"/>
        <v>0</v>
      </c>
      <c r="AP491">
        <v>0</v>
      </c>
      <c r="AQ491">
        <v>1004</v>
      </c>
      <c r="AR491">
        <v>22</v>
      </c>
      <c r="AS491">
        <v>34</v>
      </c>
      <c r="AT491">
        <f t="shared" si="174"/>
        <v>5.3137007027131622</v>
      </c>
      <c r="AU491">
        <f t="shared" si="175"/>
        <v>44.870000000000005</v>
      </c>
      <c r="AV491">
        <v>1004</v>
      </c>
      <c r="AW491">
        <f t="shared" si="176"/>
        <v>1004</v>
      </c>
      <c r="AX491">
        <f t="shared" si="177"/>
        <v>4.5157414386649812E-5</v>
      </c>
      <c r="AY491" t="e">
        <f t="shared" si="178"/>
        <v>#DIV/0!</v>
      </c>
      <c r="AZ491" t="e">
        <f t="shared" si="179"/>
        <v>#DIV/0!</v>
      </c>
      <c r="BA491" t="e">
        <f t="shared" si="180"/>
        <v>#DIV/0!</v>
      </c>
    </row>
    <row r="492" spans="1:53" x14ac:dyDescent="0.25">
      <c r="A492" t="s">
        <v>7</v>
      </c>
      <c r="B492" t="s">
        <v>18</v>
      </c>
      <c r="C492">
        <v>20</v>
      </c>
      <c r="G492">
        <f t="shared" si="181"/>
        <v>359.625</v>
      </c>
      <c r="H492" s="7">
        <v>45074.625</v>
      </c>
      <c r="AF492">
        <v>177.85000000000002</v>
      </c>
      <c r="AG492">
        <v>139.94999999999999</v>
      </c>
      <c r="AL492">
        <v>325.26499999999999</v>
      </c>
      <c r="AM492">
        <v>325.26499999999999</v>
      </c>
      <c r="AN492">
        <f t="shared" si="172"/>
        <v>0</v>
      </c>
      <c r="AO492">
        <f t="shared" si="173"/>
        <v>0</v>
      </c>
      <c r="AP492">
        <v>0</v>
      </c>
      <c r="AQ492">
        <v>1004</v>
      </c>
      <c r="AR492">
        <v>22</v>
      </c>
      <c r="AS492">
        <v>34</v>
      </c>
      <c r="AT492">
        <f t="shared" si="174"/>
        <v>5.3137007027131622</v>
      </c>
      <c r="AU492">
        <f t="shared" si="175"/>
        <v>72.149999999999977</v>
      </c>
      <c r="AV492">
        <v>1004</v>
      </c>
      <c r="AW492">
        <f t="shared" si="176"/>
        <v>1004</v>
      </c>
      <c r="AX492">
        <f t="shared" si="177"/>
        <v>4.5157414386649812E-5</v>
      </c>
      <c r="AY492" t="e">
        <f t="shared" si="178"/>
        <v>#DIV/0!</v>
      </c>
      <c r="AZ492" t="e">
        <f t="shared" si="179"/>
        <v>#DIV/0!</v>
      </c>
      <c r="BA492" t="e">
        <f t="shared" si="180"/>
        <v>#DIV/0!</v>
      </c>
    </row>
    <row r="493" spans="1:53" x14ac:dyDescent="0.25">
      <c r="A493" t="s">
        <v>8</v>
      </c>
      <c r="B493" t="s">
        <v>19</v>
      </c>
      <c r="C493">
        <v>10</v>
      </c>
      <c r="G493">
        <f t="shared" si="181"/>
        <v>359.625</v>
      </c>
      <c r="H493" s="7">
        <v>45074.625</v>
      </c>
      <c r="AF493">
        <v>142.11999999999998</v>
      </c>
      <c r="AG493">
        <v>139.71</v>
      </c>
      <c r="AL493">
        <v>287.98</v>
      </c>
      <c r="AM493">
        <v>287.98</v>
      </c>
      <c r="AN493">
        <f t="shared" si="172"/>
        <v>0</v>
      </c>
      <c r="AO493">
        <f t="shared" si="173"/>
        <v>0</v>
      </c>
      <c r="AP493">
        <v>0</v>
      </c>
      <c r="AQ493">
        <v>1004</v>
      </c>
      <c r="AR493">
        <v>22</v>
      </c>
      <c r="AS493">
        <v>34</v>
      </c>
      <c r="AT493">
        <f t="shared" si="174"/>
        <v>5.3137007027131622</v>
      </c>
      <c r="AU493">
        <f t="shared" si="175"/>
        <v>107.88000000000002</v>
      </c>
      <c r="AV493">
        <v>1004</v>
      </c>
      <c r="AW493">
        <f t="shared" si="176"/>
        <v>1004</v>
      </c>
      <c r="AX493">
        <f t="shared" si="177"/>
        <v>4.5157414386649812E-5</v>
      </c>
      <c r="AY493" t="e">
        <f t="shared" si="178"/>
        <v>#DIV/0!</v>
      </c>
      <c r="AZ493" t="e">
        <f t="shared" si="179"/>
        <v>#DIV/0!</v>
      </c>
      <c r="BA493" t="e">
        <f t="shared" si="180"/>
        <v>#DIV/0!</v>
      </c>
    </row>
    <row r="494" spans="1:53" x14ac:dyDescent="0.25">
      <c r="A494" t="s">
        <v>9</v>
      </c>
      <c r="B494" t="s">
        <v>19</v>
      </c>
      <c r="C494">
        <v>10</v>
      </c>
      <c r="G494">
        <f t="shared" si="181"/>
        <v>359.625</v>
      </c>
      <c r="H494" s="7">
        <v>45074.625</v>
      </c>
      <c r="AF494">
        <v>136.42000000000002</v>
      </c>
      <c r="AG494">
        <v>139.75</v>
      </c>
      <c r="AL494">
        <v>282.45</v>
      </c>
      <c r="AM494">
        <v>282.45</v>
      </c>
      <c r="AN494">
        <f t="shared" si="172"/>
        <v>0</v>
      </c>
      <c r="AO494">
        <f t="shared" si="173"/>
        <v>0</v>
      </c>
      <c r="AP494">
        <v>0</v>
      </c>
      <c r="AQ494">
        <v>1004</v>
      </c>
      <c r="AR494">
        <v>22</v>
      </c>
      <c r="AS494">
        <v>34</v>
      </c>
      <c r="AT494">
        <f t="shared" si="174"/>
        <v>5.3137007027131622</v>
      </c>
      <c r="AU494">
        <f t="shared" si="175"/>
        <v>113.57999999999998</v>
      </c>
      <c r="AV494">
        <v>1004</v>
      </c>
      <c r="AW494">
        <f t="shared" si="176"/>
        <v>1004</v>
      </c>
      <c r="AX494">
        <f t="shared" si="177"/>
        <v>4.5157414386649812E-5</v>
      </c>
      <c r="AY494" t="e">
        <f t="shared" si="178"/>
        <v>#DIV/0!</v>
      </c>
      <c r="AZ494" t="e">
        <f t="shared" si="179"/>
        <v>#DIV/0!</v>
      </c>
      <c r="BA494" t="e">
        <f t="shared" si="180"/>
        <v>#DIV/0!</v>
      </c>
    </row>
    <row r="495" spans="1:53" x14ac:dyDescent="0.25">
      <c r="A495" t="s">
        <v>10</v>
      </c>
      <c r="B495" t="s">
        <v>19</v>
      </c>
      <c r="C495">
        <v>10</v>
      </c>
      <c r="G495">
        <f t="shared" si="181"/>
        <v>359.625</v>
      </c>
      <c r="H495" s="7">
        <v>45074.625</v>
      </c>
      <c r="AF495">
        <v>117.85000000000002</v>
      </c>
      <c r="AG495">
        <v>140.44999999999999</v>
      </c>
      <c r="AL495">
        <v>264.60000000000002</v>
      </c>
      <c r="AM495">
        <v>264.60000000000002</v>
      </c>
      <c r="AN495">
        <f t="shared" si="172"/>
        <v>0</v>
      </c>
      <c r="AO495">
        <f t="shared" si="173"/>
        <v>0</v>
      </c>
      <c r="AP495">
        <v>0</v>
      </c>
      <c r="AQ495">
        <v>1004</v>
      </c>
      <c r="AR495">
        <v>22</v>
      </c>
      <c r="AS495">
        <v>34</v>
      </c>
      <c r="AT495">
        <f t="shared" si="174"/>
        <v>5.3137007027131622</v>
      </c>
      <c r="AU495">
        <f t="shared" si="175"/>
        <v>132.14999999999998</v>
      </c>
      <c r="AV495">
        <v>1004</v>
      </c>
      <c r="AW495">
        <f t="shared" si="176"/>
        <v>1004</v>
      </c>
      <c r="AX495">
        <f t="shared" si="177"/>
        <v>4.5157414386649812E-5</v>
      </c>
      <c r="AY495" t="e">
        <f t="shared" si="178"/>
        <v>#DIV/0!</v>
      </c>
      <c r="AZ495" t="e">
        <f t="shared" si="179"/>
        <v>#DIV/0!</v>
      </c>
      <c r="BA495" t="e">
        <f t="shared" si="180"/>
        <v>#DIV/0!</v>
      </c>
    </row>
    <row r="496" spans="1:53" x14ac:dyDescent="0.25">
      <c r="A496" t="s">
        <v>11</v>
      </c>
      <c r="B496" t="s">
        <v>19</v>
      </c>
      <c r="C496">
        <v>10</v>
      </c>
      <c r="G496">
        <f t="shared" si="181"/>
        <v>359.625</v>
      </c>
      <c r="H496" s="7">
        <v>45074.625</v>
      </c>
      <c r="AF496">
        <v>107.53</v>
      </c>
      <c r="AG496">
        <v>140</v>
      </c>
      <c r="AL496">
        <v>254.76</v>
      </c>
      <c r="AM496">
        <v>254.76</v>
      </c>
      <c r="AN496">
        <f t="shared" si="172"/>
        <v>0</v>
      </c>
      <c r="AO496">
        <f t="shared" si="173"/>
        <v>0</v>
      </c>
      <c r="AP496">
        <v>0</v>
      </c>
      <c r="AQ496">
        <v>1004</v>
      </c>
      <c r="AR496">
        <v>22</v>
      </c>
      <c r="AS496">
        <v>34</v>
      </c>
      <c r="AT496">
        <f t="shared" si="174"/>
        <v>5.3137007027131622</v>
      </c>
      <c r="AU496">
        <f t="shared" si="175"/>
        <v>142.47</v>
      </c>
      <c r="AV496">
        <v>1004</v>
      </c>
      <c r="AW496">
        <f t="shared" si="176"/>
        <v>1004</v>
      </c>
      <c r="AX496">
        <f t="shared" si="177"/>
        <v>4.5157414386649812E-5</v>
      </c>
      <c r="AY496" t="e">
        <f t="shared" si="178"/>
        <v>#DIV/0!</v>
      </c>
      <c r="AZ496" t="e">
        <f t="shared" si="179"/>
        <v>#DIV/0!</v>
      </c>
      <c r="BA496" t="e">
        <f t="shared" si="180"/>
        <v>#DIV/0!</v>
      </c>
    </row>
    <row r="497" spans="1:53" x14ac:dyDescent="0.25">
      <c r="A497" t="s">
        <v>12</v>
      </c>
      <c r="B497" t="s">
        <v>19</v>
      </c>
      <c r="C497">
        <v>20</v>
      </c>
      <c r="G497">
        <f t="shared" si="181"/>
        <v>359.625</v>
      </c>
      <c r="H497" s="7">
        <v>45074.625</v>
      </c>
      <c r="AF497">
        <v>109.43</v>
      </c>
      <c r="AG497">
        <v>140.19999999999999</v>
      </c>
      <c r="AL497">
        <v>257.48</v>
      </c>
      <c r="AM497">
        <v>257.48</v>
      </c>
      <c r="AN497">
        <f t="shared" si="172"/>
        <v>0</v>
      </c>
      <c r="AO497">
        <f t="shared" si="173"/>
        <v>0</v>
      </c>
      <c r="AP497">
        <v>0</v>
      </c>
      <c r="AQ497">
        <v>1004</v>
      </c>
      <c r="AR497">
        <v>22</v>
      </c>
      <c r="AS497">
        <v>34</v>
      </c>
      <c r="AT497">
        <f t="shared" si="174"/>
        <v>5.3137007027131622</v>
      </c>
      <c r="AU497">
        <f t="shared" si="175"/>
        <v>140.57</v>
      </c>
      <c r="AV497">
        <v>1004</v>
      </c>
      <c r="AW497">
        <f t="shared" si="176"/>
        <v>1004</v>
      </c>
      <c r="AX497">
        <f t="shared" si="177"/>
        <v>4.5157414386649812E-5</v>
      </c>
      <c r="AY497" t="e">
        <f t="shared" si="178"/>
        <v>#DIV/0!</v>
      </c>
      <c r="AZ497" t="e">
        <f t="shared" si="179"/>
        <v>#DIV/0!</v>
      </c>
      <c r="BA497" t="e">
        <f t="shared" si="180"/>
        <v>#DIV/0!</v>
      </c>
    </row>
    <row r="498" spans="1:53" x14ac:dyDescent="0.25">
      <c r="A498" t="s">
        <v>13</v>
      </c>
      <c r="B498" t="s">
        <v>19</v>
      </c>
      <c r="C498">
        <v>20</v>
      </c>
      <c r="G498">
        <f t="shared" si="181"/>
        <v>359.625</v>
      </c>
      <c r="H498" s="7">
        <v>45074.625</v>
      </c>
      <c r="AF498">
        <v>129.52999999999997</v>
      </c>
      <c r="AG498">
        <v>140.24</v>
      </c>
      <c r="AL498">
        <v>277.62</v>
      </c>
      <c r="AM498">
        <v>277.62</v>
      </c>
      <c r="AN498">
        <f t="shared" si="172"/>
        <v>0</v>
      </c>
      <c r="AO498">
        <f t="shared" si="173"/>
        <v>0</v>
      </c>
      <c r="AP498">
        <v>0</v>
      </c>
      <c r="AQ498">
        <v>1004</v>
      </c>
      <c r="AR498">
        <v>22</v>
      </c>
      <c r="AS498">
        <v>34</v>
      </c>
      <c r="AT498">
        <f t="shared" si="174"/>
        <v>5.3137007027131622</v>
      </c>
      <c r="AU498">
        <f t="shared" si="175"/>
        <v>120.47000000000003</v>
      </c>
      <c r="AV498">
        <v>1004</v>
      </c>
      <c r="AW498">
        <f t="shared" si="176"/>
        <v>1004</v>
      </c>
      <c r="AX498">
        <f t="shared" si="177"/>
        <v>4.5157414386649812E-5</v>
      </c>
      <c r="AY498" t="e">
        <f t="shared" si="178"/>
        <v>#DIV/0!</v>
      </c>
      <c r="AZ498" t="e">
        <f t="shared" si="179"/>
        <v>#DIV/0!</v>
      </c>
      <c r="BA498" t="e">
        <f t="shared" si="180"/>
        <v>#DIV/0!</v>
      </c>
    </row>
    <row r="499" spans="1:53" x14ac:dyDescent="0.25">
      <c r="A499" t="s">
        <v>14</v>
      </c>
      <c r="B499" t="s">
        <v>19</v>
      </c>
      <c r="C499">
        <v>20</v>
      </c>
      <c r="G499">
        <f t="shared" si="181"/>
        <v>359.625</v>
      </c>
      <c r="H499" s="7">
        <v>45074.625</v>
      </c>
      <c r="AF499">
        <v>94.359999999999985</v>
      </c>
      <c r="AG499">
        <v>138.74</v>
      </c>
      <c r="AL499">
        <v>241.05</v>
      </c>
      <c r="AM499">
        <v>241.05</v>
      </c>
      <c r="AN499">
        <f t="shared" si="172"/>
        <v>0</v>
      </c>
      <c r="AO499">
        <f t="shared" si="173"/>
        <v>0</v>
      </c>
      <c r="AP499">
        <v>0</v>
      </c>
      <c r="AQ499">
        <v>1004</v>
      </c>
      <c r="AR499">
        <v>22</v>
      </c>
      <c r="AS499">
        <v>34</v>
      </c>
      <c r="AT499">
        <f t="shared" si="174"/>
        <v>5.3137007027131622</v>
      </c>
      <c r="AU499">
        <f t="shared" si="175"/>
        <v>155.64000000000001</v>
      </c>
      <c r="AV499">
        <v>1004</v>
      </c>
      <c r="AW499">
        <f t="shared" si="176"/>
        <v>1004</v>
      </c>
      <c r="AX499">
        <f t="shared" si="177"/>
        <v>4.5157414386649812E-5</v>
      </c>
      <c r="AY499" t="e">
        <f t="shared" si="178"/>
        <v>#DIV/0!</v>
      </c>
      <c r="AZ499" t="e">
        <f t="shared" si="179"/>
        <v>#DIV/0!</v>
      </c>
      <c r="BA499" t="e">
        <f t="shared" si="180"/>
        <v>#DIV/0!</v>
      </c>
    </row>
    <row r="500" spans="1:53" x14ac:dyDescent="0.25">
      <c r="A500" t="s">
        <v>15</v>
      </c>
      <c r="B500" t="s">
        <v>19</v>
      </c>
      <c r="C500">
        <v>20</v>
      </c>
      <c r="G500">
        <f t="shared" si="181"/>
        <v>359.625</v>
      </c>
      <c r="H500" s="7">
        <v>45074.625</v>
      </c>
      <c r="AF500">
        <v>85.4</v>
      </c>
      <c r="AG500">
        <v>140.1</v>
      </c>
      <c r="AL500">
        <v>233.34</v>
      </c>
      <c r="AM500">
        <v>233.34</v>
      </c>
      <c r="AN500">
        <f t="shared" si="172"/>
        <v>0</v>
      </c>
      <c r="AO500">
        <f t="shared" si="173"/>
        <v>0</v>
      </c>
      <c r="AP500">
        <v>0</v>
      </c>
      <c r="AQ500">
        <v>1004</v>
      </c>
      <c r="AR500">
        <v>22</v>
      </c>
      <c r="AS500">
        <v>34</v>
      </c>
      <c r="AT500">
        <f t="shared" si="174"/>
        <v>5.3137007027131622</v>
      </c>
      <c r="AU500">
        <f t="shared" si="175"/>
        <v>164.6</v>
      </c>
      <c r="AV500">
        <v>1004</v>
      </c>
      <c r="AW500">
        <f t="shared" si="176"/>
        <v>1004</v>
      </c>
      <c r="AX500">
        <f t="shared" si="177"/>
        <v>4.5157414386649812E-5</v>
      </c>
      <c r="AY500" t="e">
        <f t="shared" si="178"/>
        <v>#DIV/0!</v>
      </c>
      <c r="AZ500" t="e">
        <f t="shared" si="179"/>
        <v>#DIV/0!</v>
      </c>
      <c r="BA500" t="e">
        <f t="shared" si="180"/>
        <v>#DIV/0!</v>
      </c>
    </row>
    <row r="501" spans="1:53" x14ac:dyDescent="0.25">
      <c r="A501" t="s">
        <v>0</v>
      </c>
      <c r="B501" t="s">
        <v>18</v>
      </c>
      <c r="C501">
        <v>10</v>
      </c>
      <c r="G501">
        <f t="shared" si="181"/>
        <v>360.5</v>
      </c>
      <c r="H501" s="7">
        <v>45075.5</v>
      </c>
      <c r="AF501">
        <v>172.77</v>
      </c>
      <c r="AG501">
        <v>139.16999999999999</v>
      </c>
      <c r="AL501">
        <v>319.54000000000002</v>
      </c>
      <c r="AM501">
        <v>319.44499999999999</v>
      </c>
      <c r="AN501">
        <f t="shared" ref="AN501:AN532" si="182">AM485-AL501</f>
        <v>0</v>
      </c>
      <c r="AO501">
        <f t="shared" ref="AO501:AO532" si="183">AL501-AM501</f>
        <v>9.5000000000027285E-2</v>
      </c>
      <c r="AP501">
        <f>59+20</f>
        <v>79</v>
      </c>
      <c r="AQ501">
        <v>1023</v>
      </c>
      <c r="AR501">
        <v>22</v>
      </c>
      <c r="AS501">
        <v>34</v>
      </c>
      <c r="AT501">
        <f t="shared" si="174"/>
        <v>5.3137007027131622</v>
      </c>
      <c r="AU501">
        <f t="shared" si="175"/>
        <v>77.22999999999999</v>
      </c>
      <c r="AV501">
        <v>1023</v>
      </c>
      <c r="AW501">
        <f t="shared" si="176"/>
        <v>2069.4456817298978</v>
      </c>
      <c r="AX501">
        <f t="shared" si="177"/>
        <v>2.1295605547566116E-5</v>
      </c>
      <c r="AY501">
        <f t="shared" si="178"/>
        <v>1.1812360400223997E-3</v>
      </c>
      <c r="AZ501">
        <f t="shared" si="179"/>
        <v>26.341563692499513</v>
      </c>
      <c r="BA501">
        <f t="shared" si="180"/>
        <v>0.63169239569183</v>
      </c>
    </row>
    <row r="502" spans="1:53" x14ac:dyDescent="0.25">
      <c r="A502" t="s">
        <v>1</v>
      </c>
      <c r="B502" t="s">
        <v>18</v>
      </c>
      <c r="C502">
        <v>10</v>
      </c>
      <c r="G502">
        <f t="shared" si="181"/>
        <v>360.5</v>
      </c>
      <c r="H502" s="7">
        <v>45075.5</v>
      </c>
      <c r="AF502">
        <v>173.93</v>
      </c>
      <c r="AG502">
        <v>141.25</v>
      </c>
      <c r="AL502">
        <v>322.24</v>
      </c>
      <c r="AM502">
        <v>322.14999999999998</v>
      </c>
      <c r="AN502">
        <f t="shared" si="182"/>
        <v>2.9999999999972715E-2</v>
      </c>
      <c r="AO502">
        <f t="shared" si="183"/>
        <v>9.0000000000031832E-2</v>
      </c>
      <c r="AP502">
        <f>58+35</f>
        <v>93</v>
      </c>
      <c r="AQ502">
        <v>1023</v>
      </c>
      <c r="AR502">
        <v>22</v>
      </c>
      <c r="AS502">
        <v>34</v>
      </c>
      <c r="AT502">
        <f t="shared" si="174"/>
        <v>5.3137007027131622</v>
      </c>
      <c r="AU502">
        <f t="shared" si="175"/>
        <v>76.069999999999993</v>
      </c>
      <c r="AV502">
        <v>1023</v>
      </c>
      <c r="AW502">
        <f t="shared" si="176"/>
        <v>2273.6770080189299</v>
      </c>
      <c r="AX502">
        <f t="shared" si="177"/>
        <v>1.9336969466628628E-5</v>
      </c>
      <c r="AY502">
        <f t="shared" si="178"/>
        <v>9.4840496601758463E-4</v>
      </c>
      <c r="AZ502">
        <f t="shared" si="179"/>
        <v>21.149430742192138</v>
      </c>
      <c r="BA502">
        <f t="shared" si="180"/>
        <v>0.81732460700063858</v>
      </c>
    </row>
    <row r="503" spans="1:53" x14ac:dyDescent="0.25">
      <c r="A503" t="s">
        <v>2</v>
      </c>
      <c r="B503" t="s">
        <v>18</v>
      </c>
      <c r="C503">
        <v>10</v>
      </c>
      <c r="G503">
        <f t="shared" si="181"/>
        <v>360.5</v>
      </c>
      <c r="H503" s="7">
        <v>45075.5</v>
      </c>
      <c r="AF503">
        <v>162.82000000000002</v>
      </c>
      <c r="AG503">
        <v>140.66</v>
      </c>
      <c r="AL503">
        <v>310.89999999999998</v>
      </c>
      <c r="AM503">
        <v>310.815</v>
      </c>
      <c r="AN503">
        <f t="shared" si="182"/>
        <v>2.0000000000038654E-2</v>
      </c>
      <c r="AO503">
        <f t="shared" si="183"/>
        <v>8.4999999999979536E-2</v>
      </c>
      <c r="AP503">
        <f>60+26</f>
        <v>86</v>
      </c>
      <c r="AQ503">
        <v>1023</v>
      </c>
      <c r="AR503">
        <v>22</v>
      </c>
      <c r="AS503">
        <v>34</v>
      </c>
      <c r="AT503">
        <f t="shared" si="174"/>
        <v>5.3137007027131622</v>
      </c>
      <c r="AU503">
        <f t="shared" si="175"/>
        <v>87.179999999999978</v>
      </c>
      <c r="AV503">
        <v>1023</v>
      </c>
      <c r="AW503">
        <f t="shared" si="176"/>
        <v>2032.153475567791</v>
      </c>
      <c r="AX503">
        <f t="shared" si="177"/>
        <v>2.1696895847597002E-5</v>
      </c>
      <c r="AY503">
        <f t="shared" si="178"/>
        <v>9.666751971754208E-4</v>
      </c>
      <c r="AZ503">
        <f t="shared" si="179"/>
        <v>21.556856897011883</v>
      </c>
      <c r="BA503">
        <f t="shared" si="180"/>
        <v>0.80275806589160226</v>
      </c>
    </row>
    <row r="504" spans="1:53" x14ac:dyDescent="0.25">
      <c r="A504" t="s">
        <v>3</v>
      </c>
      <c r="B504" t="s">
        <v>18</v>
      </c>
      <c r="C504">
        <v>10</v>
      </c>
      <c r="G504">
        <f t="shared" si="181"/>
        <v>360.5</v>
      </c>
      <c r="H504" s="7">
        <v>45075.5</v>
      </c>
      <c r="AF504">
        <v>187.81</v>
      </c>
      <c r="AG504">
        <v>140</v>
      </c>
      <c r="AL504">
        <v>335.52</v>
      </c>
      <c r="AM504">
        <v>335.43</v>
      </c>
      <c r="AN504">
        <f t="shared" si="182"/>
        <v>2.0000000000038654E-2</v>
      </c>
      <c r="AO504">
        <f t="shared" si="183"/>
        <v>8.9999999999974989E-2</v>
      </c>
      <c r="AP504">
        <f>55+28.5</f>
        <v>83.5</v>
      </c>
      <c r="AQ504">
        <v>1023</v>
      </c>
      <c r="AR504">
        <v>22</v>
      </c>
      <c r="AS504">
        <v>34</v>
      </c>
      <c r="AT504">
        <f t="shared" si="174"/>
        <v>5.3137007027131622</v>
      </c>
      <c r="AU504">
        <f t="shared" si="175"/>
        <v>62.19</v>
      </c>
      <c r="AV504">
        <v>1023</v>
      </c>
      <c r="AW504">
        <f t="shared" si="176"/>
        <v>2396.5407621804152</v>
      </c>
      <c r="AX504">
        <f t="shared" si="177"/>
        <v>1.8323139622944432E-5</v>
      </c>
      <c r="AY504">
        <f t="shared" si="178"/>
        <v>1.0595211717540015E-3</v>
      </c>
      <c r="AZ504">
        <f t="shared" si="179"/>
        <v>23.627322130114234</v>
      </c>
      <c r="BA504">
        <f t="shared" si="180"/>
        <v>0.72873356703202596</v>
      </c>
    </row>
    <row r="505" spans="1:53" x14ac:dyDescent="0.25">
      <c r="A505" t="s">
        <v>4</v>
      </c>
      <c r="B505" t="s">
        <v>18</v>
      </c>
      <c r="C505">
        <v>20</v>
      </c>
      <c r="G505">
        <f t="shared" si="181"/>
        <v>360.5</v>
      </c>
      <c r="H505" s="7">
        <v>45075.5</v>
      </c>
      <c r="AF505">
        <v>181.58</v>
      </c>
      <c r="AG505">
        <v>139.4</v>
      </c>
      <c r="AL505">
        <v>327.61</v>
      </c>
      <c r="AM505">
        <v>327.51499999999999</v>
      </c>
      <c r="AN505">
        <f t="shared" si="182"/>
        <v>1.999999999998181E-2</v>
      </c>
      <c r="AO505">
        <f t="shared" si="183"/>
        <v>9.5000000000027285E-2</v>
      </c>
      <c r="AP505">
        <v>42</v>
      </c>
      <c r="AQ505">
        <v>1023</v>
      </c>
      <c r="AR505">
        <v>22</v>
      </c>
      <c r="AS505">
        <v>34</v>
      </c>
      <c r="AT505">
        <f t="shared" si="174"/>
        <v>5.3137007027131622</v>
      </c>
      <c r="AU505">
        <f t="shared" si="175"/>
        <v>68.419999999999987</v>
      </c>
      <c r="AV505">
        <v>1023</v>
      </c>
      <c r="AW505">
        <f t="shared" si="176"/>
        <v>1650.9742765273313</v>
      </c>
      <c r="AX505">
        <f t="shared" si="177"/>
        <v>2.6872895643520066E-5</v>
      </c>
      <c r="AY505">
        <f t="shared" si="178"/>
        <v>2.2350318662618914E-3</v>
      </c>
      <c r="AZ505">
        <f t="shared" si="179"/>
        <v>49.841210617640179</v>
      </c>
      <c r="BA505">
        <f t="shared" si="180"/>
        <v>-0.20848089444548379</v>
      </c>
    </row>
    <row r="506" spans="1:53" x14ac:dyDescent="0.25">
      <c r="A506" t="s">
        <v>5</v>
      </c>
      <c r="B506" t="s">
        <v>18</v>
      </c>
      <c r="C506">
        <v>20</v>
      </c>
      <c r="G506">
        <f t="shared" si="181"/>
        <v>360.5</v>
      </c>
      <c r="H506" s="7">
        <v>45075.5</v>
      </c>
      <c r="AF506">
        <v>201.8</v>
      </c>
      <c r="AG506">
        <v>139.81</v>
      </c>
      <c r="AL506">
        <v>348.52499999999998</v>
      </c>
      <c r="AM506">
        <v>348.47500000000002</v>
      </c>
      <c r="AN506">
        <f t="shared" si="182"/>
        <v>2.5000000000034106E-2</v>
      </c>
      <c r="AO506">
        <f t="shared" si="183"/>
        <v>4.9999999999954525E-2</v>
      </c>
      <c r="AP506">
        <v>48.5</v>
      </c>
      <c r="AQ506">
        <v>1023</v>
      </c>
      <c r="AR506">
        <v>22</v>
      </c>
      <c r="AS506">
        <v>34</v>
      </c>
      <c r="AT506">
        <f t="shared" si="174"/>
        <v>5.3137007027131622</v>
      </c>
      <c r="AU506">
        <f t="shared" si="175"/>
        <v>48.199999999999989</v>
      </c>
      <c r="AV506">
        <v>1023</v>
      </c>
      <c r="AW506">
        <f t="shared" si="176"/>
        <v>2052.3672199170123</v>
      </c>
      <c r="AX506">
        <f t="shared" si="177"/>
        <v>2.147752365973823E-5</v>
      </c>
      <c r="AY506">
        <f t="shared" si="178"/>
        <v>1.0094503113908706E-3</v>
      </c>
      <c r="AZ506">
        <f t="shared" si="179"/>
        <v>22.510741944016416</v>
      </c>
      <c r="BA506">
        <f t="shared" si="180"/>
        <v>0.76865420293112563</v>
      </c>
    </row>
    <row r="507" spans="1:53" x14ac:dyDescent="0.25">
      <c r="A507" t="s">
        <v>6</v>
      </c>
      <c r="B507" t="s">
        <v>18</v>
      </c>
      <c r="C507">
        <v>20</v>
      </c>
      <c r="G507">
        <f t="shared" si="181"/>
        <v>360.5</v>
      </c>
      <c r="H507" s="7">
        <v>45075.5</v>
      </c>
      <c r="AF507">
        <v>205.13</v>
      </c>
      <c r="AG507">
        <v>139.01</v>
      </c>
      <c r="AL507">
        <v>350.97</v>
      </c>
      <c r="AM507">
        <v>350.88499999999999</v>
      </c>
      <c r="AN507">
        <f t="shared" si="182"/>
        <v>1.999999999998181E-2</v>
      </c>
      <c r="AO507">
        <f t="shared" si="183"/>
        <v>8.500000000003638E-2</v>
      </c>
      <c r="AP507">
        <f>48+5.5</f>
        <v>53.5</v>
      </c>
      <c r="AQ507">
        <v>1023</v>
      </c>
      <c r="AR507">
        <v>22</v>
      </c>
      <c r="AS507">
        <v>34</v>
      </c>
      <c r="AT507">
        <f t="shared" si="174"/>
        <v>5.3137007027131622</v>
      </c>
      <c r="AU507">
        <f t="shared" si="175"/>
        <v>44.870000000000005</v>
      </c>
      <c r="AV507">
        <v>1023</v>
      </c>
      <c r="AW507">
        <f t="shared" si="176"/>
        <v>2242.7570759973255</v>
      </c>
      <c r="AX507">
        <f t="shared" si="177"/>
        <v>1.9610029523889247E-5</v>
      </c>
      <c r="AY507">
        <f t="shared" si="178"/>
        <v>1.5691750172057628E-3</v>
      </c>
      <c r="AZ507">
        <f t="shared" si="179"/>
        <v>34.992602883688512</v>
      </c>
      <c r="BA507">
        <f t="shared" si="180"/>
        <v>0.32239532056887688</v>
      </c>
    </row>
    <row r="508" spans="1:53" x14ac:dyDescent="0.25">
      <c r="A508" t="s">
        <v>7</v>
      </c>
      <c r="B508" t="s">
        <v>18</v>
      </c>
      <c r="C508">
        <v>20</v>
      </c>
      <c r="G508">
        <f t="shared" si="181"/>
        <v>360.5</v>
      </c>
      <c r="H508" s="7">
        <v>45075.5</v>
      </c>
      <c r="AF508">
        <v>177.85000000000002</v>
      </c>
      <c r="AG508">
        <v>139.94999999999999</v>
      </c>
      <c r="AL508">
        <v>325.27499999999998</v>
      </c>
      <c r="AM508">
        <v>325.16500000000002</v>
      </c>
      <c r="AN508">
        <f t="shared" si="182"/>
        <v>-9.9999999999909051E-3</v>
      </c>
      <c r="AO508">
        <f t="shared" si="183"/>
        <v>0.1099999999999568</v>
      </c>
      <c r="AP508">
        <v>51</v>
      </c>
      <c r="AQ508">
        <v>1023</v>
      </c>
      <c r="AR508">
        <v>22</v>
      </c>
      <c r="AS508">
        <v>34</v>
      </c>
      <c r="AT508">
        <f t="shared" si="174"/>
        <v>5.3137007027131622</v>
      </c>
      <c r="AU508">
        <f t="shared" si="175"/>
        <v>72.149999999999977</v>
      </c>
      <c r="AV508">
        <v>1023</v>
      </c>
      <c r="AW508">
        <f t="shared" si="176"/>
        <v>1746.1185031185034</v>
      </c>
      <c r="AX508">
        <f t="shared" si="177"/>
        <v>2.5362660074985534E-5</v>
      </c>
      <c r="AY508">
        <f t="shared" si="178"/>
        <v>2.1315000850222064E-3</v>
      </c>
      <c r="AZ508">
        <f t="shared" si="179"/>
        <v>47.532451895995202</v>
      </c>
      <c r="BA508">
        <f t="shared" si="180"/>
        <v>-0.12593678569879169</v>
      </c>
    </row>
    <row r="509" spans="1:53" x14ac:dyDescent="0.25">
      <c r="A509" t="s">
        <v>8</v>
      </c>
      <c r="B509" t="s">
        <v>19</v>
      </c>
      <c r="C509">
        <v>10</v>
      </c>
      <c r="G509">
        <f t="shared" si="181"/>
        <v>360.5</v>
      </c>
      <c r="H509" s="7">
        <v>45075.5</v>
      </c>
      <c r="AF509">
        <v>142.11999999999998</v>
      </c>
      <c r="AG509">
        <v>139.71</v>
      </c>
      <c r="AL509">
        <v>287.94</v>
      </c>
      <c r="AM509">
        <v>287.73</v>
      </c>
      <c r="AN509">
        <f t="shared" si="182"/>
        <v>4.0000000000020464E-2</v>
      </c>
      <c r="AO509">
        <f t="shared" si="183"/>
        <v>0.20999999999997954</v>
      </c>
      <c r="AP509">
        <f>57+56+36.5</f>
        <v>149.5</v>
      </c>
      <c r="AQ509">
        <v>1023</v>
      </c>
      <c r="AR509">
        <v>22</v>
      </c>
      <c r="AS509">
        <v>34</v>
      </c>
      <c r="AT509">
        <f t="shared" si="174"/>
        <v>5.3137007027131622</v>
      </c>
      <c r="AU509">
        <f t="shared" si="175"/>
        <v>107.88000000000002</v>
      </c>
      <c r="AV509">
        <v>1023</v>
      </c>
      <c r="AW509">
        <f t="shared" si="176"/>
        <v>2440.6724137931033</v>
      </c>
      <c r="AX509">
        <f t="shared" si="177"/>
        <v>1.7984451278470521E-5</v>
      </c>
      <c r="AY509">
        <f t="shared" si="178"/>
        <v>1.3866978229688843E-3</v>
      </c>
      <c r="AZ509">
        <f t="shared" si="179"/>
        <v>30.92336145220612</v>
      </c>
      <c r="BA509">
        <f t="shared" si="180"/>
        <v>0.46788124947421805</v>
      </c>
    </row>
    <row r="510" spans="1:53" x14ac:dyDescent="0.25">
      <c r="A510" t="s">
        <v>9</v>
      </c>
      <c r="B510" t="s">
        <v>19</v>
      </c>
      <c r="C510">
        <v>10</v>
      </c>
      <c r="G510">
        <f t="shared" si="181"/>
        <v>360.5</v>
      </c>
      <c r="H510" s="7">
        <v>45075.5</v>
      </c>
      <c r="AF510">
        <v>136.42000000000002</v>
      </c>
      <c r="AG510">
        <v>139.75</v>
      </c>
      <c r="AL510">
        <v>282.41000000000003</v>
      </c>
      <c r="AM510">
        <v>282.27999999999997</v>
      </c>
      <c r="AN510">
        <f t="shared" si="182"/>
        <v>3.999999999996362E-2</v>
      </c>
      <c r="AO510">
        <f t="shared" si="183"/>
        <v>0.1300000000000523</v>
      </c>
      <c r="AP510">
        <f>54+52</f>
        <v>106</v>
      </c>
      <c r="AQ510">
        <v>1023</v>
      </c>
      <c r="AR510">
        <v>22</v>
      </c>
      <c r="AS510">
        <v>34</v>
      </c>
      <c r="AT510">
        <f t="shared" si="174"/>
        <v>5.3137007027131622</v>
      </c>
      <c r="AU510">
        <f t="shared" si="175"/>
        <v>113.57999999999998</v>
      </c>
      <c r="AV510">
        <v>1023</v>
      </c>
      <c r="AW510">
        <f t="shared" si="176"/>
        <v>1977.7279450607502</v>
      </c>
      <c r="AX510">
        <f t="shared" si="177"/>
        <v>2.2310462628737505E-5</v>
      </c>
      <c r="AY510">
        <f t="shared" si="178"/>
        <v>1.2041046317113786E-3</v>
      </c>
      <c r="AZ510">
        <f t="shared" si="179"/>
        <v>26.851533287163743</v>
      </c>
      <c r="BA510">
        <f t="shared" si="180"/>
        <v>0.61345966080930481</v>
      </c>
    </row>
    <row r="511" spans="1:53" x14ac:dyDescent="0.25">
      <c r="A511" t="s">
        <v>10</v>
      </c>
      <c r="B511" t="s">
        <v>19</v>
      </c>
      <c r="C511">
        <v>10</v>
      </c>
      <c r="G511">
        <f t="shared" si="181"/>
        <v>360.5</v>
      </c>
      <c r="H511" s="7">
        <v>45075.5</v>
      </c>
      <c r="AF511">
        <v>117.85000000000002</v>
      </c>
      <c r="AG511">
        <v>140.44999999999999</v>
      </c>
      <c r="AL511">
        <v>264.57</v>
      </c>
      <c r="AM511">
        <v>264.33999999999997</v>
      </c>
      <c r="AN511">
        <f t="shared" si="182"/>
        <v>3.0000000000029559E-2</v>
      </c>
      <c r="AO511">
        <f t="shared" si="183"/>
        <v>0.23000000000001819</v>
      </c>
      <c r="AP511">
        <f>56+54.5+40.5</f>
        <v>151</v>
      </c>
      <c r="AQ511">
        <v>1023</v>
      </c>
      <c r="AR511">
        <v>22</v>
      </c>
      <c r="AS511">
        <v>34</v>
      </c>
      <c r="AT511">
        <f t="shared" si="174"/>
        <v>5.3137007027131622</v>
      </c>
      <c r="AU511">
        <f t="shared" si="175"/>
        <v>132.14999999999998</v>
      </c>
      <c r="AV511">
        <v>1023</v>
      </c>
      <c r="AW511">
        <f t="shared" si="176"/>
        <v>2191.9216799091942</v>
      </c>
      <c r="AX511">
        <f t="shared" si="177"/>
        <v>2.0076127692062265E-5</v>
      </c>
      <c r="AY511">
        <f t="shared" si="178"/>
        <v>1.5031026802550783E-3</v>
      </c>
      <c r="AZ511">
        <f t="shared" si="179"/>
        <v>33.519189769688246</v>
      </c>
      <c r="BA511">
        <f t="shared" si="180"/>
        <v>0.37507365857389174</v>
      </c>
    </row>
    <row r="512" spans="1:53" x14ac:dyDescent="0.25">
      <c r="A512" t="s">
        <v>11</v>
      </c>
      <c r="B512" t="s">
        <v>19</v>
      </c>
      <c r="C512">
        <v>10</v>
      </c>
      <c r="G512">
        <f t="shared" si="181"/>
        <v>360.5</v>
      </c>
      <c r="H512" s="7">
        <v>45075.5</v>
      </c>
      <c r="AF512">
        <v>107.53</v>
      </c>
      <c r="AG512">
        <v>140</v>
      </c>
      <c r="AL512">
        <v>254.75</v>
      </c>
      <c r="AM512">
        <v>254.66499999999999</v>
      </c>
      <c r="AN512">
        <f t="shared" si="182"/>
        <v>9.9999999999909051E-3</v>
      </c>
      <c r="AO512">
        <f t="shared" si="183"/>
        <v>8.5000000000007958E-2</v>
      </c>
      <c r="AP512">
        <f>51+34+5.5</f>
        <v>90.5</v>
      </c>
      <c r="AQ512">
        <v>1023</v>
      </c>
      <c r="AR512">
        <v>22</v>
      </c>
      <c r="AS512">
        <v>34</v>
      </c>
      <c r="AT512">
        <f t="shared" si="174"/>
        <v>5.3137007027131622</v>
      </c>
      <c r="AU512">
        <f t="shared" si="175"/>
        <v>142.47</v>
      </c>
      <c r="AV512">
        <v>1023</v>
      </c>
      <c r="AW512">
        <f t="shared" si="176"/>
        <v>1672.8315434828385</v>
      </c>
      <c r="AX512">
        <f t="shared" si="177"/>
        <v>2.6510254391896646E-5</v>
      </c>
      <c r="AY512">
        <f t="shared" si="178"/>
        <v>9.1271626494520786E-4</v>
      </c>
      <c r="AZ512">
        <f t="shared" si="179"/>
        <v>20.353572708278136</v>
      </c>
      <c r="BA512">
        <f t="shared" si="180"/>
        <v>0.84577859462716709</v>
      </c>
    </row>
    <row r="513" spans="1:53" x14ac:dyDescent="0.25">
      <c r="A513" t="s">
        <v>12</v>
      </c>
      <c r="B513" t="s">
        <v>19</v>
      </c>
      <c r="C513">
        <v>20</v>
      </c>
      <c r="G513">
        <f t="shared" si="181"/>
        <v>360.5</v>
      </c>
      <c r="H513" s="7">
        <v>45075.5</v>
      </c>
      <c r="AF513">
        <v>109.43</v>
      </c>
      <c r="AG513">
        <v>140.19999999999999</v>
      </c>
      <c r="AL513">
        <v>257.46499999999997</v>
      </c>
      <c r="AM513">
        <v>257.38499999999999</v>
      </c>
      <c r="AN513">
        <f t="shared" si="182"/>
        <v>1.5000000000043201E-2</v>
      </c>
      <c r="AO513">
        <f t="shared" si="183"/>
        <v>7.9999999999984084E-2</v>
      </c>
      <c r="AP513">
        <v>22</v>
      </c>
      <c r="AQ513">
        <v>1023</v>
      </c>
      <c r="AR513">
        <v>22</v>
      </c>
      <c r="AS513">
        <v>34</v>
      </c>
      <c r="AT513">
        <f t="shared" si="174"/>
        <v>5.3137007027131622</v>
      </c>
      <c r="AU513">
        <f t="shared" si="175"/>
        <v>140.57</v>
      </c>
      <c r="AV513">
        <v>1023</v>
      </c>
      <c r="AW513">
        <f t="shared" si="176"/>
        <v>1183.1052856228214</v>
      </c>
      <c r="AX513">
        <f t="shared" si="177"/>
        <v>3.799975186203399E-5</v>
      </c>
      <c r="AY513">
        <f t="shared" si="178"/>
        <v>3.598363884500879E-3</v>
      </c>
      <c r="AZ513">
        <f t="shared" si="179"/>
        <v>80.24351462436961</v>
      </c>
      <c r="BA513">
        <f t="shared" si="180"/>
        <v>-1.295442067371098</v>
      </c>
    </row>
    <row r="514" spans="1:53" x14ac:dyDescent="0.25">
      <c r="A514" t="s">
        <v>13</v>
      </c>
      <c r="B514" t="s">
        <v>19</v>
      </c>
      <c r="C514">
        <v>20</v>
      </c>
      <c r="G514">
        <f t="shared" si="181"/>
        <v>360.5</v>
      </c>
      <c r="H514" s="7">
        <v>45075.5</v>
      </c>
      <c r="AF514">
        <v>129.52999999999997</v>
      </c>
      <c r="AG514">
        <v>140.24</v>
      </c>
      <c r="AL514">
        <v>277.61</v>
      </c>
      <c r="AM514">
        <v>277.54500000000002</v>
      </c>
      <c r="AN514">
        <f t="shared" si="182"/>
        <v>9.9999999999909051E-3</v>
      </c>
      <c r="AO514">
        <f t="shared" si="183"/>
        <v>6.4999999999997726E-2</v>
      </c>
      <c r="AP514">
        <v>24.5</v>
      </c>
      <c r="AQ514">
        <v>1023</v>
      </c>
      <c r="AR514">
        <v>22</v>
      </c>
      <c r="AS514">
        <v>34</v>
      </c>
      <c r="AT514">
        <f t="shared" si="174"/>
        <v>5.3137007027131622</v>
      </c>
      <c r="AU514">
        <f t="shared" si="175"/>
        <v>120.47000000000003</v>
      </c>
      <c r="AV514">
        <v>1023</v>
      </c>
      <c r="AW514">
        <f t="shared" si="176"/>
        <v>1231.0476467170249</v>
      </c>
      <c r="AX514">
        <f t="shared" si="177"/>
        <v>3.6453116859450615E-5</v>
      </c>
      <c r="AY514">
        <f t="shared" si="178"/>
        <v>2.6166081076302527E-3</v>
      </c>
      <c r="AZ514">
        <f t="shared" si="179"/>
        <v>58.350360800154633</v>
      </c>
      <c r="BA514">
        <f t="shared" si="180"/>
        <v>-0.51270506972308316</v>
      </c>
    </row>
    <row r="515" spans="1:53" x14ac:dyDescent="0.25">
      <c r="A515" t="s">
        <v>14</v>
      </c>
      <c r="B515" t="s">
        <v>19</v>
      </c>
      <c r="C515">
        <v>20</v>
      </c>
      <c r="G515">
        <f t="shared" si="181"/>
        <v>360.5</v>
      </c>
      <c r="H515" s="7">
        <v>45075.5</v>
      </c>
      <c r="AF515">
        <v>94.359999999999985</v>
      </c>
      <c r="AG515">
        <v>138.74</v>
      </c>
      <c r="AL515">
        <v>241.05</v>
      </c>
      <c r="AM515">
        <v>241.01</v>
      </c>
      <c r="AN515">
        <f t="shared" si="182"/>
        <v>0</v>
      </c>
      <c r="AO515">
        <f t="shared" si="183"/>
        <v>4.0000000000020464E-2</v>
      </c>
      <c r="AP515">
        <v>15.5</v>
      </c>
      <c r="AQ515">
        <v>1023</v>
      </c>
      <c r="AR515">
        <v>22</v>
      </c>
      <c r="AS515">
        <v>34</v>
      </c>
      <c r="AT515">
        <f t="shared" si="174"/>
        <v>5.3137007027131622</v>
      </c>
      <c r="AU515">
        <f t="shared" si="175"/>
        <v>155.64000000000001</v>
      </c>
      <c r="AV515">
        <v>1023</v>
      </c>
      <c r="AW515">
        <f t="shared" si="176"/>
        <v>1124.8793369313801</v>
      </c>
      <c r="AX515">
        <f t="shared" si="177"/>
        <v>4.0064214131060893E-5</v>
      </c>
      <c r="AY515">
        <f t="shared" si="178"/>
        <v>2.5405809471605819E-3</v>
      </c>
      <c r="AZ515">
        <f t="shared" si="179"/>
        <v>56.654955121680977</v>
      </c>
      <c r="BA515">
        <f t="shared" si="180"/>
        <v>-0.45208992211944871</v>
      </c>
    </row>
    <row r="516" spans="1:53" x14ac:dyDescent="0.25">
      <c r="A516" t="s">
        <v>15</v>
      </c>
      <c r="B516" t="s">
        <v>19</v>
      </c>
      <c r="C516">
        <v>20</v>
      </c>
      <c r="G516">
        <f t="shared" si="181"/>
        <v>360.5</v>
      </c>
      <c r="H516" s="7">
        <v>45075.5</v>
      </c>
      <c r="AF516">
        <v>85.4</v>
      </c>
      <c r="AG516">
        <v>140.1</v>
      </c>
      <c r="AL516">
        <v>233.345</v>
      </c>
      <c r="AM516">
        <v>233.26499999999999</v>
      </c>
      <c r="AN516">
        <f t="shared" si="182"/>
        <v>-4.9999999999954525E-3</v>
      </c>
      <c r="AO516">
        <f t="shared" si="183"/>
        <v>8.0000000000012506E-2</v>
      </c>
      <c r="AP516">
        <v>28.5</v>
      </c>
      <c r="AQ516">
        <v>1023</v>
      </c>
      <c r="AR516">
        <v>22</v>
      </c>
      <c r="AS516">
        <v>34</v>
      </c>
      <c r="AT516">
        <f t="shared" si="174"/>
        <v>5.3137007027131622</v>
      </c>
      <c r="AU516">
        <f t="shared" si="175"/>
        <v>164.6</v>
      </c>
      <c r="AV516">
        <v>1023</v>
      </c>
      <c r="AW516">
        <f t="shared" si="176"/>
        <v>1200.1294046172538</v>
      </c>
      <c r="AX516">
        <f t="shared" si="177"/>
        <v>3.7435744377052087E-5</v>
      </c>
      <c r="AY516">
        <f t="shared" si="178"/>
        <v>2.7695817994830359E-3</v>
      </c>
      <c r="AZ516">
        <f t="shared" si="179"/>
        <v>61.761674128471704</v>
      </c>
      <c r="BA516">
        <f t="shared" si="180"/>
        <v>-0.63466836354922085</v>
      </c>
    </row>
    <row r="517" spans="1:53" x14ac:dyDescent="0.25">
      <c r="A517" t="s">
        <v>0</v>
      </c>
      <c r="B517" t="s">
        <v>18</v>
      </c>
      <c r="C517">
        <v>10</v>
      </c>
      <c r="G517">
        <f t="shared" si="181"/>
        <v>363.4375</v>
      </c>
      <c r="H517" s="7">
        <v>45078.4375</v>
      </c>
      <c r="AF517">
        <v>172.77</v>
      </c>
      <c r="AG517">
        <v>139.16999999999999</v>
      </c>
      <c r="AL517">
        <v>319.45999999999998</v>
      </c>
      <c r="AM517">
        <v>319.24</v>
      </c>
      <c r="AN517">
        <f t="shared" si="182"/>
        <v>-1.4999999999986358E-2</v>
      </c>
      <c r="AO517">
        <f t="shared" si="183"/>
        <v>0.21999999999997044</v>
      </c>
      <c r="AP517">
        <f>60+62.5+61.5+33.5</f>
        <v>217.5</v>
      </c>
      <c r="AQ517">
        <v>1016</v>
      </c>
      <c r="AR517">
        <v>22</v>
      </c>
      <c r="AS517">
        <v>34</v>
      </c>
      <c r="AT517">
        <f t="shared" ref="AT517:AT532" si="184">0.61094*EXP(17.625*AS517/(243.04+AS517))</f>
        <v>5.3137007027131622</v>
      </c>
      <c r="AU517">
        <f t="shared" ref="AU517:AU532" si="185">250-AF517</f>
        <v>77.22999999999999</v>
      </c>
      <c r="AV517">
        <v>1016</v>
      </c>
      <c r="AW517">
        <f t="shared" ref="AW517:AW532" si="186">AP517/AU517*AV517+AV517</f>
        <v>3877.3233199533865</v>
      </c>
      <c r="AX517">
        <f t="shared" ref="AX517:AX532" si="187">18.02*(AT517/(AW517/10-AT517)*1/22300)</f>
        <v>1.1228143893896608E-5</v>
      </c>
      <c r="AY517">
        <f t="shared" ref="AY517:AY532" si="188">(AL517-AM517)/AP517-AX517</f>
        <v>1.0002661089795306E-3</v>
      </c>
      <c r="AZ517">
        <f t="shared" ref="AZ517:AZ532" si="189">AY517*22300</f>
        <v>22.305934230243533</v>
      </c>
      <c r="BA517">
        <f t="shared" ref="BA517:BA532" si="190">(44.01-AZ517)/(44.01-16.04)</f>
        <v>0.77597660957298764</v>
      </c>
    </row>
    <row r="518" spans="1:53" x14ac:dyDescent="0.25">
      <c r="A518" t="s">
        <v>1</v>
      </c>
      <c r="B518" t="s">
        <v>18</v>
      </c>
      <c r="C518">
        <v>10</v>
      </c>
      <c r="G518">
        <f t="shared" si="181"/>
        <v>363.4375</v>
      </c>
      <c r="H518" s="7">
        <v>45078.4375</v>
      </c>
      <c r="AF518">
        <v>173.93</v>
      </c>
      <c r="AG518">
        <v>141.25</v>
      </c>
      <c r="AL518">
        <v>322.14</v>
      </c>
      <c r="AM518">
        <v>321.92</v>
      </c>
      <c r="AN518">
        <f t="shared" si="182"/>
        <v>9.9999999999909051E-3</v>
      </c>
      <c r="AO518">
        <f t="shared" si="183"/>
        <v>0.21999999999997044</v>
      </c>
      <c r="AP518">
        <f>62.5+61.5+62+25.5</f>
        <v>211.5</v>
      </c>
      <c r="AQ518">
        <v>1016</v>
      </c>
      <c r="AR518">
        <v>22</v>
      </c>
      <c r="AS518">
        <v>34</v>
      </c>
      <c r="AT518">
        <f t="shared" si="184"/>
        <v>5.3137007027131622</v>
      </c>
      <c r="AU518">
        <f t="shared" si="185"/>
        <v>76.069999999999993</v>
      </c>
      <c r="AV518">
        <v>1016</v>
      </c>
      <c r="AW518">
        <f t="shared" si="186"/>
        <v>3840.8192454318396</v>
      </c>
      <c r="AX518">
        <f t="shared" si="187"/>
        <v>1.1336355981300774E-5</v>
      </c>
      <c r="AY518">
        <f t="shared" si="188"/>
        <v>1.0288527693140678E-3</v>
      </c>
      <c r="AZ518">
        <f t="shared" si="189"/>
        <v>22.943416755703712</v>
      </c>
      <c r="BA518">
        <f t="shared" si="190"/>
        <v>0.75318495689296694</v>
      </c>
    </row>
    <row r="519" spans="1:53" x14ac:dyDescent="0.25">
      <c r="A519" t="s">
        <v>2</v>
      </c>
      <c r="B519" t="s">
        <v>18</v>
      </c>
      <c r="C519">
        <v>10</v>
      </c>
      <c r="G519">
        <f t="shared" si="181"/>
        <v>363.4375</v>
      </c>
      <c r="H519" s="7">
        <v>45078.4375</v>
      </c>
      <c r="AF519">
        <v>162.82000000000002</v>
      </c>
      <c r="AG519">
        <v>140.66</v>
      </c>
      <c r="AL519">
        <v>310.81</v>
      </c>
      <c r="AM519">
        <v>310.63</v>
      </c>
      <c r="AN519">
        <f t="shared" si="182"/>
        <v>4.9999999999954525E-3</v>
      </c>
      <c r="AO519">
        <f t="shared" si="183"/>
        <v>0.18000000000000682</v>
      </c>
      <c r="AP519">
        <f>63.5+62.5+65+6</f>
        <v>197</v>
      </c>
      <c r="AQ519">
        <v>1016</v>
      </c>
      <c r="AR519">
        <v>22</v>
      </c>
      <c r="AS519">
        <v>34</v>
      </c>
      <c r="AT519">
        <f t="shared" si="184"/>
        <v>5.3137007027131622</v>
      </c>
      <c r="AU519">
        <f t="shared" si="185"/>
        <v>87.179999999999978</v>
      </c>
      <c r="AV519">
        <v>1016</v>
      </c>
      <c r="AW519">
        <f t="shared" si="186"/>
        <v>3311.8476714842859</v>
      </c>
      <c r="AX519">
        <f t="shared" si="187"/>
        <v>1.3176534715689075E-5</v>
      </c>
      <c r="AY519">
        <f t="shared" si="188"/>
        <v>9.0052904904069074E-4</v>
      </c>
      <c r="AZ519">
        <f t="shared" si="189"/>
        <v>20.081797793607404</v>
      </c>
      <c r="BA519">
        <f t="shared" si="190"/>
        <v>0.85549525228432588</v>
      </c>
    </row>
    <row r="520" spans="1:53" x14ac:dyDescent="0.25">
      <c r="A520" t="s">
        <v>3</v>
      </c>
      <c r="B520" t="s">
        <v>18</v>
      </c>
      <c r="C520">
        <v>10</v>
      </c>
      <c r="G520">
        <f t="shared" si="181"/>
        <v>363.4375</v>
      </c>
      <c r="H520" s="7">
        <v>45078.4375</v>
      </c>
      <c r="AF520">
        <v>187.81</v>
      </c>
      <c r="AG520">
        <v>140</v>
      </c>
      <c r="AL520">
        <v>335.44</v>
      </c>
      <c r="AM520">
        <v>335.19</v>
      </c>
      <c r="AN520">
        <f t="shared" si="182"/>
        <v>-9.9999999999909051E-3</v>
      </c>
      <c r="AO520">
        <f t="shared" si="183"/>
        <v>0.25</v>
      </c>
      <c r="AP520">
        <f>63+63.5+62.5+65</f>
        <v>254</v>
      </c>
      <c r="AQ520">
        <v>1016</v>
      </c>
      <c r="AR520">
        <v>22</v>
      </c>
      <c r="AS520">
        <v>34</v>
      </c>
      <c r="AT520">
        <f t="shared" si="184"/>
        <v>5.3137007027131622</v>
      </c>
      <c r="AU520">
        <f t="shared" si="185"/>
        <v>62.19</v>
      </c>
      <c r="AV520">
        <v>1016</v>
      </c>
      <c r="AW520">
        <f t="shared" si="186"/>
        <v>5165.606045988101</v>
      </c>
      <c r="AX520">
        <f t="shared" si="187"/>
        <v>8.3987822461869623E-6</v>
      </c>
      <c r="AY520">
        <f t="shared" si="188"/>
        <v>9.7585318625775005E-4</v>
      </c>
      <c r="AZ520">
        <f t="shared" si="189"/>
        <v>21.761526053547826</v>
      </c>
      <c r="BA520">
        <f t="shared" si="190"/>
        <v>0.79544061303010982</v>
      </c>
    </row>
    <row r="521" spans="1:53" x14ac:dyDescent="0.25">
      <c r="A521" t="s">
        <v>4</v>
      </c>
      <c r="B521" t="s">
        <v>18</v>
      </c>
      <c r="C521">
        <v>20</v>
      </c>
      <c r="G521">
        <f t="shared" si="181"/>
        <v>363.4375</v>
      </c>
      <c r="H521" s="7">
        <v>45078.4375</v>
      </c>
      <c r="AF521">
        <v>181.58</v>
      </c>
      <c r="AG521">
        <v>139.4</v>
      </c>
      <c r="AL521">
        <v>327.52999999999997</v>
      </c>
      <c r="AM521">
        <v>327.45999999999998</v>
      </c>
      <c r="AN521">
        <f t="shared" si="182"/>
        <v>-1.4999999999986358E-2</v>
      </c>
      <c r="AO521">
        <f t="shared" si="183"/>
        <v>6.9999999999993179E-2</v>
      </c>
      <c r="AP521">
        <v>30</v>
      </c>
      <c r="AQ521">
        <v>1016</v>
      </c>
      <c r="AR521">
        <v>22</v>
      </c>
      <c r="AS521">
        <v>34</v>
      </c>
      <c r="AT521">
        <f t="shared" si="184"/>
        <v>5.3137007027131622</v>
      </c>
      <c r="AU521">
        <f t="shared" si="185"/>
        <v>68.419999999999987</v>
      </c>
      <c r="AV521">
        <v>1016</v>
      </c>
      <c r="AW521">
        <f t="shared" si="186"/>
        <v>1461.4837766734875</v>
      </c>
      <c r="AX521">
        <f t="shared" si="187"/>
        <v>3.0488594942698683E-5</v>
      </c>
      <c r="AY521">
        <f t="shared" si="188"/>
        <v>2.302844738390407E-3</v>
      </c>
      <c r="AZ521">
        <f t="shared" si="189"/>
        <v>51.353437666106075</v>
      </c>
      <c r="BA521">
        <f t="shared" si="190"/>
        <v>-0.26254693121580541</v>
      </c>
    </row>
    <row r="522" spans="1:53" x14ac:dyDescent="0.25">
      <c r="A522" t="s">
        <v>5</v>
      </c>
      <c r="B522" t="s">
        <v>18</v>
      </c>
      <c r="C522">
        <v>20</v>
      </c>
      <c r="G522">
        <f t="shared" si="181"/>
        <v>363.4375</v>
      </c>
      <c r="H522" s="7">
        <v>45078.4375</v>
      </c>
      <c r="AF522">
        <v>201.8</v>
      </c>
      <c r="AG522">
        <v>139.81</v>
      </c>
      <c r="AL522">
        <v>348.48</v>
      </c>
      <c r="AM522">
        <v>348.41</v>
      </c>
      <c r="AN522">
        <f t="shared" si="182"/>
        <v>-4.9999999999954525E-3</v>
      </c>
      <c r="AO522">
        <f t="shared" si="183"/>
        <v>6.9999999999993179E-2</v>
      </c>
      <c r="AP522">
        <v>41.5</v>
      </c>
      <c r="AQ522">
        <v>1016</v>
      </c>
      <c r="AR522">
        <v>22</v>
      </c>
      <c r="AS522">
        <v>34</v>
      </c>
      <c r="AT522">
        <f t="shared" si="184"/>
        <v>5.3137007027131622</v>
      </c>
      <c r="AU522">
        <f t="shared" si="185"/>
        <v>48.199999999999989</v>
      </c>
      <c r="AV522">
        <v>1016</v>
      </c>
      <c r="AW522">
        <f t="shared" si="186"/>
        <v>1890.7717842323655</v>
      </c>
      <c r="AX522">
        <f t="shared" si="187"/>
        <v>2.3366185017410768E-5</v>
      </c>
      <c r="AY522">
        <f t="shared" si="188"/>
        <v>1.663380802934232E-3</v>
      </c>
      <c r="AZ522">
        <f t="shared" si="189"/>
        <v>37.093391905433371</v>
      </c>
      <c r="BA522">
        <f t="shared" si="190"/>
        <v>0.24728666766416257</v>
      </c>
    </row>
    <row r="523" spans="1:53" x14ac:dyDescent="0.25">
      <c r="A523" t="s">
        <v>6</v>
      </c>
      <c r="B523" t="s">
        <v>18</v>
      </c>
      <c r="C523">
        <v>20</v>
      </c>
      <c r="G523">
        <f t="shared" si="181"/>
        <v>363.4375</v>
      </c>
      <c r="H523" s="7">
        <v>45078.4375</v>
      </c>
      <c r="AF523">
        <v>205.13</v>
      </c>
      <c r="AG523">
        <v>139.01</v>
      </c>
      <c r="AL523">
        <v>350.89</v>
      </c>
      <c r="AM523">
        <v>350.82</v>
      </c>
      <c r="AN523">
        <f t="shared" si="182"/>
        <v>-4.9999999999954525E-3</v>
      </c>
      <c r="AO523">
        <f t="shared" si="183"/>
        <v>6.9999999999993179E-2</v>
      </c>
      <c r="AP523">
        <v>40</v>
      </c>
      <c r="AQ523">
        <v>1016</v>
      </c>
      <c r="AR523">
        <v>22</v>
      </c>
      <c r="AS523">
        <v>34</v>
      </c>
      <c r="AT523">
        <f t="shared" si="184"/>
        <v>5.3137007027131622</v>
      </c>
      <c r="AU523">
        <f t="shared" si="185"/>
        <v>44.870000000000005</v>
      </c>
      <c r="AV523">
        <v>1016</v>
      </c>
      <c r="AW523">
        <f t="shared" si="186"/>
        <v>1921.7276576777356</v>
      </c>
      <c r="AX523">
        <f t="shared" si="187"/>
        <v>2.2979090783556912E-5</v>
      </c>
      <c r="AY523">
        <f t="shared" si="188"/>
        <v>1.7270209092162725E-3</v>
      </c>
      <c r="AZ523">
        <f t="shared" si="189"/>
        <v>38.512566275522879</v>
      </c>
      <c r="BA523">
        <f t="shared" si="190"/>
        <v>0.19654750534419446</v>
      </c>
    </row>
    <row r="524" spans="1:53" x14ac:dyDescent="0.25">
      <c r="A524" t="s">
        <v>7</v>
      </c>
      <c r="B524" t="s">
        <v>18</v>
      </c>
      <c r="C524">
        <v>20</v>
      </c>
      <c r="G524">
        <f t="shared" si="181"/>
        <v>363.4375</v>
      </c>
      <c r="H524" s="7">
        <v>45078.4375</v>
      </c>
      <c r="AF524">
        <v>177.85000000000002</v>
      </c>
      <c r="AG524">
        <v>139.94999999999999</v>
      </c>
      <c r="AL524">
        <v>325.16000000000003</v>
      </c>
      <c r="AM524">
        <v>325.10000000000002</v>
      </c>
      <c r="AN524">
        <f t="shared" si="182"/>
        <v>4.9999999999954525E-3</v>
      </c>
      <c r="AO524">
        <f t="shared" si="183"/>
        <v>6.0000000000002274E-2</v>
      </c>
      <c r="AP524">
        <v>45</v>
      </c>
      <c r="AQ524">
        <v>1016</v>
      </c>
      <c r="AR524">
        <v>22</v>
      </c>
      <c r="AS524">
        <v>34</v>
      </c>
      <c r="AT524">
        <f t="shared" si="184"/>
        <v>5.3137007027131622</v>
      </c>
      <c r="AU524">
        <f t="shared" si="185"/>
        <v>72.149999999999977</v>
      </c>
      <c r="AV524">
        <v>1016</v>
      </c>
      <c r="AW524">
        <f t="shared" si="186"/>
        <v>1649.6798336798338</v>
      </c>
      <c r="AX524">
        <f t="shared" si="187"/>
        <v>2.6894683613737084E-5</v>
      </c>
      <c r="AY524">
        <f t="shared" si="188"/>
        <v>1.3064386497196468E-3</v>
      </c>
      <c r="AZ524">
        <f t="shared" si="189"/>
        <v>29.133581888748125</v>
      </c>
      <c r="BA524">
        <f t="shared" si="190"/>
        <v>0.53187050808909098</v>
      </c>
    </row>
    <row r="525" spans="1:53" x14ac:dyDescent="0.25">
      <c r="A525" t="s">
        <v>8</v>
      </c>
      <c r="B525" t="s">
        <v>19</v>
      </c>
      <c r="C525">
        <v>10</v>
      </c>
      <c r="G525">
        <f t="shared" si="181"/>
        <v>363.4375</v>
      </c>
      <c r="H525" s="7">
        <v>45078.4375</v>
      </c>
      <c r="AF525">
        <v>142.11999999999998</v>
      </c>
      <c r="AG525">
        <v>139.71</v>
      </c>
      <c r="AL525">
        <v>287.74</v>
      </c>
      <c r="AM525">
        <v>287.58999999999997</v>
      </c>
      <c r="AN525">
        <f t="shared" si="182"/>
        <v>-9.9999999999909051E-3</v>
      </c>
      <c r="AO525">
        <f t="shared" si="183"/>
        <v>0.15000000000003411</v>
      </c>
      <c r="AP525">
        <f>62.5+60.5+16</f>
        <v>139</v>
      </c>
      <c r="AQ525">
        <v>1016</v>
      </c>
      <c r="AR525">
        <v>22</v>
      </c>
      <c r="AS525">
        <v>34</v>
      </c>
      <c r="AT525">
        <f t="shared" si="184"/>
        <v>5.3137007027131622</v>
      </c>
      <c r="AU525">
        <f t="shared" si="185"/>
        <v>107.88000000000002</v>
      </c>
      <c r="AV525">
        <v>1016</v>
      </c>
      <c r="AW525">
        <f t="shared" si="186"/>
        <v>2325.0841675936222</v>
      </c>
      <c r="AX525">
        <f t="shared" si="187"/>
        <v>1.8899433465653118E-5</v>
      </c>
      <c r="AY525">
        <f t="shared" si="188"/>
        <v>1.0602372571820744E-3</v>
      </c>
      <c r="AZ525">
        <f t="shared" si="189"/>
        <v>23.643290835160258</v>
      </c>
      <c r="BA525">
        <f t="shared" si="190"/>
        <v>0.72816264443474221</v>
      </c>
    </row>
    <row r="526" spans="1:53" x14ac:dyDescent="0.25">
      <c r="A526" t="s">
        <v>9</v>
      </c>
      <c r="B526" t="s">
        <v>19</v>
      </c>
      <c r="C526">
        <v>10</v>
      </c>
      <c r="G526">
        <f t="shared" si="181"/>
        <v>363.4375</v>
      </c>
      <c r="H526" s="7">
        <v>45078.4375</v>
      </c>
      <c r="AF526">
        <v>136.42000000000002</v>
      </c>
      <c r="AG526">
        <v>139.75</v>
      </c>
      <c r="AL526">
        <v>282.27</v>
      </c>
      <c r="AM526">
        <v>282.14</v>
      </c>
      <c r="AN526">
        <f t="shared" si="182"/>
        <v>9.9999999999909051E-3</v>
      </c>
      <c r="AO526">
        <f t="shared" si="183"/>
        <v>0.12999999999999545</v>
      </c>
      <c r="AP526">
        <f>61.5+55.5</f>
        <v>117</v>
      </c>
      <c r="AQ526">
        <v>1016</v>
      </c>
      <c r="AR526">
        <v>22</v>
      </c>
      <c r="AS526">
        <v>34</v>
      </c>
      <c r="AT526">
        <f t="shared" si="184"/>
        <v>5.3137007027131622</v>
      </c>
      <c r="AU526">
        <f t="shared" si="185"/>
        <v>113.57999999999998</v>
      </c>
      <c r="AV526">
        <v>1016</v>
      </c>
      <c r="AW526">
        <f t="shared" si="186"/>
        <v>2062.5927099841524</v>
      </c>
      <c r="AX526">
        <f t="shared" si="187"/>
        <v>2.1368231275474052E-5</v>
      </c>
      <c r="AY526">
        <f t="shared" si="188"/>
        <v>1.0897428798355981E-3</v>
      </c>
      <c r="AZ526">
        <f t="shared" si="189"/>
        <v>24.30126622033384</v>
      </c>
      <c r="BA526">
        <f t="shared" si="190"/>
        <v>0.70463831890118556</v>
      </c>
    </row>
    <row r="527" spans="1:53" x14ac:dyDescent="0.25">
      <c r="A527" t="s">
        <v>10</v>
      </c>
      <c r="B527" t="s">
        <v>19</v>
      </c>
      <c r="C527">
        <v>10</v>
      </c>
      <c r="G527">
        <f t="shared" si="181"/>
        <v>363.4375</v>
      </c>
      <c r="H527" s="7">
        <v>45078.4375</v>
      </c>
      <c r="AF527">
        <v>117.85000000000002</v>
      </c>
      <c r="AG527">
        <v>140.44999999999999</v>
      </c>
      <c r="AL527">
        <v>264.33999999999997</v>
      </c>
      <c r="AM527">
        <v>264.2</v>
      </c>
      <c r="AN527">
        <f t="shared" si="182"/>
        <v>0</v>
      </c>
      <c r="AO527">
        <f t="shared" si="183"/>
        <v>0.13999999999998636</v>
      </c>
      <c r="AP527">
        <f>61.5+55</f>
        <v>116.5</v>
      </c>
      <c r="AQ527">
        <v>1016</v>
      </c>
      <c r="AR527">
        <v>22</v>
      </c>
      <c r="AS527">
        <v>34</v>
      </c>
      <c r="AT527">
        <f t="shared" si="184"/>
        <v>5.3137007027131622</v>
      </c>
      <c r="AU527">
        <f t="shared" si="185"/>
        <v>132.14999999999998</v>
      </c>
      <c r="AV527">
        <v>1016</v>
      </c>
      <c r="AW527">
        <f t="shared" si="186"/>
        <v>1911.6791524782445</v>
      </c>
      <c r="AX527">
        <f t="shared" si="187"/>
        <v>2.3103330911112431E-5</v>
      </c>
      <c r="AY527">
        <f t="shared" si="188"/>
        <v>1.1786134072861955E-3</v>
      </c>
      <c r="AZ527">
        <f t="shared" si="189"/>
        <v>26.283078982482159</v>
      </c>
      <c r="BA527">
        <f t="shared" si="190"/>
        <v>0.63378337567099896</v>
      </c>
    </row>
    <row r="528" spans="1:53" x14ac:dyDescent="0.25">
      <c r="A528" t="s">
        <v>11</v>
      </c>
      <c r="B528" t="s">
        <v>19</v>
      </c>
      <c r="C528">
        <v>10</v>
      </c>
      <c r="G528">
        <f t="shared" si="181"/>
        <v>363.4375</v>
      </c>
      <c r="H528" s="7">
        <v>45078.4375</v>
      </c>
      <c r="AF528">
        <v>107.53</v>
      </c>
      <c r="AG528">
        <v>140</v>
      </c>
      <c r="AL528">
        <v>254.67</v>
      </c>
      <c r="AM528">
        <v>254.565</v>
      </c>
      <c r="AN528">
        <f t="shared" si="182"/>
        <v>-4.9999999999954525E-3</v>
      </c>
      <c r="AO528">
        <f t="shared" si="183"/>
        <v>0.10499999999998977</v>
      </c>
      <c r="AP528">
        <f>63+33</f>
        <v>96</v>
      </c>
      <c r="AQ528">
        <v>1016</v>
      </c>
      <c r="AR528">
        <v>22</v>
      </c>
      <c r="AS528">
        <v>34</v>
      </c>
      <c r="AT528">
        <f t="shared" si="184"/>
        <v>5.3137007027131622</v>
      </c>
      <c r="AU528">
        <f t="shared" si="185"/>
        <v>142.47</v>
      </c>
      <c r="AV528">
        <v>1016</v>
      </c>
      <c r="AW528">
        <f t="shared" si="186"/>
        <v>1700.6072857443673</v>
      </c>
      <c r="AX528">
        <f t="shared" si="187"/>
        <v>2.606330126455391E-5</v>
      </c>
      <c r="AY528">
        <f t="shared" si="188"/>
        <v>1.0676866987353395E-3</v>
      </c>
      <c r="AZ528">
        <f t="shared" si="189"/>
        <v>23.809413381798073</v>
      </c>
      <c r="BA528">
        <f t="shared" si="190"/>
        <v>0.7222233327923463</v>
      </c>
    </row>
    <row r="529" spans="1:53" x14ac:dyDescent="0.25">
      <c r="A529" t="s">
        <v>12</v>
      </c>
      <c r="B529" t="s">
        <v>19</v>
      </c>
      <c r="C529">
        <v>20</v>
      </c>
      <c r="G529">
        <f t="shared" si="181"/>
        <v>363.4375</v>
      </c>
      <c r="H529" s="7">
        <v>45078.4375</v>
      </c>
      <c r="AF529">
        <v>109.43</v>
      </c>
      <c r="AG529">
        <v>140.19999999999999</v>
      </c>
      <c r="AL529">
        <v>257.36</v>
      </c>
      <c r="AM529">
        <v>257.32</v>
      </c>
      <c r="AN529">
        <f t="shared" si="182"/>
        <v>2.4999999999977263E-2</v>
      </c>
      <c r="AO529">
        <f t="shared" si="183"/>
        <v>4.0000000000020464E-2</v>
      </c>
      <c r="AP529">
        <v>19</v>
      </c>
      <c r="AQ529">
        <v>1016</v>
      </c>
      <c r="AR529">
        <v>22</v>
      </c>
      <c r="AS529">
        <v>34</v>
      </c>
      <c r="AT529">
        <f t="shared" si="184"/>
        <v>5.3137007027131622</v>
      </c>
      <c r="AU529">
        <f t="shared" si="185"/>
        <v>140.57</v>
      </c>
      <c r="AV529">
        <v>1016</v>
      </c>
      <c r="AW529">
        <f t="shared" si="186"/>
        <v>1153.3265988475493</v>
      </c>
      <c r="AX529">
        <f t="shared" si="187"/>
        <v>3.9028286140717003E-5</v>
      </c>
      <c r="AY529">
        <f t="shared" si="188"/>
        <v>2.0662348717550971E-3</v>
      </c>
      <c r="AZ529">
        <f t="shared" si="189"/>
        <v>46.077037640138663</v>
      </c>
      <c r="BA529">
        <f t="shared" si="190"/>
        <v>-7.3901953526587946E-2</v>
      </c>
    </row>
    <row r="530" spans="1:53" x14ac:dyDescent="0.25">
      <c r="A530" t="s">
        <v>13</v>
      </c>
      <c r="B530" t="s">
        <v>19</v>
      </c>
      <c r="C530">
        <v>20</v>
      </c>
      <c r="G530">
        <f t="shared" si="181"/>
        <v>363.4375</v>
      </c>
      <c r="H530" s="7">
        <v>45078.4375</v>
      </c>
      <c r="AF530">
        <v>129.52999999999997</v>
      </c>
      <c r="AG530">
        <v>140.24</v>
      </c>
      <c r="AL530">
        <v>277.54000000000002</v>
      </c>
      <c r="AM530">
        <v>277.48</v>
      </c>
      <c r="AN530">
        <f t="shared" si="182"/>
        <v>4.9999999999954525E-3</v>
      </c>
      <c r="AO530">
        <f t="shared" si="183"/>
        <v>6.0000000000002274E-2</v>
      </c>
      <c r="AP530">
        <v>25.5</v>
      </c>
      <c r="AQ530">
        <v>1016</v>
      </c>
      <c r="AR530">
        <v>22</v>
      </c>
      <c r="AS530">
        <v>34</v>
      </c>
      <c r="AT530">
        <f t="shared" si="184"/>
        <v>5.3137007027131622</v>
      </c>
      <c r="AU530">
        <f t="shared" si="185"/>
        <v>120.47000000000003</v>
      </c>
      <c r="AV530">
        <v>1016</v>
      </c>
      <c r="AW530">
        <f t="shared" si="186"/>
        <v>1231.0576907113805</v>
      </c>
      <c r="AX530">
        <f t="shared" si="187"/>
        <v>3.6452806027910733E-5</v>
      </c>
      <c r="AY530">
        <f t="shared" si="188"/>
        <v>2.3164883704427665E-3</v>
      </c>
      <c r="AZ530">
        <f t="shared" si="189"/>
        <v>51.657690660873691</v>
      </c>
      <c r="BA530">
        <f t="shared" si="190"/>
        <v>-0.27342476442165509</v>
      </c>
    </row>
    <row r="531" spans="1:53" x14ac:dyDescent="0.25">
      <c r="A531" t="s">
        <v>14</v>
      </c>
      <c r="B531" t="s">
        <v>19</v>
      </c>
      <c r="C531">
        <v>20</v>
      </c>
      <c r="G531">
        <f t="shared" si="181"/>
        <v>363.4375</v>
      </c>
      <c r="H531" s="7">
        <v>45078.4375</v>
      </c>
      <c r="AF531">
        <v>94.359999999999985</v>
      </c>
      <c r="AG531">
        <v>138.74</v>
      </c>
      <c r="AL531">
        <v>241</v>
      </c>
      <c r="AM531">
        <v>240.98</v>
      </c>
      <c r="AN531">
        <f t="shared" si="182"/>
        <v>9.9999999999909051E-3</v>
      </c>
      <c r="AO531">
        <f t="shared" si="183"/>
        <v>2.0000000000010232E-2</v>
      </c>
      <c r="AP531">
        <v>12</v>
      </c>
      <c r="AQ531">
        <v>1016</v>
      </c>
      <c r="AR531">
        <v>22</v>
      </c>
      <c r="AS531">
        <v>34</v>
      </c>
      <c r="AT531">
        <f t="shared" si="184"/>
        <v>5.3137007027131622</v>
      </c>
      <c r="AU531">
        <f t="shared" si="185"/>
        <v>155.64000000000001</v>
      </c>
      <c r="AV531">
        <v>1016</v>
      </c>
      <c r="AW531">
        <f t="shared" si="186"/>
        <v>1094.3346183500385</v>
      </c>
      <c r="AX531">
        <f t="shared" si="187"/>
        <v>4.1239543513790658E-5</v>
      </c>
      <c r="AY531">
        <f t="shared" si="188"/>
        <v>1.6254271231537288E-3</v>
      </c>
      <c r="AZ531">
        <f t="shared" si="189"/>
        <v>36.247024846328152</v>
      </c>
      <c r="BA531">
        <f t="shared" si="190"/>
        <v>0.27754648386384861</v>
      </c>
    </row>
    <row r="532" spans="1:53" x14ac:dyDescent="0.25">
      <c r="A532" t="s">
        <v>15</v>
      </c>
      <c r="B532" t="s">
        <v>19</v>
      </c>
      <c r="C532">
        <v>20</v>
      </c>
      <c r="G532">
        <f t="shared" si="181"/>
        <v>363.4375</v>
      </c>
      <c r="H532" s="7">
        <v>45078.4375</v>
      </c>
      <c r="AF532">
        <v>85.4</v>
      </c>
      <c r="AG532">
        <v>140.1</v>
      </c>
      <c r="AL532">
        <v>233.27</v>
      </c>
      <c r="AM532">
        <v>233.25</v>
      </c>
      <c r="AN532">
        <f t="shared" si="182"/>
        <v>-5.0000000000238742E-3</v>
      </c>
      <c r="AO532">
        <f t="shared" si="183"/>
        <v>2.0000000000010232E-2</v>
      </c>
      <c r="AP532">
        <v>18.5</v>
      </c>
      <c r="AQ532">
        <v>1016</v>
      </c>
      <c r="AR532">
        <v>22</v>
      </c>
      <c r="AS532">
        <v>34</v>
      </c>
      <c r="AT532">
        <f t="shared" si="184"/>
        <v>5.3137007027131622</v>
      </c>
      <c r="AU532">
        <f t="shared" si="185"/>
        <v>164.6</v>
      </c>
      <c r="AV532">
        <v>1016</v>
      </c>
      <c r="AW532">
        <f t="shared" si="186"/>
        <v>1130.1919805589307</v>
      </c>
      <c r="AX532">
        <f t="shared" si="187"/>
        <v>3.9866594792097852E-5</v>
      </c>
      <c r="AY532">
        <f t="shared" si="188"/>
        <v>1.0412144862895364E-3</v>
      </c>
      <c r="AZ532">
        <f t="shared" si="189"/>
        <v>23.21908304425666</v>
      </c>
      <c r="BA532">
        <f t="shared" si="190"/>
        <v>0.74332917253283304</v>
      </c>
    </row>
    <row r="533" spans="1:53" x14ac:dyDescent="0.25">
      <c r="A533" t="s">
        <v>0</v>
      </c>
      <c r="B533" t="s">
        <v>18</v>
      </c>
      <c r="C533">
        <v>10</v>
      </c>
      <c r="G533">
        <f t="shared" si="181"/>
        <v>367.41666666666424</v>
      </c>
      <c r="H533" s="7">
        <v>45082.416666666664</v>
      </c>
      <c r="AF533">
        <v>172.77</v>
      </c>
      <c r="AG533">
        <v>139.16999999999999</v>
      </c>
      <c r="AL533">
        <v>319.18</v>
      </c>
      <c r="AM533">
        <v>318.91000000000003</v>
      </c>
      <c r="AN533">
        <f t="shared" ref="AN533:AN597" si="191">AM517-AL533</f>
        <v>6.0000000000002274E-2</v>
      </c>
      <c r="AO533">
        <f t="shared" ref="AO533:AO724" si="192">AL533-AM533</f>
        <v>0.26999999999998181</v>
      </c>
      <c r="AP533">
        <f>63+62+62+64</f>
        <v>251</v>
      </c>
      <c r="AQ533">
        <v>1004</v>
      </c>
      <c r="AR533">
        <v>22</v>
      </c>
      <c r="AS533">
        <v>34</v>
      </c>
      <c r="AT533">
        <f t="shared" ref="AT533:AT548" si="193">0.61094*EXP(17.625*AS533/(243.04+AS533))</f>
        <v>5.3137007027131622</v>
      </c>
      <c r="AU533">
        <f t="shared" ref="AU533:AU548" si="194">250-AF533</f>
        <v>77.22999999999999</v>
      </c>
      <c r="AV533">
        <v>1016</v>
      </c>
      <c r="AW533">
        <f t="shared" ref="AW533:AW548" si="195">AP533/AU533*AV533+AV533</f>
        <v>4318.0328887737924</v>
      </c>
      <c r="AX533">
        <f t="shared" ref="AX533:AX548" si="196">18.02*(AT533/(AW533/10-AT533)*1/22300)</f>
        <v>1.0067892719814935E-5</v>
      </c>
      <c r="AY533">
        <f t="shared" ref="AY533:AY548" si="197">(AL533-AM533)/AP533-AX533</f>
        <v>1.0656293184354911E-3</v>
      </c>
      <c r="AZ533">
        <f t="shared" ref="AZ533:AZ548" si="198">AY533*22300</f>
        <v>23.76353380111145</v>
      </c>
      <c r="BA533">
        <f t="shared" ref="BA533:BA548" si="199">(44.01-AZ533)/(44.01-16.04)</f>
        <v>0.7238636467246532</v>
      </c>
    </row>
    <row r="534" spans="1:53" x14ac:dyDescent="0.25">
      <c r="A534" t="s">
        <v>1</v>
      </c>
      <c r="B534" t="s">
        <v>18</v>
      </c>
      <c r="C534">
        <v>10</v>
      </c>
      <c r="G534">
        <f t="shared" si="181"/>
        <v>367.41666666666424</v>
      </c>
      <c r="H534" s="7">
        <v>45082.416666666664</v>
      </c>
      <c r="AF534">
        <v>173.93</v>
      </c>
      <c r="AG534">
        <v>141.25</v>
      </c>
      <c r="AL534">
        <v>321.91000000000003</v>
      </c>
      <c r="AM534">
        <v>321.61</v>
      </c>
      <c r="AN534">
        <f t="shared" si="191"/>
        <v>9.9999999999909051E-3</v>
      </c>
      <c r="AO534">
        <f t="shared" si="192"/>
        <v>0.30000000000001137</v>
      </c>
      <c r="AP534">
        <f>65+65+61+26</f>
        <v>217</v>
      </c>
      <c r="AQ534">
        <v>1004</v>
      </c>
      <c r="AR534">
        <v>22</v>
      </c>
      <c r="AS534">
        <v>34</v>
      </c>
      <c r="AT534">
        <f t="shared" si="193"/>
        <v>5.3137007027131622</v>
      </c>
      <c r="AU534">
        <f t="shared" si="194"/>
        <v>76.069999999999993</v>
      </c>
      <c r="AV534">
        <v>1016</v>
      </c>
      <c r="AW534">
        <f t="shared" si="195"/>
        <v>3914.2779019324312</v>
      </c>
      <c r="AX534">
        <f t="shared" si="196"/>
        <v>1.1120680484688462E-5</v>
      </c>
      <c r="AY534">
        <f t="shared" si="197"/>
        <v>1.3713677987780368E-3</v>
      </c>
      <c r="AZ534">
        <f t="shared" si="198"/>
        <v>30.581501912750223</v>
      </c>
      <c r="BA534">
        <f t="shared" si="199"/>
        <v>0.480103614131204</v>
      </c>
    </row>
    <row r="535" spans="1:53" x14ac:dyDescent="0.25">
      <c r="A535" t="s">
        <v>2</v>
      </c>
      <c r="B535" t="s">
        <v>18</v>
      </c>
      <c r="C535">
        <v>10</v>
      </c>
      <c r="G535">
        <f t="shared" si="181"/>
        <v>367.41666666666424</v>
      </c>
      <c r="H535" s="7">
        <v>45082.416666666664</v>
      </c>
      <c r="AF535">
        <v>162.82000000000002</v>
      </c>
      <c r="AG535">
        <v>140.66</v>
      </c>
      <c r="AL535">
        <v>310.62</v>
      </c>
      <c r="AM535">
        <v>310.45</v>
      </c>
      <c r="AN535">
        <f t="shared" si="191"/>
        <v>9.9999999999909051E-3</v>
      </c>
      <c r="AO535">
        <f t="shared" si="192"/>
        <v>0.17000000000001592</v>
      </c>
      <c r="AP535">
        <f>65+61.5+65+4</f>
        <v>195.5</v>
      </c>
      <c r="AQ535">
        <v>1004</v>
      </c>
      <c r="AR535">
        <v>22</v>
      </c>
      <c r="AS535">
        <v>34</v>
      </c>
      <c r="AT535">
        <f t="shared" si="193"/>
        <v>5.3137007027131622</v>
      </c>
      <c r="AU535">
        <f t="shared" si="194"/>
        <v>87.179999999999978</v>
      </c>
      <c r="AV535">
        <v>1016</v>
      </c>
      <c r="AW535">
        <f t="shared" si="195"/>
        <v>3294.3665978435429</v>
      </c>
      <c r="AX535">
        <f t="shared" si="196"/>
        <v>1.3247600330524696E-5</v>
      </c>
      <c r="AY535">
        <f t="shared" si="197"/>
        <v>8.5631761706086106E-4</v>
      </c>
      <c r="AZ535">
        <f t="shared" si="198"/>
        <v>19.095882860457202</v>
      </c>
      <c r="BA535">
        <f t="shared" si="199"/>
        <v>0.89074426669799056</v>
      </c>
    </row>
    <row r="536" spans="1:53" x14ac:dyDescent="0.25">
      <c r="A536" t="s">
        <v>3</v>
      </c>
      <c r="B536" t="s">
        <v>18</v>
      </c>
      <c r="C536">
        <v>10</v>
      </c>
      <c r="G536">
        <f t="shared" si="181"/>
        <v>367.41666666666424</v>
      </c>
      <c r="H536" s="7">
        <v>45082.416666666664</v>
      </c>
      <c r="AF536">
        <v>187.81</v>
      </c>
      <c r="AG536">
        <v>140</v>
      </c>
      <c r="AL536">
        <v>335.18</v>
      </c>
      <c r="AM536">
        <v>334.86</v>
      </c>
      <c r="AN536">
        <f t="shared" si="191"/>
        <v>9.9999999999909051E-3</v>
      </c>
      <c r="AO536">
        <f t="shared" si="192"/>
        <v>0.31999999999999318</v>
      </c>
      <c r="AP536">
        <f>65+65+65+65+61</f>
        <v>321</v>
      </c>
      <c r="AQ536">
        <v>1004</v>
      </c>
      <c r="AR536">
        <v>22</v>
      </c>
      <c r="AS536">
        <v>34</v>
      </c>
      <c r="AT536">
        <f t="shared" si="193"/>
        <v>5.3137007027131622</v>
      </c>
      <c r="AU536">
        <f t="shared" si="194"/>
        <v>62.19</v>
      </c>
      <c r="AV536">
        <v>1016</v>
      </c>
      <c r="AW536">
        <f t="shared" si="195"/>
        <v>6260.1871683550416</v>
      </c>
      <c r="AX536">
        <f t="shared" si="196"/>
        <v>6.9177005312648911E-6</v>
      </c>
      <c r="AY536">
        <f t="shared" si="197"/>
        <v>9.8996703467120603E-4</v>
      </c>
      <c r="AZ536">
        <f t="shared" si="198"/>
        <v>22.076264873167894</v>
      </c>
      <c r="BA536">
        <f t="shared" si="199"/>
        <v>0.78418788440586717</v>
      </c>
    </row>
    <row r="537" spans="1:53" x14ac:dyDescent="0.25">
      <c r="A537" t="s">
        <v>4</v>
      </c>
      <c r="B537" t="s">
        <v>18</v>
      </c>
      <c r="C537">
        <v>20</v>
      </c>
      <c r="G537">
        <f t="shared" si="181"/>
        <v>367.41666666666424</v>
      </c>
      <c r="H537" s="7">
        <v>45082.416666666664</v>
      </c>
      <c r="AF537">
        <v>181.58</v>
      </c>
      <c r="AG537">
        <v>139.4</v>
      </c>
      <c r="AL537">
        <v>327.44</v>
      </c>
      <c r="AM537">
        <v>327.39999999999998</v>
      </c>
      <c r="AN537">
        <f t="shared" si="191"/>
        <v>1.999999999998181E-2</v>
      </c>
      <c r="AO537">
        <f t="shared" si="192"/>
        <v>4.0000000000020464E-2</v>
      </c>
      <c r="AP537">
        <f>35</f>
        <v>35</v>
      </c>
      <c r="AQ537">
        <v>1004</v>
      </c>
      <c r="AR537">
        <v>22</v>
      </c>
      <c r="AS537">
        <v>34</v>
      </c>
      <c r="AT537">
        <f t="shared" si="193"/>
        <v>5.3137007027131622</v>
      </c>
      <c r="AU537">
        <f t="shared" si="194"/>
        <v>68.419999999999987</v>
      </c>
      <c r="AV537">
        <v>1016</v>
      </c>
      <c r="AW537">
        <f t="shared" si="195"/>
        <v>1535.7310727857353</v>
      </c>
      <c r="AX537">
        <f t="shared" si="196"/>
        <v>2.8961746974641649E-5</v>
      </c>
      <c r="AY537">
        <f t="shared" si="197"/>
        <v>1.1138953958830858E-3</v>
      </c>
      <c r="AZ537">
        <f t="shared" si="198"/>
        <v>24.839867328192813</v>
      </c>
      <c r="BA537">
        <f t="shared" si="199"/>
        <v>0.68538193320726437</v>
      </c>
    </row>
    <row r="538" spans="1:53" x14ac:dyDescent="0.25">
      <c r="A538" t="s">
        <v>5</v>
      </c>
      <c r="B538" t="s">
        <v>18</v>
      </c>
      <c r="C538">
        <v>20</v>
      </c>
      <c r="G538">
        <f t="shared" si="181"/>
        <v>367.41666666666424</v>
      </c>
      <c r="H538" s="7">
        <v>45082.416666666664</v>
      </c>
      <c r="AF538">
        <v>201.8</v>
      </c>
      <c r="AG538">
        <v>139.81</v>
      </c>
      <c r="AL538">
        <v>348.43</v>
      </c>
      <c r="AM538">
        <v>348.34</v>
      </c>
      <c r="AN538">
        <f t="shared" si="191"/>
        <v>-1.999999999998181E-2</v>
      </c>
      <c r="AO538">
        <f t="shared" si="192"/>
        <v>9.0000000000031832E-2</v>
      </c>
      <c r="AP538">
        <v>44.5</v>
      </c>
      <c r="AQ538">
        <v>1004</v>
      </c>
      <c r="AR538">
        <v>22</v>
      </c>
      <c r="AS538">
        <v>34</v>
      </c>
      <c r="AT538">
        <f t="shared" si="193"/>
        <v>5.3137007027131622</v>
      </c>
      <c r="AU538">
        <f t="shared" si="194"/>
        <v>48.199999999999989</v>
      </c>
      <c r="AV538">
        <v>1016</v>
      </c>
      <c r="AW538">
        <f t="shared" si="195"/>
        <v>1954.0082987551868</v>
      </c>
      <c r="AX538">
        <f t="shared" si="196"/>
        <v>2.2588859322280106E-5</v>
      </c>
      <c r="AY538">
        <f t="shared" si="197"/>
        <v>1.9998830507907948E-3</v>
      </c>
      <c r="AZ538">
        <f t="shared" si="198"/>
        <v>44.597392032634723</v>
      </c>
      <c r="BA538">
        <f t="shared" si="199"/>
        <v>-2.100078772380138E-2</v>
      </c>
    </row>
    <row r="539" spans="1:53" x14ac:dyDescent="0.25">
      <c r="A539" t="s">
        <v>6</v>
      </c>
      <c r="B539" t="s">
        <v>18</v>
      </c>
      <c r="C539">
        <v>20</v>
      </c>
      <c r="G539">
        <f t="shared" si="181"/>
        <v>367.41666666666424</v>
      </c>
      <c r="H539" s="7">
        <v>45082.416666666664</v>
      </c>
      <c r="AF539">
        <v>205.13</v>
      </c>
      <c r="AG539">
        <v>139.01</v>
      </c>
      <c r="AL539">
        <v>350.82</v>
      </c>
      <c r="AM539">
        <v>350.74</v>
      </c>
      <c r="AN539">
        <f t="shared" si="191"/>
        <v>0</v>
      </c>
      <c r="AO539">
        <f t="shared" si="192"/>
        <v>7.9999999999984084E-2</v>
      </c>
      <c r="AP539">
        <v>44.5</v>
      </c>
      <c r="AQ539">
        <v>1004</v>
      </c>
      <c r="AR539">
        <v>22</v>
      </c>
      <c r="AS539">
        <v>34</v>
      </c>
      <c r="AT539">
        <f t="shared" si="193"/>
        <v>5.3137007027131622</v>
      </c>
      <c r="AU539">
        <f t="shared" si="194"/>
        <v>44.870000000000005</v>
      </c>
      <c r="AV539">
        <v>1016</v>
      </c>
      <c r="AW539">
        <f t="shared" si="195"/>
        <v>2023.6220191664806</v>
      </c>
      <c r="AX539">
        <f t="shared" si="196"/>
        <v>2.1790835217765859E-5</v>
      </c>
      <c r="AY539">
        <f t="shared" si="197"/>
        <v>1.7759619737706405E-3</v>
      </c>
      <c r="AZ539">
        <f t="shared" si="198"/>
        <v>39.603952015085284</v>
      </c>
      <c r="BA539">
        <f t="shared" si="199"/>
        <v>0.15752763621432658</v>
      </c>
    </row>
    <row r="540" spans="1:53" x14ac:dyDescent="0.25">
      <c r="A540" t="s">
        <v>7</v>
      </c>
      <c r="B540" t="s">
        <v>18</v>
      </c>
      <c r="C540">
        <v>20</v>
      </c>
      <c r="G540">
        <f t="shared" si="181"/>
        <v>367.41666666666424</v>
      </c>
      <c r="H540" s="7">
        <v>45082.416666666664</v>
      </c>
      <c r="AF540">
        <v>177.85000000000002</v>
      </c>
      <c r="AG540">
        <v>139.94999999999999</v>
      </c>
      <c r="AL540">
        <v>325.08999999999997</v>
      </c>
      <c r="AM540">
        <v>325</v>
      </c>
      <c r="AN540">
        <f t="shared" si="191"/>
        <v>1.0000000000047748E-2</v>
      </c>
      <c r="AO540">
        <f t="shared" si="192"/>
        <v>8.9999999999974989E-2</v>
      </c>
      <c r="AP540">
        <v>46</v>
      </c>
      <c r="AQ540">
        <v>1004</v>
      </c>
      <c r="AR540">
        <v>22</v>
      </c>
      <c r="AS540">
        <v>34</v>
      </c>
      <c r="AT540">
        <f t="shared" si="193"/>
        <v>5.3137007027131622</v>
      </c>
      <c r="AU540">
        <f t="shared" si="194"/>
        <v>72.149999999999977</v>
      </c>
      <c r="AV540">
        <v>1016</v>
      </c>
      <c r="AW540">
        <f t="shared" si="195"/>
        <v>1663.761607761608</v>
      </c>
      <c r="AX540">
        <f t="shared" si="196"/>
        <v>2.6659542005644956E-5</v>
      </c>
      <c r="AY540">
        <f t="shared" si="197"/>
        <v>1.9298621971242463E-3</v>
      </c>
      <c r="AZ540">
        <f t="shared" si="198"/>
        <v>43.035926995870689</v>
      </c>
      <c r="BA540">
        <f t="shared" si="199"/>
        <v>3.4825634756142622E-2</v>
      </c>
    </row>
    <row r="541" spans="1:53" x14ac:dyDescent="0.25">
      <c r="A541" t="s">
        <v>8</v>
      </c>
      <c r="B541" t="s">
        <v>19</v>
      </c>
      <c r="C541">
        <v>10</v>
      </c>
      <c r="G541">
        <f t="shared" si="181"/>
        <v>367.41666666666424</v>
      </c>
      <c r="H541" s="7">
        <v>45082.416666666664</v>
      </c>
      <c r="AF541">
        <v>142.11999999999998</v>
      </c>
      <c r="AG541">
        <v>139.71</v>
      </c>
      <c r="AL541">
        <v>287.57</v>
      </c>
      <c r="AM541">
        <v>287.43</v>
      </c>
      <c r="AN541">
        <f t="shared" si="191"/>
        <v>1.999999999998181E-2</v>
      </c>
      <c r="AO541">
        <f t="shared" si="192"/>
        <v>0.13999999999998636</v>
      </c>
      <c r="AP541">
        <f>64.5+37.5</f>
        <v>102</v>
      </c>
      <c r="AQ541">
        <v>1004</v>
      </c>
      <c r="AR541">
        <v>22</v>
      </c>
      <c r="AS541">
        <v>34</v>
      </c>
      <c r="AT541">
        <f t="shared" si="193"/>
        <v>5.3137007027131622</v>
      </c>
      <c r="AU541">
        <f t="shared" si="194"/>
        <v>107.88000000000002</v>
      </c>
      <c r="AV541">
        <v>1016</v>
      </c>
      <c r="AW541">
        <f t="shared" si="195"/>
        <v>1976.6229143492769</v>
      </c>
      <c r="AX541">
        <f t="shared" si="196"/>
        <v>2.2323279850999487E-5</v>
      </c>
      <c r="AY541">
        <f t="shared" si="197"/>
        <v>1.3502257397567099E-3</v>
      </c>
      <c r="AZ541">
        <f t="shared" si="198"/>
        <v>30.110033996574632</v>
      </c>
      <c r="BA541">
        <f t="shared" si="199"/>
        <v>0.49695981420898699</v>
      </c>
    </row>
    <row r="542" spans="1:53" x14ac:dyDescent="0.25">
      <c r="A542" t="s">
        <v>9</v>
      </c>
      <c r="B542" t="s">
        <v>19</v>
      </c>
      <c r="C542">
        <v>10</v>
      </c>
      <c r="G542">
        <f t="shared" si="181"/>
        <v>367.41666666666424</v>
      </c>
      <c r="H542" s="7">
        <v>45082.416666666664</v>
      </c>
      <c r="AF542">
        <v>136.42000000000002</v>
      </c>
      <c r="AG542">
        <v>139.75</v>
      </c>
      <c r="AL542">
        <v>282.12</v>
      </c>
      <c r="AM542">
        <v>281.99</v>
      </c>
      <c r="AN542">
        <f t="shared" si="191"/>
        <v>1.999999999998181E-2</v>
      </c>
      <c r="AO542">
        <f t="shared" si="192"/>
        <v>0.12999999999999545</v>
      </c>
      <c r="AP542">
        <f>65+11.5</f>
        <v>76.5</v>
      </c>
      <c r="AQ542">
        <v>1004</v>
      </c>
      <c r="AR542">
        <v>22</v>
      </c>
      <c r="AS542">
        <v>34</v>
      </c>
      <c r="AT542">
        <f t="shared" si="193"/>
        <v>5.3137007027131622</v>
      </c>
      <c r="AU542">
        <f t="shared" si="194"/>
        <v>113.57999999999998</v>
      </c>
      <c r="AV542">
        <v>1016</v>
      </c>
      <c r="AW542">
        <f t="shared" si="195"/>
        <v>1700.3106180665611</v>
      </c>
      <c r="AX542">
        <f t="shared" si="196"/>
        <v>2.6067995450406752E-5</v>
      </c>
      <c r="AY542">
        <f t="shared" si="197"/>
        <v>1.6732784097782919E-3</v>
      </c>
      <c r="AZ542">
        <f t="shared" si="198"/>
        <v>37.314108538055912</v>
      </c>
      <c r="BA542">
        <f t="shared" si="199"/>
        <v>0.23939547593650648</v>
      </c>
    </row>
    <row r="543" spans="1:53" x14ac:dyDescent="0.25">
      <c r="A543" t="s">
        <v>10</v>
      </c>
      <c r="B543" t="s">
        <v>19</v>
      </c>
      <c r="C543">
        <v>10</v>
      </c>
      <c r="G543">
        <f t="shared" si="181"/>
        <v>367.41666666666424</v>
      </c>
      <c r="H543" s="7">
        <v>45082.416666666664</v>
      </c>
      <c r="AF543">
        <v>117.85000000000002</v>
      </c>
      <c r="AG543">
        <v>140.44999999999999</v>
      </c>
      <c r="AL543">
        <v>264.20999999999998</v>
      </c>
      <c r="AM543">
        <v>264.08999999999997</v>
      </c>
      <c r="AN543">
        <f t="shared" si="191"/>
        <v>-9.9999999999909051E-3</v>
      </c>
      <c r="AO543">
        <f t="shared" si="192"/>
        <v>0.12000000000000455</v>
      </c>
      <c r="AP543">
        <f>65+3</f>
        <v>68</v>
      </c>
      <c r="AQ543">
        <v>1004</v>
      </c>
      <c r="AR543">
        <v>22</v>
      </c>
      <c r="AS543">
        <v>34</v>
      </c>
      <c r="AT543">
        <f t="shared" si="193"/>
        <v>5.3137007027131622</v>
      </c>
      <c r="AU543">
        <f t="shared" si="194"/>
        <v>132.14999999999998</v>
      </c>
      <c r="AV543">
        <v>1016</v>
      </c>
      <c r="AW543">
        <f t="shared" si="195"/>
        <v>1538.7998486568295</v>
      </c>
      <c r="AX543">
        <f t="shared" si="196"/>
        <v>2.8901923771280773E-5</v>
      </c>
      <c r="AY543">
        <f t="shared" si="197"/>
        <v>1.7358039585817272E-3</v>
      </c>
      <c r="AZ543">
        <f t="shared" si="198"/>
        <v>38.708428276372516</v>
      </c>
      <c r="BA543">
        <f t="shared" si="199"/>
        <v>0.18954493112718923</v>
      </c>
    </row>
    <row r="544" spans="1:53" x14ac:dyDescent="0.25">
      <c r="A544" t="s">
        <v>11</v>
      </c>
      <c r="B544" t="s">
        <v>19</v>
      </c>
      <c r="C544">
        <v>10</v>
      </c>
      <c r="G544">
        <f t="shared" si="181"/>
        <v>367.41666666666424</v>
      </c>
      <c r="H544" s="7">
        <v>45082.416666666664</v>
      </c>
      <c r="AF544">
        <v>107.53</v>
      </c>
      <c r="AG544">
        <v>140</v>
      </c>
      <c r="AL544">
        <v>254.565</v>
      </c>
      <c r="AM544">
        <v>254.41</v>
      </c>
      <c r="AN544">
        <f t="shared" si="191"/>
        <v>0</v>
      </c>
      <c r="AO544">
        <f t="shared" si="192"/>
        <v>0.15500000000000114</v>
      </c>
      <c r="AP544">
        <f>65+65+27.5</f>
        <v>157.5</v>
      </c>
      <c r="AQ544">
        <v>1004</v>
      </c>
      <c r="AR544">
        <v>22</v>
      </c>
      <c r="AS544">
        <v>34</v>
      </c>
      <c r="AT544">
        <f t="shared" si="193"/>
        <v>5.3137007027131622</v>
      </c>
      <c r="AU544">
        <f t="shared" si="194"/>
        <v>142.47</v>
      </c>
      <c r="AV544">
        <v>1016</v>
      </c>
      <c r="AW544">
        <f t="shared" si="195"/>
        <v>2139.1838281743526</v>
      </c>
      <c r="AX544">
        <f t="shared" si="196"/>
        <v>2.0583677107972043E-5</v>
      </c>
      <c r="AY544">
        <f t="shared" si="197"/>
        <v>9.6354330701901934E-4</v>
      </c>
      <c r="AZ544">
        <f t="shared" si="198"/>
        <v>21.487015746524133</v>
      </c>
      <c r="BA544">
        <f t="shared" si="199"/>
        <v>0.80525506805419611</v>
      </c>
    </row>
    <row r="545" spans="1:53" x14ac:dyDescent="0.25">
      <c r="A545" t="s">
        <v>12</v>
      </c>
      <c r="B545" t="s">
        <v>19</v>
      </c>
      <c r="C545">
        <v>20</v>
      </c>
      <c r="G545">
        <f t="shared" si="181"/>
        <v>367.41666666666424</v>
      </c>
      <c r="H545" s="7">
        <v>45082.416666666664</v>
      </c>
      <c r="AF545">
        <v>109.43</v>
      </c>
      <c r="AG545">
        <v>140.19999999999999</v>
      </c>
      <c r="AL545">
        <v>257.3</v>
      </c>
      <c r="AM545">
        <v>257.27999999999997</v>
      </c>
      <c r="AN545">
        <f t="shared" si="191"/>
        <v>1.999999999998181E-2</v>
      </c>
      <c r="AO545">
        <f t="shared" si="192"/>
        <v>2.0000000000038654E-2</v>
      </c>
      <c r="AP545">
        <v>20</v>
      </c>
      <c r="AQ545">
        <v>1004</v>
      </c>
      <c r="AR545">
        <v>22</v>
      </c>
      <c r="AS545">
        <v>34</v>
      </c>
      <c r="AT545">
        <f t="shared" si="193"/>
        <v>5.3137007027131622</v>
      </c>
      <c r="AU545">
        <f t="shared" si="194"/>
        <v>140.57</v>
      </c>
      <c r="AV545">
        <v>1016</v>
      </c>
      <c r="AW545">
        <f t="shared" si="195"/>
        <v>1160.5543145763677</v>
      </c>
      <c r="AX545">
        <f t="shared" si="196"/>
        <v>3.877356250971981E-5</v>
      </c>
      <c r="AY545">
        <f t="shared" si="197"/>
        <v>9.6122643749221295E-4</v>
      </c>
      <c r="AZ545">
        <f t="shared" si="198"/>
        <v>21.43534955607635</v>
      </c>
      <c r="BA545">
        <f t="shared" si="199"/>
        <v>0.80710226828472109</v>
      </c>
    </row>
    <row r="546" spans="1:53" x14ac:dyDescent="0.25">
      <c r="A546" t="s">
        <v>13</v>
      </c>
      <c r="B546" t="s">
        <v>19</v>
      </c>
      <c r="C546">
        <v>20</v>
      </c>
      <c r="G546">
        <f t="shared" si="181"/>
        <v>367.41666666666424</v>
      </c>
      <c r="H546" s="7">
        <v>45082.416666666664</v>
      </c>
      <c r="AF546">
        <v>129.52999999999997</v>
      </c>
      <c r="AG546">
        <v>140.24</v>
      </c>
      <c r="AL546">
        <v>277.45999999999998</v>
      </c>
      <c r="AM546">
        <v>277.43</v>
      </c>
      <c r="AN546">
        <f t="shared" si="191"/>
        <v>2.0000000000038654E-2</v>
      </c>
      <c r="AO546">
        <f t="shared" si="192"/>
        <v>2.9999999999972715E-2</v>
      </c>
      <c r="AP546">
        <v>20</v>
      </c>
      <c r="AQ546">
        <v>1004</v>
      </c>
      <c r="AR546">
        <v>22</v>
      </c>
      <c r="AS546">
        <v>34</v>
      </c>
      <c r="AT546">
        <f t="shared" si="193"/>
        <v>5.3137007027131622</v>
      </c>
      <c r="AU546">
        <f t="shared" si="194"/>
        <v>120.47000000000003</v>
      </c>
      <c r="AV546">
        <v>1016</v>
      </c>
      <c r="AW546">
        <f t="shared" si="195"/>
        <v>1184.6726985971611</v>
      </c>
      <c r="AX546">
        <f t="shared" si="196"/>
        <v>3.7947114278850388E-5</v>
      </c>
      <c r="AY546">
        <f t="shared" si="197"/>
        <v>1.4620528857197852E-3</v>
      </c>
      <c r="AZ546">
        <f t="shared" si="198"/>
        <v>32.603779351551211</v>
      </c>
      <c r="BA546">
        <f t="shared" si="199"/>
        <v>0.40780195382369638</v>
      </c>
    </row>
    <row r="547" spans="1:53" x14ac:dyDescent="0.25">
      <c r="A547" t="s">
        <v>14</v>
      </c>
      <c r="B547" t="s">
        <v>19</v>
      </c>
      <c r="C547">
        <v>20</v>
      </c>
      <c r="G547">
        <f t="shared" si="181"/>
        <v>367.41666666666424</v>
      </c>
      <c r="H547" s="7">
        <v>45082.416666666664</v>
      </c>
      <c r="AF547">
        <v>94.359999999999985</v>
      </c>
      <c r="AG547">
        <v>138.74</v>
      </c>
      <c r="AL547">
        <v>240.97</v>
      </c>
      <c r="AM547">
        <v>240.93</v>
      </c>
      <c r="AN547">
        <f t="shared" si="191"/>
        <v>9.9999999999909051E-3</v>
      </c>
      <c r="AO547">
        <f t="shared" si="192"/>
        <v>3.9999999999992042E-2</v>
      </c>
      <c r="AP547">
        <v>13</v>
      </c>
      <c r="AQ547">
        <v>1004</v>
      </c>
      <c r="AR547">
        <v>22</v>
      </c>
      <c r="AS547">
        <v>34</v>
      </c>
      <c r="AT547">
        <f t="shared" si="193"/>
        <v>5.3137007027131622</v>
      </c>
      <c r="AU547">
        <f t="shared" si="194"/>
        <v>155.64000000000001</v>
      </c>
      <c r="AV547">
        <v>1016</v>
      </c>
      <c r="AW547">
        <f t="shared" si="195"/>
        <v>1100.8625032125417</v>
      </c>
      <c r="AX547">
        <f t="shared" si="196"/>
        <v>4.0982599311496875E-5</v>
      </c>
      <c r="AY547">
        <f t="shared" si="197"/>
        <v>3.0359404776109677E-3</v>
      </c>
      <c r="AZ547">
        <f t="shared" si="198"/>
        <v>67.701472650724583</v>
      </c>
      <c r="BA547">
        <f t="shared" si="199"/>
        <v>-0.84703155705129018</v>
      </c>
    </row>
    <row r="548" spans="1:53" x14ac:dyDescent="0.25">
      <c r="A548" t="s">
        <v>15</v>
      </c>
      <c r="B548" t="s">
        <v>19</v>
      </c>
      <c r="C548">
        <v>20</v>
      </c>
      <c r="G548">
        <f t="shared" si="181"/>
        <v>367.41666666666424</v>
      </c>
      <c r="H548" s="7">
        <v>45082.416666666664</v>
      </c>
      <c r="AF548">
        <v>85.4</v>
      </c>
      <c r="AG548">
        <v>140.1</v>
      </c>
      <c r="AL548">
        <v>233.25</v>
      </c>
      <c r="AM548">
        <v>233.17</v>
      </c>
      <c r="AN548">
        <f t="shared" si="191"/>
        <v>0</v>
      </c>
      <c r="AO548">
        <f t="shared" si="192"/>
        <v>8.0000000000012506E-2</v>
      </c>
      <c r="AP548">
        <v>16</v>
      </c>
      <c r="AQ548">
        <v>1004</v>
      </c>
      <c r="AR548">
        <v>22</v>
      </c>
      <c r="AS548">
        <v>34</v>
      </c>
      <c r="AT548">
        <f t="shared" si="193"/>
        <v>5.3137007027131622</v>
      </c>
      <c r="AU548">
        <f t="shared" si="194"/>
        <v>164.6</v>
      </c>
      <c r="AV548">
        <v>1016</v>
      </c>
      <c r="AW548">
        <f t="shared" si="195"/>
        <v>1114.7606318347509</v>
      </c>
      <c r="AX548">
        <f t="shared" si="196"/>
        <v>4.0446080131635125E-5</v>
      </c>
      <c r="AY548">
        <f t="shared" si="197"/>
        <v>4.9595539198691464E-3</v>
      </c>
      <c r="AZ548">
        <f t="shared" si="198"/>
        <v>110.59805241308196</v>
      </c>
      <c r="BA548">
        <f t="shared" si="199"/>
        <v>-2.3806954741895585</v>
      </c>
    </row>
    <row r="549" spans="1:53" x14ac:dyDescent="0.25">
      <c r="A549" t="s">
        <v>0</v>
      </c>
      <c r="B549" t="s">
        <v>18</v>
      </c>
      <c r="C549">
        <v>10</v>
      </c>
      <c r="G549">
        <f t="shared" si="181"/>
        <v>371.375</v>
      </c>
      <c r="H549" s="7">
        <v>45086.375</v>
      </c>
      <c r="AF549">
        <v>172.77</v>
      </c>
      <c r="AG549">
        <v>139.16999999999999</v>
      </c>
      <c r="AL549">
        <v>318.89</v>
      </c>
      <c r="AM549">
        <v>318.66000000000003</v>
      </c>
      <c r="AN549">
        <f t="shared" si="191"/>
        <v>2.0000000000038654E-2</v>
      </c>
      <c r="AO549">
        <f t="shared" si="192"/>
        <v>0.22999999999996135</v>
      </c>
      <c r="AP549">
        <f>61.5+65+65+45</f>
        <v>236.5</v>
      </c>
      <c r="AQ549">
        <v>1019</v>
      </c>
      <c r="AR549">
        <v>22</v>
      </c>
      <c r="AS549">
        <v>34</v>
      </c>
      <c r="AT549">
        <f t="shared" ref="AT549:AT564" si="200">0.61094*EXP(17.625*AS549/(243.04+AS549))</f>
        <v>5.3137007027131622</v>
      </c>
      <c r="AU549">
        <f t="shared" ref="AU549:AU564" si="201">250-AF549</f>
        <v>77.22999999999999</v>
      </c>
      <c r="AV549">
        <v>1019</v>
      </c>
      <c r="AW549">
        <f t="shared" ref="AW549:AW564" si="202">AP549/AU549*AV549+AV549</f>
        <v>4139.4648452673837</v>
      </c>
      <c r="AX549">
        <f t="shared" ref="AX549:AX564" si="203">18.02*(AT549/(AW549/10-AT549)*1/22300)</f>
        <v>1.0507848586396601E-5</v>
      </c>
      <c r="AY549">
        <f t="shared" ref="AY549:AY564" si="204">(AL549-AM549)/AP549-AX549</f>
        <v>9.6200800765022646E-4</v>
      </c>
      <c r="AZ549">
        <f t="shared" ref="AZ549:AZ564" si="205">AY549*22300</f>
        <v>21.452778570600049</v>
      </c>
      <c r="BA549">
        <f t="shared" ref="BA549:BA564" si="206">(44.01-AZ549)/(44.01-16.04)</f>
        <v>0.80647913583839648</v>
      </c>
    </row>
    <row r="550" spans="1:53" x14ac:dyDescent="0.25">
      <c r="A550" t="s">
        <v>1</v>
      </c>
      <c r="B550" t="s">
        <v>18</v>
      </c>
      <c r="C550">
        <v>10</v>
      </c>
      <c r="G550">
        <f t="shared" si="181"/>
        <v>371.375</v>
      </c>
      <c r="H550" s="7">
        <v>45086.375</v>
      </c>
      <c r="AF550">
        <v>173.93</v>
      </c>
      <c r="AG550">
        <v>141.25</v>
      </c>
      <c r="AL550">
        <v>321.62</v>
      </c>
      <c r="AM550">
        <v>321.3</v>
      </c>
      <c r="AN550">
        <f t="shared" si="191"/>
        <v>-9.9999999999909051E-3</v>
      </c>
      <c r="AO550">
        <f t="shared" si="192"/>
        <v>0.31999999999999318</v>
      </c>
      <c r="AP550">
        <f>65+65+65+39.5</f>
        <v>234.5</v>
      </c>
      <c r="AQ550">
        <v>1019</v>
      </c>
      <c r="AR550">
        <v>22</v>
      </c>
      <c r="AS550">
        <v>34</v>
      </c>
      <c r="AT550">
        <f t="shared" si="200"/>
        <v>5.3137007027131622</v>
      </c>
      <c r="AU550">
        <f t="shared" si="201"/>
        <v>76.069999999999993</v>
      </c>
      <c r="AV550">
        <v>1019</v>
      </c>
      <c r="AW550">
        <f t="shared" si="202"/>
        <v>4160.2580517944007</v>
      </c>
      <c r="AX550">
        <f t="shared" si="203"/>
        <v>1.0454650284367022E-5</v>
      </c>
      <c r="AY550">
        <f t="shared" si="204"/>
        <v>1.3541508934256253E-3</v>
      </c>
      <c r="AZ550">
        <f t="shared" si="205"/>
        <v>30.197564923391443</v>
      </c>
      <c r="BA550">
        <f t="shared" si="206"/>
        <v>0.49383035668961583</v>
      </c>
    </row>
    <row r="551" spans="1:53" x14ac:dyDescent="0.25">
      <c r="A551" t="s">
        <v>2</v>
      </c>
      <c r="B551" t="s">
        <v>18</v>
      </c>
      <c r="C551">
        <v>10</v>
      </c>
      <c r="G551">
        <f t="shared" ref="G551:G566" si="207">H551-$H$18</f>
        <v>371.375</v>
      </c>
      <c r="H551" s="7">
        <v>45086.375</v>
      </c>
      <c r="AF551">
        <v>162.82000000000002</v>
      </c>
      <c r="AG551">
        <v>140.66</v>
      </c>
      <c r="AL551">
        <v>310.45</v>
      </c>
      <c r="AM551">
        <v>310.26</v>
      </c>
      <c r="AN551">
        <f t="shared" si="191"/>
        <v>0</v>
      </c>
      <c r="AO551">
        <f t="shared" si="192"/>
        <v>0.18999999999999773</v>
      </c>
      <c r="AP551">
        <f>65+65+56</f>
        <v>186</v>
      </c>
      <c r="AQ551">
        <v>1019</v>
      </c>
      <c r="AR551">
        <v>22</v>
      </c>
      <c r="AS551">
        <v>34</v>
      </c>
      <c r="AT551">
        <f t="shared" si="200"/>
        <v>5.3137007027131622</v>
      </c>
      <c r="AU551">
        <f t="shared" si="201"/>
        <v>87.179999999999978</v>
      </c>
      <c r="AV551">
        <v>1019</v>
      </c>
      <c r="AW551">
        <f t="shared" si="202"/>
        <v>3193.0536820371649</v>
      </c>
      <c r="AX551">
        <f t="shared" si="203"/>
        <v>1.3675048940102432E-5</v>
      </c>
      <c r="AY551">
        <f t="shared" si="204"/>
        <v>1.0078303274039713E-3</v>
      </c>
      <c r="AZ551">
        <f t="shared" si="205"/>
        <v>22.474616301108558</v>
      </c>
      <c r="BA551">
        <f t="shared" si="206"/>
        <v>0.76994578830502114</v>
      </c>
    </row>
    <row r="552" spans="1:53" x14ac:dyDescent="0.25">
      <c r="A552" t="s">
        <v>3</v>
      </c>
      <c r="B552" t="s">
        <v>18</v>
      </c>
      <c r="C552">
        <v>10</v>
      </c>
      <c r="G552">
        <f t="shared" si="207"/>
        <v>371.375</v>
      </c>
      <c r="H552" s="7">
        <v>45086.375</v>
      </c>
      <c r="AF552">
        <v>187.81</v>
      </c>
      <c r="AG552">
        <v>140</v>
      </c>
      <c r="AL552">
        <v>334.85</v>
      </c>
      <c r="AM552">
        <v>334.62</v>
      </c>
      <c r="AN552">
        <f t="shared" si="191"/>
        <v>9.9999999999909051E-3</v>
      </c>
      <c r="AO552">
        <f t="shared" si="192"/>
        <v>0.23000000000001819</v>
      </c>
      <c r="AP552">
        <f>65+65+65+41</f>
        <v>236</v>
      </c>
      <c r="AQ552">
        <v>1019</v>
      </c>
      <c r="AR552">
        <v>22</v>
      </c>
      <c r="AS552">
        <v>34</v>
      </c>
      <c r="AT552">
        <f t="shared" si="200"/>
        <v>5.3137007027131622</v>
      </c>
      <c r="AU552">
        <f t="shared" si="201"/>
        <v>62.19</v>
      </c>
      <c r="AV552">
        <v>1019</v>
      </c>
      <c r="AW552">
        <f t="shared" si="202"/>
        <v>4885.9239427560697</v>
      </c>
      <c r="AX552">
        <f t="shared" si="203"/>
        <v>8.8848349347164865E-6</v>
      </c>
      <c r="AY552">
        <f t="shared" si="204"/>
        <v>9.6569143625180136E-4</v>
      </c>
      <c r="AZ552">
        <f t="shared" si="205"/>
        <v>21.534919028415171</v>
      </c>
      <c r="BA552">
        <f t="shared" si="206"/>
        <v>0.80354240155827061</v>
      </c>
    </row>
    <row r="553" spans="1:53" x14ac:dyDescent="0.25">
      <c r="A553" t="s">
        <v>4</v>
      </c>
      <c r="B553" t="s">
        <v>18</v>
      </c>
      <c r="C553">
        <v>20</v>
      </c>
      <c r="G553">
        <f t="shared" si="207"/>
        <v>371.375</v>
      </c>
      <c r="H553" s="7">
        <v>45086.375</v>
      </c>
      <c r="AF553">
        <v>181.58</v>
      </c>
      <c r="AG553">
        <v>139.4</v>
      </c>
      <c r="AL553">
        <v>327.39</v>
      </c>
      <c r="AM553">
        <v>327.32</v>
      </c>
      <c r="AN553">
        <f t="shared" si="191"/>
        <v>9.9999999999909051E-3</v>
      </c>
      <c r="AO553">
        <f t="shared" si="192"/>
        <v>6.9999999999993179E-2</v>
      </c>
      <c r="AP553">
        <v>32</v>
      </c>
      <c r="AQ553">
        <v>1019</v>
      </c>
      <c r="AR553">
        <v>22</v>
      </c>
      <c r="AS553">
        <v>34</v>
      </c>
      <c r="AT553">
        <f t="shared" si="200"/>
        <v>5.3137007027131622</v>
      </c>
      <c r="AU553">
        <f t="shared" si="201"/>
        <v>68.419999999999987</v>
      </c>
      <c r="AV553">
        <v>1019</v>
      </c>
      <c r="AW553">
        <f t="shared" si="202"/>
        <v>1495.5857936275943</v>
      </c>
      <c r="AX553">
        <f t="shared" si="203"/>
        <v>2.9767791132330343E-5</v>
      </c>
      <c r="AY553">
        <f t="shared" si="204"/>
        <v>2.1577322088674566E-3</v>
      </c>
      <c r="AZ553">
        <f t="shared" si="205"/>
        <v>48.11742825774428</v>
      </c>
      <c r="BA553">
        <f t="shared" si="206"/>
        <v>-0.14685120692686027</v>
      </c>
    </row>
    <row r="554" spans="1:53" x14ac:dyDescent="0.25">
      <c r="A554" t="s">
        <v>5</v>
      </c>
      <c r="B554" t="s">
        <v>18</v>
      </c>
      <c r="C554">
        <v>20</v>
      </c>
      <c r="G554">
        <f t="shared" si="207"/>
        <v>371.375</v>
      </c>
      <c r="H554" s="7">
        <v>45086.375</v>
      </c>
      <c r="AF554">
        <v>201.8</v>
      </c>
      <c r="AG554">
        <v>139.81</v>
      </c>
      <c r="AL554">
        <v>348.34</v>
      </c>
      <c r="AM554">
        <v>348.26</v>
      </c>
      <c r="AN554">
        <f t="shared" si="191"/>
        <v>0</v>
      </c>
      <c r="AO554">
        <f t="shared" si="192"/>
        <v>7.9999999999984084E-2</v>
      </c>
      <c r="AP554">
        <v>49</v>
      </c>
      <c r="AQ554">
        <v>1019</v>
      </c>
      <c r="AR554">
        <v>22</v>
      </c>
      <c r="AS554">
        <v>34</v>
      </c>
      <c r="AT554">
        <f t="shared" si="200"/>
        <v>5.3137007027131622</v>
      </c>
      <c r="AU554">
        <f t="shared" si="201"/>
        <v>48.199999999999989</v>
      </c>
      <c r="AV554">
        <v>1019</v>
      </c>
      <c r="AW554">
        <f t="shared" si="202"/>
        <v>2054.9128630705395</v>
      </c>
      <c r="AX554">
        <f t="shared" si="203"/>
        <v>2.1450210856012446E-5</v>
      </c>
      <c r="AY554">
        <f t="shared" si="204"/>
        <v>1.6112028503681526E-3</v>
      </c>
      <c r="AZ554">
        <f t="shared" si="205"/>
        <v>35.929823563209801</v>
      </c>
      <c r="BA554">
        <f t="shared" si="206"/>
        <v>0.28888725194101528</v>
      </c>
    </row>
    <row r="555" spans="1:53" x14ac:dyDescent="0.25">
      <c r="A555" t="s">
        <v>6</v>
      </c>
      <c r="B555" t="s">
        <v>18</v>
      </c>
      <c r="C555">
        <v>20</v>
      </c>
      <c r="G555">
        <f t="shared" si="207"/>
        <v>371.375</v>
      </c>
      <c r="H555" s="7">
        <v>45086.375</v>
      </c>
      <c r="AF555">
        <v>205.13</v>
      </c>
      <c r="AG555">
        <v>139.01</v>
      </c>
      <c r="AL555">
        <v>350.76</v>
      </c>
      <c r="AM555">
        <v>350.66</v>
      </c>
      <c r="AN555">
        <f t="shared" si="191"/>
        <v>-1.999999999998181E-2</v>
      </c>
      <c r="AO555">
        <f t="shared" si="192"/>
        <v>9.9999999999965894E-2</v>
      </c>
      <c r="AP555">
        <v>45</v>
      </c>
      <c r="AQ555">
        <v>1019</v>
      </c>
      <c r="AR555">
        <v>22</v>
      </c>
      <c r="AS555">
        <v>34</v>
      </c>
      <c r="AT555">
        <f t="shared" si="200"/>
        <v>5.3137007027131622</v>
      </c>
      <c r="AU555">
        <f t="shared" si="201"/>
        <v>44.870000000000005</v>
      </c>
      <c r="AV555">
        <v>1019</v>
      </c>
      <c r="AW555">
        <f t="shared" si="202"/>
        <v>2040.952306663695</v>
      </c>
      <c r="AX555">
        <f t="shared" si="203"/>
        <v>2.1600857084889351E-5</v>
      </c>
      <c r="AY555">
        <f t="shared" si="204"/>
        <v>2.2006213651365749E-3</v>
      </c>
      <c r="AZ555">
        <f t="shared" si="205"/>
        <v>49.073856442545619</v>
      </c>
      <c r="BA555">
        <f t="shared" si="206"/>
        <v>-0.18104599365554599</v>
      </c>
    </row>
    <row r="556" spans="1:53" x14ac:dyDescent="0.25">
      <c r="A556" t="s">
        <v>7</v>
      </c>
      <c r="B556" t="s">
        <v>18</v>
      </c>
      <c r="C556">
        <v>20</v>
      </c>
      <c r="G556">
        <f t="shared" si="207"/>
        <v>371.375</v>
      </c>
      <c r="H556" s="7">
        <v>45086.375</v>
      </c>
      <c r="AF556">
        <v>177.85000000000002</v>
      </c>
      <c r="AG556">
        <v>139.94999999999999</v>
      </c>
      <c r="AL556">
        <v>325.01</v>
      </c>
      <c r="AM556">
        <v>324.90499999999997</v>
      </c>
      <c r="AN556">
        <f t="shared" si="191"/>
        <v>-9.9999999999909051E-3</v>
      </c>
      <c r="AO556">
        <f t="shared" si="192"/>
        <v>0.10500000000001819</v>
      </c>
      <c r="AP556">
        <v>54</v>
      </c>
      <c r="AQ556">
        <v>1019</v>
      </c>
      <c r="AR556">
        <v>22</v>
      </c>
      <c r="AS556">
        <v>34</v>
      </c>
      <c r="AT556">
        <f t="shared" si="200"/>
        <v>5.3137007027131622</v>
      </c>
      <c r="AU556">
        <f t="shared" si="201"/>
        <v>72.149999999999977</v>
      </c>
      <c r="AV556">
        <v>1019</v>
      </c>
      <c r="AW556">
        <f t="shared" si="202"/>
        <v>1781.661122661123</v>
      </c>
      <c r="AX556">
        <f t="shared" si="203"/>
        <v>2.4841142689442227E-5</v>
      </c>
      <c r="AY556">
        <f t="shared" si="204"/>
        <v>1.9196033017553392E-3</v>
      </c>
      <c r="AZ556">
        <f t="shared" si="205"/>
        <v>42.807153629144068</v>
      </c>
      <c r="BA556">
        <f t="shared" si="206"/>
        <v>4.3004875611581339E-2</v>
      </c>
    </row>
    <row r="557" spans="1:53" x14ac:dyDescent="0.25">
      <c r="A557" t="s">
        <v>8</v>
      </c>
      <c r="B557" t="s">
        <v>19</v>
      </c>
      <c r="C557">
        <v>10</v>
      </c>
      <c r="G557">
        <f t="shared" si="207"/>
        <v>371.375</v>
      </c>
      <c r="H557" s="7">
        <v>45086.375</v>
      </c>
      <c r="AF557">
        <v>142.11999999999998</v>
      </c>
      <c r="AG557">
        <v>139.71</v>
      </c>
      <c r="AL557">
        <v>287.41000000000003</v>
      </c>
      <c r="AM557">
        <v>287.3</v>
      </c>
      <c r="AN557">
        <f t="shared" si="191"/>
        <v>1.999999999998181E-2</v>
      </c>
      <c r="AO557">
        <f t="shared" si="192"/>
        <v>0.11000000000001364</v>
      </c>
      <c r="AP557">
        <v>62</v>
      </c>
      <c r="AQ557">
        <v>1019</v>
      </c>
      <c r="AR557">
        <v>22</v>
      </c>
      <c r="AS557">
        <v>34</v>
      </c>
      <c r="AT557">
        <f t="shared" si="200"/>
        <v>5.3137007027131622</v>
      </c>
      <c r="AU557">
        <f t="shared" si="201"/>
        <v>107.88000000000002</v>
      </c>
      <c r="AV557">
        <v>1019</v>
      </c>
      <c r="AW557">
        <f t="shared" si="202"/>
        <v>1604.6321839080458</v>
      </c>
      <c r="AX557">
        <f t="shared" si="203"/>
        <v>2.7675570532502971E-5</v>
      </c>
      <c r="AY557">
        <f t="shared" si="204"/>
        <v>1.7465179778548138E-3</v>
      </c>
      <c r="AZ557">
        <f t="shared" si="205"/>
        <v>38.947350906162349</v>
      </c>
      <c r="BA557">
        <f t="shared" si="206"/>
        <v>0.18100282780971216</v>
      </c>
    </row>
    <row r="558" spans="1:53" x14ac:dyDescent="0.25">
      <c r="A558" t="s">
        <v>9</v>
      </c>
      <c r="B558" t="s">
        <v>19</v>
      </c>
      <c r="C558">
        <v>10</v>
      </c>
      <c r="G558">
        <f t="shared" si="207"/>
        <v>371.375</v>
      </c>
      <c r="H558" s="7">
        <v>45086.375</v>
      </c>
      <c r="AF558">
        <v>136.42000000000002</v>
      </c>
      <c r="AG558">
        <v>139.75</v>
      </c>
      <c r="AL558">
        <v>281.99</v>
      </c>
      <c r="AM558">
        <v>281.93</v>
      </c>
      <c r="AN558">
        <f t="shared" si="191"/>
        <v>0</v>
      </c>
      <c r="AO558">
        <f t="shared" si="192"/>
        <v>6.0000000000002274E-2</v>
      </c>
      <c r="AP558">
        <v>53</v>
      </c>
      <c r="AQ558">
        <v>1019</v>
      </c>
      <c r="AR558">
        <v>22</v>
      </c>
      <c r="AS558">
        <v>34</v>
      </c>
      <c r="AT558">
        <f t="shared" si="200"/>
        <v>5.3137007027131622</v>
      </c>
      <c r="AU558">
        <f t="shared" si="201"/>
        <v>113.57999999999998</v>
      </c>
      <c r="AV558">
        <v>1019</v>
      </c>
      <c r="AW558">
        <f t="shared" si="202"/>
        <v>1494.4974467335799</v>
      </c>
      <c r="AX558">
        <f t="shared" si="203"/>
        <v>2.9790268288028557E-5</v>
      </c>
      <c r="AY558">
        <f t="shared" si="204"/>
        <v>1.1022852034101277E-3</v>
      </c>
      <c r="AZ558">
        <f t="shared" si="205"/>
        <v>24.580960036045848</v>
      </c>
      <c r="BA558">
        <f t="shared" si="206"/>
        <v>0.69463854000551128</v>
      </c>
    </row>
    <row r="559" spans="1:53" x14ac:dyDescent="0.25">
      <c r="A559" t="s">
        <v>10</v>
      </c>
      <c r="B559" t="s">
        <v>19</v>
      </c>
      <c r="C559">
        <v>10</v>
      </c>
      <c r="G559">
        <f t="shared" si="207"/>
        <v>371.375</v>
      </c>
      <c r="H559" s="7">
        <v>45086.375</v>
      </c>
      <c r="AF559">
        <v>117.85000000000002</v>
      </c>
      <c r="AG559">
        <v>140.44999999999999</v>
      </c>
      <c r="AL559">
        <v>264.07</v>
      </c>
      <c r="AM559">
        <v>264.02</v>
      </c>
      <c r="AN559">
        <f t="shared" si="191"/>
        <v>1.999999999998181E-2</v>
      </c>
      <c r="AO559">
        <f t="shared" si="192"/>
        <v>5.0000000000011369E-2</v>
      </c>
      <c r="AP559">
        <v>43</v>
      </c>
      <c r="AQ559">
        <v>1019</v>
      </c>
      <c r="AR559">
        <v>22</v>
      </c>
      <c r="AS559">
        <v>34</v>
      </c>
      <c r="AT559">
        <f t="shared" si="200"/>
        <v>5.3137007027131622</v>
      </c>
      <c r="AU559">
        <f t="shared" si="201"/>
        <v>132.14999999999998</v>
      </c>
      <c r="AV559">
        <v>1019</v>
      </c>
      <c r="AW559">
        <f t="shared" si="202"/>
        <v>1350.5701853953842</v>
      </c>
      <c r="AX559">
        <f t="shared" si="203"/>
        <v>3.3094971605866087E-5</v>
      </c>
      <c r="AY559">
        <f t="shared" si="204"/>
        <v>1.1296957260688168E-3</v>
      </c>
      <c r="AZ559">
        <f t="shared" si="205"/>
        <v>25.192214691334616</v>
      </c>
      <c r="BA559">
        <f t="shared" si="206"/>
        <v>0.67278460166840837</v>
      </c>
    </row>
    <row r="560" spans="1:53" x14ac:dyDescent="0.25">
      <c r="A560" t="s">
        <v>11</v>
      </c>
      <c r="B560" t="s">
        <v>19</v>
      </c>
      <c r="C560">
        <v>10</v>
      </c>
      <c r="G560">
        <f t="shared" si="207"/>
        <v>371.375</v>
      </c>
      <c r="H560" s="7">
        <v>45086.375</v>
      </c>
      <c r="AF560">
        <v>107.53</v>
      </c>
      <c r="AG560">
        <v>140</v>
      </c>
      <c r="AL560">
        <v>254.42</v>
      </c>
      <c r="AM560">
        <v>254.33</v>
      </c>
      <c r="AN560">
        <f t="shared" si="191"/>
        <v>-9.9999999999909051E-3</v>
      </c>
      <c r="AO560">
        <f t="shared" si="192"/>
        <v>8.9999999999974989E-2</v>
      </c>
      <c r="AP560">
        <f>63+19</f>
        <v>82</v>
      </c>
      <c r="AQ560">
        <v>1019</v>
      </c>
      <c r="AR560">
        <v>22</v>
      </c>
      <c r="AS560">
        <v>34</v>
      </c>
      <c r="AT560">
        <f t="shared" si="200"/>
        <v>5.3137007027131622</v>
      </c>
      <c r="AU560">
        <f t="shared" si="201"/>
        <v>142.47</v>
      </c>
      <c r="AV560">
        <v>1019</v>
      </c>
      <c r="AW560">
        <f t="shared" si="202"/>
        <v>1605.4954025408856</v>
      </c>
      <c r="AX560">
        <f t="shared" si="203"/>
        <v>2.7660181001176201E-5</v>
      </c>
      <c r="AY560">
        <f t="shared" si="204"/>
        <v>1.0699007946082749E-3</v>
      </c>
      <c r="AZ560">
        <f t="shared" si="205"/>
        <v>23.858787719764532</v>
      </c>
      <c r="BA560">
        <f t="shared" si="206"/>
        <v>0.72045807222865454</v>
      </c>
    </row>
    <row r="561" spans="1:53" x14ac:dyDescent="0.25">
      <c r="A561" t="s">
        <v>12</v>
      </c>
      <c r="B561" t="s">
        <v>19</v>
      </c>
      <c r="C561">
        <v>20</v>
      </c>
      <c r="G561">
        <f t="shared" si="207"/>
        <v>371.375</v>
      </c>
      <c r="H561" s="7">
        <v>45086.375</v>
      </c>
      <c r="AF561">
        <v>109.43</v>
      </c>
      <c r="AG561">
        <v>140.19999999999999</v>
      </c>
      <c r="AL561">
        <v>257.27999999999997</v>
      </c>
      <c r="AM561">
        <v>257.24</v>
      </c>
      <c r="AN561">
        <f t="shared" si="191"/>
        <v>0</v>
      </c>
      <c r="AO561">
        <f t="shared" si="192"/>
        <v>3.999999999996362E-2</v>
      </c>
      <c r="AP561">
        <v>17</v>
      </c>
      <c r="AQ561">
        <v>1019</v>
      </c>
      <c r="AR561">
        <v>22</v>
      </c>
      <c r="AS561">
        <v>34</v>
      </c>
      <c r="AT561">
        <f t="shared" si="200"/>
        <v>5.3137007027131622</v>
      </c>
      <c r="AU561">
        <f t="shared" si="201"/>
        <v>140.57</v>
      </c>
      <c r="AV561">
        <v>1019</v>
      </c>
      <c r="AW561">
        <f t="shared" si="202"/>
        <v>1142.2339759550403</v>
      </c>
      <c r="AX561">
        <f t="shared" si="203"/>
        <v>3.9425795336547458E-5</v>
      </c>
      <c r="AY561">
        <f t="shared" si="204"/>
        <v>2.3135153811319007E-3</v>
      </c>
      <c r="AZ561">
        <f t="shared" si="205"/>
        <v>51.591392999241386</v>
      </c>
      <c r="BA561">
        <f t="shared" si="206"/>
        <v>-0.27105445117058946</v>
      </c>
    </row>
    <row r="562" spans="1:53" x14ac:dyDescent="0.25">
      <c r="A562" t="s">
        <v>13</v>
      </c>
      <c r="B562" t="s">
        <v>19</v>
      </c>
      <c r="C562">
        <v>20</v>
      </c>
      <c r="G562">
        <f t="shared" si="207"/>
        <v>371.375</v>
      </c>
      <c r="H562" s="7">
        <v>45086.375</v>
      </c>
      <c r="AF562">
        <v>129.52999999999997</v>
      </c>
      <c r="AG562">
        <v>140.24</v>
      </c>
      <c r="AL562">
        <v>277.44</v>
      </c>
      <c r="AM562">
        <v>277.42</v>
      </c>
      <c r="AN562">
        <f t="shared" si="191"/>
        <v>-9.9999999999909051E-3</v>
      </c>
      <c r="AO562">
        <f t="shared" si="192"/>
        <v>1.999999999998181E-2</v>
      </c>
      <c r="AP562">
        <v>22</v>
      </c>
      <c r="AQ562">
        <v>1019</v>
      </c>
      <c r="AR562">
        <v>22</v>
      </c>
      <c r="AS562">
        <v>34</v>
      </c>
      <c r="AT562">
        <f t="shared" si="200"/>
        <v>5.3137007027131622</v>
      </c>
      <c r="AU562">
        <f t="shared" si="201"/>
        <v>120.47000000000003</v>
      </c>
      <c r="AV562">
        <v>1019</v>
      </c>
      <c r="AW562">
        <f t="shared" si="202"/>
        <v>1205.0878226944467</v>
      </c>
      <c r="AX562">
        <f t="shared" si="203"/>
        <v>3.7274607226812895E-5</v>
      </c>
      <c r="AY562">
        <f t="shared" si="204"/>
        <v>8.7181630186326938E-4</v>
      </c>
      <c r="AZ562">
        <f t="shared" si="205"/>
        <v>19.441503531550907</v>
      </c>
      <c r="BA562">
        <f t="shared" si="206"/>
        <v>0.8783874318358631</v>
      </c>
    </row>
    <row r="563" spans="1:53" x14ac:dyDescent="0.25">
      <c r="A563" t="s">
        <v>14</v>
      </c>
      <c r="B563" t="s">
        <v>19</v>
      </c>
      <c r="C563">
        <v>20</v>
      </c>
      <c r="G563">
        <f t="shared" si="207"/>
        <v>371.375</v>
      </c>
      <c r="H563" s="7">
        <v>45086.375</v>
      </c>
      <c r="AF563">
        <v>94.359999999999985</v>
      </c>
      <c r="AG563">
        <v>138.74</v>
      </c>
      <c r="AL563">
        <v>240.92</v>
      </c>
      <c r="AM563">
        <v>240.9</v>
      </c>
      <c r="AN563">
        <f t="shared" si="191"/>
        <v>1.0000000000019327E-2</v>
      </c>
      <c r="AO563">
        <f t="shared" si="192"/>
        <v>1.999999999998181E-2</v>
      </c>
      <c r="AP563">
        <v>6</v>
      </c>
      <c r="AQ563">
        <v>1019</v>
      </c>
      <c r="AR563">
        <v>22</v>
      </c>
      <c r="AS563">
        <v>34</v>
      </c>
      <c r="AT563">
        <f t="shared" si="200"/>
        <v>5.3137007027131622</v>
      </c>
      <c r="AU563">
        <f t="shared" si="201"/>
        <v>155.64000000000001</v>
      </c>
      <c r="AV563">
        <v>1019</v>
      </c>
      <c r="AW563">
        <f t="shared" si="202"/>
        <v>1058.2829606784887</v>
      </c>
      <c r="AX563">
        <f t="shared" si="203"/>
        <v>4.2718685821322503E-5</v>
      </c>
      <c r="AY563">
        <f t="shared" si="204"/>
        <v>3.290614647508979E-3</v>
      </c>
      <c r="AZ563">
        <f t="shared" si="205"/>
        <v>73.380706639450239</v>
      </c>
      <c r="BA563">
        <f t="shared" si="206"/>
        <v>-1.0500788930800944</v>
      </c>
    </row>
    <row r="564" spans="1:53" x14ac:dyDescent="0.25">
      <c r="A564" t="s">
        <v>15</v>
      </c>
      <c r="B564" t="s">
        <v>19</v>
      </c>
      <c r="C564">
        <v>20</v>
      </c>
      <c r="G564">
        <f t="shared" si="207"/>
        <v>371.375</v>
      </c>
      <c r="H564" s="7">
        <v>45086.375</v>
      </c>
      <c r="AF564">
        <v>85.4</v>
      </c>
      <c r="AG564">
        <v>140.1</v>
      </c>
      <c r="AL564">
        <v>233.18</v>
      </c>
      <c r="AM564">
        <v>233.16</v>
      </c>
      <c r="AN564">
        <f t="shared" si="191"/>
        <v>-1.0000000000019327E-2</v>
      </c>
      <c r="AO564">
        <f t="shared" si="192"/>
        <v>2.0000000000010232E-2</v>
      </c>
      <c r="AP564">
        <v>21.5</v>
      </c>
      <c r="AQ564">
        <v>1019</v>
      </c>
      <c r="AR564">
        <v>22</v>
      </c>
      <c r="AS564">
        <v>34</v>
      </c>
      <c r="AT564">
        <f t="shared" si="200"/>
        <v>5.3137007027131622</v>
      </c>
      <c r="AU564">
        <f t="shared" si="201"/>
        <v>164.6</v>
      </c>
      <c r="AV564">
        <v>1019</v>
      </c>
      <c r="AW564">
        <f t="shared" si="202"/>
        <v>1152.1014580801943</v>
      </c>
      <c r="AX564">
        <f t="shared" si="203"/>
        <v>3.9071795413819675E-5</v>
      </c>
      <c r="AY564">
        <f t="shared" si="204"/>
        <v>8.9116076272619112E-4</v>
      </c>
      <c r="AZ564">
        <f t="shared" si="205"/>
        <v>19.872885008794061</v>
      </c>
      <c r="BA564">
        <f t="shared" si="206"/>
        <v>0.86296442585648692</v>
      </c>
    </row>
    <row r="565" spans="1:53" x14ac:dyDescent="0.25">
      <c r="A565" t="s">
        <v>0</v>
      </c>
      <c r="B565" t="s">
        <v>18</v>
      </c>
      <c r="C565">
        <v>10</v>
      </c>
      <c r="G565">
        <f t="shared" si="207"/>
        <v>375.375</v>
      </c>
      <c r="H565" s="7">
        <v>45090.375</v>
      </c>
      <c r="AF565">
        <v>172.77</v>
      </c>
      <c r="AG565">
        <v>139.16999999999999</v>
      </c>
      <c r="AL565">
        <v>318.56</v>
      </c>
      <c r="AM565">
        <v>318.33999999999997</v>
      </c>
      <c r="AN565">
        <f t="shared" si="191"/>
        <v>0.10000000000002274</v>
      </c>
      <c r="AO565">
        <f t="shared" si="192"/>
        <v>0.22000000000002728</v>
      </c>
      <c r="AP565">
        <f>65+65+65+5.5</f>
        <v>200.5</v>
      </c>
      <c r="AQ565">
        <v>1022</v>
      </c>
      <c r="AR565">
        <v>22</v>
      </c>
      <c r="AS565">
        <v>34</v>
      </c>
      <c r="AT565">
        <f t="shared" ref="AT565:AT580" si="208">0.61094*EXP(17.625*AS565/(243.04+AS565))</f>
        <v>5.3137007027131622</v>
      </c>
      <c r="AU565">
        <f t="shared" ref="AU565:AU580" si="209">250-AF565</f>
        <v>77.22999999999999</v>
      </c>
      <c r="AV565">
        <v>1022</v>
      </c>
      <c r="AW565">
        <f t="shared" ref="AW565:AW580" si="210">AP565/AU565*AV565+AV565</f>
        <v>3675.2565065389099</v>
      </c>
      <c r="AX565">
        <f t="shared" ref="AX565:AX580" si="211">18.02*(AT565/(AW565/10-AT565)*1/22300)</f>
        <v>1.185452721932381E-5</v>
      </c>
      <c r="AY565">
        <f t="shared" ref="AY565:AY580" si="212">(AL565-AM565)/AP565-AX565</f>
        <v>1.0854023306361737E-3</v>
      </c>
      <c r="AZ565">
        <f t="shared" ref="AZ565:AZ580" si="213">AY565*22300</f>
        <v>24.204471973186674</v>
      </c>
      <c r="BA565">
        <f t="shared" ref="BA565:BA580" si="214">(44.01-AZ565)/(44.01-16.04)</f>
        <v>0.70809896413347606</v>
      </c>
    </row>
    <row r="566" spans="1:53" x14ac:dyDescent="0.25">
      <c r="A566" t="s">
        <v>1</v>
      </c>
      <c r="B566" t="s">
        <v>18</v>
      </c>
      <c r="C566">
        <v>10</v>
      </c>
      <c r="G566">
        <f t="shared" si="207"/>
        <v>375.375</v>
      </c>
      <c r="H566" s="7">
        <v>45090.375</v>
      </c>
      <c r="AF566">
        <v>173.93</v>
      </c>
      <c r="AG566">
        <v>141.25</v>
      </c>
      <c r="AL566">
        <v>321.27</v>
      </c>
      <c r="AM566">
        <v>320.95999999999998</v>
      </c>
      <c r="AN566">
        <f t="shared" si="191"/>
        <v>3.0000000000029559E-2</v>
      </c>
      <c r="AO566">
        <f t="shared" si="192"/>
        <v>0.31000000000000227</v>
      </c>
      <c r="AP566">
        <f>65+65+65+54</f>
        <v>249</v>
      </c>
      <c r="AQ566">
        <v>1022</v>
      </c>
      <c r="AR566">
        <v>22</v>
      </c>
      <c r="AS566">
        <v>34</v>
      </c>
      <c r="AT566">
        <f t="shared" si="208"/>
        <v>5.3137007027131622</v>
      </c>
      <c r="AU566">
        <f t="shared" si="209"/>
        <v>76.069999999999993</v>
      </c>
      <c r="AV566">
        <v>1022</v>
      </c>
      <c r="AW566">
        <f t="shared" si="210"/>
        <v>4367.3135270145922</v>
      </c>
      <c r="AX566">
        <f t="shared" si="211"/>
        <v>9.9528876483548968E-6</v>
      </c>
      <c r="AY566">
        <f t="shared" si="212"/>
        <v>1.2350270320303691E-3</v>
      </c>
      <c r="AZ566">
        <f t="shared" si="213"/>
        <v>27.541102814277231</v>
      </c>
      <c r="BA566">
        <f t="shared" si="214"/>
        <v>0.5888057628073925</v>
      </c>
    </row>
    <row r="567" spans="1:53" x14ac:dyDescent="0.25">
      <c r="A567" t="s">
        <v>2</v>
      </c>
      <c r="B567" t="s">
        <v>18</v>
      </c>
      <c r="C567">
        <v>10</v>
      </c>
      <c r="G567">
        <f t="shared" ref="G567:G646" si="215">H567-$H$18</f>
        <v>375.375</v>
      </c>
      <c r="H567" s="7">
        <v>45090.375</v>
      </c>
      <c r="AF567">
        <v>162.82000000000002</v>
      </c>
      <c r="AG567">
        <v>140.66</v>
      </c>
      <c r="AL567">
        <v>310.23</v>
      </c>
      <c r="AM567">
        <v>310.06</v>
      </c>
      <c r="AN567">
        <f t="shared" si="191"/>
        <v>2.9999999999972715E-2</v>
      </c>
      <c r="AO567">
        <f t="shared" si="192"/>
        <v>0.17000000000001592</v>
      </c>
      <c r="AP567">
        <f>65+65+40</f>
        <v>170</v>
      </c>
      <c r="AQ567">
        <v>1022</v>
      </c>
      <c r="AR567">
        <v>22</v>
      </c>
      <c r="AS567">
        <v>34</v>
      </c>
      <c r="AT567">
        <f t="shared" si="208"/>
        <v>5.3137007027131622</v>
      </c>
      <c r="AU567">
        <f t="shared" si="209"/>
        <v>87.179999999999978</v>
      </c>
      <c r="AV567">
        <v>1022</v>
      </c>
      <c r="AW567">
        <f t="shared" si="210"/>
        <v>3014.8882771277822</v>
      </c>
      <c r="AX567">
        <f t="shared" si="211"/>
        <v>1.4497677314120544E-5</v>
      </c>
      <c r="AY567">
        <f t="shared" si="212"/>
        <v>9.8550232268597307E-4</v>
      </c>
      <c r="AZ567">
        <f t="shared" si="213"/>
        <v>21.976701795897199</v>
      </c>
      <c r="BA567">
        <f t="shared" si="214"/>
        <v>0.78774752249205582</v>
      </c>
    </row>
    <row r="568" spans="1:53" x14ac:dyDescent="0.25">
      <c r="A568" t="s">
        <v>3</v>
      </c>
      <c r="B568" t="s">
        <v>18</v>
      </c>
      <c r="C568">
        <v>10</v>
      </c>
      <c r="G568">
        <f t="shared" si="215"/>
        <v>375.375</v>
      </c>
      <c r="H568" s="7">
        <v>45090.375</v>
      </c>
      <c r="AF568">
        <v>187.81</v>
      </c>
      <c r="AG568">
        <v>140</v>
      </c>
      <c r="AL568">
        <v>334.57</v>
      </c>
      <c r="AM568">
        <v>334.4</v>
      </c>
      <c r="AN568">
        <f t="shared" si="191"/>
        <v>5.0000000000011369E-2</v>
      </c>
      <c r="AO568">
        <f t="shared" si="192"/>
        <v>0.17000000000001592</v>
      </c>
      <c r="AP568">
        <f>65+65+32</f>
        <v>162</v>
      </c>
      <c r="AQ568">
        <v>1022</v>
      </c>
      <c r="AR568">
        <v>22</v>
      </c>
      <c r="AS568">
        <v>34</v>
      </c>
      <c r="AT568">
        <f t="shared" si="208"/>
        <v>5.3137007027131622</v>
      </c>
      <c r="AU568">
        <f t="shared" si="209"/>
        <v>62.19</v>
      </c>
      <c r="AV568">
        <v>1022</v>
      </c>
      <c r="AW568">
        <f t="shared" si="210"/>
        <v>3684.2286541244571</v>
      </c>
      <c r="AX568">
        <f t="shared" si="211"/>
        <v>1.1825235596278798E-5</v>
      </c>
      <c r="AY568">
        <f t="shared" si="212"/>
        <v>1.0375574804532021E-3</v>
      </c>
      <c r="AZ568">
        <f t="shared" si="213"/>
        <v>23.137531814106406</v>
      </c>
      <c r="BA568">
        <f t="shared" si="214"/>
        <v>0.74624484039662464</v>
      </c>
    </row>
    <row r="569" spans="1:53" x14ac:dyDescent="0.25">
      <c r="A569" t="s">
        <v>4</v>
      </c>
      <c r="B569" t="s">
        <v>18</v>
      </c>
      <c r="C569">
        <v>20</v>
      </c>
      <c r="G569">
        <f t="shared" si="215"/>
        <v>375.375</v>
      </c>
      <c r="H569" s="7">
        <v>45090.375</v>
      </c>
      <c r="AF569">
        <v>181.58</v>
      </c>
      <c r="AG569">
        <v>139.4</v>
      </c>
      <c r="AL569">
        <v>327.32</v>
      </c>
      <c r="AM569">
        <v>327.32</v>
      </c>
      <c r="AN569">
        <f t="shared" si="191"/>
        <v>0</v>
      </c>
      <c r="AO569">
        <f t="shared" si="192"/>
        <v>0</v>
      </c>
      <c r="AP569">
        <v>0</v>
      </c>
      <c r="AQ569">
        <v>1022</v>
      </c>
      <c r="AR569">
        <v>22</v>
      </c>
      <c r="AS569">
        <v>34</v>
      </c>
      <c r="AT569">
        <f t="shared" si="208"/>
        <v>5.3137007027131622</v>
      </c>
      <c r="AU569">
        <f t="shared" si="209"/>
        <v>68.419999999999987</v>
      </c>
      <c r="AV569">
        <v>1022</v>
      </c>
      <c r="AW569">
        <f t="shared" si="210"/>
        <v>1022</v>
      </c>
      <c r="AX569">
        <f t="shared" si="211"/>
        <v>4.4318458347606985E-5</v>
      </c>
      <c r="AY569" t="e">
        <f t="shared" si="212"/>
        <v>#DIV/0!</v>
      </c>
      <c r="AZ569" t="e">
        <f t="shared" si="213"/>
        <v>#DIV/0!</v>
      </c>
      <c r="BA569" t="e">
        <f t="shared" si="214"/>
        <v>#DIV/0!</v>
      </c>
    </row>
    <row r="570" spans="1:53" x14ac:dyDescent="0.25">
      <c r="A570" t="s">
        <v>5</v>
      </c>
      <c r="B570" t="s">
        <v>18</v>
      </c>
      <c r="C570">
        <v>20</v>
      </c>
      <c r="G570">
        <f t="shared" si="215"/>
        <v>375.375</v>
      </c>
      <c r="H570" s="7">
        <v>45090.375</v>
      </c>
      <c r="AF570">
        <v>201.8</v>
      </c>
      <c r="AG570">
        <v>139.81</v>
      </c>
      <c r="AL570">
        <v>348.26</v>
      </c>
      <c r="AM570">
        <v>348.26</v>
      </c>
      <c r="AN570">
        <f t="shared" si="191"/>
        <v>0</v>
      </c>
      <c r="AO570">
        <f t="shared" si="192"/>
        <v>0</v>
      </c>
      <c r="AP570">
        <v>0</v>
      </c>
      <c r="AQ570">
        <v>1022</v>
      </c>
      <c r="AR570">
        <v>22</v>
      </c>
      <c r="AS570">
        <v>34</v>
      </c>
      <c r="AT570">
        <f t="shared" si="208"/>
        <v>5.3137007027131622</v>
      </c>
      <c r="AU570">
        <f t="shared" si="209"/>
        <v>48.199999999999989</v>
      </c>
      <c r="AV570">
        <v>1022</v>
      </c>
      <c r="AW570">
        <f t="shared" si="210"/>
        <v>1022</v>
      </c>
      <c r="AX570">
        <f t="shared" si="211"/>
        <v>4.4318458347606985E-5</v>
      </c>
      <c r="AY570" t="e">
        <f t="shared" si="212"/>
        <v>#DIV/0!</v>
      </c>
      <c r="AZ570" t="e">
        <f t="shared" si="213"/>
        <v>#DIV/0!</v>
      </c>
      <c r="BA570" t="e">
        <f t="shared" si="214"/>
        <v>#DIV/0!</v>
      </c>
    </row>
    <row r="571" spans="1:53" x14ac:dyDescent="0.25">
      <c r="A571" t="s">
        <v>6</v>
      </c>
      <c r="B571" t="s">
        <v>18</v>
      </c>
      <c r="C571">
        <v>20</v>
      </c>
      <c r="G571">
        <f t="shared" si="215"/>
        <v>375.375</v>
      </c>
      <c r="H571" s="7">
        <v>45090.375</v>
      </c>
      <c r="AF571">
        <v>205.13</v>
      </c>
      <c r="AG571">
        <v>139.01</v>
      </c>
      <c r="AL571">
        <v>350.66</v>
      </c>
      <c r="AM571">
        <v>350.66</v>
      </c>
      <c r="AN571">
        <f t="shared" si="191"/>
        <v>0</v>
      </c>
      <c r="AO571">
        <f t="shared" si="192"/>
        <v>0</v>
      </c>
      <c r="AP571">
        <v>0</v>
      </c>
      <c r="AQ571">
        <v>1022</v>
      </c>
      <c r="AR571">
        <v>22</v>
      </c>
      <c r="AS571">
        <v>34</v>
      </c>
      <c r="AT571">
        <f t="shared" si="208"/>
        <v>5.3137007027131622</v>
      </c>
      <c r="AU571">
        <f t="shared" si="209"/>
        <v>44.870000000000005</v>
      </c>
      <c r="AV571">
        <v>1022</v>
      </c>
      <c r="AW571">
        <f t="shared" si="210"/>
        <v>1022</v>
      </c>
      <c r="AX571">
        <f t="shared" si="211"/>
        <v>4.4318458347606985E-5</v>
      </c>
      <c r="AY571" t="e">
        <f t="shared" si="212"/>
        <v>#DIV/0!</v>
      </c>
      <c r="AZ571" t="e">
        <f t="shared" si="213"/>
        <v>#DIV/0!</v>
      </c>
      <c r="BA571" t="e">
        <f t="shared" si="214"/>
        <v>#DIV/0!</v>
      </c>
    </row>
    <row r="572" spans="1:53" x14ac:dyDescent="0.25">
      <c r="A572" t="s">
        <v>7</v>
      </c>
      <c r="B572" t="s">
        <v>18</v>
      </c>
      <c r="C572">
        <v>20</v>
      </c>
      <c r="G572">
        <f t="shared" si="215"/>
        <v>375.375</v>
      </c>
      <c r="H572" s="7">
        <v>45090.375</v>
      </c>
      <c r="AF572">
        <v>177.85000000000002</v>
      </c>
      <c r="AG572">
        <v>139.94999999999999</v>
      </c>
      <c r="AL572">
        <v>324.90499999999997</v>
      </c>
      <c r="AM572">
        <v>324.90499999999997</v>
      </c>
      <c r="AN572">
        <f t="shared" si="191"/>
        <v>0</v>
      </c>
      <c r="AO572">
        <f t="shared" si="192"/>
        <v>0</v>
      </c>
      <c r="AP572">
        <v>0</v>
      </c>
      <c r="AQ572">
        <v>1022</v>
      </c>
      <c r="AR572">
        <v>22</v>
      </c>
      <c r="AS572">
        <v>34</v>
      </c>
      <c r="AT572">
        <f t="shared" si="208"/>
        <v>5.3137007027131622</v>
      </c>
      <c r="AU572">
        <f t="shared" si="209"/>
        <v>72.149999999999977</v>
      </c>
      <c r="AV572">
        <v>1022</v>
      </c>
      <c r="AW572">
        <f t="shared" si="210"/>
        <v>1022</v>
      </c>
      <c r="AX572">
        <f t="shared" si="211"/>
        <v>4.4318458347606985E-5</v>
      </c>
      <c r="AY572" t="e">
        <f t="shared" si="212"/>
        <v>#DIV/0!</v>
      </c>
      <c r="AZ572" t="e">
        <f t="shared" si="213"/>
        <v>#DIV/0!</v>
      </c>
      <c r="BA572" t="e">
        <f t="shared" si="214"/>
        <v>#DIV/0!</v>
      </c>
    </row>
    <row r="573" spans="1:53" x14ac:dyDescent="0.25">
      <c r="A573" t="s">
        <v>8</v>
      </c>
      <c r="B573" t="s">
        <v>19</v>
      </c>
      <c r="C573">
        <v>10</v>
      </c>
      <c r="G573">
        <f t="shared" si="215"/>
        <v>375.375</v>
      </c>
      <c r="H573" s="7">
        <v>45090.375</v>
      </c>
      <c r="AF573">
        <v>142.11999999999998</v>
      </c>
      <c r="AG573">
        <v>139.71</v>
      </c>
      <c r="AL573">
        <v>287.27</v>
      </c>
      <c r="AM573">
        <v>287.13</v>
      </c>
      <c r="AN573">
        <f t="shared" si="191"/>
        <v>3.0000000000029559E-2</v>
      </c>
      <c r="AO573">
        <f t="shared" si="192"/>
        <v>0.13999999999998636</v>
      </c>
      <c r="AP573">
        <v>65.2</v>
      </c>
      <c r="AQ573">
        <v>1022</v>
      </c>
      <c r="AR573">
        <v>22</v>
      </c>
      <c r="AS573">
        <v>34</v>
      </c>
      <c r="AT573">
        <f t="shared" si="208"/>
        <v>5.3137007027131622</v>
      </c>
      <c r="AU573">
        <f t="shared" si="209"/>
        <v>107.88000000000002</v>
      </c>
      <c r="AV573">
        <v>1022</v>
      </c>
      <c r="AW573">
        <f t="shared" si="210"/>
        <v>1639.6714868372264</v>
      </c>
      <c r="AX573">
        <f t="shared" si="211"/>
        <v>2.7064343539350979E-5</v>
      </c>
      <c r="AY573">
        <f t="shared" si="212"/>
        <v>2.1201749202641208E-3</v>
      </c>
      <c r="AZ573">
        <f t="shared" si="213"/>
        <v>47.279900721889895</v>
      </c>
      <c r="BA573">
        <f t="shared" si="214"/>
        <v>-0.11690742659599203</v>
      </c>
    </row>
    <row r="574" spans="1:53" x14ac:dyDescent="0.25">
      <c r="A574" t="s">
        <v>9</v>
      </c>
      <c r="B574" t="s">
        <v>19</v>
      </c>
      <c r="C574">
        <v>10</v>
      </c>
      <c r="G574">
        <f t="shared" si="215"/>
        <v>375.375</v>
      </c>
      <c r="H574" s="7">
        <v>45090.375</v>
      </c>
      <c r="AF574">
        <v>136.42000000000002</v>
      </c>
      <c r="AG574">
        <v>139.75</v>
      </c>
      <c r="AL574">
        <v>281.91000000000003</v>
      </c>
      <c r="AM574">
        <v>281.81</v>
      </c>
      <c r="AN574">
        <f t="shared" si="191"/>
        <v>1.999999999998181E-2</v>
      </c>
      <c r="AO574">
        <f t="shared" si="192"/>
        <v>0.10000000000002274</v>
      </c>
      <c r="AP574">
        <v>50</v>
      </c>
      <c r="AQ574">
        <v>1022</v>
      </c>
      <c r="AR574">
        <v>22</v>
      </c>
      <c r="AS574">
        <v>34</v>
      </c>
      <c r="AT574">
        <f t="shared" si="208"/>
        <v>5.3137007027131622</v>
      </c>
      <c r="AU574">
        <f t="shared" si="209"/>
        <v>113.57999999999998</v>
      </c>
      <c r="AV574">
        <v>1022</v>
      </c>
      <c r="AW574">
        <f t="shared" si="210"/>
        <v>1471.9031519633738</v>
      </c>
      <c r="AX574">
        <f t="shared" si="211"/>
        <v>3.0264687631473978E-5</v>
      </c>
      <c r="AY574">
        <f t="shared" si="212"/>
        <v>1.9697353123689807E-3</v>
      </c>
      <c r="AZ574">
        <f t="shared" si="213"/>
        <v>43.925097465828273</v>
      </c>
      <c r="BA574">
        <f t="shared" si="214"/>
        <v>3.0354856693502008E-3</v>
      </c>
    </row>
    <row r="575" spans="1:53" x14ac:dyDescent="0.25">
      <c r="A575" t="s">
        <v>10</v>
      </c>
      <c r="B575" t="s">
        <v>19</v>
      </c>
      <c r="C575">
        <v>10</v>
      </c>
      <c r="G575">
        <f t="shared" si="215"/>
        <v>375.375</v>
      </c>
      <c r="H575" s="7">
        <v>45090.375</v>
      </c>
      <c r="AF575">
        <v>117.85000000000002</v>
      </c>
      <c r="AG575">
        <v>140.44999999999999</v>
      </c>
      <c r="AL575">
        <v>263.98</v>
      </c>
      <c r="AM575">
        <v>263.94</v>
      </c>
      <c r="AN575">
        <f t="shared" si="191"/>
        <v>3.999999999996362E-2</v>
      </c>
      <c r="AO575">
        <f t="shared" si="192"/>
        <v>4.0000000000020464E-2</v>
      </c>
      <c r="AP575">
        <v>39</v>
      </c>
      <c r="AQ575">
        <v>1022</v>
      </c>
      <c r="AR575">
        <v>22</v>
      </c>
      <c r="AS575">
        <v>34</v>
      </c>
      <c r="AT575">
        <f t="shared" si="208"/>
        <v>5.3137007027131622</v>
      </c>
      <c r="AU575">
        <f t="shared" si="209"/>
        <v>132.14999999999998</v>
      </c>
      <c r="AV575">
        <v>1022</v>
      </c>
      <c r="AW575">
        <f t="shared" si="210"/>
        <v>1323.6118047673099</v>
      </c>
      <c r="AX575">
        <f t="shared" si="211"/>
        <v>3.3797218390306993E-5</v>
      </c>
      <c r="AY575">
        <f t="shared" si="212"/>
        <v>9.9184380725124335E-4</v>
      </c>
      <c r="AZ575">
        <f t="shared" si="213"/>
        <v>22.118116901702727</v>
      </c>
      <c r="BA575">
        <f t="shared" si="214"/>
        <v>0.78269156590265543</v>
      </c>
    </row>
    <row r="576" spans="1:53" x14ac:dyDescent="0.25">
      <c r="A576" t="s">
        <v>11</v>
      </c>
      <c r="B576" t="s">
        <v>19</v>
      </c>
      <c r="C576">
        <v>10</v>
      </c>
      <c r="G576">
        <f t="shared" si="215"/>
        <v>375.375</v>
      </c>
      <c r="H576" s="7">
        <v>45090.375</v>
      </c>
      <c r="AF576">
        <v>107.53</v>
      </c>
      <c r="AG576">
        <v>140</v>
      </c>
      <c r="AL576">
        <v>254.3</v>
      </c>
      <c r="AM576">
        <v>254.24</v>
      </c>
      <c r="AN576">
        <f t="shared" si="191"/>
        <v>3.0000000000001137E-2</v>
      </c>
      <c r="AO576">
        <f t="shared" si="192"/>
        <v>6.0000000000002274E-2</v>
      </c>
      <c r="AP576">
        <v>65</v>
      </c>
      <c r="AQ576">
        <v>1022</v>
      </c>
      <c r="AR576">
        <v>22</v>
      </c>
      <c r="AS576">
        <v>34</v>
      </c>
      <c r="AT576">
        <f t="shared" si="208"/>
        <v>5.3137007027131622</v>
      </c>
      <c r="AU576">
        <f t="shared" si="209"/>
        <v>142.47</v>
      </c>
      <c r="AV576">
        <v>1022</v>
      </c>
      <c r="AW576">
        <f t="shared" si="210"/>
        <v>1488.2736014599564</v>
      </c>
      <c r="AX576">
        <f t="shared" si="211"/>
        <v>2.9919461579596532E-5</v>
      </c>
      <c r="AY576">
        <f t="shared" si="212"/>
        <v>8.9315746149736159E-4</v>
      </c>
      <c r="AZ576">
        <f t="shared" si="213"/>
        <v>19.917411391391163</v>
      </c>
      <c r="BA576">
        <f t="shared" si="214"/>
        <v>0.86137249226345503</v>
      </c>
    </row>
    <row r="577" spans="1:53" x14ac:dyDescent="0.25">
      <c r="A577" t="s">
        <v>12</v>
      </c>
      <c r="B577" t="s">
        <v>19</v>
      </c>
      <c r="C577">
        <v>20</v>
      </c>
      <c r="G577">
        <f t="shared" si="215"/>
        <v>375.375</v>
      </c>
      <c r="H577" s="7">
        <v>45090.375</v>
      </c>
      <c r="AF577">
        <v>109.43</v>
      </c>
      <c r="AG577">
        <v>140.19999999999999</v>
      </c>
      <c r="AL577">
        <v>257.24</v>
      </c>
      <c r="AM577">
        <v>257.24</v>
      </c>
      <c r="AN577">
        <f t="shared" si="191"/>
        <v>0</v>
      </c>
      <c r="AO577">
        <f t="shared" si="192"/>
        <v>0</v>
      </c>
      <c r="AP577">
        <v>0</v>
      </c>
      <c r="AQ577">
        <v>1022</v>
      </c>
      <c r="AR577">
        <v>22</v>
      </c>
      <c r="AS577">
        <v>34</v>
      </c>
      <c r="AT577">
        <f t="shared" si="208"/>
        <v>5.3137007027131622</v>
      </c>
      <c r="AU577">
        <f t="shared" si="209"/>
        <v>140.57</v>
      </c>
      <c r="AV577">
        <v>1022</v>
      </c>
      <c r="AW577">
        <f t="shared" si="210"/>
        <v>1022</v>
      </c>
      <c r="AX577">
        <f t="shared" si="211"/>
        <v>4.4318458347606985E-5</v>
      </c>
      <c r="AY577" t="e">
        <f t="shared" si="212"/>
        <v>#DIV/0!</v>
      </c>
      <c r="AZ577" t="e">
        <f t="shared" si="213"/>
        <v>#DIV/0!</v>
      </c>
      <c r="BA577" t="e">
        <f t="shared" si="214"/>
        <v>#DIV/0!</v>
      </c>
    </row>
    <row r="578" spans="1:53" x14ac:dyDescent="0.25">
      <c r="A578" t="s">
        <v>13</v>
      </c>
      <c r="B578" t="s">
        <v>19</v>
      </c>
      <c r="C578">
        <v>20</v>
      </c>
      <c r="G578">
        <f t="shared" si="215"/>
        <v>375.375</v>
      </c>
      <c r="H578" s="7">
        <v>45090.375</v>
      </c>
      <c r="AF578">
        <v>129.52999999999997</v>
      </c>
      <c r="AG578">
        <v>140.24</v>
      </c>
      <c r="AL578">
        <v>277.42</v>
      </c>
      <c r="AM578">
        <v>277.42</v>
      </c>
      <c r="AN578">
        <f t="shared" si="191"/>
        <v>0</v>
      </c>
      <c r="AO578">
        <f t="shared" si="192"/>
        <v>0</v>
      </c>
      <c r="AP578">
        <v>0</v>
      </c>
      <c r="AQ578">
        <v>1022</v>
      </c>
      <c r="AR578">
        <v>22</v>
      </c>
      <c r="AS578">
        <v>34</v>
      </c>
      <c r="AT578">
        <f t="shared" si="208"/>
        <v>5.3137007027131622</v>
      </c>
      <c r="AU578">
        <f t="shared" si="209"/>
        <v>120.47000000000003</v>
      </c>
      <c r="AV578">
        <v>1022</v>
      </c>
      <c r="AW578">
        <f t="shared" si="210"/>
        <v>1022</v>
      </c>
      <c r="AX578">
        <f t="shared" si="211"/>
        <v>4.4318458347606985E-5</v>
      </c>
      <c r="AY578" t="e">
        <f t="shared" si="212"/>
        <v>#DIV/0!</v>
      </c>
      <c r="AZ578" t="e">
        <f t="shared" si="213"/>
        <v>#DIV/0!</v>
      </c>
      <c r="BA578" t="e">
        <f t="shared" si="214"/>
        <v>#DIV/0!</v>
      </c>
    </row>
    <row r="579" spans="1:53" x14ac:dyDescent="0.25">
      <c r="A579" t="s">
        <v>14</v>
      </c>
      <c r="B579" t="s">
        <v>19</v>
      </c>
      <c r="C579">
        <v>20</v>
      </c>
      <c r="G579">
        <f t="shared" si="215"/>
        <v>375.375</v>
      </c>
      <c r="H579" s="7">
        <v>45090.375</v>
      </c>
      <c r="AF579">
        <v>94.359999999999985</v>
      </c>
      <c r="AG579">
        <v>138.74</v>
      </c>
      <c r="AL579">
        <v>240.9</v>
      </c>
      <c r="AM579">
        <v>240.9</v>
      </c>
      <c r="AN579">
        <f t="shared" si="191"/>
        <v>0</v>
      </c>
      <c r="AO579">
        <f t="shared" si="192"/>
        <v>0</v>
      </c>
      <c r="AP579">
        <v>0</v>
      </c>
      <c r="AQ579">
        <v>1022</v>
      </c>
      <c r="AR579">
        <v>22</v>
      </c>
      <c r="AS579">
        <v>34</v>
      </c>
      <c r="AT579">
        <f t="shared" si="208"/>
        <v>5.3137007027131622</v>
      </c>
      <c r="AU579">
        <f t="shared" si="209"/>
        <v>155.64000000000001</v>
      </c>
      <c r="AV579">
        <v>1022</v>
      </c>
      <c r="AW579">
        <f t="shared" si="210"/>
        <v>1022</v>
      </c>
      <c r="AX579">
        <f t="shared" si="211"/>
        <v>4.4318458347606985E-5</v>
      </c>
      <c r="AY579" t="e">
        <f t="shared" si="212"/>
        <v>#DIV/0!</v>
      </c>
      <c r="AZ579" t="e">
        <f t="shared" si="213"/>
        <v>#DIV/0!</v>
      </c>
      <c r="BA579" t="e">
        <f t="shared" si="214"/>
        <v>#DIV/0!</v>
      </c>
    </row>
    <row r="580" spans="1:53" x14ac:dyDescent="0.25">
      <c r="A580" t="s">
        <v>15</v>
      </c>
      <c r="B580" t="s">
        <v>19</v>
      </c>
      <c r="C580">
        <v>20</v>
      </c>
      <c r="G580">
        <f t="shared" si="215"/>
        <v>375.375</v>
      </c>
      <c r="H580" s="7">
        <v>45090.375</v>
      </c>
      <c r="AF580">
        <v>85.4</v>
      </c>
      <c r="AG580">
        <v>140.1</v>
      </c>
      <c r="AL580">
        <v>233.16</v>
      </c>
      <c r="AM580">
        <v>233.16</v>
      </c>
      <c r="AN580">
        <f t="shared" si="191"/>
        <v>0</v>
      </c>
      <c r="AO580">
        <f t="shared" si="192"/>
        <v>0</v>
      </c>
      <c r="AP580">
        <v>0</v>
      </c>
      <c r="AQ580">
        <v>1022</v>
      </c>
      <c r="AR580">
        <v>22</v>
      </c>
      <c r="AS580">
        <v>34</v>
      </c>
      <c r="AT580">
        <f t="shared" si="208"/>
        <v>5.3137007027131622</v>
      </c>
      <c r="AU580">
        <f t="shared" si="209"/>
        <v>164.6</v>
      </c>
      <c r="AV580">
        <v>1022</v>
      </c>
      <c r="AW580">
        <f t="shared" si="210"/>
        <v>1022</v>
      </c>
      <c r="AX580">
        <f t="shared" si="211"/>
        <v>4.4318458347606985E-5</v>
      </c>
      <c r="AY580" t="e">
        <f t="shared" si="212"/>
        <v>#DIV/0!</v>
      </c>
      <c r="AZ580" t="e">
        <f t="shared" si="213"/>
        <v>#DIV/0!</v>
      </c>
      <c r="BA580" t="e">
        <f t="shared" si="214"/>
        <v>#DIV/0!</v>
      </c>
    </row>
    <row r="581" spans="1:53" x14ac:dyDescent="0.25">
      <c r="A581" t="s">
        <v>0</v>
      </c>
      <c r="B581" t="s">
        <v>18</v>
      </c>
      <c r="C581">
        <v>10</v>
      </c>
      <c r="G581">
        <f t="shared" si="215"/>
        <v>377.35416666666424</v>
      </c>
      <c r="H581" s="7">
        <v>45092.354166666664</v>
      </c>
      <c r="AF581">
        <v>172.77</v>
      </c>
      <c r="AG581">
        <v>139.16999999999999</v>
      </c>
      <c r="AL581">
        <v>318.33999999999997</v>
      </c>
      <c r="AM581">
        <v>318.2</v>
      </c>
      <c r="AN581">
        <f t="shared" si="191"/>
        <v>0</v>
      </c>
      <c r="AO581">
        <f t="shared" si="192"/>
        <v>0.13999999999998636</v>
      </c>
      <c r="AP581">
        <f>65+46.5</f>
        <v>111.5</v>
      </c>
      <c r="AQ581">
        <v>1021</v>
      </c>
      <c r="AR581">
        <v>22</v>
      </c>
      <c r="AS581">
        <v>34</v>
      </c>
      <c r="AT581">
        <f t="shared" ref="AT581:AT596" si="216">0.61094*EXP(17.625*AS581/(243.04+AS581))</f>
        <v>5.3137007027131622</v>
      </c>
      <c r="AU581">
        <f t="shared" ref="AU581:AU596" si="217">250-AF581</f>
        <v>77.22999999999999</v>
      </c>
      <c r="AV581">
        <v>1021</v>
      </c>
      <c r="AW581">
        <f t="shared" ref="AW581:AW596" si="218">AP581/AU581*AV581+AV581</f>
        <v>2495.0580085459023</v>
      </c>
      <c r="AX581">
        <f t="shared" ref="AX581:AX596" si="219">18.02*(AT581/(AW581/10-AT581)*1/22300)</f>
        <v>1.7583907985516317E-5</v>
      </c>
      <c r="AY581">
        <f t="shared" ref="AY581:AY596" si="220">(AL581-AM581)/AP581-AX581</f>
        <v>1.2380214731802807E-3</v>
      </c>
      <c r="AZ581">
        <f t="shared" ref="AZ581:AZ596" si="221">AY581*22300</f>
        <v>27.607878851920262</v>
      </c>
      <c r="BA581">
        <f t="shared" ref="BA581:BA596" si="222">(44.01-AZ581)/(44.01-16.04)</f>
        <v>0.58641834637396273</v>
      </c>
    </row>
    <row r="582" spans="1:53" x14ac:dyDescent="0.25">
      <c r="A582" t="s">
        <v>1</v>
      </c>
      <c r="B582" t="s">
        <v>18</v>
      </c>
      <c r="C582">
        <v>10</v>
      </c>
      <c r="G582">
        <f t="shared" si="215"/>
        <v>377.35416666666424</v>
      </c>
      <c r="H582" s="7">
        <v>45092.354166666664</v>
      </c>
      <c r="AF582">
        <v>173.93</v>
      </c>
      <c r="AG582">
        <v>141.25</v>
      </c>
      <c r="AL582">
        <v>320.94</v>
      </c>
      <c r="AM582">
        <v>320.8</v>
      </c>
      <c r="AN582">
        <f t="shared" si="191"/>
        <v>1.999999999998181E-2</v>
      </c>
      <c r="AO582">
        <f t="shared" si="192"/>
        <v>0.13999999999998636</v>
      </c>
      <c r="AP582">
        <f>65+58.5</f>
        <v>123.5</v>
      </c>
      <c r="AQ582">
        <v>1021</v>
      </c>
      <c r="AR582">
        <v>22</v>
      </c>
      <c r="AS582">
        <v>34</v>
      </c>
      <c r="AT582">
        <f t="shared" si="216"/>
        <v>5.3137007027131622</v>
      </c>
      <c r="AU582">
        <f t="shared" si="217"/>
        <v>76.069999999999993</v>
      </c>
      <c r="AV582">
        <v>1021</v>
      </c>
      <c r="AW582">
        <f t="shared" si="218"/>
        <v>2678.5982647561459</v>
      </c>
      <c r="AX582">
        <f t="shared" si="219"/>
        <v>1.6354655423766224E-5</v>
      </c>
      <c r="AY582">
        <f t="shared" si="220"/>
        <v>1.1172485834425201E-3</v>
      </c>
      <c r="AZ582">
        <f t="shared" si="221"/>
        <v>24.9146434107682</v>
      </c>
      <c r="BA582">
        <f t="shared" si="222"/>
        <v>0.68270849443088311</v>
      </c>
    </row>
    <row r="583" spans="1:53" x14ac:dyDescent="0.25">
      <c r="A583" t="s">
        <v>2</v>
      </c>
      <c r="B583" t="s">
        <v>18</v>
      </c>
      <c r="C583">
        <v>10</v>
      </c>
      <c r="G583">
        <f t="shared" si="215"/>
        <v>377.35416666666424</v>
      </c>
      <c r="H583" s="7">
        <v>45092.354166666664</v>
      </c>
      <c r="AF583">
        <v>162.82000000000002</v>
      </c>
      <c r="AG583">
        <v>140.66</v>
      </c>
      <c r="AL583">
        <v>310.07</v>
      </c>
      <c r="AM583">
        <v>309.97000000000003</v>
      </c>
      <c r="AN583">
        <f t="shared" si="191"/>
        <v>-9.9999999999909051E-3</v>
      </c>
      <c r="AO583">
        <f t="shared" si="192"/>
        <v>9.9999999999965894E-2</v>
      </c>
      <c r="AP583">
        <f>65+25</f>
        <v>90</v>
      </c>
      <c r="AQ583">
        <v>1021</v>
      </c>
      <c r="AR583">
        <v>22</v>
      </c>
      <c r="AS583">
        <v>34</v>
      </c>
      <c r="AT583">
        <f t="shared" si="216"/>
        <v>5.3137007027131622</v>
      </c>
      <c r="AU583">
        <f t="shared" si="217"/>
        <v>87.179999999999978</v>
      </c>
      <c r="AV583">
        <v>1021</v>
      </c>
      <c r="AW583">
        <f t="shared" si="218"/>
        <v>2075.0261527873367</v>
      </c>
      <c r="AX583">
        <f t="shared" si="219"/>
        <v>2.1236829075741221E-5</v>
      </c>
      <c r="AY583">
        <f t="shared" si="220"/>
        <v>1.0898742820349909E-3</v>
      </c>
      <c r="AZ583">
        <f t="shared" si="221"/>
        <v>24.304196489380296</v>
      </c>
      <c r="BA583">
        <f t="shared" si="222"/>
        <v>0.70453355418733299</v>
      </c>
    </row>
    <row r="584" spans="1:53" x14ac:dyDescent="0.25">
      <c r="A584" t="s">
        <v>3</v>
      </c>
      <c r="B584" t="s">
        <v>18</v>
      </c>
      <c r="C584">
        <v>10</v>
      </c>
      <c r="G584">
        <f t="shared" si="215"/>
        <v>377.35416666666424</v>
      </c>
      <c r="H584" s="7">
        <v>45092.354166666664</v>
      </c>
      <c r="AF584">
        <v>187.81</v>
      </c>
      <c r="AG584">
        <v>140</v>
      </c>
      <c r="AL584">
        <v>334.39</v>
      </c>
      <c r="AM584">
        <v>334.29</v>
      </c>
      <c r="AN584">
        <f t="shared" si="191"/>
        <v>9.9999999999909051E-3</v>
      </c>
      <c r="AO584">
        <f t="shared" si="192"/>
        <v>9.9999999999965894E-2</v>
      </c>
      <c r="AP584">
        <f>65+10.5</f>
        <v>75.5</v>
      </c>
      <c r="AQ584">
        <v>1021</v>
      </c>
      <c r="AR584">
        <v>22</v>
      </c>
      <c r="AS584">
        <v>34</v>
      </c>
      <c r="AT584">
        <f t="shared" si="216"/>
        <v>5.3137007027131622</v>
      </c>
      <c r="AU584">
        <f t="shared" si="217"/>
        <v>62.19</v>
      </c>
      <c r="AV584">
        <v>1021</v>
      </c>
      <c r="AW584">
        <f t="shared" si="218"/>
        <v>2260.5159993568095</v>
      </c>
      <c r="AX584">
        <f t="shared" si="219"/>
        <v>1.9452261867042783E-5</v>
      </c>
      <c r="AY584">
        <f t="shared" si="220"/>
        <v>1.3050510493907838E-3</v>
      </c>
      <c r="AZ584">
        <f t="shared" si="221"/>
        <v>29.102638401414477</v>
      </c>
      <c r="BA584">
        <f t="shared" si="222"/>
        <v>0.53297681796873508</v>
      </c>
    </row>
    <row r="585" spans="1:53" x14ac:dyDescent="0.25">
      <c r="A585" t="s">
        <v>4</v>
      </c>
      <c r="B585" t="s">
        <v>18</v>
      </c>
      <c r="C585">
        <v>20</v>
      </c>
      <c r="G585">
        <f t="shared" si="215"/>
        <v>377.35416666666424</v>
      </c>
      <c r="H585" s="7">
        <v>45092.354166666664</v>
      </c>
      <c r="AF585">
        <v>181.58</v>
      </c>
      <c r="AG585">
        <v>139.4</v>
      </c>
      <c r="AL585">
        <v>327.32</v>
      </c>
      <c r="AM585">
        <v>327.32</v>
      </c>
      <c r="AN585">
        <f t="shared" si="191"/>
        <v>0</v>
      </c>
      <c r="AO585">
        <f t="shared" si="192"/>
        <v>0</v>
      </c>
      <c r="AP585">
        <v>0</v>
      </c>
      <c r="AQ585">
        <v>1021</v>
      </c>
      <c r="AR585">
        <v>22</v>
      </c>
      <c r="AS585">
        <v>34</v>
      </c>
      <c r="AT585">
        <f t="shared" si="216"/>
        <v>5.3137007027131622</v>
      </c>
      <c r="AU585">
        <f t="shared" si="217"/>
        <v>68.419999999999987</v>
      </c>
      <c r="AV585">
        <v>1021</v>
      </c>
      <c r="AW585">
        <f t="shared" si="218"/>
        <v>1021</v>
      </c>
      <c r="AX585">
        <f t="shared" si="219"/>
        <v>4.4364248359901483E-5</v>
      </c>
      <c r="AY585" t="e">
        <f t="shared" si="220"/>
        <v>#DIV/0!</v>
      </c>
      <c r="AZ585" t="e">
        <f t="shared" si="221"/>
        <v>#DIV/0!</v>
      </c>
      <c r="BA585" t="e">
        <f t="shared" si="222"/>
        <v>#DIV/0!</v>
      </c>
    </row>
    <row r="586" spans="1:53" x14ac:dyDescent="0.25">
      <c r="A586" t="s">
        <v>5</v>
      </c>
      <c r="B586" t="s">
        <v>18</v>
      </c>
      <c r="C586">
        <v>20</v>
      </c>
      <c r="G586">
        <f t="shared" si="215"/>
        <v>377.35416666666424</v>
      </c>
      <c r="H586" s="7">
        <v>45092.354166666664</v>
      </c>
      <c r="AF586">
        <v>201.8</v>
      </c>
      <c r="AG586">
        <v>139.81</v>
      </c>
      <c r="AL586">
        <v>348.26</v>
      </c>
      <c r="AM586">
        <v>348.26</v>
      </c>
      <c r="AN586">
        <f t="shared" si="191"/>
        <v>0</v>
      </c>
      <c r="AO586">
        <f t="shared" si="192"/>
        <v>0</v>
      </c>
      <c r="AP586">
        <v>0</v>
      </c>
      <c r="AQ586">
        <v>1021</v>
      </c>
      <c r="AR586">
        <v>22</v>
      </c>
      <c r="AS586">
        <v>34</v>
      </c>
      <c r="AT586">
        <f t="shared" si="216"/>
        <v>5.3137007027131622</v>
      </c>
      <c r="AU586">
        <f t="shared" si="217"/>
        <v>48.199999999999989</v>
      </c>
      <c r="AV586">
        <v>1021</v>
      </c>
      <c r="AW586">
        <f t="shared" si="218"/>
        <v>1021</v>
      </c>
      <c r="AX586">
        <f t="shared" si="219"/>
        <v>4.4364248359901483E-5</v>
      </c>
      <c r="AY586" t="e">
        <f t="shared" si="220"/>
        <v>#DIV/0!</v>
      </c>
      <c r="AZ586" t="e">
        <f t="shared" si="221"/>
        <v>#DIV/0!</v>
      </c>
      <c r="BA586" t="e">
        <f t="shared" si="222"/>
        <v>#DIV/0!</v>
      </c>
    </row>
    <row r="587" spans="1:53" x14ac:dyDescent="0.25">
      <c r="A587" t="s">
        <v>6</v>
      </c>
      <c r="B587" t="s">
        <v>18</v>
      </c>
      <c r="C587">
        <v>20</v>
      </c>
      <c r="G587">
        <f t="shared" si="215"/>
        <v>377.35416666666424</v>
      </c>
      <c r="H587" s="7">
        <v>45092.354166666664</v>
      </c>
      <c r="AF587">
        <v>205.13</v>
      </c>
      <c r="AG587">
        <v>139.01</v>
      </c>
      <c r="AL587">
        <v>350.66</v>
      </c>
      <c r="AM587">
        <v>350.66</v>
      </c>
      <c r="AN587">
        <f t="shared" si="191"/>
        <v>0</v>
      </c>
      <c r="AO587">
        <f t="shared" si="192"/>
        <v>0</v>
      </c>
      <c r="AP587">
        <v>0</v>
      </c>
      <c r="AQ587">
        <v>1021</v>
      </c>
      <c r="AR587">
        <v>22</v>
      </c>
      <c r="AS587">
        <v>34</v>
      </c>
      <c r="AT587">
        <f t="shared" si="216"/>
        <v>5.3137007027131622</v>
      </c>
      <c r="AU587">
        <f t="shared" si="217"/>
        <v>44.870000000000005</v>
      </c>
      <c r="AV587">
        <v>1021</v>
      </c>
      <c r="AW587">
        <f t="shared" si="218"/>
        <v>1021</v>
      </c>
      <c r="AX587">
        <f t="shared" si="219"/>
        <v>4.4364248359901483E-5</v>
      </c>
      <c r="AY587" t="e">
        <f t="shared" si="220"/>
        <v>#DIV/0!</v>
      </c>
      <c r="AZ587" t="e">
        <f t="shared" si="221"/>
        <v>#DIV/0!</v>
      </c>
      <c r="BA587" t="e">
        <f t="shared" si="222"/>
        <v>#DIV/0!</v>
      </c>
    </row>
    <row r="588" spans="1:53" x14ac:dyDescent="0.25">
      <c r="A588" t="s">
        <v>7</v>
      </c>
      <c r="B588" t="s">
        <v>18</v>
      </c>
      <c r="C588">
        <v>20</v>
      </c>
      <c r="G588">
        <f t="shared" si="215"/>
        <v>377.35416666666424</v>
      </c>
      <c r="H588" s="7">
        <v>45092.354166666664</v>
      </c>
      <c r="AF588">
        <v>177.85000000000002</v>
      </c>
      <c r="AG588">
        <v>139.94999999999999</v>
      </c>
      <c r="AL588">
        <v>324.90499999999997</v>
      </c>
      <c r="AM588">
        <v>324.90499999999997</v>
      </c>
      <c r="AN588">
        <f t="shared" si="191"/>
        <v>0</v>
      </c>
      <c r="AO588">
        <f t="shared" si="192"/>
        <v>0</v>
      </c>
      <c r="AP588">
        <v>0</v>
      </c>
      <c r="AQ588">
        <v>1021</v>
      </c>
      <c r="AR588">
        <v>22</v>
      </c>
      <c r="AS588">
        <v>34</v>
      </c>
      <c r="AT588">
        <f t="shared" si="216"/>
        <v>5.3137007027131622</v>
      </c>
      <c r="AU588">
        <f t="shared" si="217"/>
        <v>72.149999999999977</v>
      </c>
      <c r="AV588">
        <v>1021</v>
      </c>
      <c r="AW588">
        <f t="shared" si="218"/>
        <v>1021</v>
      </c>
      <c r="AX588">
        <f t="shared" si="219"/>
        <v>4.4364248359901483E-5</v>
      </c>
      <c r="AY588" t="e">
        <f t="shared" si="220"/>
        <v>#DIV/0!</v>
      </c>
      <c r="AZ588" t="e">
        <f t="shared" si="221"/>
        <v>#DIV/0!</v>
      </c>
      <c r="BA588" t="e">
        <f t="shared" si="222"/>
        <v>#DIV/0!</v>
      </c>
    </row>
    <row r="589" spans="1:53" x14ac:dyDescent="0.25">
      <c r="A589" t="s">
        <v>8</v>
      </c>
      <c r="B589" t="s">
        <v>19</v>
      </c>
      <c r="C589">
        <v>10</v>
      </c>
      <c r="G589">
        <f t="shared" si="215"/>
        <v>377.35416666666424</v>
      </c>
      <c r="H589" s="7">
        <v>45092.354166666664</v>
      </c>
      <c r="AF589">
        <v>142.11999999999998</v>
      </c>
      <c r="AG589">
        <v>139.71</v>
      </c>
      <c r="AL589">
        <v>287.13</v>
      </c>
      <c r="AM589">
        <v>287.07</v>
      </c>
      <c r="AN589">
        <f t="shared" si="191"/>
        <v>0</v>
      </c>
      <c r="AO589">
        <f t="shared" si="192"/>
        <v>6.0000000000002274E-2</v>
      </c>
      <c r="AP589">
        <v>42.5</v>
      </c>
      <c r="AQ589">
        <v>1021</v>
      </c>
      <c r="AR589">
        <v>22</v>
      </c>
      <c r="AS589">
        <v>34</v>
      </c>
      <c r="AT589">
        <f t="shared" si="216"/>
        <v>5.3137007027131622</v>
      </c>
      <c r="AU589">
        <f t="shared" si="217"/>
        <v>107.88000000000002</v>
      </c>
      <c r="AV589">
        <v>1021</v>
      </c>
      <c r="AW589">
        <f t="shared" si="218"/>
        <v>1423.2293288839451</v>
      </c>
      <c r="AX589">
        <f t="shared" si="219"/>
        <v>3.1339869228968174E-5</v>
      </c>
      <c r="AY589">
        <f t="shared" si="220"/>
        <v>1.3804248366534383E-3</v>
      </c>
      <c r="AZ589">
        <f t="shared" si="221"/>
        <v>30.783473857371675</v>
      </c>
      <c r="BA589">
        <f t="shared" si="222"/>
        <v>0.47288259358699763</v>
      </c>
    </row>
    <row r="590" spans="1:53" x14ac:dyDescent="0.25">
      <c r="A590" t="s">
        <v>9</v>
      </c>
      <c r="B590" t="s">
        <v>19</v>
      </c>
      <c r="C590">
        <v>10</v>
      </c>
      <c r="G590">
        <f t="shared" si="215"/>
        <v>377.35416666666424</v>
      </c>
      <c r="H590" s="7">
        <v>45092.354166666664</v>
      </c>
      <c r="AF590">
        <v>136.42000000000002</v>
      </c>
      <c r="AG590">
        <v>139.75</v>
      </c>
      <c r="AL590">
        <v>281.8</v>
      </c>
      <c r="AM590">
        <v>281.75</v>
      </c>
      <c r="AN590">
        <f t="shared" si="191"/>
        <v>9.9999999999909051E-3</v>
      </c>
      <c r="AO590">
        <f t="shared" si="192"/>
        <v>5.0000000000011369E-2</v>
      </c>
      <c r="AP590">
        <v>28.5</v>
      </c>
      <c r="AQ590">
        <v>1021</v>
      </c>
      <c r="AR590">
        <v>22</v>
      </c>
      <c r="AS590">
        <v>34</v>
      </c>
      <c r="AT590">
        <f t="shared" si="216"/>
        <v>5.3137007027131622</v>
      </c>
      <c r="AU590">
        <f t="shared" si="217"/>
        <v>113.57999999999998</v>
      </c>
      <c r="AV590">
        <v>1021</v>
      </c>
      <c r="AW590">
        <f t="shared" si="218"/>
        <v>1277.1938721605916</v>
      </c>
      <c r="AX590">
        <f t="shared" si="219"/>
        <v>3.5078855747379261E-5</v>
      </c>
      <c r="AY590">
        <f t="shared" si="220"/>
        <v>1.7193071091653003E-3</v>
      </c>
      <c r="AZ590">
        <f t="shared" si="221"/>
        <v>38.340548534386194</v>
      </c>
      <c r="BA590">
        <f t="shared" si="222"/>
        <v>0.20269758547064012</v>
      </c>
    </row>
    <row r="591" spans="1:53" x14ac:dyDescent="0.25">
      <c r="A591" t="s">
        <v>10</v>
      </c>
      <c r="B591" t="s">
        <v>19</v>
      </c>
      <c r="C591">
        <v>10</v>
      </c>
      <c r="G591">
        <f t="shared" si="215"/>
        <v>377.35416666666424</v>
      </c>
      <c r="H591" s="7">
        <v>45092.354166666664</v>
      </c>
      <c r="AF591">
        <v>117.85000000000002</v>
      </c>
      <c r="AG591">
        <v>140.44999999999999</v>
      </c>
      <c r="AL591">
        <v>263.91000000000003</v>
      </c>
      <c r="AM591">
        <v>263.89</v>
      </c>
      <c r="AN591">
        <f t="shared" si="191"/>
        <v>2.9999999999972715E-2</v>
      </c>
      <c r="AO591">
        <f t="shared" si="192"/>
        <v>2.0000000000038654E-2</v>
      </c>
      <c r="AP591">
        <v>24</v>
      </c>
      <c r="AQ591">
        <v>1021</v>
      </c>
      <c r="AR591">
        <v>22</v>
      </c>
      <c r="AS591">
        <v>34</v>
      </c>
      <c r="AT591">
        <f t="shared" si="216"/>
        <v>5.3137007027131622</v>
      </c>
      <c r="AU591">
        <f t="shared" si="217"/>
        <v>132.14999999999998</v>
      </c>
      <c r="AV591">
        <v>1021</v>
      </c>
      <c r="AW591">
        <f t="shared" si="218"/>
        <v>1206.4256526674235</v>
      </c>
      <c r="AX591">
        <f t="shared" si="219"/>
        <v>3.7231368192970433E-5</v>
      </c>
      <c r="AY591">
        <f t="shared" si="220"/>
        <v>7.9610196514197341E-4</v>
      </c>
      <c r="AZ591">
        <f t="shared" si="221"/>
        <v>17.753073822666007</v>
      </c>
      <c r="BA591">
        <f t="shared" si="222"/>
        <v>0.93875317044454742</v>
      </c>
    </row>
    <row r="592" spans="1:53" x14ac:dyDescent="0.25">
      <c r="A592" t="s">
        <v>11</v>
      </c>
      <c r="B592" t="s">
        <v>19</v>
      </c>
      <c r="C592">
        <v>10</v>
      </c>
      <c r="G592">
        <f t="shared" si="215"/>
        <v>377.35416666666424</v>
      </c>
      <c r="H592" s="7">
        <v>45092.354166666664</v>
      </c>
      <c r="AF592">
        <v>107.53</v>
      </c>
      <c r="AG592">
        <v>140</v>
      </c>
      <c r="AL592">
        <v>254.22</v>
      </c>
      <c r="AM592">
        <v>254.19</v>
      </c>
      <c r="AN592">
        <f t="shared" si="191"/>
        <v>2.0000000000010232E-2</v>
      </c>
      <c r="AO592">
        <f t="shared" si="192"/>
        <v>3.0000000000001137E-2</v>
      </c>
      <c r="AP592">
        <v>37.5</v>
      </c>
      <c r="AQ592">
        <v>1021</v>
      </c>
      <c r="AR592">
        <v>22</v>
      </c>
      <c r="AS592">
        <v>34</v>
      </c>
      <c r="AT592">
        <f t="shared" si="216"/>
        <v>5.3137007027131622</v>
      </c>
      <c r="AU592">
        <f t="shared" si="217"/>
        <v>142.47</v>
      </c>
      <c r="AV592">
        <v>1021</v>
      </c>
      <c r="AW592">
        <f t="shared" si="218"/>
        <v>1289.7407875342178</v>
      </c>
      <c r="AX592">
        <f t="shared" si="219"/>
        <v>3.4722936218906257E-5</v>
      </c>
      <c r="AY592">
        <f t="shared" si="220"/>
        <v>7.6527706378112402E-4</v>
      </c>
      <c r="AZ592">
        <f t="shared" si="221"/>
        <v>17.065678522319065</v>
      </c>
      <c r="BA592">
        <f t="shared" si="222"/>
        <v>0.96332933420382316</v>
      </c>
    </row>
    <row r="593" spans="1:53" x14ac:dyDescent="0.25">
      <c r="A593" t="s">
        <v>12</v>
      </c>
      <c r="B593" t="s">
        <v>19</v>
      </c>
      <c r="C593">
        <v>20</v>
      </c>
      <c r="G593">
        <f t="shared" si="215"/>
        <v>377.35416666666424</v>
      </c>
      <c r="H593" s="7">
        <v>45092.354166666664</v>
      </c>
      <c r="AF593">
        <v>109.43</v>
      </c>
      <c r="AG593">
        <v>140.19999999999999</v>
      </c>
      <c r="AL593">
        <v>257.24</v>
      </c>
      <c r="AM593">
        <v>257.24</v>
      </c>
      <c r="AN593">
        <f t="shared" si="191"/>
        <v>0</v>
      </c>
      <c r="AO593">
        <f t="shared" si="192"/>
        <v>0</v>
      </c>
      <c r="AP593">
        <v>0</v>
      </c>
      <c r="AQ593">
        <v>1021</v>
      </c>
      <c r="AR593">
        <v>22</v>
      </c>
      <c r="AS593">
        <v>34</v>
      </c>
      <c r="AT593">
        <f t="shared" si="216"/>
        <v>5.3137007027131622</v>
      </c>
      <c r="AU593">
        <f t="shared" si="217"/>
        <v>140.57</v>
      </c>
      <c r="AV593">
        <v>1021</v>
      </c>
      <c r="AW593">
        <f t="shared" si="218"/>
        <v>1021</v>
      </c>
      <c r="AX593">
        <f t="shared" si="219"/>
        <v>4.4364248359901483E-5</v>
      </c>
      <c r="AY593" t="e">
        <f t="shared" si="220"/>
        <v>#DIV/0!</v>
      </c>
      <c r="AZ593" t="e">
        <f t="shared" si="221"/>
        <v>#DIV/0!</v>
      </c>
      <c r="BA593" t="e">
        <f t="shared" si="222"/>
        <v>#DIV/0!</v>
      </c>
    </row>
    <row r="594" spans="1:53" x14ac:dyDescent="0.25">
      <c r="A594" t="s">
        <v>13</v>
      </c>
      <c r="B594" t="s">
        <v>19</v>
      </c>
      <c r="C594">
        <v>20</v>
      </c>
      <c r="G594">
        <f t="shared" si="215"/>
        <v>377.35416666666424</v>
      </c>
      <c r="H594" s="7">
        <v>45092.354166666664</v>
      </c>
      <c r="AF594">
        <v>129.52999999999997</v>
      </c>
      <c r="AG594">
        <v>140.24</v>
      </c>
      <c r="AL594">
        <v>277.42</v>
      </c>
      <c r="AM594">
        <v>277.42</v>
      </c>
      <c r="AN594">
        <f t="shared" si="191"/>
        <v>0</v>
      </c>
      <c r="AO594">
        <f t="shared" si="192"/>
        <v>0</v>
      </c>
      <c r="AP594">
        <v>0</v>
      </c>
      <c r="AQ594">
        <v>1021</v>
      </c>
      <c r="AR594">
        <v>22</v>
      </c>
      <c r="AS594">
        <v>34</v>
      </c>
      <c r="AT594">
        <f t="shared" si="216"/>
        <v>5.3137007027131622</v>
      </c>
      <c r="AU594">
        <f t="shared" si="217"/>
        <v>120.47000000000003</v>
      </c>
      <c r="AV594">
        <v>1021</v>
      </c>
      <c r="AW594">
        <f t="shared" si="218"/>
        <v>1021</v>
      </c>
      <c r="AX594">
        <f t="shared" si="219"/>
        <v>4.4364248359901483E-5</v>
      </c>
      <c r="AY594" t="e">
        <f t="shared" si="220"/>
        <v>#DIV/0!</v>
      </c>
      <c r="AZ594" t="e">
        <f t="shared" si="221"/>
        <v>#DIV/0!</v>
      </c>
      <c r="BA594" t="e">
        <f t="shared" si="222"/>
        <v>#DIV/0!</v>
      </c>
    </row>
    <row r="595" spans="1:53" x14ac:dyDescent="0.25">
      <c r="A595" t="s">
        <v>14</v>
      </c>
      <c r="B595" t="s">
        <v>19</v>
      </c>
      <c r="C595">
        <v>20</v>
      </c>
      <c r="G595">
        <f t="shared" si="215"/>
        <v>377.35416666666424</v>
      </c>
      <c r="H595" s="7">
        <v>45092.354166666664</v>
      </c>
      <c r="AF595">
        <v>94.359999999999985</v>
      </c>
      <c r="AG595">
        <v>138.74</v>
      </c>
      <c r="AL595">
        <v>240.9</v>
      </c>
      <c r="AM595">
        <v>240.9</v>
      </c>
      <c r="AN595">
        <f t="shared" si="191"/>
        <v>0</v>
      </c>
      <c r="AO595">
        <f t="shared" si="192"/>
        <v>0</v>
      </c>
      <c r="AP595">
        <v>0</v>
      </c>
      <c r="AQ595">
        <v>1021</v>
      </c>
      <c r="AR595">
        <v>22</v>
      </c>
      <c r="AS595">
        <v>34</v>
      </c>
      <c r="AT595">
        <f t="shared" si="216"/>
        <v>5.3137007027131622</v>
      </c>
      <c r="AU595">
        <f t="shared" si="217"/>
        <v>155.64000000000001</v>
      </c>
      <c r="AV595">
        <v>1021</v>
      </c>
      <c r="AW595">
        <f t="shared" si="218"/>
        <v>1021</v>
      </c>
      <c r="AX595">
        <f t="shared" si="219"/>
        <v>4.4364248359901483E-5</v>
      </c>
      <c r="AY595" t="e">
        <f t="shared" si="220"/>
        <v>#DIV/0!</v>
      </c>
      <c r="AZ595" t="e">
        <f t="shared" si="221"/>
        <v>#DIV/0!</v>
      </c>
      <c r="BA595" t="e">
        <f t="shared" si="222"/>
        <v>#DIV/0!</v>
      </c>
    </row>
    <row r="596" spans="1:53" x14ac:dyDescent="0.25">
      <c r="A596" t="s">
        <v>15</v>
      </c>
      <c r="B596" t="s">
        <v>19</v>
      </c>
      <c r="C596">
        <v>20</v>
      </c>
      <c r="G596">
        <f t="shared" si="215"/>
        <v>377.35416666666424</v>
      </c>
      <c r="H596" s="7">
        <v>45092.354166666664</v>
      </c>
      <c r="AF596">
        <v>85.4</v>
      </c>
      <c r="AG596">
        <v>140.1</v>
      </c>
      <c r="AL596">
        <v>233.16</v>
      </c>
      <c r="AM596">
        <v>233.16</v>
      </c>
      <c r="AN596">
        <f t="shared" si="191"/>
        <v>0</v>
      </c>
      <c r="AO596">
        <f t="shared" si="192"/>
        <v>0</v>
      </c>
      <c r="AP596">
        <v>0</v>
      </c>
      <c r="AQ596">
        <v>1021</v>
      </c>
      <c r="AR596">
        <v>22</v>
      </c>
      <c r="AS596">
        <v>34</v>
      </c>
      <c r="AT596">
        <f t="shared" si="216"/>
        <v>5.3137007027131622</v>
      </c>
      <c r="AU596">
        <f t="shared" si="217"/>
        <v>164.6</v>
      </c>
      <c r="AV596">
        <v>1021</v>
      </c>
      <c r="AW596">
        <f t="shared" si="218"/>
        <v>1021</v>
      </c>
      <c r="AX596">
        <f t="shared" si="219"/>
        <v>4.4364248359901483E-5</v>
      </c>
      <c r="AY596" t="e">
        <f t="shared" si="220"/>
        <v>#DIV/0!</v>
      </c>
      <c r="AZ596" t="e">
        <f t="shared" si="221"/>
        <v>#DIV/0!</v>
      </c>
      <c r="BA596" t="e">
        <f t="shared" si="222"/>
        <v>#DIV/0!</v>
      </c>
    </row>
    <row r="597" spans="1:53" x14ac:dyDescent="0.25">
      <c r="A597" t="s">
        <v>0</v>
      </c>
      <c r="B597" t="s">
        <v>18</v>
      </c>
      <c r="C597">
        <v>10</v>
      </c>
      <c r="G597">
        <f t="shared" si="215"/>
        <v>381.47916666666424</v>
      </c>
      <c r="H597" s="7">
        <v>45096.479166666664</v>
      </c>
      <c r="AF597">
        <v>172.77</v>
      </c>
      <c r="AG597">
        <v>139.16999999999999</v>
      </c>
      <c r="AL597">
        <v>318.19</v>
      </c>
      <c r="AM597">
        <v>318</v>
      </c>
      <c r="AN597">
        <f t="shared" si="191"/>
        <v>9.9999999999909051E-3</v>
      </c>
      <c r="AO597">
        <f t="shared" si="192"/>
        <v>0.18999999999999773</v>
      </c>
      <c r="AP597">
        <f>65+65+18</f>
        <v>148</v>
      </c>
      <c r="AQ597">
        <v>1012</v>
      </c>
      <c r="AR597">
        <v>22</v>
      </c>
      <c r="AS597">
        <v>34</v>
      </c>
      <c r="AT597">
        <f t="shared" ref="AT597:AT612" si="223">0.61094*EXP(17.625*AS597/(243.04+AS597))</f>
        <v>5.3137007027131622</v>
      </c>
      <c r="AU597">
        <f t="shared" ref="AU597:AU612" si="224">250-AF597</f>
        <v>77.22999999999999</v>
      </c>
      <c r="AV597">
        <v>1012</v>
      </c>
      <c r="AW597">
        <f t="shared" ref="AW597:AW612" si="225">AP597/AU597*AV597+AV597</f>
        <v>2951.3499935258324</v>
      </c>
      <c r="AX597">
        <f t="shared" ref="AX597:AX612" si="226">18.02*(AT597/(AW597/10-AT597)*1/22300)</f>
        <v>1.4815513697107353E-5</v>
      </c>
      <c r="AY597">
        <f t="shared" ref="AY597:AY612" si="227">(AL597-AM597)/AP597-AX597</f>
        <v>1.2689682700866612E-3</v>
      </c>
      <c r="AZ597">
        <f t="shared" ref="AZ597:AZ612" si="228">AY597*22300</f>
        <v>28.297992422932545</v>
      </c>
      <c r="BA597">
        <f t="shared" ref="BA597:BA612" si="229">(44.01-AZ597)/(44.01-16.04)</f>
        <v>0.56174499739247241</v>
      </c>
    </row>
    <row r="598" spans="1:53" x14ac:dyDescent="0.25">
      <c r="A598" t="s">
        <v>1</v>
      </c>
      <c r="B598" t="s">
        <v>18</v>
      </c>
      <c r="C598">
        <v>10</v>
      </c>
      <c r="G598">
        <f t="shared" si="215"/>
        <v>381.47916666666424</v>
      </c>
      <c r="H598" s="7">
        <v>45096.479166666664</v>
      </c>
      <c r="AF598">
        <v>173.93</v>
      </c>
      <c r="AG598">
        <v>141.25</v>
      </c>
      <c r="AL598">
        <v>320.81</v>
      </c>
      <c r="AM598">
        <v>320.58</v>
      </c>
      <c r="AN598">
        <f t="shared" ref="AN598:AN644" si="230">AM582-AL598</f>
        <v>-9.9999999999909051E-3</v>
      </c>
      <c r="AO598">
        <f t="shared" si="192"/>
        <v>0.23000000000001819</v>
      </c>
      <c r="AP598">
        <f>65+65+59</f>
        <v>189</v>
      </c>
      <c r="AQ598">
        <v>1012</v>
      </c>
      <c r="AR598">
        <v>22</v>
      </c>
      <c r="AS598">
        <v>34</v>
      </c>
      <c r="AT598">
        <f t="shared" si="223"/>
        <v>5.3137007027131622</v>
      </c>
      <c r="AU598">
        <f t="shared" si="224"/>
        <v>76.069999999999993</v>
      </c>
      <c r="AV598">
        <v>1012</v>
      </c>
      <c r="AW598">
        <f t="shared" si="225"/>
        <v>3526.3683449454452</v>
      </c>
      <c r="AX598">
        <f t="shared" si="226"/>
        <v>1.236269917578861E-5</v>
      </c>
      <c r="AY598">
        <f t="shared" si="227"/>
        <v>1.2045685177555247E-3</v>
      </c>
      <c r="AZ598">
        <f t="shared" si="228"/>
        <v>26.861877945948201</v>
      </c>
      <c r="BA598">
        <f t="shared" si="229"/>
        <v>0.61308981244375393</v>
      </c>
    </row>
    <row r="599" spans="1:53" x14ac:dyDescent="0.25">
      <c r="A599" t="s">
        <v>2</v>
      </c>
      <c r="B599" t="s">
        <v>18</v>
      </c>
      <c r="C599">
        <v>10</v>
      </c>
      <c r="G599">
        <f t="shared" si="215"/>
        <v>381.47916666666424</v>
      </c>
      <c r="H599" s="7">
        <v>45096.479166666664</v>
      </c>
      <c r="AF599">
        <v>162.82000000000002</v>
      </c>
      <c r="AG599">
        <v>140.66</v>
      </c>
      <c r="AL599">
        <v>309.98</v>
      </c>
      <c r="AM599">
        <v>309.77999999999997</v>
      </c>
      <c r="AN599">
        <f t="shared" si="230"/>
        <v>-9.9999999999909051E-3</v>
      </c>
      <c r="AO599">
        <f t="shared" si="192"/>
        <v>0.20000000000004547</v>
      </c>
      <c r="AP599">
        <f>65+65+11</f>
        <v>141</v>
      </c>
      <c r="AQ599">
        <v>1012</v>
      </c>
      <c r="AR599">
        <v>22</v>
      </c>
      <c r="AS599">
        <v>34</v>
      </c>
      <c r="AT599">
        <f t="shared" si="223"/>
        <v>5.3137007027131622</v>
      </c>
      <c r="AU599">
        <f t="shared" si="224"/>
        <v>87.179999999999978</v>
      </c>
      <c r="AV599">
        <v>1012</v>
      </c>
      <c r="AW599">
        <f t="shared" si="225"/>
        <v>2648.751548520303</v>
      </c>
      <c r="AX599">
        <f t="shared" si="226"/>
        <v>1.6542715997385654E-5</v>
      </c>
      <c r="AY599">
        <f t="shared" si="227"/>
        <v>1.4018970003149937E-3</v>
      </c>
      <c r="AZ599">
        <f t="shared" si="228"/>
        <v>31.262303107024358</v>
      </c>
      <c r="BA599">
        <f t="shared" si="229"/>
        <v>0.45576320675636894</v>
      </c>
    </row>
    <row r="600" spans="1:53" x14ac:dyDescent="0.25">
      <c r="A600" t="s">
        <v>3</v>
      </c>
      <c r="B600" t="s">
        <v>18</v>
      </c>
      <c r="C600">
        <v>10</v>
      </c>
      <c r="G600">
        <f t="shared" si="215"/>
        <v>381.47916666666424</v>
      </c>
      <c r="H600" s="7">
        <v>45096.479166666664</v>
      </c>
      <c r="AF600">
        <v>187.81</v>
      </c>
      <c r="AG600">
        <v>140</v>
      </c>
      <c r="AL600">
        <v>334.3</v>
      </c>
      <c r="AM600">
        <v>334.18</v>
      </c>
      <c r="AN600">
        <f t="shared" si="230"/>
        <v>-9.9999999999909051E-3</v>
      </c>
      <c r="AO600">
        <f t="shared" si="192"/>
        <v>0.12000000000000455</v>
      </c>
      <c r="AP600">
        <f>65+33.5</f>
        <v>98.5</v>
      </c>
      <c r="AQ600">
        <v>1012</v>
      </c>
      <c r="AR600">
        <v>22</v>
      </c>
      <c r="AS600">
        <v>34</v>
      </c>
      <c r="AT600">
        <f t="shared" si="223"/>
        <v>5.3137007027131622</v>
      </c>
      <c r="AU600">
        <f t="shared" si="224"/>
        <v>62.19</v>
      </c>
      <c r="AV600">
        <v>1012</v>
      </c>
      <c r="AW600">
        <f t="shared" si="225"/>
        <v>2614.8621964946133</v>
      </c>
      <c r="AX600">
        <f t="shared" si="226"/>
        <v>1.6761561456766466E-5</v>
      </c>
      <c r="AY600">
        <f t="shared" si="227"/>
        <v>1.2015125502184067E-3</v>
      </c>
      <c r="AZ600">
        <f t="shared" si="228"/>
        <v>26.793729869870468</v>
      </c>
      <c r="BA600">
        <f t="shared" si="229"/>
        <v>0.61552628280763433</v>
      </c>
    </row>
    <row r="601" spans="1:53" x14ac:dyDescent="0.25">
      <c r="A601" t="s">
        <v>4</v>
      </c>
      <c r="B601" t="s">
        <v>18</v>
      </c>
      <c r="C601">
        <v>20</v>
      </c>
      <c r="G601">
        <f t="shared" si="215"/>
        <v>381.47916666666424</v>
      </c>
      <c r="H601" s="7">
        <v>45096.479166666664</v>
      </c>
      <c r="AF601">
        <v>181.58</v>
      </c>
      <c r="AG601">
        <v>139.4</v>
      </c>
      <c r="AL601">
        <v>327.31</v>
      </c>
      <c r="AM601">
        <v>327.20999999999998</v>
      </c>
      <c r="AN601">
        <f t="shared" si="230"/>
        <v>9.9999999999909051E-3</v>
      </c>
      <c r="AO601">
        <f t="shared" si="192"/>
        <v>0.10000000000002274</v>
      </c>
      <c r="AP601">
        <v>57.5</v>
      </c>
      <c r="AQ601">
        <v>1012</v>
      </c>
      <c r="AR601">
        <v>22</v>
      </c>
      <c r="AS601">
        <v>34</v>
      </c>
      <c r="AT601">
        <f t="shared" si="223"/>
        <v>5.3137007027131622</v>
      </c>
      <c r="AU601">
        <f t="shared" si="224"/>
        <v>68.419999999999987</v>
      </c>
      <c r="AV601">
        <v>1012</v>
      </c>
      <c r="AW601">
        <f t="shared" si="225"/>
        <v>1862.4823151125404</v>
      </c>
      <c r="AX601">
        <f t="shared" si="226"/>
        <v>2.3731519907630054E-5</v>
      </c>
      <c r="AY601">
        <f t="shared" si="227"/>
        <v>1.7153989148753739E-3</v>
      </c>
      <c r="AZ601">
        <f t="shared" si="228"/>
        <v>38.253395801720842</v>
      </c>
      <c r="BA601">
        <f t="shared" si="229"/>
        <v>0.20581352156879357</v>
      </c>
    </row>
    <row r="602" spans="1:53" x14ac:dyDescent="0.25">
      <c r="A602" t="s">
        <v>5</v>
      </c>
      <c r="B602" t="s">
        <v>18</v>
      </c>
      <c r="C602">
        <v>20</v>
      </c>
      <c r="G602">
        <f t="shared" si="215"/>
        <v>381.47916666666424</v>
      </c>
      <c r="H602" s="7">
        <v>45096.479166666664</v>
      </c>
      <c r="AF602">
        <v>201.8</v>
      </c>
      <c r="AG602">
        <v>139.81</v>
      </c>
      <c r="AL602">
        <v>348.25</v>
      </c>
      <c r="AM602">
        <v>348.13</v>
      </c>
      <c r="AN602">
        <f t="shared" si="230"/>
        <v>9.9999999999909051E-3</v>
      </c>
      <c r="AO602">
        <f t="shared" si="192"/>
        <v>0.12000000000000455</v>
      </c>
      <c r="AP602">
        <f>65+18</f>
        <v>83</v>
      </c>
      <c r="AQ602">
        <v>1012</v>
      </c>
      <c r="AR602">
        <v>22</v>
      </c>
      <c r="AS602">
        <v>34</v>
      </c>
      <c r="AT602">
        <f t="shared" si="223"/>
        <v>5.3137007027131622</v>
      </c>
      <c r="AU602">
        <f t="shared" si="224"/>
        <v>48.199999999999989</v>
      </c>
      <c r="AV602">
        <v>1012</v>
      </c>
      <c r="AW602">
        <f t="shared" si="225"/>
        <v>2754.6556016597515</v>
      </c>
      <c r="AX602">
        <f t="shared" si="226"/>
        <v>1.589421382622211E-5</v>
      </c>
      <c r="AY602">
        <f t="shared" si="227"/>
        <v>1.429888918703953E-3</v>
      </c>
      <c r="AZ602">
        <f t="shared" si="228"/>
        <v>31.886522887098153</v>
      </c>
      <c r="BA602">
        <f t="shared" si="229"/>
        <v>0.43344573160178212</v>
      </c>
    </row>
    <row r="603" spans="1:53" x14ac:dyDescent="0.25">
      <c r="A603" t="s">
        <v>6</v>
      </c>
      <c r="B603" t="s">
        <v>18</v>
      </c>
      <c r="C603">
        <v>20</v>
      </c>
      <c r="G603">
        <f t="shared" si="215"/>
        <v>381.47916666666424</v>
      </c>
      <c r="H603" s="7">
        <v>45096.479166666664</v>
      </c>
      <c r="AF603">
        <v>205.13</v>
      </c>
      <c r="AG603">
        <v>139.01</v>
      </c>
      <c r="AL603">
        <v>350.66</v>
      </c>
      <c r="AM603">
        <v>350.52</v>
      </c>
      <c r="AN603">
        <f t="shared" si="230"/>
        <v>0</v>
      </c>
      <c r="AO603">
        <f t="shared" si="192"/>
        <v>0.1400000000000432</v>
      </c>
      <c r="AP603">
        <v>71</v>
      </c>
      <c r="AQ603">
        <v>1012</v>
      </c>
      <c r="AR603">
        <v>22</v>
      </c>
      <c r="AS603">
        <v>34</v>
      </c>
      <c r="AT603">
        <f t="shared" si="223"/>
        <v>5.3137007027131622</v>
      </c>
      <c r="AU603">
        <f t="shared" si="224"/>
        <v>44.870000000000005</v>
      </c>
      <c r="AV603">
        <v>1012</v>
      </c>
      <c r="AW603">
        <f t="shared" si="225"/>
        <v>2613.3371963449963</v>
      </c>
      <c r="AX603">
        <f t="shared" si="226"/>
        <v>1.6771545591536877E-5</v>
      </c>
      <c r="AY603">
        <f t="shared" si="227"/>
        <v>1.9550594403245644E-3</v>
      </c>
      <c r="AZ603">
        <f t="shared" si="228"/>
        <v>43.597825519237787</v>
      </c>
      <c r="BA603">
        <f t="shared" si="229"/>
        <v>1.4736306069439068E-2</v>
      </c>
    </row>
    <row r="604" spans="1:53" x14ac:dyDescent="0.25">
      <c r="A604" t="s">
        <v>7</v>
      </c>
      <c r="B604" t="s">
        <v>18</v>
      </c>
      <c r="C604">
        <v>20</v>
      </c>
      <c r="G604">
        <f t="shared" si="215"/>
        <v>381.47916666666424</v>
      </c>
      <c r="H604" s="7">
        <v>45096.479166666664</v>
      </c>
      <c r="AF604">
        <v>177.85000000000002</v>
      </c>
      <c r="AG604">
        <v>139.94999999999999</v>
      </c>
      <c r="AL604">
        <v>324.89999999999998</v>
      </c>
      <c r="AM604">
        <v>324.70999999999998</v>
      </c>
      <c r="AN604">
        <f t="shared" si="230"/>
        <v>4.9999999999954525E-3</v>
      </c>
      <c r="AO604">
        <f t="shared" si="192"/>
        <v>0.18999999999999773</v>
      </c>
      <c r="AP604">
        <f>65+49.5</f>
        <v>114.5</v>
      </c>
      <c r="AQ604">
        <v>1012</v>
      </c>
      <c r="AR604">
        <v>22</v>
      </c>
      <c r="AS604">
        <v>34</v>
      </c>
      <c r="AT604">
        <f t="shared" si="223"/>
        <v>5.3137007027131622</v>
      </c>
      <c r="AU604">
        <f t="shared" si="224"/>
        <v>72.149999999999977</v>
      </c>
      <c r="AV604">
        <v>1012</v>
      </c>
      <c r="AW604">
        <f t="shared" si="225"/>
        <v>2618.0152460152467</v>
      </c>
      <c r="AX604">
        <f t="shared" si="226"/>
        <v>1.6740956177142285E-5</v>
      </c>
      <c r="AY604">
        <f t="shared" si="227"/>
        <v>1.6426476901110474E-3</v>
      </c>
      <c r="AZ604">
        <f t="shared" si="228"/>
        <v>36.631043489476355</v>
      </c>
      <c r="BA604">
        <f t="shared" si="229"/>
        <v>0.26381682197081313</v>
      </c>
    </row>
    <row r="605" spans="1:53" x14ac:dyDescent="0.25">
      <c r="A605" t="s">
        <v>8</v>
      </c>
      <c r="B605" t="s">
        <v>19</v>
      </c>
      <c r="C605">
        <v>10</v>
      </c>
      <c r="G605">
        <f t="shared" si="215"/>
        <v>381.47916666666424</v>
      </c>
      <c r="H605" s="7">
        <v>45096.479166666664</v>
      </c>
      <c r="AF605">
        <v>142.11999999999998</v>
      </c>
      <c r="AG605">
        <v>139.71</v>
      </c>
      <c r="AL605">
        <v>287.08999999999997</v>
      </c>
      <c r="AM605">
        <v>287.02</v>
      </c>
      <c r="AN605">
        <f t="shared" si="230"/>
        <v>-1.999999999998181E-2</v>
      </c>
      <c r="AO605">
        <f t="shared" si="192"/>
        <v>6.9999999999993179E-2</v>
      </c>
      <c r="AP605">
        <v>47.5</v>
      </c>
      <c r="AQ605">
        <v>1012</v>
      </c>
      <c r="AR605">
        <v>22</v>
      </c>
      <c r="AS605">
        <v>34</v>
      </c>
      <c r="AT605">
        <f t="shared" si="223"/>
        <v>5.3137007027131622</v>
      </c>
      <c r="AU605">
        <f t="shared" si="224"/>
        <v>107.88000000000002</v>
      </c>
      <c r="AV605">
        <v>1012</v>
      </c>
      <c r="AW605">
        <f t="shared" si="225"/>
        <v>1457.5876900259545</v>
      </c>
      <c r="AX605">
        <f t="shared" si="226"/>
        <v>3.0573173354099108E-5</v>
      </c>
      <c r="AY605">
        <f t="shared" si="227"/>
        <v>1.4431110371720729E-3</v>
      </c>
      <c r="AZ605">
        <f t="shared" si="228"/>
        <v>32.181376128937224</v>
      </c>
      <c r="BA605">
        <f t="shared" si="229"/>
        <v>0.42290396392787899</v>
      </c>
    </row>
    <row r="606" spans="1:53" x14ac:dyDescent="0.25">
      <c r="A606" t="s">
        <v>9</v>
      </c>
      <c r="B606" t="s">
        <v>19</v>
      </c>
      <c r="C606">
        <v>10</v>
      </c>
      <c r="G606">
        <f t="shared" si="215"/>
        <v>381.47916666666424</v>
      </c>
      <c r="H606" s="7">
        <v>45096.479166666664</v>
      </c>
      <c r="AF606">
        <v>136.42000000000002</v>
      </c>
      <c r="AG606">
        <v>139.75</v>
      </c>
      <c r="AL606">
        <v>281.76</v>
      </c>
      <c r="AM606">
        <v>281.69</v>
      </c>
      <c r="AN606">
        <f t="shared" si="230"/>
        <v>-9.9999999999909051E-3</v>
      </c>
      <c r="AO606">
        <f t="shared" si="192"/>
        <v>6.9999999999993179E-2</v>
      </c>
      <c r="AP606">
        <v>47.5</v>
      </c>
      <c r="AQ606">
        <v>1012</v>
      </c>
      <c r="AR606">
        <v>22</v>
      </c>
      <c r="AS606">
        <v>34</v>
      </c>
      <c r="AT606">
        <f t="shared" si="223"/>
        <v>5.3137007027131622</v>
      </c>
      <c r="AU606">
        <f t="shared" si="224"/>
        <v>113.57999999999998</v>
      </c>
      <c r="AV606">
        <v>1012</v>
      </c>
      <c r="AW606">
        <f t="shared" si="225"/>
        <v>1435.2259200563481</v>
      </c>
      <c r="AX606">
        <f t="shared" si="226"/>
        <v>3.1067837816956876E-5</v>
      </c>
      <c r="AY606">
        <f t="shared" si="227"/>
        <v>1.4426163727092151E-3</v>
      </c>
      <c r="AZ606">
        <f t="shared" si="228"/>
        <v>32.1703451114155</v>
      </c>
      <c r="BA606">
        <f t="shared" si="229"/>
        <v>0.42329835139737215</v>
      </c>
    </row>
    <row r="607" spans="1:53" x14ac:dyDescent="0.25">
      <c r="A607" t="s">
        <v>10</v>
      </c>
      <c r="B607" t="s">
        <v>19</v>
      </c>
      <c r="C607">
        <v>10</v>
      </c>
      <c r="G607">
        <f t="shared" si="215"/>
        <v>381.47916666666424</v>
      </c>
      <c r="H607" s="7">
        <v>45096.479166666664</v>
      </c>
      <c r="AF607">
        <v>117.85000000000002</v>
      </c>
      <c r="AG607">
        <v>140.44999999999999</v>
      </c>
      <c r="AL607">
        <v>263.89999999999998</v>
      </c>
      <c r="AM607">
        <v>263.83</v>
      </c>
      <c r="AN607">
        <f t="shared" si="230"/>
        <v>-9.9999999999909051E-3</v>
      </c>
      <c r="AO607">
        <f t="shared" si="192"/>
        <v>6.9999999999993179E-2</v>
      </c>
      <c r="AP607">
        <v>43</v>
      </c>
      <c r="AQ607">
        <v>1012</v>
      </c>
      <c r="AR607">
        <v>22</v>
      </c>
      <c r="AS607">
        <v>34</v>
      </c>
      <c r="AT607">
        <f t="shared" si="223"/>
        <v>5.3137007027131622</v>
      </c>
      <c r="AU607">
        <f t="shared" si="224"/>
        <v>132.14999999999998</v>
      </c>
      <c r="AV607">
        <v>1012</v>
      </c>
      <c r="AW607">
        <f t="shared" si="225"/>
        <v>1341.2924706772608</v>
      </c>
      <c r="AX607">
        <f t="shared" si="226"/>
        <v>3.3333332357986463E-5</v>
      </c>
      <c r="AY607">
        <f t="shared" si="227"/>
        <v>1.594573644386041E-3</v>
      </c>
      <c r="AZ607">
        <f t="shared" si="228"/>
        <v>35.558992269808712</v>
      </c>
      <c r="BA607">
        <f t="shared" si="229"/>
        <v>0.30214543189815107</v>
      </c>
    </row>
    <row r="608" spans="1:53" x14ac:dyDescent="0.25">
      <c r="A608" t="s">
        <v>11</v>
      </c>
      <c r="B608" t="s">
        <v>19</v>
      </c>
      <c r="C608">
        <v>10</v>
      </c>
      <c r="G608">
        <f t="shared" si="215"/>
        <v>381.47916666666424</v>
      </c>
      <c r="H608" s="7">
        <v>45096.479166666664</v>
      </c>
      <c r="AF608">
        <v>107.53</v>
      </c>
      <c r="AG608">
        <v>140</v>
      </c>
      <c r="AL608">
        <v>254.21</v>
      </c>
      <c r="AM608">
        <v>254.17</v>
      </c>
      <c r="AN608">
        <f t="shared" si="230"/>
        <v>-2.0000000000010232E-2</v>
      </c>
      <c r="AO608">
        <f t="shared" si="192"/>
        <v>4.0000000000020464E-2</v>
      </c>
      <c r="AP608">
        <v>52.5</v>
      </c>
      <c r="AQ608">
        <v>1012</v>
      </c>
      <c r="AR608">
        <v>22</v>
      </c>
      <c r="AS608">
        <v>34</v>
      </c>
      <c r="AT608">
        <f t="shared" si="223"/>
        <v>5.3137007027131622</v>
      </c>
      <c r="AU608">
        <f t="shared" si="224"/>
        <v>142.47</v>
      </c>
      <c r="AV608">
        <v>1012</v>
      </c>
      <c r="AW608">
        <f t="shared" si="225"/>
        <v>1384.9206148662877</v>
      </c>
      <c r="AX608">
        <f t="shared" si="226"/>
        <v>3.2241359591649024E-5</v>
      </c>
      <c r="AY608">
        <f t="shared" si="227"/>
        <v>7.2966340231350269E-4</v>
      </c>
      <c r="AZ608">
        <f t="shared" si="228"/>
        <v>16.271493871591108</v>
      </c>
      <c r="BA608">
        <f t="shared" si="229"/>
        <v>0.991723494043936</v>
      </c>
    </row>
    <row r="609" spans="1:53" x14ac:dyDescent="0.25">
      <c r="A609" t="s">
        <v>12</v>
      </c>
      <c r="B609" t="s">
        <v>19</v>
      </c>
      <c r="C609">
        <v>20</v>
      </c>
      <c r="G609">
        <f t="shared" si="215"/>
        <v>381.47916666666424</v>
      </c>
      <c r="H609" s="7">
        <v>45096.479166666664</v>
      </c>
      <c r="AF609">
        <v>109.43</v>
      </c>
      <c r="AG609">
        <v>140.19999999999999</v>
      </c>
      <c r="AL609">
        <v>257.24</v>
      </c>
      <c r="AM609">
        <v>257.18</v>
      </c>
      <c r="AN609">
        <f t="shared" si="230"/>
        <v>0</v>
      </c>
      <c r="AO609">
        <f t="shared" si="192"/>
        <v>6.0000000000002274E-2</v>
      </c>
      <c r="AP609">
        <v>44</v>
      </c>
      <c r="AQ609">
        <v>1012</v>
      </c>
      <c r="AR609">
        <v>22</v>
      </c>
      <c r="AS609">
        <v>34</v>
      </c>
      <c r="AT609">
        <f t="shared" si="223"/>
        <v>5.3137007027131622</v>
      </c>
      <c r="AU609">
        <f t="shared" si="224"/>
        <v>140.57</v>
      </c>
      <c r="AV609">
        <v>1012</v>
      </c>
      <c r="AW609">
        <f t="shared" si="225"/>
        <v>1328.7674468236467</v>
      </c>
      <c r="AX609">
        <f t="shared" si="226"/>
        <v>3.3660622119879287E-5</v>
      </c>
      <c r="AY609">
        <f t="shared" si="227"/>
        <v>1.3299757415165361E-3</v>
      </c>
      <c r="AZ609">
        <f t="shared" si="228"/>
        <v>29.658459035818755</v>
      </c>
      <c r="BA609">
        <f t="shared" si="229"/>
        <v>0.51310478956672301</v>
      </c>
    </row>
    <row r="610" spans="1:53" x14ac:dyDescent="0.25">
      <c r="A610" t="s">
        <v>13</v>
      </c>
      <c r="B610" t="s">
        <v>19</v>
      </c>
      <c r="C610">
        <v>20</v>
      </c>
      <c r="G610">
        <f t="shared" si="215"/>
        <v>381.47916666666424</v>
      </c>
      <c r="H610" s="7">
        <v>45096.479166666664</v>
      </c>
      <c r="AF610">
        <v>129.52999999999997</v>
      </c>
      <c r="AG610">
        <v>140.24</v>
      </c>
      <c r="AL610">
        <v>277.42</v>
      </c>
      <c r="AM610">
        <v>277.35000000000002</v>
      </c>
      <c r="AN610">
        <f t="shared" si="230"/>
        <v>0</v>
      </c>
      <c r="AO610">
        <f t="shared" si="192"/>
        <v>6.9999999999993179E-2</v>
      </c>
      <c r="AP610">
        <v>44.5</v>
      </c>
      <c r="AQ610">
        <v>1012</v>
      </c>
      <c r="AR610">
        <v>22</v>
      </c>
      <c r="AS610">
        <v>34</v>
      </c>
      <c r="AT610">
        <f t="shared" si="223"/>
        <v>5.3137007027131622</v>
      </c>
      <c r="AU610">
        <f t="shared" si="224"/>
        <v>120.47000000000003</v>
      </c>
      <c r="AV610">
        <v>1012</v>
      </c>
      <c r="AW610">
        <f t="shared" si="225"/>
        <v>1385.819208101602</v>
      </c>
      <c r="AX610">
        <f t="shared" si="226"/>
        <v>3.2219620074453519E-5</v>
      </c>
      <c r="AY610">
        <f t="shared" si="227"/>
        <v>1.5408140877905617E-3</v>
      </c>
      <c r="AZ610">
        <f t="shared" si="228"/>
        <v>34.360154157729525</v>
      </c>
      <c r="BA610">
        <f t="shared" si="229"/>
        <v>0.3450070018688049</v>
      </c>
    </row>
    <row r="611" spans="1:53" x14ac:dyDescent="0.25">
      <c r="A611" t="s">
        <v>14</v>
      </c>
      <c r="B611" t="s">
        <v>19</v>
      </c>
      <c r="C611">
        <v>20</v>
      </c>
      <c r="G611">
        <f t="shared" si="215"/>
        <v>381.47916666666424</v>
      </c>
      <c r="H611" s="7">
        <v>45096.479166666664</v>
      </c>
      <c r="AF611">
        <v>94.359999999999985</v>
      </c>
      <c r="AG611">
        <v>138.74</v>
      </c>
      <c r="AL611">
        <v>240.89</v>
      </c>
      <c r="AM611">
        <v>240.81</v>
      </c>
      <c r="AN611">
        <f t="shared" si="230"/>
        <v>1.0000000000019327E-2</v>
      </c>
      <c r="AO611">
        <f t="shared" si="192"/>
        <v>7.9999999999984084E-2</v>
      </c>
      <c r="AP611">
        <v>29</v>
      </c>
      <c r="AQ611">
        <v>1012</v>
      </c>
      <c r="AR611">
        <v>22</v>
      </c>
      <c r="AS611">
        <v>34</v>
      </c>
      <c r="AT611">
        <f t="shared" si="223"/>
        <v>5.3137007027131622</v>
      </c>
      <c r="AU611">
        <f t="shared" si="224"/>
        <v>155.64000000000001</v>
      </c>
      <c r="AV611">
        <v>1012</v>
      </c>
      <c r="AW611">
        <f t="shared" si="225"/>
        <v>1200.5633513235671</v>
      </c>
      <c r="AX611">
        <f t="shared" si="226"/>
        <v>3.742158650273488E-5</v>
      </c>
      <c r="AY611">
        <f t="shared" si="227"/>
        <v>2.7211991031518886E-3</v>
      </c>
      <c r="AZ611">
        <f t="shared" si="228"/>
        <v>60.682740000287119</v>
      </c>
      <c r="BA611">
        <f t="shared" si="229"/>
        <v>-0.59609367180147022</v>
      </c>
    </row>
    <row r="612" spans="1:53" x14ac:dyDescent="0.25">
      <c r="A612" t="s">
        <v>15</v>
      </c>
      <c r="B612" t="s">
        <v>19</v>
      </c>
      <c r="C612">
        <v>20</v>
      </c>
      <c r="G612">
        <f t="shared" si="215"/>
        <v>381.47916666666424</v>
      </c>
      <c r="H612" s="7">
        <v>45096.479166666664</v>
      </c>
      <c r="AF612">
        <v>85.4</v>
      </c>
      <c r="AG612">
        <v>140.1</v>
      </c>
      <c r="AL612">
        <v>233.17</v>
      </c>
      <c r="AM612">
        <v>233.125</v>
      </c>
      <c r="AN612">
        <f t="shared" si="230"/>
        <v>-9.9999999999909051E-3</v>
      </c>
      <c r="AO612">
        <f t="shared" si="192"/>
        <v>4.4999999999987494E-2</v>
      </c>
      <c r="AP612">
        <v>42</v>
      </c>
      <c r="AQ612">
        <v>1012</v>
      </c>
      <c r="AR612">
        <v>22</v>
      </c>
      <c r="AS612">
        <v>34</v>
      </c>
      <c r="AT612">
        <f t="shared" si="223"/>
        <v>5.3137007027131622</v>
      </c>
      <c r="AU612">
        <f t="shared" si="224"/>
        <v>164.6</v>
      </c>
      <c r="AV612">
        <v>1012</v>
      </c>
      <c r="AW612">
        <f t="shared" si="225"/>
        <v>1270.2260024301336</v>
      </c>
      <c r="AX612">
        <f t="shared" si="226"/>
        <v>3.5279683211980838E-5</v>
      </c>
      <c r="AY612">
        <f t="shared" si="227"/>
        <v>1.036148888216293E-3</v>
      </c>
      <c r="AZ612">
        <f t="shared" si="228"/>
        <v>23.106120207223334</v>
      </c>
      <c r="BA612">
        <f t="shared" si="229"/>
        <v>0.74736788676355614</v>
      </c>
    </row>
    <row r="613" spans="1:53" x14ac:dyDescent="0.25">
      <c r="A613" t="s">
        <v>0</v>
      </c>
      <c r="B613" t="s">
        <v>18</v>
      </c>
      <c r="C613">
        <v>10</v>
      </c>
      <c r="G613">
        <f t="shared" si="215"/>
        <v>388.35416666666424</v>
      </c>
      <c r="H613" s="7">
        <v>45103.354166666664</v>
      </c>
      <c r="AF613">
        <v>172.77</v>
      </c>
      <c r="AG613">
        <v>139.16999999999999</v>
      </c>
      <c r="AL613">
        <v>317.97000000000003</v>
      </c>
      <c r="AM613">
        <v>317.77</v>
      </c>
      <c r="AN613">
        <f t="shared" si="230"/>
        <v>2.9999999999972715E-2</v>
      </c>
      <c r="AO613">
        <f t="shared" si="192"/>
        <v>0.20000000000004547</v>
      </c>
      <c r="AP613">
        <f>65+65+23</f>
        <v>153</v>
      </c>
      <c r="AQ613">
        <v>1010</v>
      </c>
      <c r="AR613">
        <v>22</v>
      </c>
      <c r="AS613">
        <v>34</v>
      </c>
      <c r="AT613">
        <f t="shared" ref="AT613:AT660" si="231">0.61094*EXP(17.625*AS613/(243.04+AS613))</f>
        <v>5.3137007027131622</v>
      </c>
      <c r="AU613">
        <f t="shared" ref="AU613:AU628" si="232">250-AF613</f>
        <v>77.22999999999999</v>
      </c>
      <c r="AV613">
        <v>1010</v>
      </c>
      <c r="AW613">
        <f t="shared" ref="AW613:AW628" si="233">AP613/AU613*AV613+AV613</f>
        <v>3010.9063835297165</v>
      </c>
      <c r="AX613">
        <f t="shared" ref="AX613:AX628" si="234">18.02*(AT613/(AW613/10-AT613)*1/22300)</f>
        <v>1.4517194795416595E-5</v>
      </c>
      <c r="AY613">
        <f t="shared" ref="AY613:AY628" si="235">(AL613-AM613)/AP613-AX613</f>
        <v>1.2926723476885406E-3</v>
      </c>
      <c r="AZ613">
        <f t="shared" ref="AZ613:AZ628" si="236">AY613*22300</f>
        <v>28.826593353454456</v>
      </c>
      <c r="BA613">
        <f t="shared" ref="BA613:BA628" si="237">(44.01-AZ613)/(44.01-16.04)</f>
        <v>0.5428461439594402</v>
      </c>
    </row>
    <row r="614" spans="1:53" x14ac:dyDescent="0.25">
      <c r="A614" t="s">
        <v>1</v>
      </c>
      <c r="B614" t="s">
        <v>18</v>
      </c>
      <c r="C614">
        <v>10</v>
      </c>
      <c r="G614">
        <f t="shared" si="215"/>
        <v>388.35416666666424</v>
      </c>
      <c r="H614" s="7">
        <v>45103.354166666664</v>
      </c>
      <c r="AF614">
        <v>173.93</v>
      </c>
      <c r="AG614">
        <v>141.25</v>
      </c>
      <c r="AL614">
        <v>320.57</v>
      </c>
      <c r="AM614">
        <v>320.25</v>
      </c>
      <c r="AN614">
        <f t="shared" si="230"/>
        <v>9.9999999999909051E-3</v>
      </c>
      <c r="AO614">
        <f t="shared" si="192"/>
        <v>0.31999999999999318</v>
      </c>
      <c r="AP614">
        <f>65+65+65+65+8</f>
        <v>268</v>
      </c>
      <c r="AQ614">
        <v>1010</v>
      </c>
      <c r="AR614">
        <v>22</v>
      </c>
      <c r="AS614">
        <v>34</v>
      </c>
      <c r="AT614">
        <f t="shared" si="231"/>
        <v>5.3137007027131622</v>
      </c>
      <c r="AU614">
        <f t="shared" si="232"/>
        <v>76.069999999999993</v>
      </c>
      <c r="AV614">
        <v>1010</v>
      </c>
      <c r="AW614">
        <f t="shared" si="233"/>
        <v>4568.3015643486269</v>
      </c>
      <c r="AX614">
        <f t="shared" si="234"/>
        <v>9.5098448026616501E-6</v>
      </c>
      <c r="AY614">
        <f t="shared" si="235"/>
        <v>1.1845200059435817E-3</v>
      </c>
      <c r="AZ614">
        <f t="shared" si="236"/>
        <v>26.41479613254187</v>
      </c>
      <c r="BA614">
        <f t="shared" si="237"/>
        <v>0.62907414613722301</v>
      </c>
    </row>
    <row r="615" spans="1:53" x14ac:dyDescent="0.25">
      <c r="A615" t="s">
        <v>2</v>
      </c>
      <c r="B615" t="s">
        <v>18</v>
      </c>
      <c r="C615">
        <v>10</v>
      </c>
      <c r="G615">
        <f t="shared" si="215"/>
        <v>388.35416666666424</v>
      </c>
      <c r="H615" s="7">
        <v>45103.354166666664</v>
      </c>
      <c r="AF615">
        <v>162.82000000000002</v>
      </c>
      <c r="AG615">
        <v>140.66</v>
      </c>
      <c r="AL615">
        <v>309.79000000000002</v>
      </c>
      <c r="AM615">
        <v>309.52999999999997</v>
      </c>
      <c r="AN615">
        <f t="shared" si="230"/>
        <v>-1.0000000000047748E-2</v>
      </c>
      <c r="AO615">
        <f t="shared" si="192"/>
        <v>0.26000000000004775</v>
      </c>
      <c r="AP615">
        <f>65+65+58</f>
        <v>188</v>
      </c>
      <c r="AQ615">
        <v>1010</v>
      </c>
      <c r="AR615">
        <v>22</v>
      </c>
      <c r="AS615">
        <v>34</v>
      </c>
      <c r="AT615">
        <f t="shared" si="231"/>
        <v>5.3137007027131622</v>
      </c>
      <c r="AU615">
        <f t="shared" si="232"/>
        <v>87.179999999999978</v>
      </c>
      <c r="AV615">
        <v>1010</v>
      </c>
      <c r="AW615">
        <f t="shared" si="233"/>
        <v>3188.0224822206933</v>
      </c>
      <c r="AX615">
        <f t="shared" si="234"/>
        <v>1.3696996122626998E-5</v>
      </c>
      <c r="AY615">
        <f t="shared" si="235"/>
        <v>1.3692817272818823E-3</v>
      </c>
      <c r="AZ615">
        <f t="shared" si="236"/>
        <v>30.534982518385974</v>
      </c>
      <c r="BA615">
        <f t="shared" si="237"/>
        <v>0.48176680306092329</v>
      </c>
    </row>
    <row r="616" spans="1:53" x14ac:dyDescent="0.25">
      <c r="A616" t="s">
        <v>3</v>
      </c>
      <c r="B616" t="s">
        <v>18</v>
      </c>
      <c r="C616">
        <v>10</v>
      </c>
      <c r="G616">
        <f t="shared" si="215"/>
        <v>388.35416666666424</v>
      </c>
      <c r="H616" s="7">
        <v>45103.354166666664</v>
      </c>
      <c r="AF616">
        <v>187.81</v>
      </c>
      <c r="AG616">
        <v>140</v>
      </c>
      <c r="AL616">
        <v>334.18</v>
      </c>
      <c r="AM616">
        <v>333.99</v>
      </c>
      <c r="AN616">
        <f t="shared" si="230"/>
        <v>0</v>
      </c>
      <c r="AO616">
        <f t="shared" si="192"/>
        <v>0.18999999999999773</v>
      </c>
      <c r="AP616">
        <f>65+65+34</f>
        <v>164</v>
      </c>
      <c r="AQ616">
        <v>1010</v>
      </c>
      <c r="AR616">
        <v>22</v>
      </c>
      <c r="AS616">
        <v>34</v>
      </c>
      <c r="AT616">
        <f t="shared" si="231"/>
        <v>5.3137007027131622</v>
      </c>
      <c r="AU616">
        <f t="shared" si="232"/>
        <v>62.19</v>
      </c>
      <c r="AV616">
        <v>1010</v>
      </c>
      <c r="AW616">
        <f t="shared" si="233"/>
        <v>3673.4507155491237</v>
      </c>
      <c r="AX616">
        <f t="shared" si="234"/>
        <v>1.1860440187139401E-5</v>
      </c>
      <c r="AY616">
        <f t="shared" si="235"/>
        <v>1.1466761451787003E-3</v>
      </c>
      <c r="AZ616">
        <f t="shared" si="236"/>
        <v>25.570878037485016</v>
      </c>
      <c r="BA616">
        <f t="shared" si="237"/>
        <v>0.65924640552431113</v>
      </c>
    </row>
    <row r="617" spans="1:53" x14ac:dyDescent="0.25">
      <c r="A617" t="s">
        <v>4</v>
      </c>
      <c r="B617" t="s">
        <v>18</v>
      </c>
      <c r="C617">
        <v>20</v>
      </c>
      <c r="G617">
        <f t="shared" si="215"/>
        <v>388.35416666666424</v>
      </c>
      <c r="H617" s="7">
        <v>45103.354166666664</v>
      </c>
      <c r="AF617">
        <v>181.58</v>
      </c>
      <c r="AG617">
        <v>139.4</v>
      </c>
      <c r="AL617">
        <v>327.20999999999998</v>
      </c>
      <c r="AM617">
        <v>327.13</v>
      </c>
      <c r="AN617">
        <f t="shared" si="230"/>
        <v>0</v>
      </c>
      <c r="AO617">
        <f t="shared" si="192"/>
        <v>7.9999999999984084E-2</v>
      </c>
      <c r="AP617">
        <f>45.5</f>
        <v>45.5</v>
      </c>
      <c r="AQ617">
        <v>1010</v>
      </c>
      <c r="AR617">
        <v>22</v>
      </c>
      <c r="AS617">
        <v>34</v>
      </c>
      <c r="AT617">
        <f t="shared" si="231"/>
        <v>5.3137007027131622</v>
      </c>
      <c r="AU617">
        <f t="shared" si="232"/>
        <v>68.419999999999987</v>
      </c>
      <c r="AV617">
        <v>1010</v>
      </c>
      <c r="AW617">
        <f t="shared" si="233"/>
        <v>1681.6603332358961</v>
      </c>
      <c r="AX617">
        <f t="shared" si="234"/>
        <v>2.6366533108597009E-5</v>
      </c>
      <c r="AY617">
        <f t="shared" si="235"/>
        <v>1.7318752251328114E-3</v>
      </c>
      <c r="AZ617">
        <f t="shared" si="236"/>
        <v>38.620817520461692</v>
      </c>
      <c r="BA617">
        <f t="shared" si="237"/>
        <v>0.19267724274359335</v>
      </c>
    </row>
    <row r="618" spans="1:53" x14ac:dyDescent="0.25">
      <c r="A618" t="s">
        <v>5</v>
      </c>
      <c r="B618" t="s">
        <v>18</v>
      </c>
      <c r="C618">
        <v>20</v>
      </c>
      <c r="G618">
        <f t="shared" si="215"/>
        <v>388.35416666666424</v>
      </c>
      <c r="H618" s="7">
        <v>45103.354166666664</v>
      </c>
      <c r="AF618">
        <v>201.8</v>
      </c>
      <c r="AG618">
        <v>139.81</v>
      </c>
      <c r="AL618">
        <v>348.13</v>
      </c>
      <c r="AM618">
        <v>348.04</v>
      </c>
      <c r="AN618">
        <f t="shared" si="230"/>
        <v>0</v>
      </c>
      <c r="AO618">
        <f t="shared" si="192"/>
        <v>8.9999999999974989E-2</v>
      </c>
      <c r="AP618">
        <v>65</v>
      </c>
      <c r="AQ618">
        <v>1010</v>
      </c>
      <c r="AR618">
        <v>22</v>
      </c>
      <c r="AS618">
        <v>34</v>
      </c>
      <c r="AT618">
        <f t="shared" si="231"/>
        <v>5.3137007027131622</v>
      </c>
      <c r="AU618">
        <f t="shared" si="232"/>
        <v>48.199999999999989</v>
      </c>
      <c r="AV618">
        <v>1010</v>
      </c>
      <c r="AW618">
        <f t="shared" si="233"/>
        <v>2372.0331950207474</v>
      </c>
      <c r="AX618">
        <f t="shared" si="234"/>
        <v>1.8516790195665337E-5</v>
      </c>
      <c r="AY618">
        <f t="shared" si="235"/>
        <v>1.3660985944193346E-3</v>
      </c>
      <c r="AZ618">
        <f t="shared" si="236"/>
        <v>30.463998655551162</v>
      </c>
      <c r="BA618">
        <f t="shared" si="237"/>
        <v>0.48430466015190693</v>
      </c>
    </row>
    <row r="619" spans="1:53" x14ac:dyDescent="0.25">
      <c r="A619" t="s">
        <v>6</v>
      </c>
      <c r="B619" t="s">
        <v>18</v>
      </c>
      <c r="C619">
        <v>20</v>
      </c>
      <c r="G619">
        <f t="shared" si="215"/>
        <v>388.35416666666424</v>
      </c>
      <c r="H619" s="7">
        <v>45103.354166666664</v>
      </c>
      <c r="AF619">
        <v>205.13</v>
      </c>
      <c r="AG619">
        <v>139.01</v>
      </c>
      <c r="AL619">
        <v>350.51</v>
      </c>
      <c r="AM619">
        <v>350.41</v>
      </c>
      <c r="AN619">
        <f t="shared" si="230"/>
        <v>9.9999999999909051E-3</v>
      </c>
      <c r="AO619">
        <f t="shared" si="192"/>
        <v>9.9999999999965894E-2</v>
      </c>
      <c r="AP619">
        <v>51</v>
      </c>
      <c r="AQ619">
        <v>1010</v>
      </c>
      <c r="AR619">
        <v>22</v>
      </c>
      <c r="AS619">
        <v>34</v>
      </c>
      <c r="AT619">
        <f t="shared" si="231"/>
        <v>5.3137007027131622</v>
      </c>
      <c r="AU619">
        <f t="shared" si="232"/>
        <v>44.870000000000005</v>
      </c>
      <c r="AV619">
        <v>1010</v>
      </c>
      <c r="AW619">
        <f t="shared" si="233"/>
        <v>2157.98306217963</v>
      </c>
      <c r="AX619">
        <f t="shared" si="234"/>
        <v>2.0399835937405393E-5</v>
      </c>
      <c r="AY619">
        <f t="shared" si="235"/>
        <v>1.940384477787416E-3</v>
      </c>
      <c r="AZ619">
        <f t="shared" si="236"/>
        <v>43.270573854659375</v>
      </c>
      <c r="BA619">
        <f t="shared" si="237"/>
        <v>2.6436401335024062E-2</v>
      </c>
    </row>
    <row r="620" spans="1:53" x14ac:dyDescent="0.25">
      <c r="A620" t="s">
        <v>7</v>
      </c>
      <c r="B620" t="s">
        <v>18</v>
      </c>
      <c r="C620">
        <v>20</v>
      </c>
      <c r="G620">
        <f t="shared" si="215"/>
        <v>388.35416666666424</v>
      </c>
      <c r="H620" s="7">
        <v>45103.354166666664</v>
      </c>
      <c r="AF620">
        <v>177.85000000000002</v>
      </c>
      <c r="AG620">
        <v>139.94999999999999</v>
      </c>
      <c r="AL620">
        <v>324.7</v>
      </c>
      <c r="AM620">
        <v>324.63</v>
      </c>
      <c r="AN620">
        <f t="shared" si="230"/>
        <v>9.9999999999909051E-3</v>
      </c>
      <c r="AO620">
        <f t="shared" si="192"/>
        <v>6.9999999999993179E-2</v>
      </c>
      <c r="AP620">
        <f>65+18.5</f>
        <v>83.5</v>
      </c>
      <c r="AQ620">
        <v>1010</v>
      </c>
      <c r="AR620">
        <v>22</v>
      </c>
      <c r="AS620">
        <v>34</v>
      </c>
      <c r="AT620">
        <f t="shared" si="231"/>
        <v>5.3137007027131622</v>
      </c>
      <c r="AU620">
        <f t="shared" si="232"/>
        <v>72.149999999999977</v>
      </c>
      <c r="AV620">
        <v>1010</v>
      </c>
      <c r="AW620">
        <f t="shared" si="233"/>
        <v>2178.8842688842692</v>
      </c>
      <c r="AX620">
        <f t="shared" si="234"/>
        <v>2.0199256501025956E-5</v>
      </c>
      <c r="AY620">
        <f t="shared" si="235"/>
        <v>8.1812409679230555E-4</v>
      </c>
      <c r="AZ620">
        <f t="shared" si="236"/>
        <v>18.244167358468413</v>
      </c>
      <c r="BA620">
        <f t="shared" si="237"/>
        <v>0.92119530359426482</v>
      </c>
    </row>
    <row r="621" spans="1:53" x14ac:dyDescent="0.25">
      <c r="A621" t="s">
        <v>8</v>
      </c>
      <c r="B621" t="s">
        <v>19</v>
      </c>
      <c r="C621">
        <v>10</v>
      </c>
      <c r="G621">
        <f t="shared" si="215"/>
        <v>388.35416666666424</v>
      </c>
      <c r="H621" s="7">
        <v>45103.354166666664</v>
      </c>
      <c r="AF621">
        <v>142.11999999999998</v>
      </c>
      <c r="AG621">
        <v>139.71</v>
      </c>
      <c r="AL621">
        <v>287.02</v>
      </c>
      <c r="AM621">
        <v>286.86</v>
      </c>
      <c r="AN621">
        <f t="shared" si="230"/>
        <v>0</v>
      </c>
      <c r="AO621">
        <f t="shared" si="192"/>
        <v>0.15999999999996817</v>
      </c>
      <c r="AP621">
        <f>65+10.5</f>
        <v>75.5</v>
      </c>
      <c r="AQ621">
        <v>1010</v>
      </c>
      <c r="AR621">
        <v>22</v>
      </c>
      <c r="AS621">
        <v>34</v>
      </c>
      <c r="AT621">
        <f t="shared" si="231"/>
        <v>5.3137007027131622</v>
      </c>
      <c r="AU621">
        <f t="shared" si="232"/>
        <v>107.88000000000002</v>
      </c>
      <c r="AV621">
        <v>1010</v>
      </c>
      <c r="AW621">
        <f t="shared" si="233"/>
        <v>1716.8502039302928</v>
      </c>
      <c r="AX621">
        <f t="shared" si="234"/>
        <v>2.580884390322307E-5</v>
      </c>
      <c r="AY621">
        <f t="shared" si="235"/>
        <v>2.0933964541096006E-3</v>
      </c>
      <c r="AZ621">
        <f t="shared" si="236"/>
        <v>46.682740926644094</v>
      </c>
      <c r="BA621">
        <f t="shared" si="237"/>
        <v>-9.5557416040189344E-2</v>
      </c>
    </row>
    <row r="622" spans="1:53" x14ac:dyDescent="0.25">
      <c r="A622" t="s">
        <v>9</v>
      </c>
      <c r="B622" t="s">
        <v>19</v>
      </c>
      <c r="C622">
        <v>10</v>
      </c>
      <c r="G622">
        <f t="shared" si="215"/>
        <v>388.35416666666424</v>
      </c>
      <c r="H622" s="7">
        <v>45103.354166666664</v>
      </c>
      <c r="AF622">
        <v>136.42000000000002</v>
      </c>
      <c r="AG622">
        <v>139.75</v>
      </c>
      <c r="AL622">
        <v>281.7</v>
      </c>
      <c r="AM622">
        <v>281.58</v>
      </c>
      <c r="AN622">
        <f t="shared" si="230"/>
        <v>-9.9999999999909051E-3</v>
      </c>
      <c r="AO622">
        <f t="shared" si="192"/>
        <v>0.12000000000000455</v>
      </c>
      <c r="AP622">
        <f>65+9</f>
        <v>74</v>
      </c>
      <c r="AQ622">
        <v>1010</v>
      </c>
      <c r="AR622">
        <v>22</v>
      </c>
      <c r="AS622">
        <v>34</v>
      </c>
      <c r="AT622">
        <f t="shared" si="231"/>
        <v>5.3137007027131622</v>
      </c>
      <c r="AU622">
        <f t="shared" si="232"/>
        <v>113.57999999999998</v>
      </c>
      <c r="AV622">
        <v>1010</v>
      </c>
      <c r="AW622">
        <f t="shared" si="233"/>
        <v>1668.0383870399719</v>
      </c>
      <c r="AX622">
        <f t="shared" si="234"/>
        <v>2.6588938947011427E-5</v>
      </c>
      <c r="AY622">
        <f t="shared" si="235"/>
        <v>1.5950326826746717E-3</v>
      </c>
      <c r="AZ622">
        <f t="shared" si="236"/>
        <v>35.569228823645176</v>
      </c>
      <c r="BA622">
        <f t="shared" si="237"/>
        <v>0.30177944856470584</v>
      </c>
    </row>
    <row r="623" spans="1:53" x14ac:dyDescent="0.25">
      <c r="A623" t="s">
        <v>10</v>
      </c>
      <c r="B623" t="s">
        <v>19</v>
      </c>
      <c r="C623">
        <v>10</v>
      </c>
      <c r="G623">
        <f t="shared" si="215"/>
        <v>388.35416666666424</v>
      </c>
      <c r="H623" s="7">
        <v>45103.354166666664</v>
      </c>
      <c r="AF623">
        <v>117.85000000000002</v>
      </c>
      <c r="AG623">
        <v>140.44999999999999</v>
      </c>
      <c r="AL623">
        <v>263.83</v>
      </c>
      <c r="AM623">
        <v>263.72000000000003</v>
      </c>
      <c r="AN623">
        <f t="shared" si="230"/>
        <v>0</v>
      </c>
      <c r="AO623">
        <f t="shared" si="192"/>
        <v>0.1099999999999568</v>
      </c>
      <c r="AP623">
        <f>65+5.5</f>
        <v>70.5</v>
      </c>
      <c r="AQ623">
        <v>1010</v>
      </c>
      <c r="AR623">
        <v>22</v>
      </c>
      <c r="AS623">
        <v>34</v>
      </c>
      <c r="AT623">
        <f t="shared" si="231"/>
        <v>5.3137007027131622</v>
      </c>
      <c r="AU623">
        <f t="shared" si="232"/>
        <v>132.14999999999998</v>
      </c>
      <c r="AV623">
        <v>1010</v>
      </c>
      <c r="AW623">
        <f t="shared" si="233"/>
        <v>1548.8195232690125</v>
      </c>
      <c r="AX623">
        <f t="shared" si="234"/>
        <v>2.8708307901128076E-5</v>
      </c>
      <c r="AY623">
        <f t="shared" si="235"/>
        <v>1.5315753800415216E-3</v>
      </c>
      <c r="AZ623">
        <f t="shared" si="236"/>
        <v>34.154130974925934</v>
      </c>
      <c r="BA623">
        <f t="shared" si="237"/>
        <v>0.35237286467908702</v>
      </c>
    </row>
    <row r="624" spans="1:53" x14ac:dyDescent="0.25">
      <c r="A624" t="s">
        <v>11</v>
      </c>
      <c r="B624" t="s">
        <v>19</v>
      </c>
      <c r="C624">
        <v>10</v>
      </c>
      <c r="G624">
        <f t="shared" si="215"/>
        <v>388.35416666666424</v>
      </c>
      <c r="H624" s="7">
        <v>45103.354166666664</v>
      </c>
      <c r="AF624">
        <v>107.53</v>
      </c>
      <c r="AG624">
        <v>140</v>
      </c>
      <c r="AL624">
        <v>254.17</v>
      </c>
      <c r="AM624">
        <v>254.05</v>
      </c>
      <c r="AN624">
        <f t="shared" si="230"/>
        <v>0</v>
      </c>
      <c r="AO624">
        <f t="shared" si="192"/>
        <v>0.11999999999997613</v>
      </c>
      <c r="AP624">
        <f>65+14</f>
        <v>79</v>
      </c>
      <c r="AQ624">
        <v>1010</v>
      </c>
      <c r="AR624">
        <v>22</v>
      </c>
      <c r="AS624">
        <v>34</v>
      </c>
      <c r="AT624">
        <f t="shared" si="231"/>
        <v>5.3137007027131622</v>
      </c>
      <c r="AU624">
        <f t="shared" si="232"/>
        <v>142.47</v>
      </c>
      <c r="AV624">
        <v>1010</v>
      </c>
      <c r="AW624">
        <f t="shared" si="233"/>
        <v>1570.0477293465292</v>
      </c>
      <c r="AX624">
        <f t="shared" si="234"/>
        <v>2.8306553290724824E-5</v>
      </c>
      <c r="AY624">
        <f t="shared" si="235"/>
        <v>1.4906807884811249E-3</v>
      </c>
      <c r="AZ624">
        <f t="shared" si="236"/>
        <v>33.242181583129081</v>
      </c>
      <c r="BA624">
        <f t="shared" si="237"/>
        <v>0.38497741926603207</v>
      </c>
    </row>
    <row r="625" spans="1:53" x14ac:dyDescent="0.25">
      <c r="A625" t="s">
        <v>12</v>
      </c>
      <c r="B625" t="s">
        <v>19</v>
      </c>
      <c r="C625">
        <v>20</v>
      </c>
      <c r="G625">
        <f t="shared" si="215"/>
        <v>388.35416666666424</v>
      </c>
      <c r="H625" s="7">
        <v>45103.354166666664</v>
      </c>
      <c r="AF625">
        <v>109.43</v>
      </c>
      <c r="AG625">
        <v>140.19999999999999</v>
      </c>
      <c r="AL625">
        <v>257.17</v>
      </c>
      <c r="AM625">
        <v>257.12</v>
      </c>
      <c r="AN625">
        <f t="shared" si="230"/>
        <v>9.9999999999909051E-3</v>
      </c>
      <c r="AO625">
        <f t="shared" si="192"/>
        <v>5.0000000000011369E-2</v>
      </c>
      <c r="AP625">
        <v>32</v>
      </c>
      <c r="AQ625">
        <v>1010</v>
      </c>
      <c r="AR625">
        <v>22</v>
      </c>
      <c r="AS625">
        <v>34</v>
      </c>
      <c r="AT625">
        <f t="shared" si="231"/>
        <v>5.3137007027131622</v>
      </c>
      <c r="AU625">
        <f t="shared" si="232"/>
        <v>140.57</v>
      </c>
      <c r="AV625">
        <v>1010</v>
      </c>
      <c r="AW625">
        <f t="shared" si="233"/>
        <v>1239.921035782884</v>
      </c>
      <c r="AX625">
        <f t="shared" si="234"/>
        <v>3.6180562897887572E-5</v>
      </c>
      <c r="AY625">
        <f t="shared" si="235"/>
        <v>1.5263194371024677E-3</v>
      </c>
      <c r="AZ625">
        <f t="shared" si="236"/>
        <v>34.036923447385028</v>
      </c>
      <c r="BA625">
        <f t="shared" si="237"/>
        <v>0.35656333759796105</v>
      </c>
    </row>
    <row r="626" spans="1:53" x14ac:dyDescent="0.25">
      <c r="A626" t="s">
        <v>13</v>
      </c>
      <c r="B626" t="s">
        <v>19</v>
      </c>
      <c r="C626">
        <v>20</v>
      </c>
      <c r="G626">
        <f t="shared" si="215"/>
        <v>388.35416666666424</v>
      </c>
      <c r="H626" s="7">
        <v>45103.354166666664</v>
      </c>
      <c r="AF626">
        <v>129.52999999999997</v>
      </c>
      <c r="AG626">
        <v>140.24</v>
      </c>
      <c r="AL626">
        <v>277.35000000000002</v>
      </c>
      <c r="AM626">
        <v>277.31</v>
      </c>
      <c r="AN626">
        <f t="shared" si="230"/>
        <v>0</v>
      </c>
      <c r="AO626">
        <f t="shared" si="192"/>
        <v>4.0000000000020464E-2</v>
      </c>
      <c r="AP626">
        <v>31</v>
      </c>
      <c r="AQ626">
        <v>1010</v>
      </c>
      <c r="AR626">
        <v>22</v>
      </c>
      <c r="AS626">
        <v>34</v>
      </c>
      <c r="AT626">
        <f t="shared" si="231"/>
        <v>5.3137007027131622</v>
      </c>
      <c r="AU626">
        <f t="shared" si="232"/>
        <v>120.47000000000003</v>
      </c>
      <c r="AV626">
        <v>1010</v>
      </c>
      <c r="AW626">
        <f t="shared" si="233"/>
        <v>1269.8987299742673</v>
      </c>
      <c r="AX626">
        <f t="shared" si="234"/>
        <v>3.5289172389976182E-5</v>
      </c>
      <c r="AY626">
        <f t="shared" si="235"/>
        <v>1.2550334082558452E-3</v>
      </c>
      <c r="AZ626">
        <f t="shared" si="236"/>
        <v>27.987245004105347</v>
      </c>
      <c r="BA626">
        <f t="shared" si="237"/>
        <v>0.57285502309240799</v>
      </c>
    </row>
    <row r="627" spans="1:53" x14ac:dyDescent="0.25">
      <c r="A627" t="s">
        <v>14</v>
      </c>
      <c r="B627" t="s">
        <v>19</v>
      </c>
      <c r="C627">
        <v>20</v>
      </c>
      <c r="G627">
        <f t="shared" si="215"/>
        <v>388.35416666666424</v>
      </c>
      <c r="H627" s="7">
        <v>45103.354166666664</v>
      </c>
      <c r="AF627">
        <v>94.359999999999985</v>
      </c>
      <c r="AG627">
        <v>138.74</v>
      </c>
      <c r="AL627">
        <v>240.82</v>
      </c>
      <c r="AM627">
        <v>240.75</v>
      </c>
      <c r="AN627">
        <f t="shared" si="230"/>
        <v>-9.9999999999909051E-3</v>
      </c>
      <c r="AO627">
        <f t="shared" si="192"/>
        <v>6.9999999999993179E-2</v>
      </c>
      <c r="AP627">
        <v>21</v>
      </c>
      <c r="AQ627">
        <v>1010</v>
      </c>
      <c r="AR627">
        <v>22</v>
      </c>
      <c r="AS627">
        <v>34</v>
      </c>
      <c r="AT627">
        <f t="shared" si="231"/>
        <v>5.3137007027131622</v>
      </c>
      <c r="AU627">
        <f t="shared" si="232"/>
        <v>155.64000000000001</v>
      </c>
      <c r="AV627">
        <v>1010</v>
      </c>
      <c r="AW627">
        <f t="shared" si="233"/>
        <v>1146.2760215882806</v>
      </c>
      <c r="AX627">
        <f t="shared" si="234"/>
        <v>3.9280012538793141E-5</v>
      </c>
      <c r="AY627">
        <f t="shared" si="235"/>
        <v>3.2940533207942158E-3</v>
      </c>
      <c r="AZ627">
        <f t="shared" si="236"/>
        <v>73.457389053711012</v>
      </c>
      <c r="BA627">
        <f t="shared" si="237"/>
        <v>-1.0528204881555601</v>
      </c>
    </row>
    <row r="628" spans="1:53" x14ac:dyDescent="0.25">
      <c r="A628" t="s">
        <v>15</v>
      </c>
      <c r="B628" t="s">
        <v>19</v>
      </c>
      <c r="C628">
        <v>20</v>
      </c>
      <c r="G628">
        <f t="shared" si="215"/>
        <v>388.35416666666424</v>
      </c>
      <c r="H628" s="7">
        <v>45103.354166666664</v>
      </c>
      <c r="AF628">
        <v>85.4</v>
      </c>
      <c r="AG628">
        <v>140.1</v>
      </c>
      <c r="AL628">
        <v>233.1</v>
      </c>
      <c r="AM628">
        <v>233.06</v>
      </c>
      <c r="AN628">
        <f t="shared" si="230"/>
        <v>2.5000000000005684E-2</v>
      </c>
      <c r="AO628">
        <f t="shared" si="192"/>
        <v>3.9999999999992042E-2</v>
      </c>
      <c r="AP628">
        <v>28.5</v>
      </c>
      <c r="AQ628">
        <v>1010</v>
      </c>
      <c r="AR628">
        <v>22</v>
      </c>
      <c r="AS628">
        <v>34</v>
      </c>
      <c r="AT628">
        <f t="shared" si="231"/>
        <v>5.3137007027131622</v>
      </c>
      <c r="AU628">
        <f t="shared" si="232"/>
        <v>164.6</v>
      </c>
      <c r="AV628">
        <v>1010</v>
      </c>
      <c r="AW628">
        <f t="shared" si="233"/>
        <v>1184.8784933171323</v>
      </c>
      <c r="AX628">
        <f t="shared" si="234"/>
        <v>3.7940214014212804E-5</v>
      </c>
      <c r="AY628">
        <f t="shared" si="235"/>
        <v>1.3655685579153326E-3</v>
      </c>
      <c r="AZ628">
        <f t="shared" si="236"/>
        <v>30.452178841511916</v>
      </c>
      <c r="BA628">
        <f t="shared" si="237"/>
        <v>0.48472724914151172</v>
      </c>
    </row>
    <row r="629" spans="1:53" x14ac:dyDescent="0.25">
      <c r="A629" t="s">
        <v>0</v>
      </c>
      <c r="B629" t="s">
        <v>18</v>
      </c>
      <c r="C629">
        <v>10</v>
      </c>
      <c r="G629">
        <f t="shared" si="215"/>
        <v>395.35416666666424</v>
      </c>
      <c r="H629" s="7">
        <v>45110.354166666664</v>
      </c>
      <c r="AF629">
        <v>172.77</v>
      </c>
      <c r="AG629">
        <v>139.16999999999999</v>
      </c>
      <c r="AL629">
        <v>317.75</v>
      </c>
      <c r="AM629">
        <v>317.52</v>
      </c>
      <c r="AN629">
        <f t="shared" si="230"/>
        <v>1.999999999998181E-2</v>
      </c>
      <c r="AO629">
        <f t="shared" si="192"/>
        <v>0.23000000000001819</v>
      </c>
      <c r="AP629">
        <f>60+56+11</f>
        <v>127</v>
      </c>
      <c r="AQ629">
        <v>1010</v>
      </c>
      <c r="AR629">
        <v>22</v>
      </c>
      <c r="AS629">
        <v>34</v>
      </c>
      <c r="AT629">
        <f t="shared" ref="AT629:AT644" si="238">0.61094*EXP(17.625*AS629/(243.04+AS629))</f>
        <v>5.3137007027131622</v>
      </c>
      <c r="AU629">
        <f t="shared" ref="AU629:AU644" si="239">250-AF629</f>
        <v>77.22999999999999</v>
      </c>
      <c r="AV629">
        <v>1010</v>
      </c>
      <c r="AW629">
        <f t="shared" ref="AW629:AW644" si="240">AP629/AU629*AV629+AV629</f>
        <v>2670.8830765246666</v>
      </c>
      <c r="AX629">
        <f t="shared" ref="AX629:AX644" si="241">18.02*(AT629/(AW629/10-AT629)*1/22300)</f>
        <v>1.6402856907678509E-5</v>
      </c>
      <c r="AY629">
        <f t="shared" ref="AY629:AY644" si="242">(AL629-AM629)/AP629-AX629</f>
        <v>1.7946207651397088E-3</v>
      </c>
      <c r="AZ629">
        <f t="shared" ref="AZ629:AZ644" si="243">AY629*22300</f>
        <v>40.020043062615507</v>
      </c>
      <c r="BA629">
        <f t="shared" ref="BA629:BA644" si="244">(44.01-AZ629)/(44.01-16.04)</f>
        <v>0.14265130273094356</v>
      </c>
    </row>
    <row r="630" spans="1:53" x14ac:dyDescent="0.25">
      <c r="A630" t="s">
        <v>1</v>
      </c>
      <c r="B630" t="s">
        <v>18</v>
      </c>
      <c r="C630">
        <v>10</v>
      </c>
      <c r="G630">
        <f t="shared" si="215"/>
        <v>395.35416666666424</v>
      </c>
      <c r="H630" s="7">
        <v>45110.354166666664</v>
      </c>
      <c r="AF630">
        <v>173.93</v>
      </c>
      <c r="AG630">
        <v>141.25</v>
      </c>
      <c r="AL630">
        <v>320.22000000000003</v>
      </c>
      <c r="AM630">
        <v>319.84500000000003</v>
      </c>
      <c r="AN630">
        <f t="shared" si="230"/>
        <v>2.9999999999972715E-2</v>
      </c>
      <c r="AO630">
        <f t="shared" si="192"/>
        <v>0.375</v>
      </c>
      <c r="AP630">
        <f>60+54.5+55+55+30.5+8</f>
        <v>263</v>
      </c>
      <c r="AQ630">
        <v>1010</v>
      </c>
      <c r="AR630">
        <v>22</v>
      </c>
      <c r="AS630">
        <v>34</v>
      </c>
      <c r="AT630">
        <f t="shared" si="238"/>
        <v>5.3137007027131622</v>
      </c>
      <c r="AU630">
        <f t="shared" si="239"/>
        <v>76.069999999999993</v>
      </c>
      <c r="AV630">
        <v>1010</v>
      </c>
      <c r="AW630">
        <f t="shared" si="240"/>
        <v>4501.9153411331672</v>
      </c>
      <c r="AX630">
        <f t="shared" si="241"/>
        <v>9.6517540263633385E-6</v>
      </c>
      <c r="AY630">
        <f t="shared" si="242"/>
        <v>1.4162037592816215E-3</v>
      </c>
      <c r="AZ630">
        <f t="shared" si="243"/>
        <v>31.58134383198016</v>
      </c>
      <c r="BA630">
        <f t="shared" si="244"/>
        <v>0.44435667386556449</v>
      </c>
    </row>
    <row r="631" spans="1:53" x14ac:dyDescent="0.25">
      <c r="A631" t="s">
        <v>2</v>
      </c>
      <c r="B631" t="s">
        <v>18</v>
      </c>
      <c r="C631">
        <v>10</v>
      </c>
      <c r="G631">
        <f t="shared" si="215"/>
        <v>395.35416666666424</v>
      </c>
      <c r="H631" s="7">
        <v>45110.354166666664</v>
      </c>
      <c r="AF631">
        <v>162.82000000000002</v>
      </c>
      <c r="AG631">
        <v>140.66</v>
      </c>
      <c r="AL631">
        <v>309.49</v>
      </c>
      <c r="AM631">
        <v>309.36</v>
      </c>
      <c r="AN631">
        <f t="shared" si="230"/>
        <v>3.999999999996362E-2</v>
      </c>
      <c r="AO631">
        <f t="shared" si="192"/>
        <v>0.12999999999999545</v>
      </c>
      <c r="AP631">
        <f>52+54+21</f>
        <v>127</v>
      </c>
      <c r="AQ631">
        <v>1010</v>
      </c>
      <c r="AR631">
        <v>22</v>
      </c>
      <c r="AS631">
        <v>34</v>
      </c>
      <c r="AT631">
        <f t="shared" si="238"/>
        <v>5.3137007027131622</v>
      </c>
      <c r="AU631">
        <f t="shared" si="239"/>
        <v>87.179999999999978</v>
      </c>
      <c r="AV631">
        <v>1010</v>
      </c>
      <c r="AW631">
        <f t="shared" si="240"/>
        <v>2481.3236980958941</v>
      </c>
      <c r="AX631">
        <f t="shared" si="241"/>
        <v>1.7683366092294409E-5</v>
      </c>
      <c r="AY631">
        <f t="shared" si="242"/>
        <v>1.0059386811517644E-3</v>
      </c>
      <c r="AZ631">
        <f t="shared" si="243"/>
        <v>22.432432589684346</v>
      </c>
      <c r="BA631">
        <f t="shared" si="244"/>
        <v>0.77145396533127109</v>
      </c>
    </row>
    <row r="632" spans="1:53" x14ac:dyDescent="0.25">
      <c r="A632" t="s">
        <v>3</v>
      </c>
      <c r="B632" t="s">
        <v>18</v>
      </c>
      <c r="C632">
        <v>10</v>
      </c>
      <c r="G632">
        <f t="shared" si="215"/>
        <v>395.35416666666424</v>
      </c>
      <c r="H632" s="7">
        <v>45110.354166666664</v>
      </c>
      <c r="AF632">
        <v>187.81</v>
      </c>
      <c r="AG632">
        <v>140</v>
      </c>
      <c r="AL632">
        <v>333.96</v>
      </c>
      <c r="AM632">
        <v>333.67</v>
      </c>
      <c r="AN632">
        <f t="shared" si="230"/>
        <v>3.0000000000029559E-2</v>
      </c>
      <c r="AO632">
        <f t="shared" si="192"/>
        <v>0.28999999999996362</v>
      </c>
      <c r="AP632">
        <f>52+55.5+60+54+28.5+2</f>
        <v>252</v>
      </c>
      <c r="AQ632">
        <v>1010</v>
      </c>
      <c r="AR632">
        <v>22</v>
      </c>
      <c r="AS632">
        <v>34</v>
      </c>
      <c r="AT632">
        <f t="shared" si="238"/>
        <v>5.3137007027131622</v>
      </c>
      <c r="AU632">
        <f t="shared" si="239"/>
        <v>62.19</v>
      </c>
      <c r="AV632">
        <v>1010</v>
      </c>
      <c r="AW632">
        <f t="shared" si="240"/>
        <v>5102.6193921852391</v>
      </c>
      <c r="AX632">
        <f t="shared" si="241"/>
        <v>8.5035476754636584E-6</v>
      </c>
      <c r="AY632">
        <f t="shared" si="242"/>
        <v>1.1422901031180428E-3</v>
      </c>
      <c r="AZ632">
        <f t="shared" si="243"/>
        <v>25.473069299532355</v>
      </c>
      <c r="BA632">
        <f t="shared" si="244"/>
        <v>0.66274332143252213</v>
      </c>
    </row>
    <row r="633" spans="1:53" x14ac:dyDescent="0.25">
      <c r="A633" t="s">
        <v>4</v>
      </c>
      <c r="B633" t="s">
        <v>18</v>
      </c>
      <c r="C633">
        <v>20</v>
      </c>
      <c r="G633">
        <f t="shared" si="215"/>
        <v>395.35416666666424</v>
      </c>
      <c r="H633" s="7">
        <v>45110.354166666664</v>
      </c>
      <c r="AF633">
        <v>181.58</v>
      </c>
      <c r="AG633">
        <v>139.4</v>
      </c>
      <c r="AL633">
        <v>327.11</v>
      </c>
      <c r="AM633">
        <v>327.04000000000002</v>
      </c>
      <c r="AN633">
        <f t="shared" si="230"/>
        <v>1.999999999998181E-2</v>
      </c>
      <c r="AO633">
        <f t="shared" si="192"/>
        <v>6.9999999999993179E-2</v>
      </c>
      <c r="AP633">
        <f>36</f>
        <v>36</v>
      </c>
      <c r="AQ633">
        <v>1010</v>
      </c>
      <c r="AR633">
        <v>22</v>
      </c>
      <c r="AS633">
        <v>34</v>
      </c>
      <c r="AT633">
        <f t="shared" si="238"/>
        <v>5.3137007027131622</v>
      </c>
      <c r="AU633">
        <f t="shared" si="239"/>
        <v>68.419999999999987</v>
      </c>
      <c r="AV633">
        <v>1010</v>
      </c>
      <c r="AW633">
        <f t="shared" si="240"/>
        <v>1541.423560362467</v>
      </c>
      <c r="AX633">
        <f t="shared" si="241"/>
        <v>2.8850972349631354E-5</v>
      </c>
      <c r="AY633">
        <f t="shared" si="242"/>
        <v>1.9155934720946235E-3</v>
      </c>
      <c r="AZ633">
        <f t="shared" si="243"/>
        <v>42.717734427710106</v>
      </c>
      <c r="BA633">
        <f t="shared" si="244"/>
        <v>4.6201843843042274E-2</v>
      </c>
    </row>
    <row r="634" spans="1:53" x14ac:dyDescent="0.25">
      <c r="A634" t="s">
        <v>5</v>
      </c>
      <c r="B634" t="s">
        <v>18</v>
      </c>
      <c r="C634">
        <v>20</v>
      </c>
      <c r="G634">
        <f t="shared" si="215"/>
        <v>395.35416666666424</v>
      </c>
      <c r="H634" s="7">
        <v>45110.354166666664</v>
      </c>
      <c r="AF634">
        <v>201.8</v>
      </c>
      <c r="AG634">
        <v>139.81</v>
      </c>
      <c r="AL634">
        <v>348</v>
      </c>
      <c r="AM634">
        <v>347.89</v>
      </c>
      <c r="AN634">
        <f t="shared" si="230"/>
        <v>4.0000000000020464E-2</v>
      </c>
      <c r="AO634">
        <f t="shared" si="192"/>
        <v>0.11000000000001364</v>
      </c>
      <c r="AP634">
        <v>59</v>
      </c>
      <c r="AQ634">
        <v>1010</v>
      </c>
      <c r="AR634">
        <v>22</v>
      </c>
      <c r="AS634">
        <v>34</v>
      </c>
      <c r="AT634">
        <f t="shared" si="238"/>
        <v>5.3137007027131622</v>
      </c>
      <c r="AU634">
        <f t="shared" si="239"/>
        <v>48.199999999999989</v>
      </c>
      <c r="AV634">
        <v>1010</v>
      </c>
      <c r="AW634">
        <f t="shared" si="240"/>
        <v>2246.3070539419091</v>
      </c>
      <c r="AX634">
        <f t="shared" si="241"/>
        <v>1.9578287720557413E-5</v>
      </c>
      <c r="AY634">
        <f t="shared" si="242"/>
        <v>1.8448284919406908E-3</v>
      </c>
      <c r="AZ634">
        <f t="shared" si="243"/>
        <v>41.139675370277409</v>
      </c>
      <c r="BA634">
        <f t="shared" si="244"/>
        <v>0.10262154557463672</v>
      </c>
    </row>
    <row r="635" spans="1:53" x14ac:dyDescent="0.25">
      <c r="A635" t="s">
        <v>6</v>
      </c>
      <c r="B635" t="s">
        <v>18</v>
      </c>
      <c r="C635">
        <v>20</v>
      </c>
      <c r="G635">
        <f t="shared" si="215"/>
        <v>395.35416666666424</v>
      </c>
      <c r="H635" s="7">
        <v>45110.354166666664</v>
      </c>
      <c r="AF635">
        <v>205.13</v>
      </c>
      <c r="AG635">
        <v>139.01</v>
      </c>
      <c r="AL635">
        <v>350.38</v>
      </c>
      <c r="AM635">
        <v>350.26499999999999</v>
      </c>
      <c r="AN635">
        <f t="shared" si="230"/>
        <v>3.0000000000029559E-2</v>
      </c>
      <c r="AO635">
        <f t="shared" si="192"/>
        <v>0.11500000000000909</v>
      </c>
      <c r="AP635">
        <v>43.5</v>
      </c>
      <c r="AQ635">
        <v>1010</v>
      </c>
      <c r="AR635">
        <v>22</v>
      </c>
      <c r="AS635">
        <v>34</v>
      </c>
      <c r="AT635">
        <f t="shared" si="238"/>
        <v>5.3137007027131622</v>
      </c>
      <c r="AU635">
        <f t="shared" si="239"/>
        <v>44.870000000000005</v>
      </c>
      <c r="AV635">
        <v>1010</v>
      </c>
      <c r="AW635">
        <f t="shared" si="240"/>
        <v>1989.162023623802</v>
      </c>
      <c r="AX635">
        <f t="shared" si="241"/>
        <v>2.2178698018111011E-5</v>
      </c>
      <c r="AY635">
        <f t="shared" si="242"/>
        <v>2.6214994629016383E-3</v>
      </c>
      <c r="AZ635">
        <f t="shared" si="243"/>
        <v>58.459438022706536</v>
      </c>
      <c r="BA635">
        <f t="shared" si="244"/>
        <v>-0.51660486316433818</v>
      </c>
    </row>
    <row r="636" spans="1:53" x14ac:dyDescent="0.25">
      <c r="A636" t="s">
        <v>7</v>
      </c>
      <c r="B636" t="s">
        <v>18</v>
      </c>
      <c r="C636">
        <v>20</v>
      </c>
      <c r="G636">
        <f t="shared" si="215"/>
        <v>395.35416666666424</v>
      </c>
      <c r="H636" s="7">
        <v>45110.354166666664</v>
      </c>
      <c r="AF636">
        <v>177.85000000000002</v>
      </c>
      <c r="AG636">
        <v>139.94999999999999</v>
      </c>
      <c r="AL636">
        <v>324.57</v>
      </c>
      <c r="AM636">
        <v>324.44</v>
      </c>
      <c r="AN636">
        <f t="shared" si="230"/>
        <v>6.0000000000002274E-2</v>
      </c>
      <c r="AO636">
        <f t="shared" si="192"/>
        <v>0.12999999999999545</v>
      </c>
      <c r="AP636">
        <f>56+38</f>
        <v>94</v>
      </c>
      <c r="AQ636">
        <v>1010</v>
      </c>
      <c r="AR636">
        <v>22</v>
      </c>
      <c r="AS636">
        <v>34</v>
      </c>
      <c r="AT636">
        <f t="shared" si="238"/>
        <v>5.3137007027131622</v>
      </c>
      <c r="AU636">
        <f t="shared" si="239"/>
        <v>72.149999999999977</v>
      </c>
      <c r="AV636">
        <v>1010</v>
      </c>
      <c r="AW636">
        <f t="shared" si="240"/>
        <v>2325.8697158697164</v>
      </c>
      <c r="AX636">
        <f t="shared" si="241"/>
        <v>1.8892901057631562E-5</v>
      </c>
      <c r="AY636">
        <f t="shared" si="242"/>
        <v>1.3640858223465755E-3</v>
      </c>
      <c r="AZ636">
        <f t="shared" si="243"/>
        <v>30.419113838328634</v>
      </c>
      <c r="BA636">
        <f t="shared" si="244"/>
        <v>0.48590940871188287</v>
      </c>
    </row>
    <row r="637" spans="1:53" x14ac:dyDescent="0.25">
      <c r="A637" t="s">
        <v>8</v>
      </c>
      <c r="B637" t="s">
        <v>19</v>
      </c>
      <c r="C637">
        <v>10</v>
      </c>
      <c r="G637">
        <f t="shared" si="215"/>
        <v>395.35416666666424</v>
      </c>
      <c r="H637" s="7">
        <v>45110.354166666664</v>
      </c>
      <c r="AF637">
        <v>142.11999999999998</v>
      </c>
      <c r="AG637">
        <v>139.71</v>
      </c>
      <c r="AL637">
        <v>286.82</v>
      </c>
      <c r="AM637">
        <v>286.63</v>
      </c>
      <c r="AN637">
        <f t="shared" si="230"/>
        <v>4.0000000000020464E-2</v>
      </c>
      <c r="AO637">
        <f t="shared" si="192"/>
        <v>0.18999999999999773</v>
      </c>
      <c r="AP637">
        <f>54.5+50.5</f>
        <v>105</v>
      </c>
      <c r="AQ637">
        <v>1010</v>
      </c>
      <c r="AR637">
        <v>22</v>
      </c>
      <c r="AS637">
        <v>34</v>
      </c>
      <c r="AT637">
        <f t="shared" si="238"/>
        <v>5.3137007027131622</v>
      </c>
      <c r="AU637">
        <f t="shared" si="239"/>
        <v>107.88000000000002</v>
      </c>
      <c r="AV637">
        <v>1010</v>
      </c>
      <c r="AW637">
        <f t="shared" si="240"/>
        <v>1993.0367074527251</v>
      </c>
      <c r="AX637">
        <f t="shared" si="241"/>
        <v>2.2134399107946485E-5</v>
      </c>
      <c r="AY637">
        <f t="shared" si="242"/>
        <v>1.7873894104158414E-3</v>
      </c>
      <c r="AZ637">
        <f t="shared" si="243"/>
        <v>39.858783852273262</v>
      </c>
      <c r="BA637">
        <f t="shared" si="244"/>
        <v>0.14841673749469916</v>
      </c>
    </row>
    <row r="638" spans="1:53" x14ac:dyDescent="0.25">
      <c r="A638" t="s">
        <v>9</v>
      </c>
      <c r="B638" t="s">
        <v>19</v>
      </c>
      <c r="C638">
        <v>10</v>
      </c>
      <c r="G638">
        <f t="shared" si="215"/>
        <v>395.35416666666424</v>
      </c>
      <c r="H638" s="7">
        <v>45110.354166666664</v>
      </c>
      <c r="AF638">
        <v>136.42000000000002</v>
      </c>
      <c r="AG638">
        <v>139.75</v>
      </c>
      <c r="AL638">
        <v>281.52</v>
      </c>
      <c r="AM638">
        <v>281.39499999999998</v>
      </c>
      <c r="AN638">
        <f t="shared" si="230"/>
        <v>6.0000000000002274E-2</v>
      </c>
      <c r="AO638">
        <f t="shared" si="192"/>
        <v>0.125</v>
      </c>
      <c r="AP638">
        <f>57.5+29</f>
        <v>86.5</v>
      </c>
      <c r="AQ638">
        <v>1010</v>
      </c>
      <c r="AR638">
        <v>22</v>
      </c>
      <c r="AS638">
        <v>34</v>
      </c>
      <c r="AT638">
        <f t="shared" si="238"/>
        <v>5.3137007027131622</v>
      </c>
      <c r="AU638">
        <f t="shared" si="239"/>
        <v>113.57999999999998</v>
      </c>
      <c r="AV638">
        <v>1010</v>
      </c>
      <c r="AW638">
        <f t="shared" si="240"/>
        <v>1779.1935199859131</v>
      </c>
      <c r="AX638">
        <f t="shared" si="241"/>
        <v>2.4876656051661557E-5</v>
      </c>
      <c r="AY638">
        <f t="shared" si="242"/>
        <v>1.4202100491506504E-3</v>
      </c>
      <c r="AZ638">
        <f t="shared" si="243"/>
        <v>31.670684096059503</v>
      </c>
      <c r="BA638">
        <f t="shared" si="244"/>
        <v>0.44116252784914178</v>
      </c>
    </row>
    <row r="639" spans="1:53" x14ac:dyDescent="0.25">
      <c r="A639" t="s">
        <v>10</v>
      </c>
      <c r="B639" t="s">
        <v>19</v>
      </c>
      <c r="C639">
        <v>10</v>
      </c>
      <c r="G639">
        <f t="shared" si="215"/>
        <v>395.35416666666424</v>
      </c>
      <c r="H639" s="7">
        <v>45110.354166666664</v>
      </c>
      <c r="AF639">
        <v>117.85000000000002</v>
      </c>
      <c r="AG639">
        <v>140.44999999999999</v>
      </c>
      <c r="AL639">
        <v>263.7</v>
      </c>
      <c r="AM639">
        <v>263.54000000000002</v>
      </c>
      <c r="AN639">
        <f t="shared" si="230"/>
        <v>2.0000000000038654E-2</v>
      </c>
      <c r="AO639">
        <f t="shared" si="192"/>
        <v>0.15999999999996817</v>
      </c>
      <c r="AP639">
        <f>57+21</f>
        <v>78</v>
      </c>
      <c r="AQ639">
        <v>1010</v>
      </c>
      <c r="AR639">
        <v>22</v>
      </c>
      <c r="AS639">
        <v>34</v>
      </c>
      <c r="AT639">
        <f t="shared" si="238"/>
        <v>5.3137007027131622</v>
      </c>
      <c r="AU639">
        <f t="shared" si="239"/>
        <v>132.14999999999998</v>
      </c>
      <c r="AV639">
        <v>1010</v>
      </c>
      <c r="AW639">
        <f t="shared" si="240"/>
        <v>1606.1407491486948</v>
      </c>
      <c r="AX639">
        <f t="shared" si="241"/>
        <v>2.7648686885935944E-5</v>
      </c>
      <c r="AY639">
        <f t="shared" si="242"/>
        <v>2.0236333643957071E-3</v>
      </c>
      <c r="AZ639">
        <f t="shared" si="243"/>
        <v>45.127024026024266</v>
      </c>
      <c r="BA639">
        <f t="shared" si="244"/>
        <v>-3.9936504326931278E-2</v>
      </c>
    </row>
    <row r="640" spans="1:53" x14ac:dyDescent="0.25">
      <c r="A640" t="s">
        <v>11</v>
      </c>
      <c r="B640" t="s">
        <v>19</v>
      </c>
      <c r="C640">
        <v>10</v>
      </c>
      <c r="G640">
        <f t="shared" si="215"/>
        <v>395.35416666666424</v>
      </c>
      <c r="H640" s="7">
        <v>45110.354166666664</v>
      </c>
      <c r="AF640">
        <v>107.53</v>
      </c>
      <c r="AG640">
        <v>140</v>
      </c>
      <c r="AL640">
        <v>254.01499999999999</v>
      </c>
      <c r="AM640">
        <v>253.89500000000001</v>
      </c>
      <c r="AN640">
        <f t="shared" si="230"/>
        <v>3.5000000000025011E-2</v>
      </c>
      <c r="AO640">
        <f t="shared" si="192"/>
        <v>0.11999999999997613</v>
      </c>
      <c r="AP640">
        <f>55.5+27.5</f>
        <v>83</v>
      </c>
      <c r="AQ640">
        <v>1010</v>
      </c>
      <c r="AR640">
        <v>22</v>
      </c>
      <c r="AS640">
        <v>34</v>
      </c>
      <c r="AT640">
        <f t="shared" si="238"/>
        <v>5.3137007027131622</v>
      </c>
      <c r="AU640">
        <f t="shared" si="239"/>
        <v>142.47</v>
      </c>
      <c r="AV640">
        <v>1010</v>
      </c>
      <c r="AW640">
        <f t="shared" si="240"/>
        <v>1598.4045764020495</v>
      </c>
      <c r="AX640">
        <f t="shared" si="241"/>
        <v>2.77871062912264E-5</v>
      </c>
      <c r="AY640">
        <f t="shared" si="242"/>
        <v>1.4179960262386063E-3</v>
      </c>
      <c r="AZ640">
        <f t="shared" si="243"/>
        <v>31.621311385120919</v>
      </c>
      <c r="BA640">
        <f t="shared" si="244"/>
        <v>0.4429277302423697</v>
      </c>
    </row>
    <row r="641" spans="1:53" x14ac:dyDescent="0.25">
      <c r="A641" t="s">
        <v>12</v>
      </c>
      <c r="B641" t="s">
        <v>19</v>
      </c>
      <c r="C641">
        <v>20</v>
      </c>
      <c r="G641">
        <f t="shared" si="215"/>
        <v>395.35416666666424</v>
      </c>
      <c r="H641" s="7">
        <v>45110.354166666664</v>
      </c>
      <c r="AF641">
        <v>109.43</v>
      </c>
      <c r="AG641">
        <v>140.19999999999999</v>
      </c>
      <c r="AL641">
        <v>257.08999999999997</v>
      </c>
      <c r="AM641">
        <v>257.05</v>
      </c>
      <c r="AN641">
        <f t="shared" si="230"/>
        <v>3.0000000000029559E-2</v>
      </c>
      <c r="AO641">
        <f t="shared" si="192"/>
        <v>3.999999999996362E-2</v>
      </c>
      <c r="AP641">
        <v>31</v>
      </c>
      <c r="AQ641">
        <v>1010</v>
      </c>
      <c r="AR641">
        <v>22</v>
      </c>
      <c r="AS641">
        <v>34</v>
      </c>
      <c r="AT641">
        <f t="shared" si="238"/>
        <v>5.3137007027131622</v>
      </c>
      <c r="AU641">
        <f t="shared" si="239"/>
        <v>140.57</v>
      </c>
      <c r="AV641">
        <v>1010</v>
      </c>
      <c r="AW641">
        <f t="shared" si="240"/>
        <v>1232.7360034146689</v>
      </c>
      <c r="AX641">
        <f t="shared" si="241"/>
        <v>3.6400941616687499E-5</v>
      </c>
      <c r="AY641">
        <f t="shared" si="242"/>
        <v>1.2539216390273003E-3</v>
      </c>
      <c r="AZ641">
        <f t="shared" si="243"/>
        <v>27.962452550308797</v>
      </c>
      <c r="BA641">
        <f t="shared" si="244"/>
        <v>0.57374141757923491</v>
      </c>
    </row>
    <row r="642" spans="1:53" x14ac:dyDescent="0.25">
      <c r="A642" t="s">
        <v>13</v>
      </c>
      <c r="B642" t="s">
        <v>19</v>
      </c>
      <c r="C642">
        <v>20</v>
      </c>
      <c r="G642">
        <f t="shared" si="215"/>
        <v>395.35416666666424</v>
      </c>
      <c r="H642" s="7">
        <v>45110.354166666664</v>
      </c>
      <c r="AF642">
        <v>129.52999999999997</v>
      </c>
      <c r="AG642">
        <v>140.24</v>
      </c>
      <c r="AL642">
        <v>277.27999999999997</v>
      </c>
      <c r="AM642">
        <v>277.2</v>
      </c>
      <c r="AN642">
        <f t="shared" si="230"/>
        <v>3.0000000000029559E-2</v>
      </c>
      <c r="AO642">
        <f t="shared" si="192"/>
        <v>7.9999999999984084E-2</v>
      </c>
      <c r="AP642">
        <v>29.5</v>
      </c>
      <c r="AQ642">
        <v>1010</v>
      </c>
      <c r="AR642">
        <v>22</v>
      </c>
      <c r="AS642">
        <v>34</v>
      </c>
      <c r="AT642">
        <f t="shared" si="238"/>
        <v>5.3137007027131622</v>
      </c>
      <c r="AU642">
        <f t="shared" si="239"/>
        <v>120.47000000000003</v>
      </c>
      <c r="AV642">
        <v>1010</v>
      </c>
      <c r="AW642">
        <f t="shared" si="240"/>
        <v>1257.3229849755126</v>
      </c>
      <c r="AX642">
        <f t="shared" si="241"/>
        <v>3.5657709842928036E-5</v>
      </c>
      <c r="AY642">
        <f t="shared" si="242"/>
        <v>2.6762066969361936E-3</v>
      </c>
      <c r="AZ642">
        <f t="shared" si="243"/>
        <v>59.679409341677115</v>
      </c>
      <c r="BA642">
        <f t="shared" si="244"/>
        <v>-0.56022200005996126</v>
      </c>
    </row>
    <row r="643" spans="1:53" x14ac:dyDescent="0.25">
      <c r="A643" t="s">
        <v>14</v>
      </c>
      <c r="B643" t="s">
        <v>19</v>
      </c>
      <c r="C643">
        <v>20</v>
      </c>
      <c r="G643">
        <f t="shared" si="215"/>
        <v>395.35416666666424</v>
      </c>
      <c r="H643" s="7">
        <v>45110.354166666664</v>
      </c>
      <c r="AF643">
        <v>94.359999999999985</v>
      </c>
      <c r="AG643">
        <v>138.74</v>
      </c>
      <c r="AL643">
        <v>240.74</v>
      </c>
      <c r="AM643">
        <v>240.67</v>
      </c>
      <c r="AN643">
        <f t="shared" si="230"/>
        <v>9.9999999999909051E-3</v>
      </c>
      <c r="AO643">
        <f t="shared" si="192"/>
        <v>7.00000000000216E-2</v>
      </c>
      <c r="AP643">
        <v>18.5</v>
      </c>
      <c r="AQ643">
        <v>1010</v>
      </c>
      <c r="AR643">
        <v>22</v>
      </c>
      <c r="AS643">
        <v>34</v>
      </c>
      <c r="AT643">
        <f t="shared" si="238"/>
        <v>5.3137007027131622</v>
      </c>
      <c r="AU643">
        <f t="shared" si="239"/>
        <v>155.64000000000001</v>
      </c>
      <c r="AV643">
        <v>1010</v>
      </c>
      <c r="AW643">
        <f t="shared" si="240"/>
        <v>1130.052685684914</v>
      </c>
      <c r="AX643">
        <f t="shared" si="241"/>
        <v>3.9871751381800358E-5</v>
      </c>
      <c r="AY643">
        <f t="shared" si="242"/>
        <v>3.7439120324031508E-3</v>
      </c>
      <c r="AZ643">
        <f t="shared" si="243"/>
        <v>83.489238322590268</v>
      </c>
      <c r="BA643">
        <f t="shared" si="244"/>
        <v>-1.4114851027025481</v>
      </c>
    </row>
    <row r="644" spans="1:53" x14ac:dyDescent="0.25">
      <c r="A644" t="s">
        <v>15</v>
      </c>
      <c r="B644" t="s">
        <v>19</v>
      </c>
      <c r="C644">
        <v>20</v>
      </c>
      <c r="G644">
        <f t="shared" si="215"/>
        <v>395.35416666666424</v>
      </c>
      <c r="H644" s="7">
        <v>45110.354166666664</v>
      </c>
      <c r="AF644">
        <v>85.4</v>
      </c>
      <c r="AG644">
        <v>140.1</v>
      </c>
      <c r="AL644">
        <v>233.04</v>
      </c>
      <c r="AM644">
        <v>232.98</v>
      </c>
      <c r="AN644">
        <f t="shared" si="230"/>
        <v>2.0000000000010232E-2</v>
      </c>
      <c r="AO644">
        <f t="shared" si="192"/>
        <v>6.0000000000002274E-2</v>
      </c>
      <c r="AP644">
        <v>24.5</v>
      </c>
      <c r="AQ644">
        <v>1010</v>
      </c>
      <c r="AR644">
        <v>22</v>
      </c>
      <c r="AS644">
        <v>34</v>
      </c>
      <c r="AT644">
        <f t="shared" si="238"/>
        <v>5.3137007027131622</v>
      </c>
      <c r="AU644">
        <f t="shared" si="239"/>
        <v>164.6</v>
      </c>
      <c r="AV644">
        <v>1010</v>
      </c>
      <c r="AW644">
        <f t="shared" si="240"/>
        <v>1160.3341433778858</v>
      </c>
      <c r="AX644">
        <f t="shared" si="241"/>
        <v>3.8781272809400782E-5</v>
      </c>
      <c r="AY644">
        <f t="shared" si="242"/>
        <v>2.4101983190274266E-3</v>
      </c>
      <c r="AZ644">
        <f t="shared" si="243"/>
        <v>53.747422514311609</v>
      </c>
      <c r="BA644">
        <f t="shared" si="244"/>
        <v>-0.34813809489852021</v>
      </c>
    </row>
    <row r="645" spans="1:53" x14ac:dyDescent="0.25">
      <c r="A645" t="s">
        <v>0</v>
      </c>
      <c r="B645" t="s">
        <v>18</v>
      </c>
      <c r="C645">
        <v>10</v>
      </c>
      <c r="G645">
        <f t="shared" si="215"/>
        <v>405.35416666666424</v>
      </c>
      <c r="H645" s="7">
        <v>45120.354166666664</v>
      </c>
      <c r="AF645">
        <v>172.77</v>
      </c>
      <c r="AG645">
        <v>139.16999999999999</v>
      </c>
      <c r="AL645">
        <v>317.5</v>
      </c>
      <c r="AM645">
        <v>317.38</v>
      </c>
      <c r="AN645">
        <f>AM629-AL645</f>
        <v>1.999999999998181E-2</v>
      </c>
      <c r="AO645">
        <f t="shared" si="192"/>
        <v>0.12000000000000455</v>
      </c>
      <c r="AP645">
        <f>65+15</f>
        <v>80</v>
      </c>
      <c r="AQ645">
        <v>1010</v>
      </c>
      <c r="AR645">
        <v>22</v>
      </c>
      <c r="AS645">
        <v>23</v>
      </c>
      <c r="AT645">
        <f t="shared" si="231"/>
        <v>2.8038136482807117</v>
      </c>
      <c r="AU645">
        <f t="shared" ref="AU645:AU660" si="245">250-AF645</f>
        <v>77.22999999999999</v>
      </c>
      <c r="AV645">
        <v>1010</v>
      </c>
      <c r="AW645">
        <f t="shared" ref="AW645:AW660" si="246">AP645/AU645*AV645+AV645</f>
        <v>2056.2255600155381</v>
      </c>
      <c r="AX645">
        <f t="shared" ref="AX645:AX660" si="247">18.02*(AT645/(AW645/10-AT645)*1/22300)</f>
        <v>1.1170972524572636E-5</v>
      </c>
      <c r="AY645">
        <f t="shared" ref="AY645:AY660" si="248">(AL645-AM645)/AP645-AX645</f>
        <v>1.4888290274754842E-3</v>
      </c>
      <c r="AZ645">
        <f t="shared" ref="AZ645:AZ660" si="249">AY645*22300</f>
        <v>33.200887312703301</v>
      </c>
      <c r="BA645">
        <f t="shared" ref="BA645:BA660" si="250">(44.01-AZ645)/(44.01-16.04)</f>
        <v>0.38645379647110106</v>
      </c>
    </row>
    <row r="646" spans="1:53" x14ac:dyDescent="0.25">
      <c r="A646" t="s">
        <v>1</v>
      </c>
      <c r="B646" t="s">
        <v>18</v>
      </c>
      <c r="C646">
        <v>10</v>
      </c>
      <c r="G646">
        <f t="shared" si="215"/>
        <v>405.35416666666424</v>
      </c>
      <c r="H646" s="7">
        <v>45120.354166666664</v>
      </c>
      <c r="AF646">
        <v>173.93</v>
      </c>
      <c r="AG646">
        <v>141.25</v>
      </c>
      <c r="AL646">
        <v>319.83999999999997</v>
      </c>
      <c r="AM646">
        <v>319.64</v>
      </c>
      <c r="AN646">
        <f t="shared" ref="AN646:AN709" si="251">AM630-AL646</f>
        <v>5.0000000000522959E-3</v>
      </c>
      <c r="AO646">
        <f t="shared" si="192"/>
        <v>0.19999999999998863</v>
      </c>
      <c r="AP646">
        <f>65+65+16</f>
        <v>146</v>
      </c>
      <c r="AQ646">
        <v>1010</v>
      </c>
      <c r="AR646">
        <v>22</v>
      </c>
      <c r="AS646">
        <v>24</v>
      </c>
      <c r="AT646">
        <f t="shared" si="231"/>
        <v>2.9780711635447163</v>
      </c>
      <c r="AU646">
        <f t="shared" si="245"/>
        <v>76.069999999999993</v>
      </c>
      <c r="AV646">
        <v>1010</v>
      </c>
      <c r="AW646">
        <f t="shared" si="246"/>
        <v>2948.477717891416</v>
      </c>
      <c r="AX646">
        <f t="shared" si="247"/>
        <v>8.2451010442446096E-6</v>
      </c>
      <c r="AY646">
        <f t="shared" si="248"/>
        <v>1.3616179126543077E-3</v>
      </c>
      <c r="AZ646">
        <f t="shared" si="249"/>
        <v>30.36407945219106</v>
      </c>
      <c r="BA646">
        <f t="shared" si="250"/>
        <v>0.48787703066889304</v>
      </c>
    </row>
    <row r="647" spans="1:53" x14ac:dyDescent="0.25">
      <c r="A647" t="s">
        <v>2</v>
      </c>
      <c r="B647" t="s">
        <v>18</v>
      </c>
      <c r="C647">
        <v>10</v>
      </c>
      <c r="G647">
        <f t="shared" ref="G647:G710" si="252">H647-$H$18</f>
        <v>405.35416666666424</v>
      </c>
      <c r="H647" s="7">
        <v>45120.354166666664</v>
      </c>
      <c r="AF647">
        <v>162.82000000000002</v>
      </c>
      <c r="AG647">
        <v>140.66</v>
      </c>
      <c r="AL647">
        <v>309.36</v>
      </c>
      <c r="AM647">
        <v>309.29000000000002</v>
      </c>
      <c r="AN647">
        <f t="shared" si="251"/>
        <v>0</v>
      </c>
      <c r="AO647">
        <f t="shared" si="192"/>
        <v>6.9999999999993179E-2</v>
      </c>
      <c r="AP647">
        <f>65+6</f>
        <v>71</v>
      </c>
      <c r="AQ647">
        <v>1010</v>
      </c>
      <c r="AR647">
        <v>22</v>
      </c>
      <c r="AS647">
        <v>25</v>
      </c>
      <c r="AT647">
        <f t="shared" si="231"/>
        <v>3.1617360356966913</v>
      </c>
      <c r="AU647">
        <f t="shared" si="245"/>
        <v>87.179999999999978</v>
      </c>
      <c r="AV647">
        <v>1010</v>
      </c>
      <c r="AW647">
        <f t="shared" si="246"/>
        <v>1832.5510438173897</v>
      </c>
      <c r="AX647">
        <f t="shared" si="247"/>
        <v>1.4186583278012675E-5</v>
      </c>
      <c r="AY647">
        <f t="shared" si="248"/>
        <v>9.7172890967963765E-4</v>
      </c>
      <c r="AZ647">
        <f t="shared" si="249"/>
        <v>21.669554685855921</v>
      </c>
      <c r="BA647">
        <f t="shared" si="250"/>
        <v>0.79872882782066779</v>
      </c>
    </row>
    <row r="648" spans="1:53" x14ac:dyDescent="0.25">
      <c r="A648" t="s">
        <v>3</v>
      </c>
      <c r="B648" t="s">
        <v>18</v>
      </c>
      <c r="C648">
        <v>10</v>
      </c>
      <c r="G648">
        <f t="shared" si="252"/>
        <v>405.35416666666424</v>
      </c>
      <c r="H648" s="7">
        <v>45120.354166666664</v>
      </c>
      <c r="AF648">
        <v>187.81</v>
      </c>
      <c r="AG648">
        <v>140</v>
      </c>
      <c r="AL648">
        <v>333.66</v>
      </c>
      <c r="AM648">
        <v>333.44</v>
      </c>
      <c r="AN648">
        <f t="shared" si="251"/>
        <v>9.9999999999909051E-3</v>
      </c>
      <c r="AO648">
        <f t="shared" si="192"/>
        <v>0.22000000000002728</v>
      </c>
      <c r="AP648">
        <f>65+65+65</f>
        <v>195</v>
      </c>
      <c r="AQ648">
        <v>1010</v>
      </c>
      <c r="AR648">
        <v>22</v>
      </c>
      <c r="AS648">
        <v>27</v>
      </c>
      <c r="AT648">
        <f t="shared" si="231"/>
        <v>3.5590099535870863</v>
      </c>
      <c r="AU648">
        <f t="shared" si="245"/>
        <v>62.19</v>
      </c>
      <c r="AV648">
        <v>1010</v>
      </c>
      <c r="AW648">
        <f t="shared" si="246"/>
        <v>4176.9078630004824</v>
      </c>
      <c r="AX648">
        <f t="shared" si="247"/>
        <v>6.94449342391591E-6</v>
      </c>
      <c r="AY648">
        <f t="shared" si="248"/>
        <v>1.1212606347813523E-3</v>
      </c>
      <c r="AZ648">
        <f t="shared" si="249"/>
        <v>25.004112155624156</v>
      </c>
      <c r="BA648">
        <f t="shared" si="250"/>
        <v>0.67950975489366616</v>
      </c>
    </row>
    <row r="649" spans="1:53" x14ac:dyDescent="0.25">
      <c r="A649" t="s">
        <v>4</v>
      </c>
      <c r="B649" t="s">
        <v>18</v>
      </c>
      <c r="C649">
        <v>20</v>
      </c>
      <c r="G649">
        <f t="shared" si="252"/>
        <v>405.35416666666424</v>
      </c>
      <c r="H649" s="7">
        <v>45120.354166666664</v>
      </c>
      <c r="AF649">
        <v>181.58</v>
      </c>
      <c r="AG649">
        <v>139.4</v>
      </c>
      <c r="AL649">
        <v>327.02999999999997</v>
      </c>
      <c r="AM649">
        <v>326.97000000000003</v>
      </c>
      <c r="AN649">
        <f t="shared" si="251"/>
        <v>1.0000000000047748E-2</v>
      </c>
      <c r="AO649">
        <f t="shared" si="192"/>
        <v>5.999999999994543E-2</v>
      </c>
      <c r="AP649">
        <v>26</v>
      </c>
      <c r="AQ649">
        <v>1010</v>
      </c>
      <c r="AR649">
        <v>22</v>
      </c>
      <c r="AS649">
        <v>29</v>
      </c>
      <c r="AT649">
        <f t="shared" si="231"/>
        <v>3.9992354374220205</v>
      </c>
      <c r="AU649">
        <f t="shared" si="245"/>
        <v>68.419999999999987</v>
      </c>
      <c r="AV649">
        <v>1010</v>
      </c>
      <c r="AW649">
        <f t="shared" si="246"/>
        <v>1393.8059047062263</v>
      </c>
      <c r="AX649">
        <f t="shared" si="247"/>
        <v>2.3870858533685476E-5</v>
      </c>
      <c r="AY649">
        <f t="shared" si="248"/>
        <v>2.2838214491565233E-3</v>
      </c>
      <c r="AZ649">
        <f t="shared" si="249"/>
        <v>50.929218316190472</v>
      </c>
      <c r="BA649">
        <f t="shared" si="250"/>
        <v>-0.2473799898530738</v>
      </c>
    </row>
    <row r="650" spans="1:53" x14ac:dyDescent="0.25">
      <c r="A650" t="s">
        <v>5</v>
      </c>
      <c r="B650" t="s">
        <v>18</v>
      </c>
      <c r="C650">
        <v>20</v>
      </c>
      <c r="G650">
        <f t="shared" si="252"/>
        <v>405.35416666666424</v>
      </c>
      <c r="H650" s="7">
        <v>45120.354166666664</v>
      </c>
      <c r="AF650">
        <v>201.8</v>
      </c>
      <c r="AG650">
        <v>139.81</v>
      </c>
      <c r="AL650">
        <v>347.88</v>
      </c>
      <c r="AM650">
        <v>347.81</v>
      </c>
      <c r="AN650">
        <f t="shared" si="251"/>
        <v>9.9999999999909051E-3</v>
      </c>
      <c r="AO650">
        <f t="shared" si="192"/>
        <v>6.9999999999993179E-2</v>
      </c>
      <c r="AP650">
        <v>46</v>
      </c>
      <c r="AQ650">
        <v>1010</v>
      </c>
      <c r="AR650">
        <v>22</v>
      </c>
      <c r="AS650">
        <v>32</v>
      </c>
      <c r="AT650">
        <f t="shared" si="231"/>
        <v>4.7486211701522398</v>
      </c>
      <c r="AU650">
        <f t="shared" si="245"/>
        <v>48.199999999999989</v>
      </c>
      <c r="AV650">
        <v>1010</v>
      </c>
      <c r="AW650">
        <f t="shared" si="246"/>
        <v>1973.9004149377597</v>
      </c>
      <c r="AX650">
        <f t="shared" si="247"/>
        <v>1.9919011224492307E-5</v>
      </c>
      <c r="AY650">
        <f t="shared" si="248"/>
        <v>1.501820119210142E-3</v>
      </c>
      <c r="AZ650">
        <f t="shared" si="249"/>
        <v>33.490588658386166</v>
      </c>
      <c r="BA650">
        <f t="shared" si="250"/>
        <v>0.37609622243882135</v>
      </c>
    </row>
    <row r="651" spans="1:53" x14ac:dyDescent="0.25">
      <c r="A651" t="s">
        <v>6</v>
      </c>
      <c r="B651" t="s">
        <v>18</v>
      </c>
      <c r="C651">
        <v>20</v>
      </c>
      <c r="G651">
        <f t="shared" si="252"/>
        <v>405.35416666666424</v>
      </c>
      <c r="H651" s="7">
        <v>45120.354166666664</v>
      </c>
      <c r="AF651">
        <v>205.13</v>
      </c>
      <c r="AG651">
        <v>139.01</v>
      </c>
      <c r="AL651">
        <v>350.23</v>
      </c>
      <c r="AM651">
        <v>350.16</v>
      </c>
      <c r="AN651">
        <f t="shared" si="251"/>
        <v>3.4999999999968168E-2</v>
      </c>
      <c r="AO651">
        <f t="shared" si="192"/>
        <v>6.9999999999993179E-2</v>
      </c>
      <c r="AP651">
        <v>33</v>
      </c>
      <c r="AQ651">
        <v>1010</v>
      </c>
      <c r="AR651">
        <v>22</v>
      </c>
      <c r="AS651">
        <v>34</v>
      </c>
      <c r="AT651">
        <f t="shared" si="231"/>
        <v>5.3137007027131622</v>
      </c>
      <c r="AU651">
        <f t="shared" si="245"/>
        <v>44.870000000000005</v>
      </c>
      <c r="AV651">
        <v>1010</v>
      </c>
      <c r="AW651">
        <f t="shared" si="246"/>
        <v>1752.8125696456427</v>
      </c>
      <c r="AX651">
        <f t="shared" si="247"/>
        <v>2.5262770815187259E-5</v>
      </c>
      <c r="AY651">
        <f t="shared" si="248"/>
        <v>2.0959493503967274E-3</v>
      </c>
      <c r="AZ651">
        <f t="shared" si="249"/>
        <v>46.739670513847024</v>
      </c>
      <c r="BA651">
        <f t="shared" si="250"/>
        <v>-9.7592796347766395E-2</v>
      </c>
    </row>
    <row r="652" spans="1:53" x14ac:dyDescent="0.25">
      <c r="A652" t="s">
        <v>7</v>
      </c>
      <c r="B652" t="s">
        <v>18</v>
      </c>
      <c r="C652">
        <v>20</v>
      </c>
      <c r="G652">
        <f t="shared" si="252"/>
        <v>405.35416666666424</v>
      </c>
      <c r="H652" s="7">
        <v>45120.354166666664</v>
      </c>
      <c r="AF652">
        <v>177.85000000000002</v>
      </c>
      <c r="AG652">
        <v>139.94999999999999</v>
      </c>
      <c r="AL652">
        <v>324.41000000000003</v>
      </c>
      <c r="AM652">
        <v>324.29500000000002</v>
      </c>
      <c r="AN652">
        <f t="shared" si="251"/>
        <v>2.9999999999972715E-2</v>
      </c>
      <c r="AO652">
        <f t="shared" si="192"/>
        <v>0.11500000000000909</v>
      </c>
      <c r="AP652">
        <f>65+39</f>
        <v>104</v>
      </c>
      <c r="AQ652">
        <v>1010</v>
      </c>
      <c r="AR652">
        <v>22</v>
      </c>
      <c r="AS652">
        <v>34</v>
      </c>
      <c r="AT652">
        <f t="shared" si="231"/>
        <v>5.3137007027131622</v>
      </c>
      <c r="AU652">
        <f t="shared" si="245"/>
        <v>72.149999999999977</v>
      </c>
      <c r="AV652">
        <v>1010</v>
      </c>
      <c r="AW652">
        <f t="shared" si="246"/>
        <v>2465.8558558558561</v>
      </c>
      <c r="AX652">
        <f t="shared" si="247"/>
        <v>1.7796733431850457E-5</v>
      </c>
      <c r="AY652">
        <f t="shared" si="248"/>
        <v>1.0879724973374679E-3</v>
      </c>
      <c r="AZ652">
        <f t="shared" si="249"/>
        <v>24.261786690625534</v>
      </c>
      <c r="BA652">
        <f t="shared" si="250"/>
        <v>0.70604981442168269</v>
      </c>
    </row>
    <row r="653" spans="1:53" x14ac:dyDescent="0.25">
      <c r="A653" t="s">
        <v>8</v>
      </c>
      <c r="B653" t="s">
        <v>19</v>
      </c>
      <c r="C653">
        <v>10</v>
      </c>
      <c r="G653">
        <f t="shared" si="252"/>
        <v>405.35416666666424</v>
      </c>
      <c r="H653" s="7">
        <v>45120.354166666664</v>
      </c>
      <c r="AF653">
        <v>142.11999999999998</v>
      </c>
      <c r="AG653">
        <v>139.71</v>
      </c>
      <c r="AL653">
        <v>286.58999999999997</v>
      </c>
      <c r="AM653">
        <v>286.5</v>
      </c>
      <c r="AN653">
        <f t="shared" si="251"/>
        <v>4.0000000000020464E-2</v>
      </c>
      <c r="AO653">
        <f t="shared" si="192"/>
        <v>8.9999999999974989E-2</v>
      </c>
      <c r="AP653">
        <f>65+7.5</f>
        <v>72.5</v>
      </c>
      <c r="AQ653">
        <v>1010</v>
      </c>
      <c r="AR653">
        <v>22</v>
      </c>
      <c r="AS653">
        <v>34</v>
      </c>
      <c r="AT653">
        <f t="shared" si="231"/>
        <v>5.3137007027131622</v>
      </c>
      <c r="AU653">
        <f t="shared" si="245"/>
        <v>107.88000000000002</v>
      </c>
      <c r="AV653">
        <v>1010</v>
      </c>
      <c r="AW653">
        <f t="shared" si="246"/>
        <v>1688.7634408602148</v>
      </c>
      <c r="AX653">
        <f t="shared" si="247"/>
        <v>2.6252029993168853E-5</v>
      </c>
      <c r="AY653">
        <f t="shared" si="248"/>
        <v>1.2151272803513139E-3</v>
      </c>
      <c r="AZ653">
        <f t="shared" si="249"/>
        <v>27.097338351834299</v>
      </c>
      <c r="BA653">
        <f t="shared" si="250"/>
        <v>0.60467149260513764</v>
      </c>
    </row>
    <row r="654" spans="1:53" x14ac:dyDescent="0.25">
      <c r="A654" t="s">
        <v>9</v>
      </c>
      <c r="B654" t="s">
        <v>19</v>
      </c>
      <c r="C654">
        <v>10</v>
      </c>
      <c r="G654">
        <f t="shared" si="252"/>
        <v>405.35416666666424</v>
      </c>
      <c r="H654" s="7">
        <v>45120.354166666664</v>
      </c>
      <c r="AF654">
        <v>136.42000000000002</v>
      </c>
      <c r="AG654">
        <v>139.75</v>
      </c>
      <c r="AL654">
        <v>281.35000000000002</v>
      </c>
      <c r="AM654">
        <v>281.22000000000003</v>
      </c>
      <c r="AN654">
        <f t="shared" si="251"/>
        <v>4.4999999999959073E-2</v>
      </c>
      <c r="AO654">
        <f t="shared" si="192"/>
        <v>0.12999999999999545</v>
      </c>
      <c r="AP654">
        <f>65+32.5</f>
        <v>97.5</v>
      </c>
      <c r="AQ654">
        <v>1010</v>
      </c>
      <c r="AR654">
        <v>22</v>
      </c>
      <c r="AS654">
        <v>34</v>
      </c>
      <c r="AT654">
        <f t="shared" si="231"/>
        <v>5.3137007027131622</v>
      </c>
      <c r="AU654">
        <f t="shared" si="245"/>
        <v>113.57999999999998</v>
      </c>
      <c r="AV654">
        <v>1010</v>
      </c>
      <c r="AW654">
        <f t="shared" si="246"/>
        <v>1877.0100369783413</v>
      </c>
      <c r="AX654">
        <f t="shared" si="247"/>
        <v>2.3542490893543485E-5</v>
      </c>
      <c r="AY654">
        <f t="shared" si="248"/>
        <v>1.3097908424397431E-3</v>
      </c>
      <c r="AZ654">
        <f t="shared" si="249"/>
        <v>29.20833578640627</v>
      </c>
      <c r="BA654">
        <f t="shared" si="250"/>
        <v>0.52919786248100564</v>
      </c>
    </row>
    <row r="655" spans="1:53" x14ac:dyDescent="0.25">
      <c r="A655" t="s">
        <v>10</v>
      </c>
      <c r="B655" t="s">
        <v>19</v>
      </c>
      <c r="C655">
        <v>10</v>
      </c>
      <c r="G655">
        <f t="shared" si="252"/>
        <v>405.35416666666424</v>
      </c>
      <c r="H655" s="7">
        <v>45120.354166666664</v>
      </c>
      <c r="AF655">
        <v>117.85000000000002</v>
      </c>
      <c r="AG655">
        <v>140.44999999999999</v>
      </c>
      <c r="AL655">
        <v>263.52</v>
      </c>
      <c r="AM655">
        <v>263.41500000000002</v>
      </c>
      <c r="AN655">
        <f t="shared" si="251"/>
        <v>2.0000000000038654E-2</v>
      </c>
      <c r="AO655">
        <f t="shared" si="192"/>
        <v>0.10499999999996135</v>
      </c>
      <c r="AP655">
        <v>58.5</v>
      </c>
      <c r="AQ655">
        <v>1010</v>
      </c>
      <c r="AR655">
        <v>22</v>
      </c>
      <c r="AS655">
        <v>34</v>
      </c>
      <c r="AT655">
        <f t="shared" si="231"/>
        <v>5.3137007027131622</v>
      </c>
      <c r="AU655">
        <f t="shared" si="245"/>
        <v>132.14999999999998</v>
      </c>
      <c r="AV655">
        <v>1010</v>
      </c>
      <c r="AW655">
        <f t="shared" si="246"/>
        <v>1457.105561861521</v>
      </c>
      <c r="AX655">
        <f t="shared" si="247"/>
        <v>3.0583672298608489E-5</v>
      </c>
      <c r="AY655">
        <f t="shared" si="248"/>
        <v>1.7642881225725256E-3</v>
      </c>
      <c r="AZ655">
        <f t="shared" si="249"/>
        <v>39.343625133367318</v>
      </c>
      <c r="BA655">
        <f t="shared" si="250"/>
        <v>0.16683499701940221</v>
      </c>
    </row>
    <row r="656" spans="1:53" x14ac:dyDescent="0.25">
      <c r="A656" t="s">
        <v>11</v>
      </c>
      <c r="B656" t="s">
        <v>19</v>
      </c>
      <c r="C656">
        <v>10</v>
      </c>
      <c r="G656">
        <f t="shared" si="252"/>
        <v>405.35416666666424</v>
      </c>
      <c r="H656" s="7">
        <v>45120.354166666664</v>
      </c>
      <c r="AF656">
        <v>107.53</v>
      </c>
      <c r="AG656">
        <v>140</v>
      </c>
      <c r="AL656">
        <v>253.86</v>
      </c>
      <c r="AM656">
        <v>253.77</v>
      </c>
      <c r="AN656">
        <f t="shared" si="251"/>
        <v>3.4999999999996589E-2</v>
      </c>
      <c r="AO656">
        <f t="shared" si="192"/>
        <v>9.0000000000003411E-2</v>
      </c>
      <c r="AP656">
        <f>65+20</f>
        <v>85</v>
      </c>
      <c r="AQ656">
        <v>1010</v>
      </c>
      <c r="AR656">
        <v>22</v>
      </c>
      <c r="AS656">
        <v>34</v>
      </c>
      <c r="AT656">
        <f t="shared" si="231"/>
        <v>5.3137007027131622</v>
      </c>
      <c r="AU656">
        <f t="shared" si="245"/>
        <v>142.47</v>
      </c>
      <c r="AV656">
        <v>1010</v>
      </c>
      <c r="AW656">
        <f t="shared" si="246"/>
        <v>1612.5829999298098</v>
      </c>
      <c r="AX656">
        <f t="shared" si="247"/>
        <v>2.7534466979957549E-5</v>
      </c>
      <c r="AY656">
        <f t="shared" si="248"/>
        <v>1.0312890624318471E-3</v>
      </c>
      <c r="AZ656">
        <f t="shared" si="249"/>
        <v>22.997746092230191</v>
      </c>
      <c r="BA656">
        <f t="shared" si="250"/>
        <v>0.75124254228708642</v>
      </c>
    </row>
    <row r="657" spans="1:53" x14ac:dyDescent="0.25">
      <c r="A657" t="s">
        <v>12</v>
      </c>
      <c r="B657" t="s">
        <v>19</v>
      </c>
      <c r="C657">
        <v>20</v>
      </c>
      <c r="G657">
        <f t="shared" si="252"/>
        <v>405.35416666666424</v>
      </c>
      <c r="H657" s="7">
        <v>45120.354166666664</v>
      </c>
      <c r="AF657">
        <v>109.43</v>
      </c>
      <c r="AG657">
        <v>140.19999999999999</v>
      </c>
      <c r="AL657">
        <v>257.01</v>
      </c>
      <c r="AM657">
        <v>256.97000000000003</v>
      </c>
      <c r="AN657">
        <f t="shared" si="251"/>
        <v>4.0000000000020464E-2</v>
      </c>
      <c r="AO657">
        <f t="shared" si="192"/>
        <v>3.999999999996362E-2</v>
      </c>
      <c r="AP657">
        <v>21</v>
      </c>
      <c r="AQ657">
        <v>1010</v>
      </c>
      <c r="AR657">
        <v>22</v>
      </c>
      <c r="AS657">
        <v>34</v>
      </c>
      <c r="AT657">
        <f t="shared" si="231"/>
        <v>5.3137007027131622</v>
      </c>
      <c r="AU657">
        <f t="shared" si="245"/>
        <v>140.57</v>
      </c>
      <c r="AV657">
        <v>1010</v>
      </c>
      <c r="AW657">
        <f t="shared" si="246"/>
        <v>1160.8856797325177</v>
      </c>
      <c r="AX657">
        <f t="shared" si="247"/>
        <v>3.8761964023608205E-5</v>
      </c>
      <c r="AY657">
        <f t="shared" si="248"/>
        <v>1.8659999407365643E-3</v>
      </c>
      <c r="AZ657">
        <f t="shared" si="249"/>
        <v>41.611798678425387</v>
      </c>
      <c r="BA657">
        <f t="shared" si="250"/>
        <v>8.5741913535023626E-2</v>
      </c>
    </row>
    <row r="658" spans="1:53" x14ac:dyDescent="0.25">
      <c r="A658" t="s">
        <v>13</v>
      </c>
      <c r="B658" t="s">
        <v>19</v>
      </c>
      <c r="C658">
        <v>20</v>
      </c>
      <c r="G658">
        <f t="shared" si="252"/>
        <v>405.35416666666424</v>
      </c>
      <c r="H658" s="7">
        <v>45120.354166666664</v>
      </c>
      <c r="AF658">
        <v>129.52999999999997</v>
      </c>
      <c r="AG658">
        <v>140.24</v>
      </c>
      <c r="AL658">
        <v>277.17</v>
      </c>
      <c r="AM658">
        <v>277.12</v>
      </c>
      <c r="AN658">
        <f t="shared" si="251"/>
        <v>2.9999999999972715E-2</v>
      </c>
      <c r="AO658">
        <f t="shared" si="192"/>
        <v>5.0000000000011369E-2</v>
      </c>
      <c r="AP658">
        <v>21</v>
      </c>
      <c r="AQ658">
        <v>1010</v>
      </c>
      <c r="AR658">
        <v>22</v>
      </c>
      <c r="AS658">
        <v>34</v>
      </c>
      <c r="AT658">
        <f t="shared" si="231"/>
        <v>5.3137007027131622</v>
      </c>
      <c r="AU658">
        <f t="shared" si="245"/>
        <v>120.47000000000003</v>
      </c>
      <c r="AV658">
        <v>1010</v>
      </c>
      <c r="AW658">
        <f t="shared" si="246"/>
        <v>1186.0604299825682</v>
      </c>
      <c r="AX658">
        <f t="shared" si="247"/>
        <v>3.7900632406904425E-5</v>
      </c>
      <c r="AY658">
        <f t="shared" si="248"/>
        <v>2.3430517485460178E-3</v>
      </c>
      <c r="AZ658">
        <f t="shared" si="249"/>
        <v>52.250053992576198</v>
      </c>
      <c r="BA658">
        <f t="shared" si="250"/>
        <v>-0.29460328897304972</v>
      </c>
    </row>
    <row r="659" spans="1:53" x14ac:dyDescent="0.25">
      <c r="A659" t="s">
        <v>14</v>
      </c>
      <c r="B659" t="s">
        <v>19</v>
      </c>
      <c r="C659">
        <v>20</v>
      </c>
      <c r="G659">
        <f t="shared" si="252"/>
        <v>405.35416666666424</v>
      </c>
      <c r="H659" s="7">
        <v>45120.354166666664</v>
      </c>
      <c r="AF659">
        <v>94.359999999999985</v>
      </c>
      <c r="AG659">
        <v>138.74</v>
      </c>
      <c r="AL659">
        <v>240.63</v>
      </c>
      <c r="AM659">
        <v>240.62</v>
      </c>
      <c r="AN659">
        <f t="shared" si="251"/>
        <v>3.9999999999992042E-2</v>
      </c>
      <c r="AO659">
        <f t="shared" si="192"/>
        <v>9.9999999999909051E-3</v>
      </c>
      <c r="AP659">
        <v>12</v>
      </c>
      <c r="AQ659">
        <v>1010</v>
      </c>
      <c r="AR659">
        <v>22</v>
      </c>
      <c r="AS659">
        <v>34</v>
      </c>
      <c r="AT659">
        <f t="shared" si="231"/>
        <v>5.3137007027131622</v>
      </c>
      <c r="AU659">
        <f t="shared" si="245"/>
        <v>155.64000000000001</v>
      </c>
      <c r="AV659">
        <v>1010</v>
      </c>
      <c r="AW659">
        <f t="shared" si="246"/>
        <v>1087.8720123361604</v>
      </c>
      <c r="AX659">
        <f t="shared" si="247"/>
        <v>4.1497111799926107E-5</v>
      </c>
      <c r="AY659">
        <f t="shared" si="248"/>
        <v>7.9183622153264929E-4</v>
      </c>
      <c r="AZ659">
        <f t="shared" si="249"/>
        <v>17.657947740178081</v>
      </c>
      <c r="BA659">
        <f t="shared" si="250"/>
        <v>0.94215417446628236</v>
      </c>
    </row>
    <row r="660" spans="1:53" x14ac:dyDescent="0.25">
      <c r="A660" t="s">
        <v>15</v>
      </c>
      <c r="B660" t="s">
        <v>19</v>
      </c>
      <c r="C660">
        <v>20</v>
      </c>
      <c r="G660">
        <f t="shared" si="252"/>
        <v>405.35416666666424</v>
      </c>
      <c r="H660" s="7">
        <v>45120.354166666664</v>
      </c>
      <c r="AF660">
        <v>85.4</v>
      </c>
      <c r="AG660">
        <v>140.1</v>
      </c>
      <c r="AL660">
        <v>232.96</v>
      </c>
      <c r="AM660">
        <v>232.92500000000001</v>
      </c>
      <c r="AN660">
        <f t="shared" si="251"/>
        <v>1.999999999998181E-2</v>
      </c>
      <c r="AO660">
        <f t="shared" si="192"/>
        <v>3.4999999999996589E-2</v>
      </c>
      <c r="AP660">
        <v>23.5</v>
      </c>
      <c r="AQ660">
        <v>1010</v>
      </c>
      <c r="AR660">
        <v>22</v>
      </c>
      <c r="AS660">
        <v>34</v>
      </c>
      <c r="AT660">
        <f t="shared" si="231"/>
        <v>5.3137007027131622</v>
      </c>
      <c r="AU660">
        <f t="shared" si="245"/>
        <v>164.6</v>
      </c>
      <c r="AV660">
        <v>1010</v>
      </c>
      <c r="AW660">
        <f t="shared" si="246"/>
        <v>1154.1980558930741</v>
      </c>
      <c r="AX660">
        <f t="shared" si="247"/>
        <v>3.8997396413969236E-5</v>
      </c>
      <c r="AY660">
        <f t="shared" si="248"/>
        <v>1.4503643057135452E-3</v>
      </c>
      <c r="AZ660">
        <f t="shared" si="249"/>
        <v>32.343124017412059</v>
      </c>
      <c r="BA660">
        <f t="shared" si="250"/>
        <v>0.41712105765419877</v>
      </c>
    </row>
    <row r="661" spans="1:53" x14ac:dyDescent="0.25">
      <c r="A661" t="s">
        <v>0</v>
      </c>
      <c r="B661" t="s">
        <v>18</v>
      </c>
      <c r="C661">
        <v>10</v>
      </c>
      <c r="G661">
        <f t="shared" si="252"/>
        <v>416.35416666666424</v>
      </c>
      <c r="H661" s="7">
        <v>45131.354166666664</v>
      </c>
      <c r="AF661">
        <v>172.77</v>
      </c>
      <c r="AG661">
        <v>139.16999999999999</v>
      </c>
      <c r="AL661">
        <v>317.35000000000002</v>
      </c>
      <c r="AM661">
        <v>317.08999999999997</v>
      </c>
      <c r="AN661">
        <f t="shared" si="251"/>
        <v>2.9999999999972715E-2</v>
      </c>
      <c r="AO661">
        <f t="shared" si="192"/>
        <v>0.26000000000004775</v>
      </c>
      <c r="AP661">
        <f>60+55+39</f>
        <v>154</v>
      </c>
      <c r="AQ661">
        <v>1000</v>
      </c>
      <c r="AR661">
        <v>22</v>
      </c>
      <c r="AS661">
        <v>34</v>
      </c>
      <c r="AT661">
        <f t="shared" ref="AT661:AT676" si="253">0.61094*EXP(17.625*AS661/(243.04+AS661))</f>
        <v>5.3137007027131622</v>
      </c>
      <c r="AU661">
        <f t="shared" ref="AU661:AU676" si="254">250-AF661</f>
        <v>77.22999999999999</v>
      </c>
      <c r="AV661">
        <v>1010</v>
      </c>
      <c r="AW661">
        <f t="shared" ref="AW661:AW676" si="255">AP661/AU661*AV661+AV661</f>
        <v>3023.9842030299105</v>
      </c>
      <c r="AX661">
        <f t="shared" ref="AX661:AX676" si="256">18.02*(AT661/(AW661/10-AT661)*1/22300)</f>
        <v>1.4453289370243918E-5</v>
      </c>
      <c r="AY661">
        <f t="shared" ref="AY661:AY676" si="257">(AL661-AM661)/AP661-AX661</f>
        <v>1.6738583989417545E-3</v>
      </c>
      <c r="AZ661">
        <f t="shared" ref="AZ661:AZ676" si="258">AY661*22300</f>
        <v>37.327042296401125</v>
      </c>
      <c r="BA661">
        <f t="shared" ref="BA661:BA676" si="259">(44.01-AZ661)/(44.01-16.04)</f>
        <v>0.23893306055054964</v>
      </c>
    </row>
    <row r="662" spans="1:53" x14ac:dyDescent="0.25">
      <c r="A662" t="s">
        <v>1</v>
      </c>
      <c r="B662" t="s">
        <v>18</v>
      </c>
      <c r="C662">
        <v>10</v>
      </c>
      <c r="G662">
        <f t="shared" si="252"/>
        <v>416.35416666666424</v>
      </c>
      <c r="H662" s="7">
        <v>45131.354166666664</v>
      </c>
      <c r="AF662">
        <v>173.93</v>
      </c>
      <c r="AG662">
        <v>141.25</v>
      </c>
      <c r="AL662">
        <v>319.62</v>
      </c>
      <c r="AM662">
        <v>319.33499999999998</v>
      </c>
      <c r="AN662">
        <f t="shared" si="251"/>
        <v>1.999999999998181E-2</v>
      </c>
      <c r="AO662">
        <f t="shared" si="192"/>
        <v>0.28500000000002501</v>
      </c>
      <c r="AP662">
        <f>58+57.5+51.5</f>
        <v>167</v>
      </c>
      <c r="AQ662">
        <v>1000</v>
      </c>
      <c r="AR662">
        <v>22</v>
      </c>
      <c r="AS662">
        <v>34</v>
      </c>
      <c r="AT662">
        <f t="shared" si="253"/>
        <v>5.3137007027131622</v>
      </c>
      <c r="AU662">
        <f t="shared" si="254"/>
        <v>76.069999999999993</v>
      </c>
      <c r="AV662">
        <v>1010</v>
      </c>
      <c r="AW662">
        <f t="shared" si="255"/>
        <v>3227.2998553963457</v>
      </c>
      <c r="AX662">
        <f t="shared" si="256"/>
        <v>1.3527508275344596E-5</v>
      </c>
      <c r="AY662">
        <f t="shared" si="257"/>
        <v>1.6930593180721108E-3</v>
      </c>
      <c r="AZ662">
        <f t="shared" si="258"/>
        <v>37.755222793008073</v>
      </c>
      <c r="BA662">
        <f t="shared" si="259"/>
        <v>0.22362449792606096</v>
      </c>
    </row>
    <row r="663" spans="1:53" x14ac:dyDescent="0.25">
      <c r="A663" t="s">
        <v>2</v>
      </c>
      <c r="B663" t="s">
        <v>18</v>
      </c>
      <c r="C663">
        <v>10</v>
      </c>
      <c r="G663">
        <f t="shared" si="252"/>
        <v>416.35416666666424</v>
      </c>
      <c r="H663" s="7">
        <v>45131.354166666664</v>
      </c>
      <c r="AF663">
        <v>162.82000000000002</v>
      </c>
      <c r="AG663">
        <v>140.66</v>
      </c>
      <c r="AL663">
        <v>309.3</v>
      </c>
      <c r="AM663">
        <v>309.2</v>
      </c>
      <c r="AN663">
        <f t="shared" si="251"/>
        <v>-9.9999999999909051E-3</v>
      </c>
      <c r="AO663">
        <f t="shared" si="192"/>
        <v>0.10000000000002274</v>
      </c>
      <c r="AP663">
        <f>61+23.5</f>
        <v>84.5</v>
      </c>
      <c r="AQ663">
        <v>1000</v>
      </c>
      <c r="AR663">
        <v>22</v>
      </c>
      <c r="AS663">
        <v>34</v>
      </c>
      <c r="AT663">
        <f t="shared" si="253"/>
        <v>5.3137007027131622</v>
      </c>
      <c r="AU663">
        <f t="shared" si="254"/>
        <v>87.179999999999978</v>
      </c>
      <c r="AV663">
        <v>1010</v>
      </c>
      <c r="AW663">
        <f t="shared" si="255"/>
        <v>1988.951594402386</v>
      </c>
      <c r="AX663">
        <f t="shared" si="256"/>
        <v>2.2181108913341582E-5</v>
      </c>
      <c r="AY663">
        <f t="shared" si="257"/>
        <v>1.1612508437496495E-3</v>
      </c>
      <c r="AZ663">
        <f t="shared" si="258"/>
        <v>25.895893815617185</v>
      </c>
      <c r="BA663">
        <f t="shared" si="259"/>
        <v>0.64762624899473764</v>
      </c>
    </row>
    <row r="664" spans="1:53" x14ac:dyDescent="0.25">
      <c r="A664" t="s">
        <v>3</v>
      </c>
      <c r="B664" t="s">
        <v>18</v>
      </c>
      <c r="C664">
        <v>10</v>
      </c>
      <c r="G664">
        <f t="shared" si="252"/>
        <v>416.35416666666424</v>
      </c>
      <c r="H664" s="7">
        <v>45131.354166666664</v>
      </c>
      <c r="AF664">
        <v>187.81</v>
      </c>
      <c r="AG664">
        <v>140</v>
      </c>
      <c r="AL664">
        <v>333.47</v>
      </c>
      <c r="AM664">
        <v>333.07</v>
      </c>
      <c r="AN664">
        <f t="shared" si="251"/>
        <v>-3.0000000000029559E-2</v>
      </c>
      <c r="AO664">
        <f t="shared" si="192"/>
        <v>0.40000000000003411</v>
      </c>
      <c r="AP664">
        <f>56+59+59.5+62.5+52</f>
        <v>289</v>
      </c>
      <c r="AQ664">
        <v>1000</v>
      </c>
      <c r="AR664">
        <v>22</v>
      </c>
      <c r="AS664">
        <v>34</v>
      </c>
      <c r="AT664">
        <f t="shared" si="253"/>
        <v>5.3137007027131622</v>
      </c>
      <c r="AU664">
        <f t="shared" si="254"/>
        <v>62.19</v>
      </c>
      <c r="AV664">
        <v>1010</v>
      </c>
      <c r="AW664">
        <f t="shared" si="255"/>
        <v>5703.5198584981508</v>
      </c>
      <c r="AX664">
        <f t="shared" si="256"/>
        <v>7.5992220929644284E-6</v>
      </c>
      <c r="AY664">
        <f t="shared" si="257"/>
        <v>1.3764838228898524E-3</v>
      </c>
      <c r="AZ664">
        <f t="shared" si="258"/>
        <v>30.695589250443707</v>
      </c>
      <c r="BA664">
        <f t="shared" si="259"/>
        <v>0.47602469608710374</v>
      </c>
    </row>
    <row r="665" spans="1:53" x14ac:dyDescent="0.25">
      <c r="A665" t="s">
        <v>4</v>
      </c>
      <c r="B665" t="s">
        <v>18</v>
      </c>
      <c r="C665">
        <v>20</v>
      </c>
      <c r="G665">
        <f t="shared" si="252"/>
        <v>416.35416666666424</v>
      </c>
      <c r="H665" s="7">
        <v>45131.354166666664</v>
      </c>
      <c r="AF665">
        <v>181.58</v>
      </c>
      <c r="AG665">
        <v>139.4</v>
      </c>
      <c r="AL665">
        <v>326.98</v>
      </c>
      <c r="AM665">
        <v>326.88</v>
      </c>
      <c r="AN665">
        <f t="shared" si="251"/>
        <v>-9.9999999999909051E-3</v>
      </c>
      <c r="AO665">
        <f t="shared" si="192"/>
        <v>0.10000000000002274</v>
      </c>
      <c r="AP665">
        <v>47.5</v>
      </c>
      <c r="AQ665">
        <v>1000</v>
      </c>
      <c r="AR665">
        <v>22</v>
      </c>
      <c r="AS665">
        <v>34</v>
      </c>
      <c r="AT665">
        <f t="shared" si="253"/>
        <v>5.3137007027131622</v>
      </c>
      <c r="AU665">
        <f t="shared" si="254"/>
        <v>68.419999999999987</v>
      </c>
      <c r="AV665">
        <v>1010</v>
      </c>
      <c r="AW665">
        <f t="shared" si="255"/>
        <v>1711.1838643671442</v>
      </c>
      <c r="AX665">
        <f t="shared" si="256"/>
        <v>2.5897045073558251E-5</v>
      </c>
      <c r="AY665">
        <f t="shared" si="257"/>
        <v>2.0793661128216574E-3</v>
      </c>
      <c r="AZ665">
        <f t="shared" si="258"/>
        <v>46.36986431592296</v>
      </c>
      <c r="BA665">
        <f t="shared" si="259"/>
        <v>-8.4371266211046209E-2</v>
      </c>
    </row>
    <row r="666" spans="1:53" x14ac:dyDescent="0.25">
      <c r="A666" t="s">
        <v>5</v>
      </c>
      <c r="B666" t="s">
        <v>18</v>
      </c>
      <c r="C666">
        <v>20</v>
      </c>
      <c r="G666">
        <f t="shared" si="252"/>
        <v>416.35416666666424</v>
      </c>
      <c r="H666" s="7">
        <v>45131.354166666664</v>
      </c>
      <c r="AF666">
        <v>201.8</v>
      </c>
      <c r="AG666">
        <v>139.81</v>
      </c>
      <c r="AL666">
        <v>347.82</v>
      </c>
      <c r="AM666">
        <v>347.65</v>
      </c>
      <c r="AN666">
        <f t="shared" si="251"/>
        <v>-9.9999999999909051E-3</v>
      </c>
      <c r="AO666">
        <f t="shared" si="192"/>
        <v>0.17000000000001592</v>
      </c>
      <c r="AP666">
        <f>54+24</f>
        <v>78</v>
      </c>
      <c r="AQ666">
        <v>1000</v>
      </c>
      <c r="AR666">
        <v>22</v>
      </c>
      <c r="AS666">
        <v>34</v>
      </c>
      <c r="AT666">
        <f t="shared" si="253"/>
        <v>5.3137007027131622</v>
      </c>
      <c r="AU666">
        <f t="shared" si="254"/>
        <v>48.199999999999989</v>
      </c>
      <c r="AV666">
        <v>1010</v>
      </c>
      <c r="AW666">
        <f t="shared" si="255"/>
        <v>2644.4398340248968</v>
      </c>
      <c r="AX666">
        <f t="shared" si="256"/>
        <v>1.6570241714417327E-5</v>
      </c>
      <c r="AY666">
        <f t="shared" si="257"/>
        <v>2.1629169377729665E-3</v>
      </c>
      <c r="AZ666">
        <f t="shared" si="258"/>
        <v>48.233047712337154</v>
      </c>
      <c r="BA666">
        <f t="shared" si="259"/>
        <v>-0.15098490212145713</v>
      </c>
    </row>
    <row r="667" spans="1:53" x14ac:dyDescent="0.25">
      <c r="A667" t="s">
        <v>6</v>
      </c>
      <c r="B667" t="s">
        <v>18</v>
      </c>
      <c r="C667">
        <v>20</v>
      </c>
      <c r="G667">
        <f t="shared" si="252"/>
        <v>416.35416666666424</v>
      </c>
      <c r="H667" s="7">
        <v>45131.354166666664</v>
      </c>
      <c r="AF667">
        <v>205.13</v>
      </c>
      <c r="AG667">
        <v>139.01</v>
      </c>
      <c r="AL667">
        <v>350.17500000000001</v>
      </c>
      <c r="AM667">
        <v>350.01499999999999</v>
      </c>
      <c r="AN667">
        <f t="shared" si="251"/>
        <v>-1.4999999999986358E-2</v>
      </c>
      <c r="AO667">
        <f t="shared" si="192"/>
        <v>0.16000000000002501</v>
      </c>
      <c r="AP667">
        <f>48.5+8</f>
        <v>56.5</v>
      </c>
      <c r="AQ667">
        <v>1000</v>
      </c>
      <c r="AR667">
        <v>22</v>
      </c>
      <c r="AS667">
        <v>34</v>
      </c>
      <c r="AT667">
        <f t="shared" si="253"/>
        <v>5.3137007027131622</v>
      </c>
      <c r="AU667">
        <f t="shared" si="254"/>
        <v>44.870000000000005</v>
      </c>
      <c r="AV667">
        <v>1010</v>
      </c>
      <c r="AW667">
        <f t="shared" si="255"/>
        <v>2281.7851571205701</v>
      </c>
      <c r="AX667">
        <f t="shared" si="256"/>
        <v>1.9266618733336469E-5</v>
      </c>
      <c r="AY667">
        <f t="shared" si="257"/>
        <v>2.8125917883467526E-3</v>
      </c>
      <c r="AZ667">
        <f t="shared" si="258"/>
        <v>62.720796880132582</v>
      </c>
      <c r="BA667">
        <f t="shared" si="259"/>
        <v>-0.66895948802762195</v>
      </c>
    </row>
    <row r="668" spans="1:53" x14ac:dyDescent="0.25">
      <c r="A668" t="s">
        <v>7</v>
      </c>
      <c r="B668" t="s">
        <v>18</v>
      </c>
      <c r="C668">
        <v>20</v>
      </c>
      <c r="G668">
        <f t="shared" si="252"/>
        <v>416.35416666666424</v>
      </c>
      <c r="H668" s="7">
        <v>45131.354166666664</v>
      </c>
      <c r="AF668">
        <v>177.85000000000002</v>
      </c>
      <c r="AG668">
        <v>139.94999999999999</v>
      </c>
      <c r="AL668">
        <v>324.3</v>
      </c>
      <c r="AM668">
        <v>324.02999999999997</v>
      </c>
      <c r="AN668">
        <f t="shared" si="251"/>
        <v>-4.9999999999954525E-3</v>
      </c>
      <c r="AO668">
        <f t="shared" si="192"/>
        <v>0.27000000000003865</v>
      </c>
      <c r="AP668">
        <f>47.5+58+48.5</f>
        <v>154</v>
      </c>
      <c r="AQ668">
        <v>1000</v>
      </c>
      <c r="AR668">
        <v>22</v>
      </c>
      <c r="AS668">
        <v>34</v>
      </c>
      <c r="AT668">
        <f t="shared" si="253"/>
        <v>5.3137007027131622</v>
      </c>
      <c r="AU668">
        <f t="shared" si="254"/>
        <v>72.149999999999977</v>
      </c>
      <c r="AV668">
        <v>1010</v>
      </c>
      <c r="AW668">
        <f t="shared" si="255"/>
        <v>3165.7865557865566</v>
      </c>
      <c r="AX668">
        <f t="shared" si="256"/>
        <v>1.3794843758019417E-5</v>
      </c>
      <c r="AY668">
        <f t="shared" si="257"/>
        <v>1.7394519094889849E-3</v>
      </c>
      <c r="AZ668">
        <f t="shared" si="258"/>
        <v>38.789777581604362</v>
      </c>
      <c r="BA668">
        <f t="shared" si="259"/>
        <v>0.18663648260263269</v>
      </c>
    </row>
    <row r="669" spans="1:53" x14ac:dyDescent="0.25">
      <c r="A669" t="s">
        <v>8</v>
      </c>
      <c r="B669" t="s">
        <v>19</v>
      </c>
      <c r="C669">
        <v>10</v>
      </c>
      <c r="G669">
        <f t="shared" si="252"/>
        <v>416.35416666666424</v>
      </c>
      <c r="H669" s="7">
        <v>45131.354166666664</v>
      </c>
      <c r="AF669">
        <v>142.11999999999998</v>
      </c>
      <c r="AG669">
        <v>139.71</v>
      </c>
      <c r="AL669">
        <v>286.49</v>
      </c>
      <c r="AM669">
        <v>286.2</v>
      </c>
      <c r="AN669">
        <f t="shared" si="251"/>
        <v>9.9999999999909051E-3</v>
      </c>
      <c r="AO669">
        <f t="shared" si="192"/>
        <v>0.29000000000002046</v>
      </c>
      <c r="AP669">
        <f>58+57+52</f>
        <v>167</v>
      </c>
      <c r="AQ669">
        <v>1000</v>
      </c>
      <c r="AR669">
        <v>22</v>
      </c>
      <c r="AS669">
        <v>34</v>
      </c>
      <c r="AT669">
        <f t="shared" si="253"/>
        <v>5.3137007027131622</v>
      </c>
      <c r="AU669">
        <f t="shared" si="254"/>
        <v>107.88000000000002</v>
      </c>
      <c r="AV669">
        <v>1010</v>
      </c>
      <c r="AW669">
        <f t="shared" si="255"/>
        <v>2573.4964775676672</v>
      </c>
      <c r="AX669">
        <f t="shared" si="256"/>
        <v>1.7036662706449959E-5</v>
      </c>
      <c r="AY669">
        <f t="shared" si="257"/>
        <v>1.719490283401457E-3</v>
      </c>
      <c r="AZ669">
        <f t="shared" si="258"/>
        <v>38.344633319852491</v>
      </c>
      <c r="BA669">
        <f t="shared" si="259"/>
        <v>0.20255154380219903</v>
      </c>
    </row>
    <row r="670" spans="1:53" x14ac:dyDescent="0.25">
      <c r="A670" t="s">
        <v>9</v>
      </c>
      <c r="B670" t="s">
        <v>19</v>
      </c>
      <c r="C670">
        <v>10</v>
      </c>
      <c r="G670">
        <f t="shared" si="252"/>
        <v>416.35416666666424</v>
      </c>
      <c r="H670" s="7">
        <v>45131.354166666664</v>
      </c>
      <c r="AF670">
        <v>136.42000000000002</v>
      </c>
      <c r="AG670">
        <v>139.75</v>
      </c>
      <c r="AL670">
        <v>281.20999999999998</v>
      </c>
      <c r="AM670">
        <v>281</v>
      </c>
      <c r="AN670">
        <f t="shared" si="251"/>
        <v>1.0000000000047748E-2</v>
      </c>
      <c r="AO670">
        <f t="shared" si="192"/>
        <v>0.20999999999997954</v>
      </c>
      <c r="AP670">
        <f>59.5+57.5+13</f>
        <v>130</v>
      </c>
      <c r="AQ670">
        <v>1000</v>
      </c>
      <c r="AR670">
        <v>22</v>
      </c>
      <c r="AS670">
        <v>34</v>
      </c>
      <c r="AT670">
        <f t="shared" si="253"/>
        <v>5.3137007027131622</v>
      </c>
      <c r="AU670">
        <f t="shared" si="254"/>
        <v>113.57999999999998</v>
      </c>
      <c r="AV670">
        <v>1010</v>
      </c>
      <c r="AW670">
        <f t="shared" si="255"/>
        <v>2166.0133826377887</v>
      </c>
      <c r="AX670">
        <f t="shared" si="256"/>
        <v>2.0322303138154952E-5</v>
      </c>
      <c r="AY670">
        <f t="shared" si="257"/>
        <v>1.595062312246303E-3</v>
      </c>
      <c r="AZ670">
        <f t="shared" si="258"/>
        <v>35.569889563092559</v>
      </c>
      <c r="BA670">
        <f t="shared" si="259"/>
        <v>0.3017558254167837</v>
      </c>
    </row>
    <row r="671" spans="1:53" x14ac:dyDescent="0.25">
      <c r="A671" t="s">
        <v>10</v>
      </c>
      <c r="B671" t="s">
        <v>19</v>
      </c>
      <c r="C671">
        <v>10</v>
      </c>
      <c r="G671">
        <f t="shared" si="252"/>
        <v>416.35416666666424</v>
      </c>
      <c r="H671" s="7">
        <v>45131.354166666664</v>
      </c>
      <c r="AF671">
        <v>117.85000000000002</v>
      </c>
      <c r="AG671">
        <v>140.44999999999999</v>
      </c>
      <c r="AL671">
        <v>263.41500000000002</v>
      </c>
      <c r="AM671">
        <v>263.27</v>
      </c>
      <c r="AN671">
        <f t="shared" si="251"/>
        <v>0</v>
      </c>
      <c r="AO671">
        <f t="shared" si="192"/>
        <v>0.14500000000003865</v>
      </c>
      <c r="AP671">
        <f>65+36</f>
        <v>101</v>
      </c>
      <c r="AQ671">
        <v>1000</v>
      </c>
      <c r="AR671">
        <v>22</v>
      </c>
      <c r="AS671">
        <v>34</v>
      </c>
      <c r="AT671">
        <f t="shared" si="253"/>
        <v>5.3137007027131622</v>
      </c>
      <c r="AU671">
        <f t="shared" si="254"/>
        <v>132.14999999999998</v>
      </c>
      <c r="AV671">
        <v>1010</v>
      </c>
      <c r="AW671">
        <f t="shared" si="255"/>
        <v>1781.9258418463869</v>
      </c>
      <c r="AX671">
        <f t="shared" si="256"/>
        <v>2.4837338912531285E-5</v>
      </c>
      <c r="AY671">
        <f t="shared" si="257"/>
        <v>1.4108062254442871E-3</v>
      </c>
      <c r="AZ671">
        <f t="shared" si="258"/>
        <v>31.460978827407601</v>
      </c>
      <c r="BA671">
        <f t="shared" si="259"/>
        <v>0.44866003477269922</v>
      </c>
    </row>
    <row r="672" spans="1:53" x14ac:dyDescent="0.25">
      <c r="A672" t="s">
        <v>11</v>
      </c>
      <c r="B672" t="s">
        <v>19</v>
      </c>
      <c r="C672">
        <v>10</v>
      </c>
      <c r="G672">
        <f t="shared" si="252"/>
        <v>416.35416666666424</v>
      </c>
      <c r="H672" s="7">
        <v>45131.354166666664</v>
      </c>
      <c r="AF672">
        <v>107.53</v>
      </c>
      <c r="AG672">
        <v>140</v>
      </c>
      <c r="AL672">
        <v>253.76</v>
      </c>
      <c r="AM672">
        <v>253.5</v>
      </c>
      <c r="AN672">
        <f t="shared" si="251"/>
        <v>1.0000000000019327E-2</v>
      </c>
      <c r="AO672">
        <f t="shared" si="192"/>
        <v>0.25999999999999091</v>
      </c>
      <c r="AP672">
        <f>59+55.5+48+12</f>
        <v>174.5</v>
      </c>
      <c r="AQ672">
        <v>1000</v>
      </c>
      <c r="AR672">
        <v>22</v>
      </c>
      <c r="AS672">
        <v>34</v>
      </c>
      <c r="AT672">
        <f t="shared" si="253"/>
        <v>5.3137007027131622</v>
      </c>
      <c r="AU672">
        <f t="shared" si="254"/>
        <v>142.47</v>
      </c>
      <c r="AV672">
        <v>1010</v>
      </c>
      <c r="AW672">
        <f t="shared" si="255"/>
        <v>2247.0674527970805</v>
      </c>
      <c r="AX672">
        <f t="shared" si="256"/>
        <v>1.9571502041641457E-5</v>
      </c>
      <c r="AY672">
        <f t="shared" si="257"/>
        <v>1.4703998446631776E-3</v>
      </c>
      <c r="AZ672">
        <f t="shared" si="258"/>
        <v>32.789916535988858</v>
      </c>
      <c r="BA672">
        <f t="shared" si="259"/>
        <v>0.40114706700075581</v>
      </c>
    </row>
    <row r="673" spans="1:53" x14ac:dyDescent="0.25">
      <c r="A673" t="s">
        <v>12</v>
      </c>
      <c r="B673" t="s">
        <v>19</v>
      </c>
      <c r="C673">
        <v>20</v>
      </c>
      <c r="G673">
        <f t="shared" si="252"/>
        <v>416.35416666666424</v>
      </c>
      <c r="H673" s="7">
        <v>45131.354166666664</v>
      </c>
      <c r="AF673">
        <v>109.43</v>
      </c>
      <c r="AG673">
        <v>140.19999999999999</v>
      </c>
      <c r="AL673">
        <v>256.98</v>
      </c>
      <c r="AM673">
        <v>256.87</v>
      </c>
      <c r="AN673">
        <f t="shared" si="251"/>
        <v>-9.9999999999909051E-3</v>
      </c>
      <c r="AO673">
        <f t="shared" si="192"/>
        <v>0.11000000000001364</v>
      </c>
      <c r="AP673">
        <f>44</f>
        <v>44</v>
      </c>
      <c r="AQ673">
        <v>1000</v>
      </c>
      <c r="AR673">
        <v>22</v>
      </c>
      <c r="AS673">
        <v>34</v>
      </c>
      <c r="AT673">
        <f t="shared" si="253"/>
        <v>5.3137007027131622</v>
      </c>
      <c r="AU673">
        <f t="shared" si="254"/>
        <v>140.57</v>
      </c>
      <c r="AV673">
        <v>1010</v>
      </c>
      <c r="AW673">
        <f t="shared" si="255"/>
        <v>1326.1414242014655</v>
      </c>
      <c r="AX673">
        <f t="shared" si="256"/>
        <v>3.3730059078597541E-5</v>
      </c>
      <c r="AY673">
        <f t="shared" si="257"/>
        <v>2.4662699409217126E-3</v>
      </c>
      <c r="AZ673">
        <f t="shared" si="258"/>
        <v>54.997819682554194</v>
      </c>
      <c r="BA673">
        <f t="shared" si="259"/>
        <v>-0.39284303477133348</v>
      </c>
    </row>
    <row r="674" spans="1:53" x14ac:dyDescent="0.25">
      <c r="A674" t="s">
        <v>13</v>
      </c>
      <c r="B674" t="s">
        <v>19</v>
      </c>
      <c r="C674">
        <v>20</v>
      </c>
      <c r="G674">
        <f t="shared" si="252"/>
        <v>416.35416666666424</v>
      </c>
      <c r="H674" s="7">
        <v>45131.354166666664</v>
      </c>
      <c r="AF674">
        <v>129.52999999999997</v>
      </c>
      <c r="AG674">
        <v>140.24</v>
      </c>
      <c r="AL674">
        <v>277.14999999999998</v>
      </c>
      <c r="AM674">
        <v>277.05</v>
      </c>
      <c r="AN674">
        <f t="shared" si="251"/>
        <v>-2.9999999999972715E-2</v>
      </c>
      <c r="AO674">
        <f t="shared" si="192"/>
        <v>9.9999999999965894E-2</v>
      </c>
      <c r="AP674">
        <v>40</v>
      </c>
      <c r="AQ674">
        <v>1000</v>
      </c>
      <c r="AR674">
        <v>22</v>
      </c>
      <c r="AS674">
        <v>34</v>
      </c>
      <c r="AT674">
        <f t="shared" si="253"/>
        <v>5.3137007027131622</v>
      </c>
      <c r="AU674">
        <f t="shared" si="254"/>
        <v>120.47000000000003</v>
      </c>
      <c r="AV674">
        <v>1010</v>
      </c>
      <c r="AW674">
        <f t="shared" si="255"/>
        <v>1345.3531999667966</v>
      </c>
      <c r="AX674">
        <f t="shared" si="256"/>
        <v>3.3228583911276489E-5</v>
      </c>
      <c r="AY674">
        <f t="shared" si="257"/>
        <v>2.4667714160878707E-3</v>
      </c>
      <c r="AZ674">
        <f t="shared" si="258"/>
        <v>55.009002578759521</v>
      </c>
      <c r="BA674">
        <f t="shared" si="259"/>
        <v>-0.39324285229744455</v>
      </c>
    </row>
    <row r="675" spans="1:53" x14ac:dyDescent="0.25">
      <c r="A675" t="s">
        <v>14</v>
      </c>
      <c r="B675" t="s">
        <v>19</v>
      </c>
      <c r="C675">
        <v>20</v>
      </c>
      <c r="G675">
        <f t="shared" si="252"/>
        <v>416.35416666666424</v>
      </c>
      <c r="H675" s="7">
        <v>45131.354166666664</v>
      </c>
      <c r="AF675">
        <v>94.359999999999985</v>
      </c>
      <c r="AG675">
        <v>138.74</v>
      </c>
      <c r="AL675">
        <v>240.64</v>
      </c>
      <c r="AM675">
        <v>240.58</v>
      </c>
      <c r="AN675">
        <f t="shared" si="251"/>
        <v>-1.999999999998181E-2</v>
      </c>
      <c r="AO675">
        <f t="shared" si="192"/>
        <v>5.9999999999973852E-2</v>
      </c>
      <c r="AP675">
        <v>26.5</v>
      </c>
      <c r="AQ675">
        <v>1000</v>
      </c>
      <c r="AR675">
        <v>22</v>
      </c>
      <c r="AS675">
        <v>34</v>
      </c>
      <c r="AT675">
        <f t="shared" si="253"/>
        <v>5.3137007027131622</v>
      </c>
      <c r="AU675">
        <f t="shared" si="254"/>
        <v>155.64000000000001</v>
      </c>
      <c r="AV675">
        <v>1010</v>
      </c>
      <c r="AW675">
        <f t="shared" si="255"/>
        <v>1181.9673605756875</v>
      </c>
      <c r="AX675">
        <f t="shared" si="256"/>
        <v>3.8038057768047897E-5</v>
      </c>
      <c r="AY675">
        <f t="shared" si="257"/>
        <v>2.226112885627192E-3</v>
      </c>
      <c r="AZ675">
        <f t="shared" si="258"/>
        <v>49.642317349486383</v>
      </c>
      <c r="BA675">
        <f t="shared" si="259"/>
        <v>-0.20136994456511925</v>
      </c>
    </row>
    <row r="676" spans="1:53" x14ac:dyDescent="0.25">
      <c r="A676" t="s">
        <v>15</v>
      </c>
      <c r="B676" t="s">
        <v>19</v>
      </c>
      <c r="C676">
        <v>20</v>
      </c>
      <c r="G676">
        <f t="shared" si="252"/>
        <v>416.35416666666424</v>
      </c>
      <c r="H676" s="7">
        <v>45131.354166666664</v>
      </c>
      <c r="AF676">
        <v>85.4</v>
      </c>
      <c r="AG676">
        <v>140.1</v>
      </c>
      <c r="AL676">
        <v>232.93</v>
      </c>
      <c r="AM676">
        <v>232.84</v>
      </c>
      <c r="AN676">
        <f t="shared" si="251"/>
        <v>-4.9999999999954525E-3</v>
      </c>
      <c r="AO676">
        <f t="shared" si="192"/>
        <v>9.0000000000003411E-2</v>
      </c>
      <c r="AP676">
        <v>42.5</v>
      </c>
      <c r="AQ676">
        <v>1000</v>
      </c>
      <c r="AR676">
        <v>22</v>
      </c>
      <c r="AS676">
        <v>34</v>
      </c>
      <c r="AT676">
        <f t="shared" si="253"/>
        <v>5.3137007027131622</v>
      </c>
      <c r="AU676">
        <f t="shared" si="254"/>
        <v>164.6</v>
      </c>
      <c r="AV676">
        <v>1010</v>
      </c>
      <c r="AW676">
        <f t="shared" si="255"/>
        <v>1270.7837181044958</v>
      </c>
      <c r="AX676">
        <f t="shared" si="256"/>
        <v>3.5263524147011619E-5</v>
      </c>
      <c r="AY676">
        <f t="shared" si="257"/>
        <v>2.0823835346765979E-3</v>
      </c>
      <c r="AZ676">
        <f t="shared" si="258"/>
        <v>46.43715282328813</v>
      </c>
      <c r="BA676">
        <f t="shared" si="259"/>
        <v>-8.6777004765396223E-2</v>
      </c>
    </row>
    <row r="677" spans="1:53" x14ac:dyDescent="0.25">
      <c r="A677" t="s">
        <v>0</v>
      </c>
      <c r="B677" t="s">
        <v>18</v>
      </c>
      <c r="C677">
        <v>10</v>
      </c>
      <c r="G677">
        <f t="shared" si="252"/>
        <v>427.35416666666424</v>
      </c>
      <c r="H677" s="7">
        <v>45142.354166666664</v>
      </c>
      <c r="AF677">
        <v>172.77</v>
      </c>
      <c r="AG677">
        <v>139.16999999999999</v>
      </c>
      <c r="AL677">
        <v>317.04000000000002</v>
      </c>
      <c r="AM677">
        <v>316.84500000000003</v>
      </c>
      <c r="AN677">
        <f t="shared" si="251"/>
        <v>4.9999999999954525E-2</v>
      </c>
      <c r="AO677">
        <f t="shared" si="192"/>
        <v>0.19499999999999318</v>
      </c>
      <c r="AP677">
        <f>63+52</f>
        <v>115</v>
      </c>
      <c r="AQ677">
        <v>1000</v>
      </c>
      <c r="AR677">
        <v>22</v>
      </c>
      <c r="AS677">
        <v>34</v>
      </c>
      <c r="AT677">
        <f t="shared" ref="AT677:AT692" si="260">0.61094*EXP(17.625*AS677/(243.04+AS677))</f>
        <v>5.3137007027131622</v>
      </c>
      <c r="AU677">
        <f t="shared" ref="AU677:AU692" si="261">250-AF677</f>
        <v>77.22999999999999</v>
      </c>
      <c r="AV677">
        <v>1010</v>
      </c>
      <c r="AW677">
        <f t="shared" ref="AW677:AW692" si="262">AP677/AU677*AV677+AV677</f>
        <v>2513.9492425223361</v>
      </c>
      <c r="AX677">
        <f t="shared" ref="AX677:AX692" si="263">18.02*(AT677/(AW677/10-AT677)*1/22300)</f>
        <v>1.7448919336165903E-5</v>
      </c>
      <c r="AY677">
        <f t="shared" ref="AY677:AY692" si="264">(AL677-AM677)/AP677-AX677</f>
        <v>1.6782032545768182E-3</v>
      </c>
      <c r="AZ677">
        <f t="shared" ref="AZ677:AZ692" si="265">AY677*22300</f>
        <v>37.423932577063049</v>
      </c>
      <c r="BA677">
        <f t="shared" ref="BA677:BA692" si="266">(44.01-AZ677)/(44.01-16.04)</f>
        <v>0.23546898187118162</v>
      </c>
    </row>
    <row r="678" spans="1:53" x14ac:dyDescent="0.25">
      <c r="A678" t="s">
        <v>1</v>
      </c>
      <c r="B678" t="s">
        <v>18</v>
      </c>
      <c r="C678">
        <v>10</v>
      </c>
      <c r="G678">
        <f t="shared" si="252"/>
        <v>427.35416666666424</v>
      </c>
      <c r="H678" s="7">
        <v>45142.354166666664</v>
      </c>
      <c r="AF678">
        <v>173.93</v>
      </c>
      <c r="AG678">
        <v>141.25</v>
      </c>
      <c r="AL678">
        <v>319.30500000000001</v>
      </c>
      <c r="AM678">
        <v>319.14</v>
      </c>
      <c r="AN678">
        <f t="shared" si="251"/>
        <v>2.9999999999972715E-2</v>
      </c>
      <c r="AO678">
        <f t="shared" si="192"/>
        <v>0.16500000000002046</v>
      </c>
      <c r="AP678">
        <f>53.5+45</f>
        <v>98.5</v>
      </c>
      <c r="AQ678">
        <v>1000</v>
      </c>
      <c r="AR678">
        <v>22</v>
      </c>
      <c r="AS678">
        <v>34</v>
      </c>
      <c r="AT678">
        <f t="shared" si="260"/>
        <v>5.3137007027131622</v>
      </c>
      <c r="AU678">
        <f t="shared" si="261"/>
        <v>76.069999999999993</v>
      </c>
      <c r="AV678">
        <v>1010</v>
      </c>
      <c r="AW678">
        <f t="shared" si="262"/>
        <v>2317.8085973445513</v>
      </c>
      <c r="AX678">
        <f t="shared" si="263"/>
        <v>1.8960150505790371E-5</v>
      </c>
      <c r="AY678">
        <f t="shared" si="264"/>
        <v>1.656166753047717E-3</v>
      </c>
      <c r="AZ678">
        <f t="shared" si="265"/>
        <v>36.932518592964087</v>
      </c>
      <c r="BA678">
        <f t="shared" si="266"/>
        <v>0.25303830557868828</v>
      </c>
    </row>
    <row r="679" spans="1:53" x14ac:dyDescent="0.25">
      <c r="A679" t="s">
        <v>2</v>
      </c>
      <c r="B679" t="s">
        <v>18</v>
      </c>
      <c r="C679">
        <v>10</v>
      </c>
      <c r="G679">
        <f t="shared" si="252"/>
        <v>427.35416666666424</v>
      </c>
      <c r="H679" s="7">
        <v>45142.354166666664</v>
      </c>
      <c r="AF679">
        <v>162.82000000000002</v>
      </c>
      <c r="AG679">
        <v>140.66</v>
      </c>
      <c r="AL679">
        <v>309.18</v>
      </c>
      <c r="AM679">
        <v>309.06</v>
      </c>
      <c r="AN679">
        <f t="shared" si="251"/>
        <v>1.999999999998181E-2</v>
      </c>
      <c r="AO679">
        <f t="shared" si="192"/>
        <v>0.12000000000000455</v>
      </c>
      <c r="AP679">
        <f>52+12</f>
        <v>64</v>
      </c>
      <c r="AQ679">
        <v>1000</v>
      </c>
      <c r="AR679">
        <v>22</v>
      </c>
      <c r="AS679">
        <v>34</v>
      </c>
      <c r="AT679">
        <f t="shared" si="260"/>
        <v>5.3137007027131622</v>
      </c>
      <c r="AU679">
        <f t="shared" si="261"/>
        <v>87.179999999999978</v>
      </c>
      <c r="AV679">
        <v>1010</v>
      </c>
      <c r="AW679">
        <f t="shared" si="262"/>
        <v>1751.4544620325764</v>
      </c>
      <c r="AX679">
        <f t="shared" si="263"/>
        <v>2.5282972904773122E-5</v>
      </c>
      <c r="AY679">
        <f t="shared" si="264"/>
        <v>1.8497170270952979E-3</v>
      </c>
      <c r="AZ679">
        <f t="shared" si="265"/>
        <v>41.248689704225143</v>
      </c>
      <c r="BA679">
        <f t="shared" si="266"/>
        <v>9.872400056399197E-2</v>
      </c>
    </row>
    <row r="680" spans="1:53" x14ac:dyDescent="0.25">
      <c r="A680" t="s">
        <v>3</v>
      </c>
      <c r="B680" t="s">
        <v>18</v>
      </c>
      <c r="C680">
        <v>10</v>
      </c>
      <c r="G680">
        <f t="shared" si="252"/>
        <v>427.35416666666424</v>
      </c>
      <c r="H680" s="7">
        <v>45142.354166666664</v>
      </c>
      <c r="AF680">
        <v>187.81</v>
      </c>
      <c r="AG680">
        <v>140</v>
      </c>
      <c r="AL680">
        <v>333.04</v>
      </c>
      <c r="AM680">
        <v>332.73</v>
      </c>
      <c r="AN680">
        <f t="shared" si="251"/>
        <v>2.9999999999972715E-2</v>
      </c>
      <c r="AO680">
        <f t="shared" si="192"/>
        <v>0.31000000000000227</v>
      </c>
      <c r="AP680">
        <f>57.5+55+56+50+14.5</f>
        <v>233</v>
      </c>
      <c r="AQ680">
        <v>1000</v>
      </c>
      <c r="AR680">
        <v>22</v>
      </c>
      <c r="AS680">
        <v>34</v>
      </c>
      <c r="AT680">
        <f t="shared" si="260"/>
        <v>5.3137007027131622</v>
      </c>
      <c r="AU680">
        <f t="shared" si="261"/>
        <v>62.19</v>
      </c>
      <c r="AV680">
        <v>1010</v>
      </c>
      <c r="AW680">
        <f t="shared" si="262"/>
        <v>4794.0488824569875</v>
      </c>
      <c r="AX680">
        <f t="shared" si="263"/>
        <v>9.0570158920561442E-6</v>
      </c>
      <c r="AY680">
        <f t="shared" si="264"/>
        <v>1.3214150871122454E-3</v>
      </c>
      <c r="AZ680">
        <f t="shared" si="265"/>
        <v>29.467556442603072</v>
      </c>
      <c r="BA680">
        <f t="shared" si="266"/>
        <v>0.51993005210571774</v>
      </c>
    </row>
    <row r="681" spans="1:53" x14ac:dyDescent="0.25">
      <c r="A681" t="s">
        <v>4</v>
      </c>
      <c r="B681" t="s">
        <v>18</v>
      </c>
      <c r="C681">
        <v>20</v>
      </c>
      <c r="G681">
        <f t="shared" si="252"/>
        <v>427.35416666666424</v>
      </c>
      <c r="H681" s="7">
        <v>45142.354166666664</v>
      </c>
      <c r="AF681">
        <v>181.58</v>
      </c>
      <c r="AG681">
        <v>139.4</v>
      </c>
      <c r="AL681">
        <v>326.85000000000002</v>
      </c>
      <c r="AM681">
        <v>326.76</v>
      </c>
      <c r="AN681">
        <f t="shared" si="251"/>
        <v>2.9999999999972715E-2</v>
      </c>
      <c r="AO681">
        <f t="shared" si="192"/>
        <v>9.0000000000031832E-2</v>
      </c>
      <c r="AP681">
        <f>36+7</f>
        <v>43</v>
      </c>
      <c r="AQ681">
        <v>1000</v>
      </c>
      <c r="AR681">
        <v>22</v>
      </c>
      <c r="AS681">
        <v>34</v>
      </c>
      <c r="AT681">
        <f t="shared" si="260"/>
        <v>5.3137007027131622</v>
      </c>
      <c r="AU681">
        <f t="shared" si="261"/>
        <v>68.419999999999987</v>
      </c>
      <c r="AV681">
        <v>1010</v>
      </c>
      <c r="AW681">
        <f t="shared" si="262"/>
        <v>1644.7559193218358</v>
      </c>
      <c r="AX681">
        <f t="shared" si="263"/>
        <v>2.6977886394111538E-5</v>
      </c>
      <c r="AY681">
        <f t="shared" si="264"/>
        <v>2.0660453694205825E-3</v>
      </c>
      <c r="AZ681">
        <f t="shared" si="265"/>
        <v>46.07281173807899</v>
      </c>
      <c r="BA681">
        <f t="shared" si="266"/>
        <v>-7.3750866574150586E-2</v>
      </c>
    </row>
    <row r="682" spans="1:53" x14ac:dyDescent="0.25">
      <c r="A682" t="s">
        <v>5</v>
      </c>
      <c r="B682" t="s">
        <v>18</v>
      </c>
      <c r="C682">
        <v>20</v>
      </c>
      <c r="G682">
        <f t="shared" si="252"/>
        <v>427.35416666666424</v>
      </c>
      <c r="H682" s="7">
        <v>45142.354166666664</v>
      </c>
      <c r="AF682">
        <v>201.8</v>
      </c>
      <c r="AG682">
        <v>139.81</v>
      </c>
      <c r="AL682">
        <v>347.61</v>
      </c>
      <c r="AM682">
        <v>347.47</v>
      </c>
      <c r="AN682">
        <f t="shared" si="251"/>
        <v>3.999999999996362E-2</v>
      </c>
      <c r="AO682">
        <f t="shared" si="192"/>
        <v>0.13999999999998636</v>
      </c>
      <c r="AP682">
        <f>55+11</f>
        <v>66</v>
      </c>
      <c r="AQ682">
        <v>1000</v>
      </c>
      <c r="AR682">
        <v>22</v>
      </c>
      <c r="AS682">
        <v>34</v>
      </c>
      <c r="AT682">
        <f t="shared" si="260"/>
        <v>5.3137007027131622</v>
      </c>
      <c r="AU682">
        <f t="shared" si="261"/>
        <v>48.199999999999989</v>
      </c>
      <c r="AV682">
        <v>1010</v>
      </c>
      <c r="AW682">
        <f t="shared" si="262"/>
        <v>2392.9875518672202</v>
      </c>
      <c r="AX682">
        <f t="shared" si="263"/>
        <v>1.8350964463647159E-5</v>
      </c>
      <c r="AY682">
        <f t="shared" si="264"/>
        <v>2.1028611567482673E-3</v>
      </c>
      <c r="AZ682">
        <f t="shared" si="265"/>
        <v>46.893803795486363</v>
      </c>
      <c r="BA682">
        <f t="shared" si="266"/>
        <v>-0.10310346068953755</v>
      </c>
    </row>
    <row r="683" spans="1:53" x14ac:dyDescent="0.25">
      <c r="A683" t="s">
        <v>6</v>
      </c>
      <c r="B683" t="s">
        <v>18</v>
      </c>
      <c r="C683">
        <v>20</v>
      </c>
      <c r="G683">
        <f t="shared" si="252"/>
        <v>427.35416666666424</v>
      </c>
      <c r="H683" s="7">
        <v>45142.354166666664</v>
      </c>
      <c r="AF683">
        <v>205.13</v>
      </c>
      <c r="AG683">
        <v>139.01</v>
      </c>
      <c r="AL683">
        <v>349.99</v>
      </c>
      <c r="AM683">
        <v>349.89</v>
      </c>
      <c r="AN683">
        <f t="shared" si="251"/>
        <v>2.4999999999977263E-2</v>
      </c>
      <c r="AO683">
        <f t="shared" si="192"/>
        <v>0.10000000000002274</v>
      </c>
      <c r="AP683">
        <v>47</v>
      </c>
      <c r="AQ683">
        <v>1000</v>
      </c>
      <c r="AR683">
        <v>22</v>
      </c>
      <c r="AS683">
        <v>34</v>
      </c>
      <c r="AT683">
        <f t="shared" si="260"/>
        <v>5.3137007027131622</v>
      </c>
      <c r="AU683">
        <f t="shared" si="261"/>
        <v>44.870000000000005</v>
      </c>
      <c r="AV683">
        <v>1010</v>
      </c>
      <c r="AW683">
        <f t="shared" si="262"/>
        <v>2067.9451749498548</v>
      </c>
      <c r="AX683">
        <f t="shared" si="263"/>
        <v>2.13114652214636E-5</v>
      </c>
      <c r="AY683">
        <f t="shared" si="264"/>
        <v>2.1063481092471049E-3</v>
      </c>
      <c r="AZ683">
        <f t="shared" si="265"/>
        <v>46.971562836210438</v>
      </c>
      <c r="BA683">
        <f t="shared" si="266"/>
        <v>-0.10588354795174974</v>
      </c>
    </row>
    <row r="684" spans="1:53" x14ac:dyDescent="0.25">
      <c r="A684" t="s">
        <v>7</v>
      </c>
      <c r="B684" t="s">
        <v>18</v>
      </c>
      <c r="C684">
        <v>20</v>
      </c>
      <c r="G684">
        <f t="shared" si="252"/>
        <v>427.35416666666424</v>
      </c>
      <c r="H684" s="7">
        <v>45142.354166666664</v>
      </c>
      <c r="AF684">
        <v>177.85000000000002</v>
      </c>
      <c r="AG684">
        <v>139.94999999999999</v>
      </c>
      <c r="AL684">
        <v>324.01</v>
      </c>
      <c r="AM684">
        <v>323.76</v>
      </c>
      <c r="AN684">
        <f t="shared" si="251"/>
        <v>1.999999999998181E-2</v>
      </c>
      <c r="AO684">
        <f t="shared" si="192"/>
        <v>0.25</v>
      </c>
      <c r="AP684">
        <f>61+58.5+24.5</f>
        <v>144</v>
      </c>
      <c r="AQ684">
        <v>1000</v>
      </c>
      <c r="AR684">
        <v>22</v>
      </c>
      <c r="AS684">
        <v>34</v>
      </c>
      <c r="AT684">
        <f t="shared" si="260"/>
        <v>5.3137007027131622</v>
      </c>
      <c r="AU684">
        <f t="shared" si="261"/>
        <v>72.149999999999977</v>
      </c>
      <c r="AV684">
        <v>1010</v>
      </c>
      <c r="AW684">
        <f t="shared" si="262"/>
        <v>3025.8004158004164</v>
      </c>
      <c r="AX684">
        <f t="shared" si="263"/>
        <v>1.4444458821634685E-5</v>
      </c>
      <c r="AY684">
        <f t="shared" si="264"/>
        <v>1.7216666522894763E-3</v>
      </c>
      <c r="AZ684">
        <f t="shared" si="265"/>
        <v>38.393166346055324</v>
      </c>
      <c r="BA684">
        <f t="shared" si="266"/>
        <v>0.20081636231478994</v>
      </c>
    </row>
    <row r="685" spans="1:53" x14ac:dyDescent="0.25">
      <c r="A685" t="s">
        <v>8</v>
      </c>
      <c r="B685" t="s">
        <v>19</v>
      </c>
      <c r="C685">
        <v>10</v>
      </c>
      <c r="G685">
        <f t="shared" si="252"/>
        <v>427.35416666666424</v>
      </c>
      <c r="H685" s="7">
        <v>45142.354166666664</v>
      </c>
      <c r="AF685">
        <v>142.11999999999998</v>
      </c>
      <c r="AG685">
        <v>139.71</v>
      </c>
      <c r="AL685">
        <v>286.17500000000001</v>
      </c>
      <c r="AM685">
        <v>285.97000000000003</v>
      </c>
      <c r="AN685">
        <f t="shared" si="251"/>
        <v>2.4999999999977263E-2</v>
      </c>
      <c r="AO685">
        <f t="shared" si="192"/>
        <v>0.20499999999998408</v>
      </c>
      <c r="AP685">
        <f>58+52</f>
        <v>110</v>
      </c>
      <c r="AQ685">
        <v>1000</v>
      </c>
      <c r="AR685">
        <v>22</v>
      </c>
      <c r="AS685">
        <v>34</v>
      </c>
      <c r="AT685">
        <f t="shared" si="260"/>
        <v>5.3137007027131622</v>
      </c>
      <c r="AU685">
        <f t="shared" si="261"/>
        <v>107.88000000000002</v>
      </c>
      <c r="AV685">
        <v>1010</v>
      </c>
      <c r="AW685">
        <f t="shared" si="262"/>
        <v>2039.8479792361882</v>
      </c>
      <c r="AX685">
        <f t="shared" si="263"/>
        <v>2.1612864074970035E-5</v>
      </c>
      <c r="AY685">
        <f t="shared" si="264"/>
        <v>1.8420234995612488E-3</v>
      </c>
      <c r="AZ685">
        <f t="shared" si="265"/>
        <v>41.07712404021585</v>
      </c>
      <c r="BA685">
        <f t="shared" si="266"/>
        <v>0.104857917761321</v>
      </c>
    </row>
    <row r="686" spans="1:53" x14ac:dyDescent="0.25">
      <c r="A686" t="s">
        <v>9</v>
      </c>
      <c r="B686" t="s">
        <v>19</v>
      </c>
      <c r="C686">
        <v>10</v>
      </c>
      <c r="G686">
        <f t="shared" si="252"/>
        <v>427.35416666666424</v>
      </c>
      <c r="H686" s="7">
        <v>45142.354166666664</v>
      </c>
      <c r="AF686">
        <v>136.42000000000002</v>
      </c>
      <c r="AG686">
        <v>139.75</v>
      </c>
      <c r="AL686">
        <v>280.91000000000003</v>
      </c>
      <c r="AM686">
        <v>280.69</v>
      </c>
      <c r="AN686">
        <f t="shared" si="251"/>
        <v>8.9999999999974989E-2</v>
      </c>
      <c r="AO686">
        <f t="shared" si="192"/>
        <v>0.22000000000002728</v>
      </c>
      <c r="AP686">
        <f>55+56+20.5</f>
        <v>131.5</v>
      </c>
      <c r="AQ686">
        <v>1000</v>
      </c>
      <c r="AR686">
        <v>22</v>
      </c>
      <c r="AS686">
        <v>34</v>
      </c>
      <c r="AT686">
        <f t="shared" si="260"/>
        <v>5.3137007027131622</v>
      </c>
      <c r="AU686">
        <f t="shared" si="261"/>
        <v>113.57999999999998</v>
      </c>
      <c r="AV686">
        <v>1010</v>
      </c>
      <c r="AW686">
        <f t="shared" si="262"/>
        <v>2179.3519985913017</v>
      </c>
      <c r="AX686">
        <f t="shared" si="263"/>
        <v>2.0194813021715076E-5</v>
      </c>
      <c r="AY686">
        <f t="shared" si="264"/>
        <v>1.6528089892598613E-3</v>
      </c>
      <c r="AZ686">
        <f t="shared" si="265"/>
        <v>36.857640460494906</v>
      </c>
      <c r="BA686">
        <f t="shared" si="266"/>
        <v>0.25571539290329254</v>
      </c>
    </row>
    <row r="687" spans="1:53" x14ac:dyDescent="0.25">
      <c r="A687" t="s">
        <v>10</v>
      </c>
      <c r="B687" t="s">
        <v>19</v>
      </c>
      <c r="C687">
        <v>10</v>
      </c>
      <c r="G687">
        <f t="shared" si="252"/>
        <v>427.35416666666424</v>
      </c>
      <c r="H687" s="7">
        <v>45142.354166666664</v>
      </c>
      <c r="AF687">
        <v>117.85000000000002</v>
      </c>
      <c r="AG687">
        <v>140.44999999999999</v>
      </c>
      <c r="AL687">
        <v>263.23500000000001</v>
      </c>
      <c r="AM687">
        <v>263.09500000000003</v>
      </c>
      <c r="AN687">
        <f t="shared" si="251"/>
        <v>3.4999999999968168E-2</v>
      </c>
      <c r="AO687">
        <f t="shared" si="192"/>
        <v>0.13999999999998636</v>
      </c>
      <c r="AP687">
        <f>54.5+28.5</f>
        <v>83</v>
      </c>
      <c r="AQ687">
        <v>1000</v>
      </c>
      <c r="AR687">
        <v>22</v>
      </c>
      <c r="AS687">
        <v>34</v>
      </c>
      <c r="AT687">
        <f t="shared" si="260"/>
        <v>5.3137007027131622</v>
      </c>
      <c r="AU687">
        <f t="shared" si="261"/>
        <v>132.14999999999998</v>
      </c>
      <c r="AV687">
        <v>1010</v>
      </c>
      <c r="AW687">
        <f t="shared" si="262"/>
        <v>1644.3548997351495</v>
      </c>
      <c r="AX687">
        <f t="shared" si="263"/>
        <v>2.6984685375508755E-5</v>
      </c>
      <c r="AY687">
        <f t="shared" si="264"/>
        <v>1.659762302576134E-3</v>
      </c>
      <c r="AZ687">
        <f t="shared" si="265"/>
        <v>37.012699347447786</v>
      </c>
      <c r="BA687">
        <f t="shared" si="266"/>
        <v>0.25017163577233509</v>
      </c>
    </row>
    <row r="688" spans="1:53" x14ac:dyDescent="0.25">
      <c r="A688" t="s">
        <v>11</v>
      </c>
      <c r="B688" t="s">
        <v>19</v>
      </c>
      <c r="C688">
        <v>10</v>
      </c>
      <c r="G688">
        <f t="shared" si="252"/>
        <v>427.35416666666424</v>
      </c>
      <c r="H688" s="7">
        <v>45142.354166666664</v>
      </c>
      <c r="AF688">
        <v>107.53</v>
      </c>
      <c r="AG688">
        <v>140</v>
      </c>
      <c r="AL688">
        <v>253.41499999999999</v>
      </c>
      <c r="AM688">
        <v>253.125</v>
      </c>
      <c r="AN688">
        <f t="shared" si="251"/>
        <v>8.5000000000007958E-2</v>
      </c>
      <c r="AO688">
        <f t="shared" si="192"/>
        <v>0.28999999999999204</v>
      </c>
      <c r="AP688">
        <f>54+56+41.5</f>
        <v>151.5</v>
      </c>
      <c r="AQ688">
        <v>1000</v>
      </c>
      <c r="AR688">
        <v>22</v>
      </c>
      <c r="AS688">
        <v>34</v>
      </c>
      <c r="AT688">
        <f t="shared" si="260"/>
        <v>5.3137007027131622</v>
      </c>
      <c r="AU688">
        <f t="shared" si="261"/>
        <v>142.47</v>
      </c>
      <c r="AV688">
        <v>1010</v>
      </c>
      <c r="AW688">
        <f t="shared" si="262"/>
        <v>2084.0155822278375</v>
      </c>
      <c r="AX688">
        <f t="shared" si="263"/>
        <v>2.1142826913894846E-5</v>
      </c>
      <c r="AY688">
        <f t="shared" si="264"/>
        <v>1.8930485922279668E-3</v>
      </c>
      <c r="AZ688">
        <f t="shared" si="265"/>
        <v>42.21498360668366</v>
      </c>
      <c r="BA688">
        <f t="shared" si="266"/>
        <v>6.4176488856501193E-2</v>
      </c>
    </row>
    <row r="689" spans="1:53" x14ac:dyDescent="0.25">
      <c r="A689" t="s">
        <v>12</v>
      </c>
      <c r="B689" t="s">
        <v>19</v>
      </c>
      <c r="C689">
        <v>20</v>
      </c>
      <c r="G689">
        <f t="shared" si="252"/>
        <v>427.35416666666424</v>
      </c>
      <c r="H689" s="7">
        <v>45142.354166666664</v>
      </c>
      <c r="AF689">
        <v>109.43</v>
      </c>
      <c r="AG689">
        <v>140.19999999999999</v>
      </c>
      <c r="AL689">
        <v>256.85000000000002</v>
      </c>
      <c r="AM689">
        <v>256.75</v>
      </c>
      <c r="AN689">
        <f t="shared" si="251"/>
        <v>1.999999999998181E-2</v>
      </c>
      <c r="AO689">
        <f t="shared" si="192"/>
        <v>0.10000000000002274</v>
      </c>
      <c r="AP689">
        <v>40</v>
      </c>
      <c r="AQ689">
        <v>1000</v>
      </c>
      <c r="AR689">
        <v>22</v>
      </c>
      <c r="AS689">
        <v>34</v>
      </c>
      <c r="AT689">
        <f t="shared" si="260"/>
        <v>5.3137007027131622</v>
      </c>
      <c r="AU689">
        <f t="shared" si="261"/>
        <v>140.57</v>
      </c>
      <c r="AV689">
        <v>1010</v>
      </c>
      <c r="AW689">
        <f t="shared" si="262"/>
        <v>1297.4012947286051</v>
      </c>
      <c r="AX689">
        <f t="shared" si="263"/>
        <v>3.4509159045242821E-5</v>
      </c>
      <c r="AY689">
        <f t="shared" si="264"/>
        <v>2.4654908409553256E-3</v>
      </c>
      <c r="AZ689">
        <f t="shared" si="265"/>
        <v>54.980445753303762</v>
      </c>
      <c r="BA689">
        <f t="shared" si="266"/>
        <v>-0.39222187176631262</v>
      </c>
    </row>
    <row r="690" spans="1:53" x14ac:dyDescent="0.25">
      <c r="A690" t="s">
        <v>13</v>
      </c>
      <c r="B690" t="s">
        <v>19</v>
      </c>
      <c r="C690">
        <v>20</v>
      </c>
      <c r="G690">
        <f t="shared" si="252"/>
        <v>427.35416666666424</v>
      </c>
      <c r="H690" s="7">
        <v>45142.354166666664</v>
      </c>
      <c r="AF690">
        <v>129.52999999999997</v>
      </c>
      <c r="AG690">
        <v>140.24</v>
      </c>
      <c r="AL690">
        <v>277.02</v>
      </c>
      <c r="AM690">
        <v>276.93</v>
      </c>
      <c r="AN690">
        <f t="shared" si="251"/>
        <v>3.0000000000029559E-2</v>
      </c>
      <c r="AO690">
        <f t="shared" si="192"/>
        <v>8.9999999999974989E-2</v>
      </c>
      <c r="AP690">
        <v>35</v>
      </c>
      <c r="AQ690">
        <v>1000</v>
      </c>
      <c r="AR690">
        <v>22</v>
      </c>
      <c r="AS690">
        <v>34</v>
      </c>
      <c r="AT690">
        <f t="shared" si="260"/>
        <v>5.3137007027131622</v>
      </c>
      <c r="AU690">
        <f t="shared" si="261"/>
        <v>120.47000000000003</v>
      </c>
      <c r="AV690">
        <v>1010</v>
      </c>
      <c r="AW690">
        <f t="shared" si="262"/>
        <v>1303.4340499709469</v>
      </c>
      <c r="AX690">
        <f t="shared" si="263"/>
        <v>3.4342650365314382E-5</v>
      </c>
      <c r="AY690">
        <f t="shared" si="264"/>
        <v>2.5370859210625428E-3</v>
      </c>
      <c r="AZ690">
        <f t="shared" si="265"/>
        <v>56.577016039694705</v>
      </c>
      <c r="BA690">
        <f t="shared" si="266"/>
        <v>-0.44930339791543467</v>
      </c>
    </row>
    <row r="691" spans="1:53" x14ac:dyDescent="0.25">
      <c r="A691" t="s">
        <v>14</v>
      </c>
      <c r="B691" t="s">
        <v>19</v>
      </c>
      <c r="C691">
        <v>20</v>
      </c>
      <c r="G691">
        <f t="shared" si="252"/>
        <v>427.35416666666424</v>
      </c>
      <c r="H691" s="7">
        <v>45142.354166666664</v>
      </c>
      <c r="AF691">
        <v>94.359999999999985</v>
      </c>
      <c r="AG691">
        <v>138.74</v>
      </c>
      <c r="AL691">
        <v>240.55</v>
      </c>
      <c r="AM691">
        <v>240.5</v>
      </c>
      <c r="AN691">
        <f t="shared" si="251"/>
        <v>3.0000000000001137E-2</v>
      </c>
      <c r="AO691">
        <f t="shared" si="192"/>
        <v>5.0000000000011369E-2</v>
      </c>
      <c r="AP691">
        <v>27.5</v>
      </c>
      <c r="AQ691">
        <v>1000</v>
      </c>
      <c r="AR691">
        <v>22</v>
      </c>
      <c r="AS691">
        <v>34</v>
      </c>
      <c r="AT691">
        <f t="shared" si="260"/>
        <v>5.3137007027131622</v>
      </c>
      <c r="AU691">
        <f t="shared" si="261"/>
        <v>155.64000000000001</v>
      </c>
      <c r="AV691">
        <v>1010</v>
      </c>
      <c r="AW691">
        <f t="shared" si="262"/>
        <v>1188.4566949370342</v>
      </c>
      <c r="AX691">
        <f t="shared" si="263"/>
        <v>3.782063735515301E-5</v>
      </c>
      <c r="AY691">
        <f t="shared" si="264"/>
        <v>1.7803611808270786E-3</v>
      </c>
      <c r="AZ691">
        <f t="shared" si="265"/>
        <v>39.702054332443851</v>
      </c>
      <c r="BA691">
        <f t="shared" si="266"/>
        <v>0.15402022408137817</v>
      </c>
    </row>
    <row r="692" spans="1:53" x14ac:dyDescent="0.25">
      <c r="A692" t="s">
        <v>15</v>
      </c>
      <c r="B692" t="s">
        <v>19</v>
      </c>
      <c r="C692">
        <v>20</v>
      </c>
      <c r="G692">
        <f t="shared" si="252"/>
        <v>427.35416666666424</v>
      </c>
      <c r="H692" s="7">
        <v>45142.354166666664</v>
      </c>
      <c r="AF692">
        <v>85.4</v>
      </c>
      <c r="AG692">
        <v>140.1</v>
      </c>
      <c r="AL692">
        <v>232.82</v>
      </c>
      <c r="AM692">
        <v>232.72</v>
      </c>
      <c r="AN692">
        <f t="shared" si="251"/>
        <v>2.0000000000010232E-2</v>
      </c>
      <c r="AO692">
        <f t="shared" si="192"/>
        <v>9.9999999999994316E-2</v>
      </c>
      <c r="AP692">
        <v>41</v>
      </c>
      <c r="AQ692">
        <v>1000</v>
      </c>
      <c r="AR692">
        <v>22</v>
      </c>
      <c r="AS692">
        <v>34</v>
      </c>
      <c r="AT692">
        <f t="shared" si="260"/>
        <v>5.3137007027131622</v>
      </c>
      <c r="AU692">
        <f t="shared" si="261"/>
        <v>164.6</v>
      </c>
      <c r="AV692">
        <v>1010</v>
      </c>
      <c r="AW692">
        <f t="shared" si="262"/>
        <v>1261.5795868772782</v>
      </c>
      <c r="AX692">
        <f t="shared" si="263"/>
        <v>3.5532109605017822E-5</v>
      </c>
      <c r="AY692">
        <f t="shared" si="264"/>
        <v>2.4034922806387459E-3</v>
      </c>
      <c r="AZ692">
        <f t="shared" si="265"/>
        <v>53.597877858244033</v>
      </c>
      <c r="BA692">
        <f t="shared" si="266"/>
        <v>-0.34279148581494584</v>
      </c>
    </row>
    <row r="693" spans="1:53" x14ac:dyDescent="0.25">
      <c r="A693" t="s">
        <v>0</v>
      </c>
      <c r="B693" t="s">
        <v>18</v>
      </c>
      <c r="C693">
        <v>10</v>
      </c>
      <c r="G693">
        <f t="shared" si="252"/>
        <v>441.35416666666424</v>
      </c>
      <c r="H693" s="7">
        <v>45156.354166666664</v>
      </c>
      <c r="AF693">
        <v>172.77</v>
      </c>
      <c r="AG693">
        <v>139.16999999999999</v>
      </c>
      <c r="AL693">
        <v>316.82</v>
      </c>
      <c r="AM693">
        <v>316.61</v>
      </c>
      <c r="AN693">
        <f t="shared" si="251"/>
        <v>2.5000000000034106E-2</v>
      </c>
      <c r="AO693">
        <f t="shared" si="192"/>
        <v>0.20999999999997954</v>
      </c>
      <c r="AP693">
        <f>57+54.5+13</f>
        <v>124.5</v>
      </c>
      <c r="AQ693">
        <v>1010</v>
      </c>
      <c r="AR693">
        <v>22</v>
      </c>
      <c r="AS693">
        <v>34</v>
      </c>
      <c r="AT693">
        <f t="shared" ref="AT693:AT708" si="267">0.61094*EXP(17.625*AS693/(243.04+AS693))</f>
        <v>5.3137007027131622</v>
      </c>
      <c r="AU693">
        <f t="shared" ref="AU693:AU708" si="268">250-AF693</f>
        <v>77.22999999999999</v>
      </c>
      <c r="AV693">
        <v>1010</v>
      </c>
      <c r="AW693">
        <f t="shared" ref="AW693:AW708" si="269">AP693/AU693*AV693+AV693</f>
        <v>2638.1885277741812</v>
      </c>
      <c r="AX693">
        <f t="shared" ref="AX693:AX708" si="270">18.02*(AT693/(AW693/10-AT693)*1/22300)</f>
        <v>1.6610312736125732E-5</v>
      </c>
      <c r="AY693">
        <f t="shared" ref="AY693:AY708" si="271">(AL693-AM693)/AP693-AX693</f>
        <v>1.6701366752155172E-3</v>
      </c>
      <c r="AZ693">
        <f t="shared" ref="AZ693:AZ708" si="272">AY693*22300</f>
        <v>37.244047857306036</v>
      </c>
      <c r="BA693">
        <f t="shared" ref="BA693:BA708" si="273">(44.01-AZ693)/(44.01-16.04)</f>
        <v>0.24190032687500759</v>
      </c>
    </row>
    <row r="694" spans="1:53" x14ac:dyDescent="0.25">
      <c r="A694" t="s">
        <v>1</v>
      </c>
      <c r="B694" t="s">
        <v>18</v>
      </c>
      <c r="C694">
        <v>10</v>
      </c>
      <c r="G694">
        <f t="shared" si="252"/>
        <v>441.35416666666424</v>
      </c>
      <c r="H694" s="7">
        <v>45156.354166666664</v>
      </c>
      <c r="AF694">
        <v>173.93</v>
      </c>
      <c r="AG694">
        <v>141.25</v>
      </c>
      <c r="AL694">
        <v>319.13</v>
      </c>
      <c r="AM694">
        <v>318.935</v>
      </c>
      <c r="AN694">
        <f t="shared" si="251"/>
        <v>9.9999999999909051E-3</v>
      </c>
      <c r="AO694">
        <f t="shared" si="192"/>
        <v>0.19499999999999318</v>
      </c>
      <c r="AP694">
        <f>55+38+23.5</f>
        <v>116.5</v>
      </c>
      <c r="AQ694">
        <v>1010</v>
      </c>
      <c r="AR694">
        <v>22</v>
      </c>
      <c r="AS694">
        <v>34</v>
      </c>
      <c r="AT694">
        <f t="shared" si="267"/>
        <v>5.3137007027131622</v>
      </c>
      <c r="AU694">
        <f t="shared" si="268"/>
        <v>76.069999999999993</v>
      </c>
      <c r="AV694">
        <v>1010</v>
      </c>
      <c r="AW694">
        <f t="shared" si="269"/>
        <v>2556.7990009202053</v>
      </c>
      <c r="AX694">
        <f t="shared" si="270"/>
        <v>1.7150283985354824E-5</v>
      </c>
      <c r="AY694">
        <f t="shared" si="271"/>
        <v>1.656669458503857E-3</v>
      </c>
      <c r="AZ694">
        <f t="shared" si="272"/>
        <v>36.943728924636012</v>
      </c>
      <c r="BA694">
        <f t="shared" si="273"/>
        <v>0.25263750716353184</v>
      </c>
    </row>
    <row r="695" spans="1:53" x14ac:dyDescent="0.25">
      <c r="A695" t="s">
        <v>2</v>
      </c>
      <c r="B695" t="s">
        <v>18</v>
      </c>
      <c r="C695">
        <v>10</v>
      </c>
      <c r="G695">
        <f t="shared" si="252"/>
        <v>441.35416666666424</v>
      </c>
      <c r="H695" s="7">
        <v>45156.354166666664</v>
      </c>
      <c r="AF695">
        <v>162.82000000000002</v>
      </c>
      <c r="AG695">
        <v>140.66</v>
      </c>
      <c r="AL695">
        <v>309.06</v>
      </c>
      <c r="AM695">
        <v>308.92</v>
      </c>
      <c r="AN695">
        <f t="shared" si="251"/>
        <v>0</v>
      </c>
      <c r="AO695">
        <f t="shared" si="192"/>
        <v>0.13999999999998636</v>
      </c>
      <c r="AP695">
        <f>49.5+12</f>
        <v>61.5</v>
      </c>
      <c r="AQ695">
        <v>1010</v>
      </c>
      <c r="AR695">
        <v>22</v>
      </c>
      <c r="AS695">
        <v>34</v>
      </c>
      <c r="AT695">
        <f t="shared" si="267"/>
        <v>5.3137007027131622</v>
      </c>
      <c r="AU695">
        <f t="shared" si="268"/>
        <v>87.179999999999978</v>
      </c>
      <c r="AV695">
        <v>1010</v>
      </c>
      <c r="AW695">
        <f t="shared" si="269"/>
        <v>1722.4913971094288</v>
      </c>
      <c r="AX695">
        <f t="shared" si="270"/>
        <v>2.5721628944522138E-5</v>
      </c>
      <c r="AY695">
        <f t="shared" si="271"/>
        <v>2.2507011352828985E-3</v>
      </c>
      <c r="AZ695">
        <f t="shared" si="272"/>
        <v>50.190635316808638</v>
      </c>
      <c r="BA695">
        <f t="shared" si="273"/>
        <v>-0.22097373317156385</v>
      </c>
    </row>
    <row r="696" spans="1:53" x14ac:dyDescent="0.25">
      <c r="A696" t="s">
        <v>3</v>
      </c>
      <c r="B696" t="s">
        <v>18</v>
      </c>
      <c r="C696">
        <v>10</v>
      </c>
      <c r="G696">
        <f t="shared" si="252"/>
        <v>441.35416666666424</v>
      </c>
      <c r="H696" s="7">
        <v>45156.354166666664</v>
      </c>
      <c r="AF696">
        <v>187.81</v>
      </c>
      <c r="AG696">
        <v>140</v>
      </c>
      <c r="AL696">
        <v>332.69</v>
      </c>
      <c r="AM696">
        <v>332.41</v>
      </c>
      <c r="AN696">
        <f t="shared" si="251"/>
        <v>4.0000000000020464E-2</v>
      </c>
      <c r="AO696">
        <f t="shared" si="192"/>
        <v>0.27999999999997272</v>
      </c>
      <c r="AP696">
        <f>50+65+55.5+25.5</f>
        <v>196</v>
      </c>
      <c r="AQ696">
        <v>1010</v>
      </c>
      <c r="AR696">
        <v>22</v>
      </c>
      <c r="AS696">
        <v>34</v>
      </c>
      <c r="AT696">
        <f t="shared" si="267"/>
        <v>5.3137007027131622</v>
      </c>
      <c r="AU696">
        <f t="shared" si="268"/>
        <v>62.19</v>
      </c>
      <c r="AV696">
        <v>1010</v>
      </c>
      <c r="AW696">
        <f t="shared" si="269"/>
        <v>4193.1484161440749</v>
      </c>
      <c r="AX696">
        <f t="shared" si="270"/>
        <v>1.0371593204803417E-5</v>
      </c>
      <c r="AY696">
        <f t="shared" si="271"/>
        <v>1.418199835366486E-3</v>
      </c>
      <c r="AZ696">
        <f t="shared" si="272"/>
        <v>31.62585632867264</v>
      </c>
      <c r="BA696">
        <f t="shared" si="273"/>
        <v>0.44276523672961599</v>
      </c>
    </row>
    <row r="697" spans="1:53" x14ac:dyDescent="0.25">
      <c r="A697" t="s">
        <v>4</v>
      </c>
      <c r="B697" t="s">
        <v>18</v>
      </c>
      <c r="C697">
        <v>20</v>
      </c>
      <c r="G697">
        <f t="shared" si="252"/>
        <v>441.35416666666424</v>
      </c>
      <c r="H697" s="7">
        <v>45156.354166666664</v>
      </c>
      <c r="AF697">
        <v>181.58</v>
      </c>
      <c r="AG697">
        <v>139.4</v>
      </c>
      <c r="AL697">
        <v>326.75</v>
      </c>
      <c r="AM697">
        <v>326.64</v>
      </c>
      <c r="AN697">
        <f t="shared" si="251"/>
        <v>9.9999999999909051E-3</v>
      </c>
      <c r="AO697">
        <f t="shared" si="192"/>
        <v>0.11000000000001364</v>
      </c>
      <c r="AP697">
        <f>33+7</f>
        <v>40</v>
      </c>
      <c r="AQ697">
        <v>1010</v>
      </c>
      <c r="AR697">
        <v>22</v>
      </c>
      <c r="AS697">
        <v>34</v>
      </c>
      <c r="AT697">
        <f t="shared" si="267"/>
        <v>5.3137007027131622</v>
      </c>
      <c r="AU697">
        <f t="shared" si="268"/>
        <v>68.419999999999987</v>
      </c>
      <c r="AV697">
        <v>1010</v>
      </c>
      <c r="AW697">
        <f t="shared" si="269"/>
        <v>1600.4706226249637</v>
      </c>
      <c r="AX697">
        <f t="shared" si="270"/>
        <v>2.7750004114022992E-5</v>
      </c>
      <c r="AY697">
        <f t="shared" si="271"/>
        <v>2.7222499958863182E-3</v>
      </c>
      <c r="AZ697">
        <f t="shared" si="272"/>
        <v>60.706174908264899</v>
      </c>
      <c r="BA697">
        <f t="shared" si="273"/>
        <v>-0.596931530506432</v>
      </c>
    </row>
    <row r="698" spans="1:53" x14ac:dyDescent="0.25">
      <c r="A698" t="s">
        <v>5</v>
      </c>
      <c r="B698" t="s">
        <v>18</v>
      </c>
      <c r="C698">
        <v>20</v>
      </c>
      <c r="G698">
        <f t="shared" si="252"/>
        <v>441.35416666666424</v>
      </c>
      <c r="H698" s="7">
        <v>45156.354166666664</v>
      </c>
      <c r="AF698">
        <v>201.8</v>
      </c>
      <c r="AG698">
        <v>139.81</v>
      </c>
      <c r="AL698">
        <v>347.47500000000002</v>
      </c>
      <c r="AM698">
        <v>347.33</v>
      </c>
      <c r="AN698">
        <f t="shared" si="251"/>
        <v>-4.9999999999954525E-3</v>
      </c>
      <c r="AO698">
        <f t="shared" si="192"/>
        <v>0.14500000000003865</v>
      </c>
      <c r="AP698">
        <f>53.5+10.5</f>
        <v>64</v>
      </c>
      <c r="AQ698">
        <v>1010</v>
      </c>
      <c r="AR698">
        <v>22</v>
      </c>
      <c r="AS698">
        <v>34</v>
      </c>
      <c r="AT698">
        <f t="shared" si="267"/>
        <v>5.3137007027131622</v>
      </c>
      <c r="AU698">
        <f t="shared" si="268"/>
        <v>48.199999999999989</v>
      </c>
      <c r="AV698">
        <v>1010</v>
      </c>
      <c r="AW698">
        <f t="shared" si="269"/>
        <v>2351.0788381742741</v>
      </c>
      <c r="AX698">
        <f t="shared" si="270"/>
        <v>1.868564017443854E-5</v>
      </c>
      <c r="AY698">
        <f t="shared" si="271"/>
        <v>2.2469393598261653E-3</v>
      </c>
      <c r="AZ698">
        <f t="shared" si="272"/>
        <v>50.106747724123487</v>
      </c>
      <c r="BA698">
        <f t="shared" si="273"/>
        <v>-0.21797453429115085</v>
      </c>
    </row>
    <row r="699" spans="1:53" x14ac:dyDescent="0.25">
      <c r="A699" t="s">
        <v>6</v>
      </c>
      <c r="B699" t="s">
        <v>18</v>
      </c>
      <c r="C699">
        <v>20</v>
      </c>
      <c r="G699">
        <f t="shared" si="252"/>
        <v>441.35416666666424</v>
      </c>
      <c r="H699" s="7">
        <v>45156.354166666664</v>
      </c>
      <c r="AF699">
        <v>205.13</v>
      </c>
      <c r="AG699">
        <v>139.01</v>
      </c>
      <c r="AL699">
        <v>349.88</v>
      </c>
      <c r="AM699">
        <v>349.76499999999999</v>
      </c>
      <c r="AN699">
        <f t="shared" si="251"/>
        <v>9.9999999999909051E-3</v>
      </c>
      <c r="AO699">
        <f t="shared" si="192"/>
        <v>0.11500000000000909</v>
      </c>
      <c r="AP699">
        <v>50.5</v>
      </c>
      <c r="AQ699">
        <v>1010</v>
      </c>
      <c r="AR699">
        <v>22</v>
      </c>
      <c r="AS699">
        <v>34</v>
      </c>
      <c r="AT699">
        <f t="shared" si="267"/>
        <v>5.3137007027131622</v>
      </c>
      <c r="AU699">
        <f t="shared" si="268"/>
        <v>44.870000000000005</v>
      </c>
      <c r="AV699">
        <v>1010</v>
      </c>
      <c r="AW699">
        <f t="shared" si="269"/>
        <v>2146.7283262759083</v>
      </c>
      <c r="AX699">
        <f t="shared" si="270"/>
        <v>2.0509501450365741E-5</v>
      </c>
      <c r="AY699">
        <f t="shared" si="271"/>
        <v>2.2567182213220917E-3</v>
      </c>
      <c r="AZ699">
        <f t="shared" si="272"/>
        <v>50.324816335482645</v>
      </c>
      <c r="BA699">
        <f t="shared" si="273"/>
        <v>-0.22577105239480325</v>
      </c>
    </row>
    <row r="700" spans="1:53" x14ac:dyDescent="0.25">
      <c r="A700" t="s">
        <v>7</v>
      </c>
      <c r="B700" t="s">
        <v>18</v>
      </c>
      <c r="C700">
        <v>20</v>
      </c>
      <c r="G700">
        <f t="shared" si="252"/>
        <v>441.35416666666424</v>
      </c>
      <c r="H700" s="7">
        <v>45156.354166666664</v>
      </c>
      <c r="AF700">
        <v>177.85000000000002</v>
      </c>
      <c r="AG700">
        <v>139.94999999999999</v>
      </c>
      <c r="AL700">
        <v>323.73</v>
      </c>
      <c r="AM700">
        <v>323.43</v>
      </c>
      <c r="AN700">
        <f t="shared" si="251"/>
        <v>2.9999999999972715E-2</v>
      </c>
      <c r="AO700">
        <f t="shared" si="192"/>
        <v>0.30000000000001137</v>
      </c>
      <c r="AP700">
        <f>53+58+57+35</f>
        <v>203</v>
      </c>
      <c r="AQ700">
        <v>1010</v>
      </c>
      <c r="AR700">
        <v>22</v>
      </c>
      <c r="AS700">
        <v>34</v>
      </c>
      <c r="AT700">
        <f t="shared" si="267"/>
        <v>5.3137007027131622</v>
      </c>
      <c r="AU700">
        <f t="shared" si="268"/>
        <v>72.149999999999977</v>
      </c>
      <c r="AV700">
        <v>1010</v>
      </c>
      <c r="AW700">
        <f t="shared" si="269"/>
        <v>3851.7186417186422</v>
      </c>
      <c r="AX700">
        <f t="shared" si="270"/>
        <v>1.1303828199046463E-5</v>
      </c>
      <c r="AY700">
        <f t="shared" si="271"/>
        <v>1.4665286841162805E-3</v>
      </c>
      <c r="AZ700">
        <f t="shared" si="272"/>
        <v>32.703589655793053</v>
      </c>
      <c r="BA700">
        <f t="shared" si="273"/>
        <v>0.40423347673246141</v>
      </c>
    </row>
    <row r="701" spans="1:53" x14ac:dyDescent="0.25">
      <c r="A701" t="s">
        <v>8</v>
      </c>
      <c r="B701" t="s">
        <v>19</v>
      </c>
      <c r="C701">
        <v>10</v>
      </c>
      <c r="G701">
        <f t="shared" si="252"/>
        <v>441.35416666666424</v>
      </c>
      <c r="H701" s="7">
        <v>45156.354166666664</v>
      </c>
      <c r="AF701">
        <v>142.11999999999998</v>
      </c>
      <c r="AG701">
        <v>139.71</v>
      </c>
      <c r="AL701">
        <v>285.89999999999998</v>
      </c>
      <c r="AM701">
        <v>285.58999999999997</v>
      </c>
      <c r="AN701">
        <f t="shared" si="251"/>
        <v>7.0000000000050022E-2</v>
      </c>
      <c r="AO701">
        <f t="shared" si="192"/>
        <v>0.31000000000000227</v>
      </c>
      <c r="AP701">
        <f>55+56+57</f>
        <v>168</v>
      </c>
      <c r="AQ701">
        <v>1010</v>
      </c>
      <c r="AR701">
        <v>22</v>
      </c>
      <c r="AS701">
        <v>34</v>
      </c>
      <c r="AT701">
        <f t="shared" si="267"/>
        <v>5.3137007027131622</v>
      </c>
      <c r="AU701">
        <f t="shared" si="268"/>
        <v>107.88000000000002</v>
      </c>
      <c r="AV701">
        <v>1010</v>
      </c>
      <c r="AW701">
        <f t="shared" si="269"/>
        <v>2582.8587319243597</v>
      </c>
      <c r="AX701">
        <f t="shared" si="270"/>
        <v>1.6973611672782041E-5</v>
      </c>
      <c r="AY701">
        <f t="shared" si="271"/>
        <v>1.8282644835653267E-3</v>
      </c>
      <c r="AZ701">
        <f t="shared" si="272"/>
        <v>40.770297983506786</v>
      </c>
      <c r="BA701">
        <f t="shared" si="273"/>
        <v>0.1158277446011159</v>
      </c>
    </row>
    <row r="702" spans="1:53" x14ac:dyDescent="0.25">
      <c r="A702" t="s">
        <v>9</v>
      </c>
      <c r="B702" t="s">
        <v>19</v>
      </c>
      <c r="C702">
        <v>10</v>
      </c>
      <c r="G702">
        <f t="shared" si="252"/>
        <v>441.35416666666424</v>
      </c>
      <c r="H702" s="7">
        <v>45156.354166666664</v>
      </c>
      <c r="AF702">
        <v>136.42000000000002</v>
      </c>
      <c r="AG702">
        <v>139.75</v>
      </c>
      <c r="AL702">
        <v>280.64999999999998</v>
      </c>
      <c r="AM702">
        <v>280.41000000000003</v>
      </c>
      <c r="AN702">
        <f t="shared" si="251"/>
        <v>4.0000000000020464E-2</v>
      </c>
      <c r="AO702">
        <f t="shared" si="192"/>
        <v>0.23999999999995225</v>
      </c>
      <c r="AP702">
        <f>62+52.5</f>
        <v>114.5</v>
      </c>
      <c r="AQ702">
        <v>1010</v>
      </c>
      <c r="AR702">
        <v>22</v>
      </c>
      <c r="AS702">
        <v>34</v>
      </c>
      <c r="AT702">
        <f t="shared" si="267"/>
        <v>5.3137007027131622</v>
      </c>
      <c r="AU702">
        <f t="shared" si="268"/>
        <v>113.57999999999998</v>
      </c>
      <c r="AV702">
        <v>1010</v>
      </c>
      <c r="AW702">
        <f t="shared" si="269"/>
        <v>2028.1810177848215</v>
      </c>
      <c r="AX702">
        <f t="shared" si="270"/>
        <v>2.1740535382871457E-5</v>
      </c>
      <c r="AY702">
        <f t="shared" si="271"/>
        <v>2.074329333612345E-3</v>
      </c>
      <c r="AZ702">
        <f t="shared" si="272"/>
        <v>46.257544139555293</v>
      </c>
      <c r="BA702">
        <f t="shared" si="273"/>
        <v>-8.0355528764937248E-2</v>
      </c>
    </row>
    <row r="703" spans="1:53" x14ac:dyDescent="0.25">
      <c r="A703" t="s">
        <v>10</v>
      </c>
      <c r="B703" t="s">
        <v>19</v>
      </c>
      <c r="C703">
        <v>10</v>
      </c>
      <c r="G703">
        <f t="shared" si="252"/>
        <v>441.35416666666424</v>
      </c>
      <c r="H703" s="7">
        <v>45156.354166666664</v>
      </c>
      <c r="AF703">
        <v>117.85000000000002</v>
      </c>
      <c r="AG703">
        <v>140.44999999999999</v>
      </c>
      <c r="AL703">
        <v>263.07</v>
      </c>
      <c r="AM703">
        <v>262.82499999999999</v>
      </c>
      <c r="AN703">
        <f t="shared" si="251"/>
        <v>2.5000000000034106E-2</v>
      </c>
      <c r="AO703">
        <f t="shared" si="192"/>
        <v>0.24500000000000455</v>
      </c>
      <c r="AP703">
        <f>53+52+17</f>
        <v>122</v>
      </c>
      <c r="AQ703">
        <v>1010</v>
      </c>
      <c r="AR703">
        <v>22</v>
      </c>
      <c r="AS703">
        <v>34</v>
      </c>
      <c r="AT703">
        <f t="shared" si="267"/>
        <v>5.3137007027131622</v>
      </c>
      <c r="AU703">
        <f t="shared" si="268"/>
        <v>132.14999999999998</v>
      </c>
      <c r="AV703">
        <v>1010</v>
      </c>
      <c r="AW703">
        <f t="shared" si="269"/>
        <v>1942.4252743094969</v>
      </c>
      <c r="AX703">
        <f t="shared" si="270"/>
        <v>2.2727349204560797E-5</v>
      </c>
      <c r="AY703">
        <f t="shared" si="271"/>
        <v>1.9854693721069517E-3</v>
      </c>
      <c r="AZ703">
        <f t="shared" si="272"/>
        <v>44.275966997985023</v>
      </c>
      <c r="BA703">
        <f t="shared" si="273"/>
        <v>-9.5090095811592775E-3</v>
      </c>
    </row>
    <row r="704" spans="1:53" x14ac:dyDescent="0.25">
      <c r="A704" t="s">
        <v>11</v>
      </c>
      <c r="B704" t="s">
        <v>19</v>
      </c>
      <c r="C704">
        <v>10</v>
      </c>
      <c r="G704">
        <f t="shared" si="252"/>
        <v>441.35416666666424</v>
      </c>
      <c r="H704" s="7">
        <v>45156.354166666664</v>
      </c>
      <c r="AF704">
        <v>107.53</v>
      </c>
      <c r="AG704">
        <v>140</v>
      </c>
      <c r="AL704">
        <v>253.06</v>
      </c>
      <c r="AM704">
        <v>252.82</v>
      </c>
      <c r="AN704">
        <f t="shared" si="251"/>
        <v>6.4999999999997726E-2</v>
      </c>
      <c r="AO704">
        <f t="shared" si="192"/>
        <v>0.24000000000000909</v>
      </c>
      <c r="AP704">
        <f>56+52+27</f>
        <v>135</v>
      </c>
      <c r="AQ704">
        <v>1010</v>
      </c>
      <c r="AR704">
        <v>22</v>
      </c>
      <c r="AS704">
        <v>34</v>
      </c>
      <c r="AT704">
        <f t="shared" si="267"/>
        <v>5.3137007027131622</v>
      </c>
      <c r="AU704">
        <f t="shared" si="268"/>
        <v>142.47</v>
      </c>
      <c r="AV704">
        <v>1010</v>
      </c>
      <c r="AW704">
        <f t="shared" si="269"/>
        <v>1967.0435881238154</v>
      </c>
      <c r="AX704">
        <f t="shared" si="270"/>
        <v>2.2435010476844592E-5</v>
      </c>
      <c r="AY704">
        <f t="shared" si="271"/>
        <v>1.7553427673010005E-3</v>
      </c>
      <c r="AZ704">
        <f t="shared" si="272"/>
        <v>39.144143710812308</v>
      </c>
      <c r="BA704">
        <f t="shared" si="273"/>
        <v>0.17396697494414337</v>
      </c>
    </row>
    <row r="705" spans="1:53" x14ac:dyDescent="0.25">
      <c r="A705" t="s">
        <v>12</v>
      </c>
      <c r="B705" t="s">
        <v>19</v>
      </c>
      <c r="C705">
        <v>20</v>
      </c>
      <c r="G705">
        <f t="shared" si="252"/>
        <v>441.35416666666424</v>
      </c>
      <c r="H705" s="7">
        <v>45156.354166666664</v>
      </c>
      <c r="AF705">
        <v>109.43</v>
      </c>
      <c r="AG705">
        <v>140.19999999999999</v>
      </c>
      <c r="AL705">
        <v>256.74</v>
      </c>
      <c r="AM705">
        <v>256.66000000000003</v>
      </c>
      <c r="AN705">
        <f t="shared" si="251"/>
        <v>9.9999999999909051E-3</v>
      </c>
      <c r="AO705">
        <f t="shared" si="192"/>
        <v>7.9999999999984084E-2</v>
      </c>
      <c r="AP705">
        <v>40</v>
      </c>
      <c r="AQ705">
        <v>1010</v>
      </c>
      <c r="AR705">
        <v>22</v>
      </c>
      <c r="AS705">
        <v>34</v>
      </c>
      <c r="AT705">
        <f t="shared" si="267"/>
        <v>5.3137007027131622</v>
      </c>
      <c r="AU705">
        <f t="shared" si="268"/>
        <v>140.57</v>
      </c>
      <c r="AV705">
        <v>1010</v>
      </c>
      <c r="AW705">
        <f t="shared" si="269"/>
        <v>1297.4012947286051</v>
      </c>
      <c r="AX705">
        <f t="shared" si="270"/>
        <v>3.4509159045242821E-5</v>
      </c>
      <c r="AY705">
        <f t="shared" si="271"/>
        <v>1.965490840954359E-3</v>
      </c>
      <c r="AZ705">
        <f t="shared" si="272"/>
        <v>43.830445753282206</v>
      </c>
      <c r="BA705">
        <f t="shared" si="273"/>
        <v>6.4195297360669437E-3</v>
      </c>
    </row>
    <row r="706" spans="1:53" x14ac:dyDescent="0.25">
      <c r="A706" t="s">
        <v>13</v>
      </c>
      <c r="B706" t="s">
        <v>19</v>
      </c>
      <c r="C706">
        <v>20</v>
      </c>
      <c r="G706">
        <f t="shared" si="252"/>
        <v>441.35416666666424</v>
      </c>
      <c r="H706" s="7">
        <v>45156.354166666664</v>
      </c>
      <c r="AF706">
        <v>129.52999999999997</v>
      </c>
      <c r="AG706">
        <v>140.24</v>
      </c>
      <c r="AL706">
        <v>276.93</v>
      </c>
      <c r="AM706">
        <v>276.86</v>
      </c>
      <c r="AN706">
        <f t="shared" si="251"/>
        <v>0</v>
      </c>
      <c r="AO706">
        <f t="shared" si="192"/>
        <v>6.9999999999993179E-2</v>
      </c>
      <c r="AP706">
        <v>33</v>
      </c>
      <c r="AQ706">
        <v>1010</v>
      </c>
      <c r="AR706">
        <v>22</v>
      </c>
      <c r="AS706">
        <v>34</v>
      </c>
      <c r="AT706">
        <f t="shared" si="267"/>
        <v>5.3137007027131622</v>
      </c>
      <c r="AU706">
        <f t="shared" si="268"/>
        <v>120.47000000000003</v>
      </c>
      <c r="AV706">
        <v>1010</v>
      </c>
      <c r="AW706">
        <f t="shared" si="269"/>
        <v>1286.6663899726072</v>
      </c>
      <c r="AX706">
        <f t="shared" si="270"/>
        <v>3.4809478227486926E-5</v>
      </c>
      <c r="AY706">
        <f t="shared" si="271"/>
        <v>2.0864026429844276E-3</v>
      </c>
      <c r="AZ706">
        <f t="shared" si="272"/>
        <v>46.526778938552738</v>
      </c>
      <c r="BA706">
        <f t="shared" si="273"/>
        <v>-8.9981370702636398E-2</v>
      </c>
    </row>
    <row r="707" spans="1:53" x14ac:dyDescent="0.25">
      <c r="A707" t="s">
        <v>14</v>
      </c>
      <c r="B707" t="s">
        <v>19</v>
      </c>
      <c r="C707">
        <v>20</v>
      </c>
      <c r="G707">
        <f t="shared" si="252"/>
        <v>441.35416666666424</v>
      </c>
      <c r="H707" s="7">
        <v>45156.354166666664</v>
      </c>
      <c r="AF707">
        <v>94.359999999999985</v>
      </c>
      <c r="AG707">
        <v>138.74</v>
      </c>
      <c r="AL707">
        <v>240.46</v>
      </c>
      <c r="AM707">
        <v>240.44</v>
      </c>
      <c r="AN707">
        <f t="shared" si="251"/>
        <v>3.9999999999992042E-2</v>
      </c>
      <c r="AO707">
        <f t="shared" si="192"/>
        <v>2.0000000000010232E-2</v>
      </c>
      <c r="AP707">
        <v>15.5</v>
      </c>
      <c r="AQ707">
        <v>1010</v>
      </c>
      <c r="AR707">
        <v>22</v>
      </c>
      <c r="AS707">
        <v>34</v>
      </c>
      <c r="AT707">
        <f t="shared" si="267"/>
        <v>5.3137007027131622</v>
      </c>
      <c r="AU707">
        <f t="shared" si="268"/>
        <v>155.64000000000001</v>
      </c>
      <c r="AV707">
        <v>1010</v>
      </c>
      <c r="AW707">
        <f t="shared" si="269"/>
        <v>1110.5846826008737</v>
      </c>
      <c r="AX707">
        <f t="shared" si="270"/>
        <v>4.0605805081853006E-5</v>
      </c>
      <c r="AY707">
        <f t="shared" si="271"/>
        <v>1.2497167755639684E-3</v>
      </c>
      <c r="AZ707">
        <f t="shared" si="272"/>
        <v>27.868684095076496</v>
      </c>
      <c r="BA707">
        <f t="shared" si="273"/>
        <v>0.57709388290752606</v>
      </c>
    </row>
    <row r="708" spans="1:53" x14ac:dyDescent="0.25">
      <c r="A708" t="s">
        <v>15</v>
      </c>
      <c r="B708" t="s">
        <v>19</v>
      </c>
      <c r="C708">
        <v>20</v>
      </c>
      <c r="G708">
        <f t="shared" si="252"/>
        <v>441.35416666666424</v>
      </c>
      <c r="H708" s="7">
        <v>45156.354166666664</v>
      </c>
      <c r="AF708">
        <v>85.4</v>
      </c>
      <c r="AG708">
        <v>140.1</v>
      </c>
      <c r="AL708">
        <v>232.71</v>
      </c>
      <c r="AM708">
        <v>232.64</v>
      </c>
      <c r="AN708">
        <f t="shared" si="251"/>
        <v>9.9999999999909051E-3</v>
      </c>
      <c r="AO708">
        <f t="shared" si="192"/>
        <v>7.00000000000216E-2</v>
      </c>
      <c r="AP708">
        <v>41</v>
      </c>
      <c r="AQ708">
        <v>1010</v>
      </c>
      <c r="AR708">
        <v>22</v>
      </c>
      <c r="AS708">
        <v>34</v>
      </c>
      <c r="AT708">
        <f t="shared" si="267"/>
        <v>5.3137007027131622</v>
      </c>
      <c r="AU708">
        <f t="shared" si="268"/>
        <v>164.6</v>
      </c>
      <c r="AV708">
        <v>1010</v>
      </c>
      <c r="AW708">
        <f t="shared" si="269"/>
        <v>1261.5795868772782</v>
      </c>
      <c r="AX708">
        <f t="shared" si="270"/>
        <v>3.5532109605017822E-5</v>
      </c>
      <c r="AY708">
        <f t="shared" si="271"/>
        <v>1.6717849635662408E-3</v>
      </c>
      <c r="AZ708">
        <f t="shared" si="272"/>
        <v>37.280804687527173</v>
      </c>
      <c r="BA708">
        <f t="shared" si="273"/>
        <v>0.24058617491858511</v>
      </c>
    </row>
    <row r="709" spans="1:53" x14ac:dyDescent="0.25">
      <c r="A709" t="s">
        <v>0</v>
      </c>
      <c r="B709" t="s">
        <v>18</v>
      </c>
      <c r="C709">
        <v>10</v>
      </c>
      <c r="D709">
        <f t="shared" ref="D709:D724" si="274">(AH709-AG709)/(AH21-AG21)*D21</f>
        <v>999.13895178561097</v>
      </c>
      <c r="G709">
        <f t="shared" si="252"/>
        <v>455.35416666666424</v>
      </c>
      <c r="H709" s="7">
        <v>45170.354166666664</v>
      </c>
      <c r="L709">
        <v>7.9266667122379371</v>
      </c>
      <c r="M709">
        <v>0.72929405225125066</v>
      </c>
      <c r="N709">
        <v>10.701848379318909</v>
      </c>
      <c r="O709">
        <f>R709-N709</f>
        <v>18.76506830967103</v>
      </c>
      <c r="P709">
        <f>Q709-R709</f>
        <v>19.756228234663919</v>
      </c>
      <c r="Q709">
        <v>49.223144923653855</v>
      </c>
      <c r="R709">
        <v>29.466916688989937</v>
      </c>
      <c r="S709">
        <v>7.4072553428733334</v>
      </c>
      <c r="T709">
        <v>3.4698996666666697</v>
      </c>
      <c r="U709">
        <v>6.1629643333333295</v>
      </c>
      <c r="V709">
        <v>8.7819250000000011</v>
      </c>
      <c r="W709">
        <v>549.04999999999995</v>
      </c>
      <c r="X709">
        <v>6034.45</v>
      </c>
      <c r="Y709">
        <v>1213.81</v>
      </c>
      <c r="Z709">
        <v>8.56</v>
      </c>
      <c r="AA709">
        <v>872.15</v>
      </c>
      <c r="AB709">
        <v>16.155000000000001</v>
      </c>
      <c r="AC709">
        <v>67.460000000000008</v>
      </c>
      <c r="AD709">
        <v>20.29</v>
      </c>
      <c r="AF709">
        <v>172.77</v>
      </c>
      <c r="AG709">
        <v>139.16999999999999</v>
      </c>
      <c r="AH709">
        <v>306.7</v>
      </c>
      <c r="AL709">
        <v>316.55</v>
      </c>
      <c r="AM709">
        <v>316.3</v>
      </c>
      <c r="AN709">
        <f t="shared" si="251"/>
        <v>6.0000000000002274E-2</v>
      </c>
      <c r="AO709">
        <f t="shared" si="192"/>
        <v>0.25</v>
      </c>
      <c r="AP709">
        <v>116.5</v>
      </c>
      <c r="AQ709">
        <v>1010</v>
      </c>
      <c r="AR709">
        <v>22</v>
      </c>
      <c r="AS709">
        <v>34</v>
      </c>
      <c r="AT709">
        <f t="shared" ref="AT709:AT724" si="275">0.61094*EXP(17.625*AS709/(243.04+AS709))</f>
        <v>5.3137007027131622</v>
      </c>
      <c r="AU709">
        <f t="shared" ref="AU709:AU724" si="276">250-AF709</f>
        <v>77.22999999999999</v>
      </c>
      <c r="AV709">
        <v>1010</v>
      </c>
      <c r="AW709">
        <f t="shared" ref="AW709:AW724" si="277">AP709/AU709*AV709+AV709</f>
        <v>2533.5659717726276</v>
      </c>
      <c r="AX709">
        <f t="shared" ref="AX709:AX724" si="278">18.02*(AT709/(AW709/10-AT709)*1/22300)</f>
        <v>1.7310922751223239E-5</v>
      </c>
      <c r="AY709">
        <f t="shared" ref="AY709:AY724" si="279">(AL709-AM709)/AP709-AX709</f>
        <v>2.1286118240298928E-3</v>
      </c>
      <c r="AZ709">
        <f t="shared" ref="AZ709:AZ724" si="280">AY709*22300</f>
        <v>47.46804367586661</v>
      </c>
      <c r="BA709">
        <f t="shared" ref="BA709:BA724" si="281">(44.01-AZ709)/(44.01-16.04)</f>
        <v>-0.12363402487903513</v>
      </c>
    </row>
    <row r="710" spans="1:53" x14ac:dyDescent="0.25">
      <c r="A710" t="s">
        <v>1</v>
      </c>
      <c r="B710" t="s">
        <v>18</v>
      </c>
      <c r="C710">
        <v>10</v>
      </c>
      <c r="D710">
        <f t="shared" si="274"/>
        <v>987.6157735870753</v>
      </c>
      <c r="G710">
        <f t="shared" si="252"/>
        <v>455.35416666666424</v>
      </c>
      <c r="H710" s="7">
        <v>45170.354166666664</v>
      </c>
      <c r="L710">
        <v>7.9408836298860068</v>
      </c>
      <c r="M710">
        <v>0.74126016260162597</v>
      </c>
      <c r="N710">
        <v>10.812253175365397</v>
      </c>
      <c r="O710">
        <f t="shared" ref="O710:O724" si="282">R710-N710</f>
        <v>17.301739780125821</v>
      </c>
      <c r="P710">
        <f t="shared" ref="P710:P724" si="283">Q710-R710</f>
        <v>17.974170135553997</v>
      </c>
      <c r="Q710">
        <v>46.088163091045217</v>
      </c>
      <c r="R710">
        <v>28.11399295549122</v>
      </c>
      <c r="S710">
        <v>7.590198739257267</v>
      </c>
      <c r="T710">
        <v>3.3750993333333299</v>
      </c>
      <c r="U710">
        <v>5.9710540000000005</v>
      </c>
      <c r="V710">
        <v>7.6492274999999994</v>
      </c>
      <c r="W710">
        <v>328.03</v>
      </c>
      <c r="X710">
        <v>6083.9</v>
      </c>
      <c r="Y710">
        <v>77.965000000000003</v>
      </c>
      <c r="Z710">
        <v>7.4</v>
      </c>
      <c r="AA710">
        <v>863.02</v>
      </c>
      <c r="AB710">
        <v>4.6849999999999996</v>
      </c>
      <c r="AC710">
        <v>10.422499999999999</v>
      </c>
      <c r="AD710">
        <v>273.80500000000001</v>
      </c>
      <c r="AF710">
        <v>173.93</v>
      </c>
      <c r="AG710">
        <v>141.25</v>
      </c>
      <c r="AH710">
        <v>309.10000000000002</v>
      </c>
      <c r="AL710">
        <v>318.91000000000003</v>
      </c>
      <c r="AM710">
        <v>318.60000000000002</v>
      </c>
      <c r="AN710">
        <f t="shared" ref="AN710:AN724" si="284">AM694-AL710</f>
        <v>2.4999999999977263E-2</v>
      </c>
      <c r="AO710">
        <f t="shared" si="192"/>
        <v>0.31000000000000227</v>
      </c>
      <c r="AP710">
        <v>137</v>
      </c>
      <c r="AQ710">
        <v>1010</v>
      </c>
      <c r="AR710">
        <v>22</v>
      </c>
      <c r="AS710">
        <v>34</v>
      </c>
      <c r="AT710">
        <f t="shared" si="275"/>
        <v>5.3137007027131622</v>
      </c>
      <c r="AU710">
        <f t="shared" si="276"/>
        <v>76.069999999999993</v>
      </c>
      <c r="AV710">
        <v>1010</v>
      </c>
      <c r="AW710">
        <f t="shared" si="277"/>
        <v>2828.9825161035888</v>
      </c>
      <c r="AX710">
        <f t="shared" si="278"/>
        <v>1.5468625346117281E-5</v>
      </c>
      <c r="AY710">
        <f t="shared" si="279"/>
        <v>2.2473050972816365E-3</v>
      </c>
      <c r="AZ710">
        <f t="shared" si="280"/>
        <v>50.114903669380496</v>
      </c>
      <c r="BA710">
        <f t="shared" si="281"/>
        <v>-0.21826613047481222</v>
      </c>
    </row>
    <row r="711" spans="1:53" x14ac:dyDescent="0.25">
      <c r="A711" t="s">
        <v>2</v>
      </c>
      <c r="B711" t="s">
        <v>18</v>
      </c>
      <c r="C711">
        <v>10</v>
      </c>
      <c r="D711">
        <f t="shared" si="274"/>
        <v>1022.0873799287554</v>
      </c>
      <c r="G711">
        <f t="shared" ref="G711:G724" si="285">H711-$H$18</f>
        <v>455.35416666666424</v>
      </c>
      <c r="H711" s="7">
        <v>45170.354166666664</v>
      </c>
      <c r="L711">
        <v>7.8953272110172747</v>
      </c>
      <c r="M711">
        <v>0.72197018794556067</v>
      </c>
      <c r="N711">
        <v>9.3148802512762714</v>
      </c>
      <c r="O711">
        <f t="shared" si="282"/>
        <v>17.559874361994382</v>
      </c>
      <c r="P711">
        <f t="shared" si="283"/>
        <v>18.70828425598777</v>
      </c>
      <c r="Q711">
        <v>45.583038869258424</v>
      </c>
      <c r="R711">
        <v>26.874754613270653</v>
      </c>
      <c r="S711">
        <v>6.9700418943032956</v>
      </c>
      <c r="T711">
        <v>3.3536280000000001</v>
      </c>
      <c r="U711">
        <v>6.0645053333333303</v>
      </c>
      <c r="V711">
        <v>8.3214474999999997</v>
      </c>
      <c r="W711">
        <v>212.2</v>
      </c>
      <c r="X711">
        <v>5914.9949999999999</v>
      </c>
      <c r="Y711">
        <v>1255.5149999999999</v>
      </c>
      <c r="Z711">
        <v>4.8434999999999997</v>
      </c>
      <c r="AA711">
        <v>849.82500000000005</v>
      </c>
      <c r="AB711">
        <v>6.9055</v>
      </c>
      <c r="AC711">
        <v>18.028500000000001</v>
      </c>
      <c r="AD711">
        <v>59.135000000000005</v>
      </c>
      <c r="AF711">
        <v>162.82000000000002</v>
      </c>
      <c r="AG711">
        <v>140.66</v>
      </c>
      <c r="AH711">
        <v>299.2</v>
      </c>
      <c r="AL711">
        <v>308.89</v>
      </c>
      <c r="AM711">
        <v>308.73</v>
      </c>
      <c r="AN711">
        <f t="shared" si="284"/>
        <v>3.0000000000029559E-2</v>
      </c>
      <c r="AO711">
        <f t="shared" si="192"/>
        <v>0.15999999999996817</v>
      </c>
      <c r="AP711">
        <v>75.5</v>
      </c>
      <c r="AQ711">
        <v>1010</v>
      </c>
      <c r="AR711">
        <v>22</v>
      </c>
      <c r="AS711">
        <v>34</v>
      </c>
      <c r="AT711">
        <f t="shared" si="275"/>
        <v>5.3137007027131622</v>
      </c>
      <c r="AU711">
        <f t="shared" si="276"/>
        <v>87.179999999999978</v>
      </c>
      <c r="AV711">
        <v>1010</v>
      </c>
      <c r="AW711">
        <f t="shared" si="277"/>
        <v>1884.684560679055</v>
      </c>
      <c r="AX711">
        <f t="shared" si="278"/>
        <v>2.3443843493438537E-5</v>
      </c>
      <c r="AY711">
        <f t="shared" si="279"/>
        <v>2.095761454519385E-3</v>
      </c>
      <c r="AZ711">
        <f t="shared" si="280"/>
        <v>46.735480435782286</v>
      </c>
      <c r="BA711">
        <f t="shared" si="281"/>
        <v>-9.7442990196005996E-2</v>
      </c>
    </row>
    <row r="712" spans="1:53" x14ac:dyDescent="0.25">
      <c r="A712" t="s">
        <v>3</v>
      </c>
      <c r="B712" t="s">
        <v>18</v>
      </c>
      <c r="C712">
        <v>10</v>
      </c>
      <c r="D712">
        <f t="shared" si="274"/>
        <v>1011.8194462488686</v>
      </c>
      <c r="G712">
        <f t="shared" si="285"/>
        <v>455.35416666666424</v>
      </c>
      <c r="H712" s="7">
        <v>45170.354166666664</v>
      </c>
      <c r="L712">
        <v>8.0022687630362377</v>
      </c>
      <c r="M712">
        <v>0.73723821989528804</v>
      </c>
      <c r="N712">
        <v>9.8884451177528163</v>
      </c>
      <c r="O712">
        <f t="shared" si="282"/>
        <v>18.675113620712935</v>
      </c>
      <c r="P712">
        <f t="shared" si="283"/>
        <v>20.506817242804665</v>
      </c>
      <c r="Q712">
        <v>49.070375981270416</v>
      </c>
      <c r="R712">
        <v>28.563558738465751</v>
      </c>
      <c r="S712">
        <v>6.4721622386847253</v>
      </c>
      <c r="T712">
        <v>3.26040033333333</v>
      </c>
      <c r="U712">
        <v>5.8982549999999998</v>
      </c>
      <c r="V712">
        <v>8.2675899999999984</v>
      </c>
      <c r="W712">
        <v>107.22749999999999</v>
      </c>
      <c r="X712">
        <v>6161.15</v>
      </c>
      <c r="Y712">
        <v>1105.72</v>
      </c>
      <c r="Z712">
        <v>4.5250000000000004</v>
      </c>
      <c r="AA712">
        <v>851.57999999999993</v>
      </c>
      <c r="AB712">
        <v>0</v>
      </c>
      <c r="AC712">
        <v>14.82</v>
      </c>
      <c r="AD712">
        <v>22.567500000000003</v>
      </c>
      <c r="AF712">
        <v>187.81</v>
      </c>
      <c r="AG712">
        <v>140</v>
      </c>
      <c r="AH712">
        <v>322.57</v>
      </c>
      <c r="AL712">
        <v>332.37</v>
      </c>
      <c r="AM712">
        <v>332.15</v>
      </c>
      <c r="AN712">
        <f t="shared" si="284"/>
        <v>4.0000000000020464E-2</v>
      </c>
      <c r="AO712">
        <f t="shared" si="192"/>
        <v>0.22000000000002728</v>
      </c>
      <c r="AP712">
        <v>122</v>
      </c>
      <c r="AQ712">
        <v>1010</v>
      </c>
      <c r="AR712">
        <v>22</v>
      </c>
      <c r="AS712">
        <v>34</v>
      </c>
      <c r="AT712">
        <f t="shared" si="275"/>
        <v>5.3137007027131622</v>
      </c>
      <c r="AU712">
        <f t="shared" si="276"/>
        <v>62.19</v>
      </c>
      <c r="AV712">
        <v>1010</v>
      </c>
      <c r="AW712">
        <f t="shared" si="277"/>
        <v>2991.3474835182506</v>
      </c>
      <c r="AX712">
        <f t="shared" si="278"/>
        <v>1.4613831970909077E-5</v>
      </c>
      <c r="AY712">
        <f t="shared" si="279"/>
        <v>1.7886648565539045E-3</v>
      </c>
      <c r="AZ712">
        <f t="shared" si="280"/>
        <v>39.887226301152069</v>
      </c>
      <c r="BA712">
        <f t="shared" si="281"/>
        <v>0.14739984622266461</v>
      </c>
    </row>
    <row r="713" spans="1:53" x14ac:dyDescent="0.25">
      <c r="A713" t="s">
        <v>4</v>
      </c>
      <c r="B713" t="s">
        <v>18</v>
      </c>
      <c r="C713">
        <v>20</v>
      </c>
      <c r="D713">
        <f t="shared" si="274"/>
        <v>801.34129034034584</v>
      </c>
      <c r="G713">
        <f t="shared" si="285"/>
        <v>455.35416666666424</v>
      </c>
      <c r="H713" s="7">
        <v>45170.354166666664</v>
      </c>
      <c r="L713">
        <v>9.1519242458172041</v>
      </c>
      <c r="M713">
        <v>0.72571428571428565</v>
      </c>
      <c r="N713">
        <v>11.993337034980232</v>
      </c>
      <c r="O713">
        <f t="shared" si="282"/>
        <v>18.223209328151558</v>
      </c>
      <c r="P713">
        <f t="shared" si="283"/>
        <v>16.601887840088423</v>
      </c>
      <c r="Q713">
        <v>46.818434203220214</v>
      </c>
      <c r="R713">
        <v>30.216546363131791</v>
      </c>
      <c r="S713">
        <v>7.5872915797263119</v>
      </c>
      <c r="T713">
        <v>2.226013</v>
      </c>
      <c r="U713">
        <v>4.1374473333333297</v>
      </c>
      <c r="V713">
        <v>10.881174499999998</v>
      </c>
      <c r="W713">
        <v>506.41250000000002</v>
      </c>
      <c r="X713">
        <v>9396.6450000000004</v>
      </c>
      <c r="Y713">
        <v>302.30500000000001</v>
      </c>
      <c r="Z713">
        <v>46.292000000000002</v>
      </c>
      <c r="AA713">
        <v>351.96500000000003</v>
      </c>
      <c r="AB713">
        <v>28.755000000000003</v>
      </c>
      <c r="AC713">
        <v>114.22999999999999</v>
      </c>
      <c r="AD713">
        <v>134.57</v>
      </c>
      <c r="AF713">
        <v>181.58</v>
      </c>
      <c r="AG713">
        <v>139.4</v>
      </c>
      <c r="AH713">
        <v>316.95</v>
      </c>
      <c r="AL713">
        <v>326.61</v>
      </c>
      <c r="AM713">
        <v>326.49</v>
      </c>
      <c r="AN713">
        <f t="shared" si="284"/>
        <v>2.9999999999972715E-2</v>
      </c>
      <c r="AO713">
        <f t="shared" si="192"/>
        <v>0.12000000000000455</v>
      </c>
      <c r="AP713">
        <v>46</v>
      </c>
      <c r="AQ713">
        <v>1010</v>
      </c>
      <c r="AR713">
        <v>22</v>
      </c>
      <c r="AS713">
        <v>34</v>
      </c>
      <c r="AT713">
        <f t="shared" si="275"/>
        <v>5.3137007027131622</v>
      </c>
      <c r="AU713">
        <f t="shared" si="276"/>
        <v>68.419999999999987</v>
      </c>
      <c r="AV713">
        <v>1010</v>
      </c>
      <c r="AW713">
        <f t="shared" si="277"/>
        <v>1689.0412160187082</v>
      </c>
      <c r="AX713">
        <f t="shared" si="278"/>
        <v>2.6247572420560352E-5</v>
      </c>
      <c r="AY713">
        <f t="shared" si="279"/>
        <v>2.5824480797534514E-3</v>
      </c>
      <c r="AZ713">
        <f t="shared" si="280"/>
        <v>57.588592178501969</v>
      </c>
      <c r="BA713">
        <f t="shared" si="281"/>
        <v>-0.48546986694679911</v>
      </c>
    </row>
    <row r="714" spans="1:53" x14ac:dyDescent="0.25">
      <c r="A714" t="s">
        <v>5</v>
      </c>
      <c r="B714" t="s">
        <v>18</v>
      </c>
      <c r="C714">
        <v>20</v>
      </c>
      <c r="D714">
        <f t="shared" si="274"/>
        <v>801.10570416253688</v>
      </c>
      <c r="G714">
        <f t="shared" si="285"/>
        <v>455.35416666666424</v>
      </c>
      <c r="H714" s="7">
        <v>45170.354166666664</v>
      </c>
      <c r="L714">
        <v>9.3574317407575212</v>
      </c>
      <c r="M714">
        <v>0.71714332947594661</v>
      </c>
      <c r="N714">
        <v>11.669680530439381</v>
      </c>
      <c r="O714">
        <f t="shared" si="282"/>
        <v>17.106690777577668</v>
      </c>
      <c r="P714">
        <f t="shared" si="283"/>
        <v>16.913803496081538</v>
      </c>
      <c r="Q714">
        <v>45.690174804098589</v>
      </c>
      <c r="R714">
        <v>28.776371308017051</v>
      </c>
      <c r="S714">
        <v>8.2713737993823955</v>
      </c>
      <c r="T714">
        <v>2.1778310000000003</v>
      </c>
      <c r="U714">
        <v>4.16052133333333</v>
      </c>
      <c r="V714">
        <v>11.241055000000001</v>
      </c>
      <c r="W714">
        <v>410.16499999999996</v>
      </c>
      <c r="X714">
        <v>9925.2999999999993</v>
      </c>
      <c r="Y714">
        <v>264.28500000000003</v>
      </c>
      <c r="Z714">
        <v>19.924999999999997</v>
      </c>
      <c r="AA714">
        <v>346.40499999999997</v>
      </c>
      <c r="AB714">
        <v>54.08</v>
      </c>
      <c r="AC714">
        <v>132.29000000000002</v>
      </c>
      <c r="AD714">
        <v>88.60499999999999</v>
      </c>
      <c r="AF714">
        <v>201.8</v>
      </c>
      <c r="AG714">
        <v>139.81</v>
      </c>
      <c r="AH714">
        <v>337.58</v>
      </c>
      <c r="AL714">
        <v>347.29</v>
      </c>
      <c r="AM714">
        <v>347.13</v>
      </c>
      <c r="AN714">
        <f t="shared" si="284"/>
        <v>3.999999999996362E-2</v>
      </c>
      <c r="AO714">
        <f t="shared" si="192"/>
        <v>0.16000000000002501</v>
      </c>
      <c r="AP714">
        <v>67</v>
      </c>
      <c r="AQ714">
        <v>1010</v>
      </c>
      <c r="AR714">
        <v>22</v>
      </c>
      <c r="AS714">
        <v>34</v>
      </c>
      <c r="AT714">
        <f t="shared" si="275"/>
        <v>5.3137007027131622</v>
      </c>
      <c r="AU714">
        <f t="shared" si="276"/>
        <v>48.199999999999989</v>
      </c>
      <c r="AV714">
        <v>1010</v>
      </c>
      <c r="AW714">
        <f t="shared" si="277"/>
        <v>2413.941908713693</v>
      </c>
      <c r="AX714">
        <f t="shared" si="278"/>
        <v>1.8188082449308112E-5</v>
      </c>
      <c r="AY714">
        <f t="shared" si="279"/>
        <v>2.3698716190436028E-3</v>
      </c>
      <c r="AZ714">
        <f t="shared" si="280"/>
        <v>52.84813710467234</v>
      </c>
      <c r="BA714">
        <f t="shared" si="281"/>
        <v>-0.31598631049954745</v>
      </c>
    </row>
    <row r="715" spans="1:53" x14ac:dyDescent="0.25">
      <c r="A715" t="s">
        <v>6</v>
      </c>
      <c r="B715" t="s">
        <v>18</v>
      </c>
      <c r="C715">
        <v>20</v>
      </c>
      <c r="D715">
        <f t="shared" si="274"/>
        <v>806.36694486423244</v>
      </c>
      <c r="G715">
        <f t="shared" si="285"/>
        <v>455.35416666666424</v>
      </c>
      <c r="H715" s="7">
        <v>45170.354166666664</v>
      </c>
      <c r="L715">
        <v>9.4610460093480722</v>
      </c>
      <c r="M715">
        <v>0.6846260114466155</v>
      </c>
      <c r="N715">
        <v>11.796643632773627</v>
      </c>
      <c r="O715">
        <f t="shared" si="282"/>
        <v>17.139684106613963</v>
      </c>
      <c r="P715">
        <f t="shared" si="283"/>
        <v>16.572063178677592</v>
      </c>
      <c r="Q715">
        <v>45.508390918065182</v>
      </c>
      <c r="R715">
        <v>28.93632773938759</v>
      </c>
      <c r="S715">
        <v>8.2531585905001155</v>
      </c>
      <c r="T715">
        <v>2.2774273333333297</v>
      </c>
      <c r="U715">
        <v>4.2720386666666696</v>
      </c>
      <c r="V715">
        <v>12.422245000000002</v>
      </c>
      <c r="W715">
        <v>617.82500000000005</v>
      </c>
      <c r="X715">
        <v>9837.77</v>
      </c>
      <c r="Y715">
        <v>265.875</v>
      </c>
      <c r="Z715">
        <v>90.08</v>
      </c>
      <c r="AA715">
        <v>1362.65</v>
      </c>
      <c r="AB715">
        <v>57.94</v>
      </c>
      <c r="AC715">
        <v>101.82499999999999</v>
      </c>
      <c r="AD715">
        <v>88.28</v>
      </c>
      <c r="AF715">
        <v>205.13</v>
      </c>
      <c r="AG715">
        <v>139.01</v>
      </c>
      <c r="AH715">
        <v>340.07</v>
      </c>
      <c r="AL715">
        <v>349.74</v>
      </c>
      <c r="AM715">
        <v>349.6</v>
      </c>
      <c r="AN715">
        <f t="shared" si="284"/>
        <v>2.4999999999977263E-2</v>
      </c>
      <c r="AO715">
        <f t="shared" si="192"/>
        <v>0.13999999999998636</v>
      </c>
      <c r="AP715">
        <v>62</v>
      </c>
      <c r="AQ715">
        <v>1010</v>
      </c>
      <c r="AR715">
        <v>22</v>
      </c>
      <c r="AS715">
        <v>34</v>
      </c>
      <c r="AT715">
        <f t="shared" si="275"/>
        <v>5.3137007027131622</v>
      </c>
      <c r="AU715">
        <f t="shared" si="276"/>
        <v>44.870000000000005</v>
      </c>
      <c r="AV715">
        <v>1010</v>
      </c>
      <c r="AW715">
        <f t="shared" si="277"/>
        <v>2405.5872520615112</v>
      </c>
      <c r="AX715">
        <f t="shared" si="278"/>
        <v>1.8252676879879513E-5</v>
      </c>
      <c r="AY715">
        <f t="shared" si="279"/>
        <v>2.2398118392489325E-3</v>
      </c>
      <c r="AZ715">
        <f t="shared" si="280"/>
        <v>49.947804015251194</v>
      </c>
      <c r="BA715">
        <f t="shared" si="281"/>
        <v>-0.21229188470687149</v>
      </c>
    </row>
    <row r="716" spans="1:53" x14ac:dyDescent="0.25">
      <c r="A716" t="s">
        <v>7</v>
      </c>
      <c r="B716" t="s">
        <v>18</v>
      </c>
      <c r="C716">
        <v>20</v>
      </c>
      <c r="D716">
        <f t="shared" si="274"/>
        <v>808.4126111892042</v>
      </c>
      <c r="G716">
        <f t="shared" si="285"/>
        <v>455.35416666666424</v>
      </c>
      <c r="H716" s="7">
        <v>45170.354166666664</v>
      </c>
      <c r="L716">
        <v>9.2751537354441975</v>
      </c>
      <c r="M716">
        <v>0.70364708451627</v>
      </c>
      <c r="N716">
        <v>11.109818520241705</v>
      </c>
      <c r="O716">
        <f t="shared" si="282"/>
        <v>16.949744067008083</v>
      </c>
      <c r="P716">
        <f t="shared" si="283"/>
        <v>15.867845509539123</v>
      </c>
      <c r="Q716">
        <v>43.927408096788909</v>
      </c>
      <c r="R716">
        <v>28.059562587249786</v>
      </c>
      <c r="S716">
        <v>8.1635653309560006</v>
      </c>
      <c r="T716">
        <v>2.3286229999999999</v>
      </c>
      <c r="U716">
        <v>4.3130159999999993</v>
      </c>
      <c r="V716">
        <v>12.911539999999999</v>
      </c>
      <c r="W716">
        <v>265.69499999999999</v>
      </c>
      <c r="X716">
        <v>11621.95</v>
      </c>
      <c r="Y716">
        <v>399.935</v>
      </c>
      <c r="Z716">
        <v>21.32</v>
      </c>
      <c r="AA716">
        <v>276.94499999999999</v>
      </c>
      <c r="AB716">
        <v>61.39</v>
      </c>
      <c r="AC716">
        <v>162.95500000000001</v>
      </c>
      <c r="AD716">
        <v>101.35</v>
      </c>
      <c r="AF716">
        <v>177.85000000000002</v>
      </c>
      <c r="AG716">
        <v>139.94999999999999</v>
      </c>
      <c r="AH716">
        <v>313.62</v>
      </c>
      <c r="AL716">
        <v>323.41000000000003</v>
      </c>
      <c r="AM716">
        <v>323.23</v>
      </c>
      <c r="AN716">
        <f t="shared" si="284"/>
        <v>1.999999999998181E-2</v>
      </c>
      <c r="AO716">
        <f t="shared" si="192"/>
        <v>0.18000000000000682</v>
      </c>
      <c r="AP716">
        <v>122</v>
      </c>
      <c r="AQ716">
        <v>1010</v>
      </c>
      <c r="AR716">
        <v>22</v>
      </c>
      <c r="AS716">
        <v>34</v>
      </c>
      <c r="AT716">
        <f t="shared" si="275"/>
        <v>5.3137007027131622</v>
      </c>
      <c r="AU716">
        <f t="shared" si="276"/>
        <v>72.149999999999977</v>
      </c>
      <c r="AV716">
        <v>1010</v>
      </c>
      <c r="AW716">
        <f t="shared" si="277"/>
        <v>2717.8309078309085</v>
      </c>
      <c r="AX716">
        <f t="shared" si="278"/>
        <v>1.6113863654528556E-5</v>
      </c>
      <c r="AY716">
        <f t="shared" si="279"/>
        <v>1.4592959724111011E-3</v>
      </c>
      <c r="AZ716">
        <f t="shared" si="280"/>
        <v>32.542300184767555</v>
      </c>
      <c r="BA716">
        <f t="shared" si="281"/>
        <v>0.40999999339408094</v>
      </c>
    </row>
    <row r="717" spans="1:53" x14ac:dyDescent="0.25">
      <c r="A717" t="s">
        <v>8</v>
      </c>
      <c r="B717" t="s">
        <v>19</v>
      </c>
      <c r="C717">
        <v>10</v>
      </c>
      <c r="D717">
        <f t="shared" si="274"/>
        <v>875.11597804672101</v>
      </c>
      <c r="G717">
        <f t="shared" si="285"/>
        <v>455.35416666666424</v>
      </c>
      <c r="H717" s="7">
        <v>45170.354166666664</v>
      </c>
      <c r="L717">
        <v>7.8743177974228873</v>
      </c>
      <c r="M717">
        <v>0.66680779000846746</v>
      </c>
      <c r="N717">
        <v>10.353535353535692</v>
      </c>
      <c r="O717">
        <f t="shared" si="282"/>
        <v>16.850321395775822</v>
      </c>
      <c r="P717">
        <f t="shared" si="283"/>
        <v>17.561983471074228</v>
      </c>
      <c r="Q717">
        <v>44.765840220385741</v>
      </c>
      <c r="R717">
        <v>27.203856749311512</v>
      </c>
      <c r="S717">
        <v>6.7452016878671666</v>
      </c>
      <c r="T717">
        <v>2.3337303333333299</v>
      </c>
      <c r="U717">
        <v>4.1422730000000003</v>
      </c>
      <c r="V717">
        <v>0.498002</v>
      </c>
      <c r="W717">
        <v>52</v>
      </c>
      <c r="X717">
        <v>173.5</v>
      </c>
      <c r="Y717">
        <v>5.09</v>
      </c>
      <c r="Z717">
        <v>0</v>
      </c>
      <c r="AA717">
        <v>9.0500000000000007</v>
      </c>
      <c r="AB717">
        <v>0</v>
      </c>
      <c r="AC717">
        <v>2.2970000000000002</v>
      </c>
      <c r="AD717">
        <v>256.065</v>
      </c>
      <c r="AF717">
        <v>142.11999999999998</v>
      </c>
      <c r="AG717">
        <v>139.71</v>
      </c>
      <c r="AH717">
        <v>275.83</v>
      </c>
      <c r="AL717">
        <v>285.57</v>
      </c>
      <c r="AM717">
        <v>285.36</v>
      </c>
      <c r="AN717">
        <f t="shared" si="284"/>
        <v>1.999999999998181E-2</v>
      </c>
      <c r="AO717">
        <f t="shared" si="192"/>
        <v>0.20999999999997954</v>
      </c>
      <c r="AP717">
        <v>113.5</v>
      </c>
      <c r="AQ717">
        <v>1010</v>
      </c>
      <c r="AR717">
        <v>22</v>
      </c>
      <c r="AS717">
        <v>34</v>
      </c>
      <c r="AT717">
        <f t="shared" si="275"/>
        <v>5.3137007027131622</v>
      </c>
      <c r="AU717">
        <f t="shared" si="276"/>
        <v>107.88000000000002</v>
      </c>
      <c r="AV717">
        <v>1010</v>
      </c>
      <c r="AW717">
        <f t="shared" si="277"/>
        <v>2072.6158694846126</v>
      </c>
      <c r="AX717">
        <f t="shared" si="278"/>
        <v>2.1262175602251423E-5</v>
      </c>
      <c r="AY717">
        <f t="shared" si="279"/>
        <v>1.8289580887147488E-3</v>
      </c>
      <c r="AZ717">
        <f t="shared" si="280"/>
        <v>40.785765378338894</v>
      </c>
      <c r="BA717">
        <f t="shared" si="281"/>
        <v>0.11527474514340737</v>
      </c>
    </row>
    <row r="718" spans="1:53" x14ac:dyDescent="0.25">
      <c r="A718" t="s">
        <v>9</v>
      </c>
      <c r="B718" t="s">
        <v>19</v>
      </c>
      <c r="C718">
        <v>10</v>
      </c>
      <c r="D718">
        <f t="shared" si="274"/>
        <v>882.13672848555916</v>
      </c>
      <c r="G718">
        <f t="shared" si="285"/>
        <v>455.35416666666424</v>
      </c>
      <c r="H718" s="7">
        <v>45170.354166666664</v>
      </c>
      <c r="L718">
        <v>8.1040892193308558</v>
      </c>
      <c r="M718">
        <v>0.65924276169265028</v>
      </c>
      <c r="N718">
        <v>9.3041978148360833</v>
      </c>
      <c r="O718">
        <f t="shared" si="282"/>
        <v>15.72167912593417</v>
      </c>
      <c r="P718">
        <f t="shared" si="283"/>
        <v>16.791259344450921</v>
      </c>
      <c r="Q718">
        <v>41.817136285221174</v>
      </c>
      <c r="R718">
        <v>25.025876940770253</v>
      </c>
      <c r="S718">
        <v>6.6940205878715249</v>
      </c>
      <c r="T718">
        <v>2.3305516666666701</v>
      </c>
      <c r="U718">
        <v>3.9762586666666699</v>
      </c>
      <c r="V718">
        <v>0.68967199999999995</v>
      </c>
      <c r="W718">
        <v>62.64</v>
      </c>
      <c r="X718">
        <v>50.53</v>
      </c>
      <c r="Y718">
        <v>6.6334999999999997</v>
      </c>
      <c r="Z718">
        <v>0</v>
      </c>
      <c r="AA718">
        <v>498.37</v>
      </c>
      <c r="AB718">
        <v>0</v>
      </c>
      <c r="AC718">
        <v>10.823499999999999</v>
      </c>
      <c r="AD718">
        <v>60.674999999999997</v>
      </c>
      <c r="AF718">
        <v>136.42000000000002</v>
      </c>
      <c r="AG718">
        <v>139.75</v>
      </c>
      <c r="AH718">
        <v>270.52</v>
      </c>
      <c r="AL718">
        <v>280.36</v>
      </c>
      <c r="AM718">
        <v>280.13</v>
      </c>
      <c r="AN718">
        <f t="shared" si="284"/>
        <v>5.0000000000011369E-2</v>
      </c>
      <c r="AO718">
        <f t="shared" si="192"/>
        <v>0.23000000000001819</v>
      </c>
      <c r="AP718">
        <v>119.5</v>
      </c>
      <c r="AQ718">
        <v>1010</v>
      </c>
      <c r="AR718">
        <v>22</v>
      </c>
      <c r="AS718">
        <v>34</v>
      </c>
      <c r="AT718">
        <f t="shared" si="275"/>
        <v>5.3137007027131622</v>
      </c>
      <c r="AU718">
        <f t="shared" si="276"/>
        <v>113.57999999999998</v>
      </c>
      <c r="AV718">
        <v>1010</v>
      </c>
      <c r="AW718">
        <f t="shared" si="277"/>
        <v>2072.6430709631977</v>
      </c>
      <c r="AX718">
        <f t="shared" si="278"/>
        <v>2.1261889214097085E-5</v>
      </c>
      <c r="AY718">
        <f t="shared" si="279"/>
        <v>1.9034243032546743E-3</v>
      </c>
      <c r="AZ718">
        <f t="shared" si="280"/>
        <v>42.446361962579239</v>
      </c>
      <c r="BA718">
        <f t="shared" si="281"/>
        <v>5.5904112885976368E-2</v>
      </c>
    </row>
    <row r="719" spans="1:53" x14ac:dyDescent="0.25">
      <c r="A719" t="s">
        <v>10</v>
      </c>
      <c r="B719" t="s">
        <v>19</v>
      </c>
      <c r="C719">
        <v>10</v>
      </c>
      <c r="D719">
        <f t="shared" si="274"/>
        <v>878.84046160373362</v>
      </c>
      <c r="G719">
        <f t="shared" si="285"/>
        <v>455.35416666666424</v>
      </c>
      <c r="H719" s="7">
        <v>45170.354166666664</v>
      </c>
      <c r="L719">
        <v>7.8585798056756406</v>
      </c>
      <c r="M719">
        <v>0.67050691244239635</v>
      </c>
      <c r="N719">
        <v>10.31850172969115</v>
      </c>
      <c r="O719">
        <f t="shared" si="282"/>
        <v>16.282953596564241</v>
      </c>
      <c r="P719">
        <f t="shared" si="283"/>
        <v>16.247166885363512</v>
      </c>
      <c r="Q719">
        <v>42.848622211618903</v>
      </c>
      <c r="R719">
        <v>26.60145532625539</v>
      </c>
      <c r="S719">
        <v>6.2521381829898042</v>
      </c>
      <c r="T719">
        <v>2.5164659999999999</v>
      </c>
      <c r="U719">
        <v>4.1627763333333299</v>
      </c>
      <c r="V719">
        <v>0.71755750000000007</v>
      </c>
      <c r="W719">
        <v>47.707999999999998</v>
      </c>
      <c r="X719">
        <v>21.54</v>
      </c>
      <c r="Y719">
        <v>0</v>
      </c>
      <c r="Z719">
        <v>0</v>
      </c>
      <c r="AA719">
        <v>504.625</v>
      </c>
      <c r="AB719">
        <v>0</v>
      </c>
      <c r="AC719">
        <v>7.2145000000000001</v>
      </c>
      <c r="AD719">
        <v>136.47</v>
      </c>
      <c r="AF719">
        <v>117.85000000000002</v>
      </c>
      <c r="AG719">
        <v>140.44999999999999</v>
      </c>
      <c r="AH719">
        <v>253.03</v>
      </c>
      <c r="AL719">
        <v>262.79000000000002</v>
      </c>
      <c r="AM719">
        <v>262.52999999999997</v>
      </c>
      <c r="AN719">
        <f t="shared" si="284"/>
        <v>3.4999999999968168E-2</v>
      </c>
      <c r="AO719">
        <f t="shared" si="192"/>
        <v>0.26000000000004775</v>
      </c>
      <c r="AP719">
        <v>116</v>
      </c>
      <c r="AQ719">
        <v>1010</v>
      </c>
      <c r="AR719">
        <v>22</v>
      </c>
      <c r="AS719">
        <v>34</v>
      </c>
      <c r="AT719">
        <f t="shared" si="275"/>
        <v>5.3137007027131622</v>
      </c>
      <c r="AU719">
        <f t="shared" si="276"/>
        <v>132.14999999999998</v>
      </c>
      <c r="AV719">
        <v>1010</v>
      </c>
      <c r="AW719">
        <f t="shared" si="277"/>
        <v>1896.568293605751</v>
      </c>
      <c r="AX719">
        <f t="shared" si="278"/>
        <v>2.3292712080578354E-5</v>
      </c>
      <c r="AY719">
        <f t="shared" si="279"/>
        <v>2.2180865982646607E-3</v>
      </c>
      <c r="AZ719">
        <f t="shared" si="280"/>
        <v>49.463331141301936</v>
      </c>
      <c r="BA719">
        <f t="shared" si="281"/>
        <v>-0.194970723679011</v>
      </c>
    </row>
    <row r="720" spans="1:53" x14ac:dyDescent="0.25">
      <c r="A720" t="s">
        <v>11</v>
      </c>
      <c r="B720" t="s">
        <v>19</v>
      </c>
      <c r="C720">
        <v>10</v>
      </c>
      <c r="D720">
        <f t="shared" si="274"/>
        <v>865.70142099879104</v>
      </c>
      <c r="G720">
        <f t="shared" si="285"/>
        <v>455.35416666666424</v>
      </c>
      <c r="H720" s="7">
        <v>45170.354166666664</v>
      </c>
      <c r="L720">
        <v>9.4769874476987486</v>
      </c>
      <c r="M720">
        <v>0.66605420303169494</v>
      </c>
      <c r="N720">
        <v>10.722364650882412</v>
      </c>
      <c r="O720">
        <f t="shared" si="282"/>
        <v>18.066656612879122</v>
      </c>
      <c r="P720">
        <f t="shared" si="283"/>
        <v>17.448348665359191</v>
      </c>
      <c r="Q720">
        <v>46.237369929120725</v>
      </c>
      <c r="R720">
        <v>28.789021263761533</v>
      </c>
      <c r="S720">
        <v>5.9280172995812945</v>
      </c>
      <c r="T720">
        <v>3.0217640000000001</v>
      </c>
      <c r="U720">
        <v>5.2464226666666702</v>
      </c>
      <c r="V720">
        <v>0.16341749999999999</v>
      </c>
      <c r="W720">
        <v>53.225000000000001</v>
      </c>
      <c r="X720">
        <v>26.939999999999998</v>
      </c>
      <c r="Y720">
        <v>0</v>
      </c>
      <c r="Z720">
        <v>0</v>
      </c>
      <c r="AA720">
        <v>8.8625000000000007</v>
      </c>
      <c r="AB720">
        <v>0</v>
      </c>
      <c r="AC720">
        <v>12.315</v>
      </c>
      <c r="AD720">
        <v>62.075000000000003</v>
      </c>
      <c r="AF720">
        <v>107.53</v>
      </c>
      <c r="AG720">
        <v>140</v>
      </c>
      <c r="AH720">
        <v>242.78</v>
      </c>
      <c r="AL720">
        <v>252.73</v>
      </c>
      <c r="AM720">
        <v>252.42</v>
      </c>
      <c r="AN720">
        <f t="shared" si="284"/>
        <v>9.0000000000003411E-2</v>
      </c>
      <c r="AO720">
        <f t="shared" si="192"/>
        <v>0.31000000000000227</v>
      </c>
      <c r="AP720">
        <v>156.5</v>
      </c>
      <c r="AQ720">
        <v>1010</v>
      </c>
      <c r="AR720">
        <v>22</v>
      </c>
      <c r="AS720">
        <v>34</v>
      </c>
      <c r="AT720">
        <f t="shared" si="275"/>
        <v>5.3137007027131622</v>
      </c>
      <c r="AU720">
        <f t="shared" si="276"/>
        <v>142.47</v>
      </c>
      <c r="AV720">
        <v>1010</v>
      </c>
      <c r="AW720">
        <f t="shared" si="277"/>
        <v>2119.4616410472381</v>
      </c>
      <c r="AX720">
        <f t="shared" si="278"/>
        <v>2.078013952486621E-5</v>
      </c>
      <c r="AY720">
        <f t="shared" si="279"/>
        <v>1.9600505314016658E-3</v>
      </c>
      <c r="AZ720">
        <f t="shared" si="280"/>
        <v>43.709126850257149</v>
      </c>
      <c r="BA720">
        <f t="shared" si="281"/>
        <v>1.075699498544328E-2</v>
      </c>
    </row>
    <row r="721" spans="1:53" x14ac:dyDescent="0.25">
      <c r="A721" t="s">
        <v>12</v>
      </c>
      <c r="B721" t="s">
        <v>19</v>
      </c>
      <c r="C721">
        <v>20</v>
      </c>
      <c r="D721">
        <f t="shared" si="274"/>
        <v>719.87094215480238</v>
      </c>
      <c r="G721">
        <f t="shared" si="285"/>
        <v>455.35416666666424</v>
      </c>
      <c r="H721" s="7">
        <v>45170.354166666664</v>
      </c>
      <c r="L721">
        <v>8.4429448531445317</v>
      </c>
      <c r="M721">
        <v>0.61986681465038851</v>
      </c>
      <c r="N721">
        <v>12.897968053895134</v>
      </c>
      <c r="O721">
        <f t="shared" si="282"/>
        <v>17.700749755514558</v>
      </c>
      <c r="P721">
        <f t="shared" si="283"/>
        <v>16.103444528958249</v>
      </c>
      <c r="Q721">
        <v>46.702162338367941</v>
      </c>
      <c r="R721">
        <v>30.598717809409692</v>
      </c>
      <c r="S721">
        <v>5.4376848879149113</v>
      </c>
      <c r="T721">
        <v>0.74539466666666698</v>
      </c>
      <c r="U721">
        <v>1.91043933333333</v>
      </c>
      <c r="V721">
        <v>0.11882049999999998</v>
      </c>
      <c r="W721">
        <v>29.335000000000001</v>
      </c>
      <c r="X721">
        <v>13.472999999999999</v>
      </c>
      <c r="Y721">
        <v>0</v>
      </c>
      <c r="Z721">
        <v>0</v>
      </c>
      <c r="AA721">
        <v>2.9525000000000001</v>
      </c>
      <c r="AB721">
        <v>0</v>
      </c>
      <c r="AC721">
        <v>39.954999999999998</v>
      </c>
      <c r="AD721">
        <v>33.104999999999997</v>
      </c>
      <c r="AF721">
        <v>109.43</v>
      </c>
      <c r="AG721">
        <v>140.19999999999999</v>
      </c>
      <c r="AH721">
        <v>247.02</v>
      </c>
      <c r="AL721">
        <v>256.64</v>
      </c>
      <c r="AM721">
        <v>256.52999999999997</v>
      </c>
      <c r="AN721">
        <f t="shared" si="284"/>
        <v>2.0000000000038654E-2</v>
      </c>
      <c r="AO721">
        <f t="shared" si="192"/>
        <v>0.11000000000001364</v>
      </c>
      <c r="AP721">
        <v>44</v>
      </c>
      <c r="AQ721">
        <v>1010</v>
      </c>
      <c r="AR721">
        <v>22</v>
      </c>
      <c r="AS721">
        <v>34</v>
      </c>
      <c r="AT721">
        <f t="shared" si="275"/>
        <v>5.3137007027131622</v>
      </c>
      <c r="AU721">
        <f t="shared" si="276"/>
        <v>140.57</v>
      </c>
      <c r="AV721">
        <v>1010</v>
      </c>
      <c r="AW721">
        <f t="shared" si="277"/>
        <v>1326.1414242014655</v>
      </c>
      <c r="AX721">
        <f t="shared" si="278"/>
        <v>3.3730059078597541E-5</v>
      </c>
      <c r="AY721">
        <f t="shared" si="279"/>
        <v>2.4662699409217126E-3</v>
      </c>
      <c r="AZ721">
        <f t="shared" si="280"/>
        <v>54.997819682554194</v>
      </c>
      <c r="BA721">
        <f t="shared" si="281"/>
        <v>-0.39284303477133348</v>
      </c>
    </row>
    <row r="722" spans="1:53" x14ac:dyDescent="0.25">
      <c r="A722" t="s">
        <v>13</v>
      </c>
      <c r="B722" t="s">
        <v>19</v>
      </c>
      <c r="C722">
        <v>20</v>
      </c>
      <c r="D722">
        <f t="shared" si="274"/>
        <v>753.84087701690726</v>
      </c>
      <c r="G722">
        <f t="shared" si="285"/>
        <v>455.35416666666424</v>
      </c>
      <c r="H722" s="7">
        <v>45170.354166666664</v>
      </c>
      <c r="L722">
        <v>8.1510300401811335</v>
      </c>
      <c r="M722">
        <v>0.58682634730538941</v>
      </c>
      <c r="N722">
        <v>11.721089405389016</v>
      </c>
      <c r="O722">
        <f t="shared" si="282"/>
        <v>17.938114929417544</v>
      </c>
      <c r="P722">
        <f t="shared" si="283"/>
        <v>15.870526165692276</v>
      </c>
      <c r="Q722">
        <v>45.529730500498836</v>
      </c>
      <c r="R722">
        <v>29.65920433480656</v>
      </c>
      <c r="S722">
        <v>5.2054292023081352</v>
      </c>
      <c r="T722">
        <v>0.73604233333333302</v>
      </c>
      <c r="U722">
        <v>1.86139233333333</v>
      </c>
      <c r="V722">
        <v>8.9843900000000004E-2</v>
      </c>
      <c r="W722">
        <v>29.655000000000001</v>
      </c>
      <c r="X722">
        <v>8.6404999999999994</v>
      </c>
      <c r="Y722">
        <v>0</v>
      </c>
      <c r="Z722">
        <v>0</v>
      </c>
      <c r="AA722">
        <v>1.1554</v>
      </c>
      <c r="AB722">
        <v>2.2437499999999999</v>
      </c>
      <c r="AC722">
        <v>31.952750000000002</v>
      </c>
      <c r="AD722">
        <v>16.1965</v>
      </c>
      <c r="AF722">
        <v>129.52999999999997</v>
      </c>
      <c r="AG722">
        <v>140.24</v>
      </c>
      <c r="AH722">
        <v>267.20999999999998</v>
      </c>
      <c r="AL722">
        <v>276.83999999999997</v>
      </c>
      <c r="AM722">
        <v>276.73</v>
      </c>
      <c r="AN722">
        <f t="shared" si="284"/>
        <v>2.0000000000038654E-2</v>
      </c>
      <c r="AO722">
        <f t="shared" si="192"/>
        <v>0.1099999999999568</v>
      </c>
      <c r="AP722">
        <v>39</v>
      </c>
      <c r="AQ722">
        <v>1010</v>
      </c>
      <c r="AR722">
        <v>22</v>
      </c>
      <c r="AS722">
        <v>34</v>
      </c>
      <c r="AT722">
        <f t="shared" si="275"/>
        <v>5.3137007027131622</v>
      </c>
      <c r="AU722">
        <f t="shared" si="276"/>
        <v>120.47000000000003</v>
      </c>
      <c r="AV722">
        <v>1010</v>
      </c>
      <c r="AW722">
        <f t="shared" si="277"/>
        <v>1336.9693699676268</v>
      </c>
      <c r="AX722">
        <f t="shared" si="278"/>
        <v>3.3445577038001558E-5</v>
      </c>
      <c r="AY722">
        <f t="shared" si="279"/>
        <v>2.7870672434737111E-3</v>
      </c>
      <c r="AZ722">
        <f t="shared" si="280"/>
        <v>62.151599529463759</v>
      </c>
      <c r="BA722">
        <f t="shared" si="281"/>
        <v>-0.64860920734586203</v>
      </c>
    </row>
    <row r="723" spans="1:53" x14ac:dyDescent="0.25">
      <c r="A723" t="s">
        <v>14</v>
      </c>
      <c r="B723" t="s">
        <v>19</v>
      </c>
      <c r="C723">
        <v>20</v>
      </c>
      <c r="D723">
        <f t="shared" si="274"/>
        <v>722.57055108096642</v>
      </c>
      <c r="G723">
        <f t="shared" si="285"/>
        <v>455.35416666666424</v>
      </c>
      <c r="H723" s="7">
        <v>45170.354166666664</v>
      </c>
      <c r="L723">
        <v>8.5111352301922025</v>
      </c>
      <c r="M723">
        <v>0.62456866804692912</v>
      </c>
      <c r="N723">
        <v>11.894816783747798</v>
      </c>
      <c r="O723">
        <f t="shared" si="282"/>
        <v>18.302639073476207</v>
      </c>
      <c r="P723">
        <f t="shared" si="283"/>
        <v>15.274349724701121</v>
      </c>
      <c r="Q723">
        <v>45.471805581925125</v>
      </c>
      <c r="R723">
        <v>30.197455857224003</v>
      </c>
      <c r="S723">
        <v>4.8149707648695417</v>
      </c>
      <c r="T723">
        <v>0.54857733333333292</v>
      </c>
      <c r="U723">
        <v>1.6409899999999999</v>
      </c>
      <c r="V723">
        <v>8.7294534999999993E-2</v>
      </c>
      <c r="W723">
        <v>31.463934999999999</v>
      </c>
      <c r="X723">
        <v>8.889800000000001</v>
      </c>
      <c r="Y723">
        <v>0</v>
      </c>
      <c r="Z723">
        <v>0</v>
      </c>
      <c r="AA723">
        <v>0.64880000000000004</v>
      </c>
      <c r="AB723">
        <v>0</v>
      </c>
      <c r="AC723">
        <v>21.71</v>
      </c>
      <c r="AD723">
        <v>24.582000000000001</v>
      </c>
      <c r="AF723">
        <v>94.359999999999985</v>
      </c>
      <c r="AG723">
        <v>138.74</v>
      </c>
      <c r="AH723">
        <v>230.88</v>
      </c>
      <c r="AL723">
        <v>240.43</v>
      </c>
      <c r="AM723">
        <v>240.37</v>
      </c>
      <c r="AN723">
        <f t="shared" si="284"/>
        <v>9.9999999999909051E-3</v>
      </c>
      <c r="AO723">
        <f t="shared" si="192"/>
        <v>6.0000000000002274E-2</v>
      </c>
      <c r="AP723">
        <v>22</v>
      </c>
      <c r="AQ723">
        <v>1010</v>
      </c>
      <c r="AR723">
        <v>22</v>
      </c>
      <c r="AS723">
        <v>34</v>
      </c>
      <c r="AT723">
        <f t="shared" si="275"/>
        <v>5.3137007027131622</v>
      </c>
      <c r="AU723">
        <f t="shared" si="276"/>
        <v>155.64000000000001</v>
      </c>
      <c r="AV723">
        <v>1010</v>
      </c>
      <c r="AW723">
        <f t="shared" si="277"/>
        <v>1152.7653559496273</v>
      </c>
      <c r="AX723">
        <f t="shared" si="278"/>
        <v>3.9048205914917092E-5</v>
      </c>
      <c r="AY723">
        <f t="shared" si="279"/>
        <v>2.6882245213579138E-3</v>
      </c>
      <c r="AZ723">
        <f t="shared" si="280"/>
        <v>59.94740682628148</v>
      </c>
      <c r="BA723">
        <f t="shared" si="281"/>
        <v>-0.56980360480091108</v>
      </c>
    </row>
    <row r="724" spans="1:53" x14ac:dyDescent="0.25">
      <c r="A724" t="s">
        <v>15</v>
      </c>
      <c r="B724" t="s">
        <v>19</v>
      </c>
      <c r="C724">
        <v>20</v>
      </c>
      <c r="D724">
        <f t="shared" si="274"/>
        <v>701.88878688524585</v>
      </c>
      <c r="G724">
        <f t="shared" si="285"/>
        <v>455.35416666666424</v>
      </c>
      <c r="H724" s="7">
        <v>45170.354166666664</v>
      </c>
      <c r="L724">
        <v>11.502964041035108</v>
      </c>
      <c r="M724">
        <v>0.60235947258847988</v>
      </c>
      <c r="N724">
        <v>12.235126324368094</v>
      </c>
      <c r="O724">
        <f t="shared" si="282"/>
        <v>18.602281988590128</v>
      </c>
      <c r="P724">
        <f t="shared" si="283"/>
        <v>16.045232273838877</v>
      </c>
      <c r="Q724">
        <v>46.882640586797102</v>
      </c>
      <c r="R724">
        <v>30.837408312958225</v>
      </c>
      <c r="S724">
        <v>5.4011734999465713</v>
      </c>
      <c r="T724">
        <v>0.86287566666666704</v>
      </c>
      <c r="U724">
        <v>2.1615463333333302</v>
      </c>
      <c r="V724">
        <v>7.76255E-2</v>
      </c>
      <c r="W724">
        <v>34.286500000000004</v>
      </c>
      <c r="X724">
        <v>8.032</v>
      </c>
      <c r="Y724">
        <v>0</v>
      </c>
      <c r="Z724">
        <v>0</v>
      </c>
      <c r="AA724">
        <v>0</v>
      </c>
      <c r="AB724">
        <v>0</v>
      </c>
      <c r="AC724">
        <v>31.401499999999999</v>
      </c>
      <c r="AD724">
        <v>3.9055</v>
      </c>
      <c r="AF724">
        <v>85.4</v>
      </c>
      <c r="AG724">
        <v>140.1</v>
      </c>
      <c r="AH724">
        <v>222.98</v>
      </c>
      <c r="AL724">
        <v>232.62</v>
      </c>
      <c r="AM724">
        <v>232.53</v>
      </c>
      <c r="AN724">
        <f t="shared" si="284"/>
        <v>1.999999999998181E-2</v>
      </c>
      <c r="AO724">
        <f t="shared" si="192"/>
        <v>9.0000000000003411E-2</v>
      </c>
      <c r="AP724">
        <v>38</v>
      </c>
      <c r="AQ724">
        <v>1010</v>
      </c>
      <c r="AR724">
        <v>22</v>
      </c>
      <c r="AS724">
        <v>34</v>
      </c>
      <c r="AT724">
        <f t="shared" si="275"/>
        <v>5.3137007027131622</v>
      </c>
      <c r="AU724">
        <f t="shared" si="276"/>
        <v>164.6</v>
      </c>
      <c r="AV724">
        <v>1010</v>
      </c>
      <c r="AW724">
        <f t="shared" si="277"/>
        <v>1243.1713244228433</v>
      </c>
      <c r="AX724">
        <f t="shared" si="278"/>
        <v>3.6081744510169405E-5</v>
      </c>
      <c r="AY724">
        <f t="shared" si="279"/>
        <v>2.3323393081214993E-3</v>
      </c>
      <c r="AZ724">
        <f t="shared" si="280"/>
        <v>52.011166571109435</v>
      </c>
      <c r="BA724">
        <f t="shared" si="281"/>
        <v>-0.28606244444438461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17"/>
  <sheetViews>
    <sheetView workbookViewId="0">
      <selection activeCell="F2" sqref="F2:F17"/>
    </sheetView>
  </sheetViews>
  <sheetFormatPr defaultRowHeight="15" x14ac:dyDescent="0.25"/>
  <sheetData>
    <row r="1" spans="1:6" x14ac:dyDescent="0.25">
      <c r="B1" t="s">
        <v>47</v>
      </c>
      <c r="C1" t="s">
        <v>96</v>
      </c>
      <c r="D1" t="s">
        <v>97</v>
      </c>
      <c r="E1" t="s">
        <v>98</v>
      </c>
      <c r="F1" t="s">
        <v>54</v>
      </c>
    </row>
    <row r="2" spans="1:6" x14ac:dyDescent="0.25">
      <c r="A2" t="s">
        <v>0</v>
      </c>
      <c r="B2">
        <v>20.869900000000001</v>
      </c>
      <c r="C2">
        <v>22.2241</v>
      </c>
      <c r="D2">
        <v>21.109100000000002</v>
      </c>
      <c r="E2">
        <f>(D2-B2)/(C2-B2) * 100</f>
        <v>17.663565204548849</v>
      </c>
      <c r="F2">
        <f>(100-E2)/100</f>
        <v>0.82336434795451152</v>
      </c>
    </row>
    <row r="3" spans="1:6" x14ac:dyDescent="0.25">
      <c r="A3" t="s">
        <v>1</v>
      </c>
      <c r="B3">
        <v>35.946800000000003</v>
      </c>
      <c r="C3">
        <v>38.2134</v>
      </c>
      <c r="D3">
        <v>36.353400000000001</v>
      </c>
      <c r="E3">
        <f t="shared" ref="E3:E17" si="0">(D3-B3)/(C3-B3) * 100</f>
        <v>17.938762904791229</v>
      </c>
      <c r="F3">
        <f t="shared" ref="F3:F17" si="1">(100-E3)/100</f>
        <v>0.82061237095208772</v>
      </c>
    </row>
    <row r="4" spans="1:6" x14ac:dyDescent="0.25">
      <c r="A4" t="s">
        <v>2</v>
      </c>
      <c r="B4">
        <v>25.717099999999999</v>
      </c>
      <c r="C4">
        <v>28.474699999999999</v>
      </c>
      <c r="D4">
        <v>26.221399999999999</v>
      </c>
      <c r="E4">
        <f t="shared" si="0"/>
        <v>18.287641427328133</v>
      </c>
      <c r="F4">
        <f t="shared" si="1"/>
        <v>0.81712358572671862</v>
      </c>
    </row>
    <row r="5" spans="1:6" x14ac:dyDescent="0.25">
      <c r="A5" t="s">
        <v>3</v>
      </c>
      <c r="B5">
        <v>23.787199999999999</v>
      </c>
      <c r="C5">
        <v>26.3383</v>
      </c>
      <c r="D5">
        <v>24.249300000000002</v>
      </c>
      <c r="E5">
        <f t="shared" si="0"/>
        <v>18.113754850848764</v>
      </c>
      <c r="F5">
        <f t="shared" si="1"/>
        <v>0.81886245149151238</v>
      </c>
    </row>
    <row r="6" spans="1:6" x14ac:dyDescent="0.25">
      <c r="A6" t="s">
        <v>4</v>
      </c>
      <c r="B6">
        <v>31.709199999999999</v>
      </c>
      <c r="C6">
        <v>34.271799999999999</v>
      </c>
      <c r="D6">
        <v>32.273800000000001</v>
      </c>
      <c r="E6">
        <f t="shared" si="0"/>
        <v>22.032310934207533</v>
      </c>
      <c r="F6">
        <f t="shared" si="1"/>
        <v>0.77967689065792467</v>
      </c>
    </row>
    <row r="7" spans="1:6" x14ac:dyDescent="0.25">
      <c r="A7" t="s">
        <v>5</v>
      </c>
      <c r="B7">
        <v>42.098999999999997</v>
      </c>
      <c r="C7">
        <v>44.5486</v>
      </c>
      <c r="D7">
        <v>42.627899999999997</v>
      </c>
      <c r="E7">
        <f t="shared" si="0"/>
        <v>21.591280209013689</v>
      </c>
      <c r="F7">
        <f t="shared" si="1"/>
        <v>0.78408719790986314</v>
      </c>
    </row>
    <row r="8" spans="1:6" x14ac:dyDescent="0.25">
      <c r="A8" t="s">
        <v>6</v>
      </c>
      <c r="B8">
        <v>28.2805</v>
      </c>
      <c r="C8">
        <v>30.742100000000001</v>
      </c>
      <c r="D8">
        <v>28.8184</v>
      </c>
      <c r="E8">
        <f t="shared" si="0"/>
        <v>21.851641208969792</v>
      </c>
      <c r="F8">
        <f t="shared" si="1"/>
        <v>0.78148358791030204</v>
      </c>
    </row>
    <row r="9" spans="1:6" x14ac:dyDescent="0.25">
      <c r="A9" t="s">
        <v>7</v>
      </c>
      <c r="B9">
        <v>26.5198</v>
      </c>
      <c r="C9">
        <v>28.636199999999999</v>
      </c>
      <c r="D9">
        <v>27.017299999999999</v>
      </c>
      <c r="E9">
        <f t="shared" si="0"/>
        <v>23.506898506898459</v>
      </c>
      <c r="F9">
        <f t="shared" si="1"/>
        <v>0.76493101493101534</v>
      </c>
    </row>
    <row r="10" spans="1:6" x14ac:dyDescent="0.25">
      <c r="A10" t="s">
        <v>8</v>
      </c>
      <c r="B10">
        <v>36.538600000000002</v>
      </c>
      <c r="C10">
        <v>38.338999999999999</v>
      </c>
      <c r="D10">
        <v>36.907499999999999</v>
      </c>
      <c r="E10">
        <f t="shared" si="0"/>
        <v>20.489891135303111</v>
      </c>
      <c r="F10">
        <f t="shared" si="1"/>
        <v>0.79510108864696893</v>
      </c>
    </row>
    <row r="11" spans="1:6" x14ac:dyDescent="0.25">
      <c r="A11" t="s">
        <v>9</v>
      </c>
      <c r="B11">
        <v>26.422599999999999</v>
      </c>
      <c r="C11">
        <v>28.005400000000002</v>
      </c>
      <c r="D11">
        <v>26.9832</v>
      </c>
      <c r="E11">
        <f t="shared" si="0"/>
        <v>35.418246146070253</v>
      </c>
      <c r="F11">
        <f t="shared" si="1"/>
        <v>0.64581753853929735</v>
      </c>
    </row>
    <row r="12" spans="1:6" x14ac:dyDescent="0.25">
      <c r="A12" t="s">
        <v>10</v>
      </c>
      <c r="B12">
        <v>22.398700000000002</v>
      </c>
      <c r="C12">
        <v>24.562100000000001</v>
      </c>
      <c r="D12">
        <v>22.849900000000002</v>
      </c>
      <c r="E12">
        <f t="shared" si="0"/>
        <v>20.856059905703994</v>
      </c>
      <c r="F12">
        <f t="shared" si="1"/>
        <v>0.79143940094295995</v>
      </c>
    </row>
    <row r="13" spans="1:6" x14ac:dyDescent="0.25">
      <c r="A13" t="s">
        <v>11</v>
      </c>
      <c r="B13">
        <v>22.7712</v>
      </c>
      <c r="C13">
        <v>25.5458</v>
      </c>
      <c r="D13">
        <v>23.388999999999999</v>
      </c>
      <c r="E13">
        <f t="shared" si="0"/>
        <v>22.266272615872527</v>
      </c>
      <c r="F13">
        <f t="shared" si="1"/>
        <v>0.77733727384127471</v>
      </c>
    </row>
    <row r="14" spans="1:6" x14ac:dyDescent="0.25">
      <c r="A14" t="s">
        <v>12</v>
      </c>
      <c r="B14">
        <v>21.5581</v>
      </c>
      <c r="C14">
        <v>23.828199999999999</v>
      </c>
      <c r="D14">
        <v>22.165199999999999</v>
      </c>
      <c r="E14">
        <f t="shared" si="0"/>
        <v>26.743315272454925</v>
      </c>
      <c r="F14">
        <f t="shared" si="1"/>
        <v>0.73256684727545074</v>
      </c>
    </row>
    <row r="15" spans="1:6" x14ac:dyDescent="0.25">
      <c r="A15" t="s">
        <v>13</v>
      </c>
      <c r="B15">
        <v>21.598700000000001</v>
      </c>
      <c r="C15">
        <v>24.101299999999998</v>
      </c>
      <c r="D15">
        <v>22.284600000000001</v>
      </c>
      <c r="E15">
        <f t="shared" si="0"/>
        <v>27.407496203947929</v>
      </c>
      <c r="F15">
        <f t="shared" si="1"/>
        <v>0.72592503796052066</v>
      </c>
    </row>
    <row r="16" spans="1:6" x14ac:dyDescent="0.25">
      <c r="A16" t="s">
        <v>14</v>
      </c>
      <c r="B16">
        <v>26.008700000000001</v>
      </c>
      <c r="C16">
        <v>28.766100000000002</v>
      </c>
      <c r="D16">
        <v>26.775400000000001</v>
      </c>
      <c r="E16">
        <f t="shared" si="0"/>
        <v>27.805178791615294</v>
      </c>
      <c r="F16">
        <f t="shared" si="1"/>
        <v>0.72194821208384707</v>
      </c>
    </row>
    <row r="17" spans="1:6" x14ac:dyDescent="0.25">
      <c r="A17" t="s">
        <v>15</v>
      </c>
      <c r="B17">
        <v>40.095500000000001</v>
      </c>
      <c r="C17">
        <v>43.610399999999998</v>
      </c>
      <c r="D17">
        <v>41.21</v>
      </c>
      <c r="E17">
        <f t="shared" si="0"/>
        <v>31.707872201200615</v>
      </c>
      <c r="F17">
        <f t="shared" si="1"/>
        <v>0.68292127798799385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0"/>
  <sheetViews>
    <sheetView workbookViewId="0">
      <selection activeCell="K26" sqref="K26"/>
    </sheetView>
  </sheetViews>
  <sheetFormatPr defaultRowHeight="15" x14ac:dyDescent="0.25"/>
  <cols>
    <col min="2" max="2" width="12" bestFit="1" customWidth="1"/>
  </cols>
  <sheetData>
    <row r="1" spans="1:11" x14ac:dyDescent="0.25">
      <c r="A1" t="s">
        <v>29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</row>
    <row r="2" spans="1:11" x14ac:dyDescent="0.25">
      <c r="A2" t="s">
        <v>115</v>
      </c>
      <c r="B2">
        <v>2983.63533333333</v>
      </c>
      <c r="C2">
        <v>92.876792506703893</v>
      </c>
      <c r="D2">
        <v>5393.0586666666704</v>
      </c>
      <c r="E2">
        <v>133.476376338037</v>
      </c>
      <c r="F2">
        <v>9.51</v>
      </c>
      <c r="G2">
        <v>9.8147847658519805E-2</v>
      </c>
      <c r="H2">
        <v>1492.912</v>
      </c>
      <c r="I2">
        <v>31.835431032106399</v>
      </c>
      <c r="J2">
        <v>539.99766666666699</v>
      </c>
      <c r="K2">
        <v>20.545569992904401</v>
      </c>
    </row>
    <row r="3" spans="1:11" x14ac:dyDescent="0.25">
      <c r="A3" t="s">
        <v>116</v>
      </c>
      <c r="B3">
        <v>2405.3879999999999</v>
      </c>
      <c r="C3">
        <v>51.932750437464797</v>
      </c>
      <c r="D3">
        <v>4602.7934999999998</v>
      </c>
      <c r="E3">
        <v>67.064128448075607</v>
      </c>
      <c r="F3">
        <v>9.2799999999999994</v>
      </c>
      <c r="G3">
        <v>1.13137084989848E-2</v>
      </c>
      <c r="H3">
        <v>2086.9155000000001</v>
      </c>
      <c r="I3">
        <v>162.02574073430401</v>
      </c>
      <c r="J3">
        <v>608.79349999999999</v>
      </c>
      <c r="K3">
        <v>13.517760335943199</v>
      </c>
    </row>
    <row r="4" spans="1:11" x14ac:dyDescent="0.25">
      <c r="A4" t="s">
        <v>117</v>
      </c>
      <c r="B4">
        <v>2236.4335000000001</v>
      </c>
      <c r="C4">
        <v>42.8089516398149</v>
      </c>
      <c r="D4">
        <v>4405.0124999999998</v>
      </c>
      <c r="E4">
        <v>50.851584169030502</v>
      </c>
      <c r="F4">
        <v>9.5670000000000002</v>
      </c>
      <c r="G4">
        <v>9.8994949366112001E-3</v>
      </c>
      <c r="H4">
        <v>1718.8045</v>
      </c>
      <c r="I4">
        <v>46.567931288602402</v>
      </c>
      <c r="J4">
        <v>606.80700000000002</v>
      </c>
      <c r="K4">
        <v>5.09399725166785</v>
      </c>
    </row>
    <row r="5" spans="1:11" x14ac:dyDescent="0.25">
      <c r="A5" t="s">
        <v>118</v>
      </c>
      <c r="B5">
        <v>2770.7935000000002</v>
      </c>
      <c r="C5">
        <v>48.93249636489</v>
      </c>
      <c r="D5">
        <v>5487.89</v>
      </c>
      <c r="E5">
        <v>78.362987704655694</v>
      </c>
      <c r="F5">
        <v>10.6935</v>
      </c>
      <c r="G5">
        <v>0.122329473145273</v>
      </c>
      <c r="H5">
        <v>2178.654</v>
      </c>
      <c r="I5">
        <v>81.235255449835293</v>
      </c>
      <c r="J5">
        <v>609.70799999999997</v>
      </c>
      <c r="K5">
        <v>16.649536269818501</v>
      </c>
    </row>
    <row r="6" spans="1:11" x14ac:dyDescent="0.25">
      <c r="A6" t="s">
        <v>119</v>
      </c>
      <c r="B6">
        <v>623.02149999999995</v>
      </c>
      <c r="C6">
        <v>569.00387707334596</v>
      </c>
      <c r="D6">
        <v>1841.6479999999999</v>
      </c>
      <c r="E6">
        <v>862.03387694451999</v>
      </c>
      <c r="F6">
        <v>9.7989999999999995</v>
      </c>
      <c r="G6">
        <v>0.193747258045113</v>
      </c>
      <c r="H6">
        <v>3319.6505000000002</v>
      </c>
      <c r="I6">
        <v>37.9016305783802</v>
      </c>
      <c r="J6">
        <v>670.91399999999999</v>
      </c>
      <c r="K6">
        <v>10.479322497184601</v>
      </c>
    </row>
    <row r="7" spans="1:11" x14ac:dyDescent="0.25">
      <c r="A7" t="s">
        <v>120</v>
      </c>
      <c r="B7">
        <v>602.15150000000006</v>
      </c>
      <c r="C7">
        <v>77.256365592098604</v>
      </c>
      <c r="D7">
        <v>1800.6424999999999</v>
      </c>
      <c r="E7">
        <v>137.75642179042001</v>
      </c>
      <c r="F7">
        <v>9.4224999999999994</v>
      </c>
      <c r="G7">
        <v>0.21566756826189701</v>
      </c>
      <c r="H7">
        <v>2569.1309999999999</v>
      </c>
      <c r="I7">
        <v>106.38987208376599</v>
      </c>
      <c r="J7">
        <v>658.65250000000003</v>
      </c>
      <c r="K7">
        <v>2.4586102781856098</v>
      </c>
    </row>
    <row r="8" spans="1:11" x14ac:dyDescent="0.25">
      <c r="A8" t="s">
        <v>121</v>
      </c>
      <c r="B8">
        <v>205.20949999999999</v>
      </c>
      <c r="C8">
        <v>33.397360382221798</v>
      </c>
      <c r="D8">
        <v>1208.3634999999999</v>
      </c>
      <c r="E8">
        <v>45.5723249406918</v>
      </c>
      <c r="F8">
        <v>10.108499999999999</v>
      </c>
      <c r="G8">
        <v>0.31041987694089401</v>
      </c>
      <c r="H8">
        <v>2927.05</v>
      </c>
      <c r="I8">
        <v>255.55404757506801</v>
      </c>
      <c r="J8">
        <v>648.45699999999999</v>
      </c>
      <c r="K8">
        <v>2.76903015512648</v>
      </c>
    </row>
    <row r="9" spans="1:11" x14ac:dyDescent="0.25">
      <c r="A9" t="s">
        <v>122</v>
      </c>
      <c r="B9">
        <v>635.75350000000003</v>
      </c>
      <c r="C9">
        <v>28.2863925678055</v>
      </c>
      <c r="D9">
        <v>1941.32</v>
      </c>
      <c r="E9">
        <v>26.626812952360599</v>
      </c>
      <c r="F9">
        <v>11.269500000000001</v>
      </c>
      <c r="G9">
        <v>0.26375082938258199</v>
      </c>
      <c r="H9">
        <v>3398.0610000000001</v>
      </c>
      <c r="I9">
        <v>62.003365215123701</v>
      </c>
      <c r="J9">
        <v>718.49950000000001</v>
      </c>
      <c r="K9">
        <v>38.905722207665001</v>
      </c>
    </row>
    <row r="10" spans="1:11" x14ac:dyDescent="0.25">
      <c r="A10" t="s">
        <v>123</v>
      </c>
      <c r="B10">
        <v>2917.9476666666701</v>
      </c>
      <c r="C10">
        <v>146.56652807627401</v>
      </c>
      <c r="D10">
        <v>5418.8003333333299</v>
      </c>
      <c r="E10">
        <v>247.48095661350101</v>
      </c>
      <c r="F10">
        <v>9.9670000000000005</v>
      </c>
      <c r="G10">
        <v>0.128370557372008</v>
      </c>
      <c r="H10">
        <v>1701.7943333333301</v>
      </c>
      <c r="I10">
        <v>54.7735656072647</v>
      </c>
      <c r="J10">
        <v>561.56866666666701</v>
      </c>
      <c r="K10">
        <v>1.74000067049795</v>
      </c>
    </row>
    <row r="11" spans="1:11" x14ac:dyDescent="0.25">
      <c r="A11" t="s">
        <v>124</v>
      </c>
      <c r="B11">
        <v>3118.7523333333302</v>
      </c>
      <c r="C11">
        <v>48.819516152183702</v>
      </c>
      <c r="D11">
        <v>5431.6633333333302</v>
      </c>
      <c r="E11">
        <v>170.808846624914</v>
      </c>
      <c r="F11">
        <v>8.8919999999999995</v>
      </c>
      <c r="G11">
        <v>0.28400528164102801</v>
      </c>
      <c r="H11">
        <v>1344.578</v>
      </c>
      <c r="I11">
        <v>4.8116397412939396</v>
      </c>
      <c r="J11">
        <v>591.90066666666701</v>
      </c>
      <c r="K11">
        <v>18.005131000171399</v>
      </c>
    </row>
    <row r="12" spans="1:11" x14ac:dyDescent="0.25">
      <c r="A12" t="s">
        <v>125</v>
      </c>
      <c r="B12">
        <v>2901.6376666666702</v>
      </c>
      <c r="C12">
        <v>11.9420021911459</v>
      </c>
      <c r="D12">
        <v>5340.808</v>
      </c>
      <c r="E12">
        <v>63.502482006611302</v>
      </c>
      <c r="F12">
        <v>9.6983333333333306</v>
      </c>
      <c r="G12">
        <v>0.11968430696350101</v>
      </c>
      <c r="H12">
        <v>2052.277</v>
      </c>
      <c r="I12">
        <v>23.083997249176701</v>
      </c>
      <c r="J12">
        <v>550.36766666666699</v>
      </c>
      <c r="K12">
        <v>8.5435773732865297</v>
      </c>
    </row>
    <row r="13" spans="1:11" x14ac:dyDescent="0.25">
      <c r="A13" t="s">
        <v>126</v>
      </c>
      <c r="B13">
        <v>1726.4395</v>
      </c>
      <c r="C13">
        <v>30.2563920601912</v>
      </c>
      <c r="D13">
        <v>3548.674</v>
      </c>
      <c r="E13">
        <v>44.762687676233298</v>
      </c>
      <c r="F13">
        <v>10.013</v>
      </c>
      <c r="G13">
        <v>0.15697770542341399</v>
      </c>
      <c r="H13">
        <v>1830.0129999999999</v>
      </c>
      <c r="I13">
        <v>16.271941248664799</v>
      </c>
      <c r="J13">
        <v>673.73649999999998</v>
      </c>
      <c r="K13">
        <v>35.866577262125197</v>
      </c>
    </row>
    <row r="14" spans="1:11" x14ac:dyDescent="0.25">
      <c r="A14" t="s">
        <v>127</v>
      </c>
      <c r="B14">
        <v>2150.194</v>
      </c>
      <c r="C14">
        <v>108.241077636912</v>
      </c>
      <c r="D14">
        <v>4198.4579999999996</v>
      </c>
      <c r="E14">
        <v>160.82719474019299</v>
      </c>
      <c r="F14">
        <v>10.022</v>
      </c>
      <c r="G14">
        <v>0.12162236636408701</v>
      </c>
      <c r="H14">
        <v>2064.4375</v>
      </c>
      <c r="I14">
        <v>136.902236798746</v>
      </c>
      <c r="J14">
        <v>674.41399999999999</v>
      </c>
      <c r="K14">
        <v>27.7808112192571</v>
      </c>
    </row>
    <row r="15" spans="1:11" x14ac:dyDescent="0.25">
      <c r="A15" t="s">
        <v>128</v>
      </c>
      <c r="B15">
        <v>1875.27</v>
      </c>
      <c r="C15">
        <v>335.94643174172899</v>
      </c>
      <c r="D15">
        <v>3713.8544999999999</v>
      </c>
      <c r="E15">
        <v>518.77101133785402</v>
      </c>
      <c r="F15">
        <v>9.6274999999999995</v>
      </c>
      <c r="G15">
        <v>8.6974134085944899E-2</v>
      </c>
      <c r="H15">
        <v>2326.4245000000001</v>
      </c>
      <c r="I15">
        <v>27.849400577032299</v>
      </c>
      <c r="J15">
        <v>667.125</v>
      </c>
      <c r="K15">
        <v>10.1667812999001</v>
      </c>
    </row>
    <row r="16" spans="1:11" x14ac:dyDescent="0.25">
      <c r="A16" t="s">
        <v>129</v>
      </c>
      <c r="B16">
        <v>1910.5645</v>
      </c>
      <c r="C16">
        <v>134.99870534379201</v>
      </c>
      <c r="D16">
        <v>3817.8975</v>
      </c>
      <c r="E16">
        <v>190.301526700392</v>
      </c>
      <c r="F16">
        <v>9.891</v>
      </c>
      <c r="G16">
        <v>0.11313708498984799</v>
      </c>
      <c r="H16">
        <v>2228.2539999999999</v>
      </c>
      <c r="I16">
        <v>40.971181115510902</v>
      </c>
      <c r="J16">
        <v>663.41200000000003</v>
      </c>
      <c r="K16">
        <v>14.540943848320101</v>
      </c>
    </row>
    <row r="17" spans="1:11" x14ac:dyDescent="0.25">
      <c r="A17" t="s">
        <v>130</v>
      </c>
      <c r="B17">
        <v>2043.4955</v>
      </c>
      <c r="C17">
        <v>22.543271291008399</v>
      </c>
      <c r="D17">
        <v>4054.6064999999999</v>
      </c>
      <c r="E17">
        <v>31.700304107374201</v>
      </c>
      <c r="F17">
        <v>9.4254999999999995</v>
      </c>
      <c r="G17">
        <v>9.8287842584929605E-2</v>
      </c>
      <c r="H17">
        <v>1875.4984999999999</v>
      </c>
      <c r="I17">
        <v>60.284388630058999</v>
      </c>
      <c r="J17">
        <v>592.74199999999996</v>
      </c>
      <c r="K17">
        <v>10.8526748776512</v>
      </c>
    </row>
    <row r="18" spans="1:11" x14ac:dyDescent="0.25">
      <c r="A18" t="s">
        <v>131</v>
      </c>
      <c r="B18">
        <v>3322.92266666667</v>
      </c>
      <c r="C18">
        <v>200.56363870436101</v>
      </c>
      <c r="D18">
        <v>6391.067</v>
      </c>
      <c r="E18">
        <v>320.50199502031199</v>
      </c>
      <c r="F18">
        <v>11.223333333333301</v>
      </c>
      <c r="G18">
        <v>0.29604278969995801</v>
      </c>
      <c r="H18">
        <v>1834.6946666666699</v>
      </c>
      <c r="I18">
        <v>180.10958884060901</v>
      </c>
      <c r="J18">
        <v>620.11766666666699</v>
      </c>
      <c r="K18">
        <v>11.705868670599999</v>
      </c>
    </row>
    <row r="19" spans="1:11" x14ac:dyDescent="0.25">
      <c r="A19" t="s">
        <v>132</v>
      </c>
      <c r="B19">
        <v>3305.7979999999998</v>
      </c>
      <c r="C19">
        <v>37.492607284636897</v>
      </c>
      <c r="D19">
        <v>6407.0456666666696</v>
      </c>
      <c r="E19">
        <v>63.705172045394796</v>
      </c>
      <c r="F19">
        <v>11.424333333333299</v>
      </c>
      <c r="G19">
        <v>4.2146569650842902E-2</v>
      </c>
      <c r="H19">
        <v>1840.5636666666701</v>
      </c>
      <c r="I19">
        <v>134.723723172028</v>
      </c>
      <c r="J19">
        <v>635.33399999999995</v>
      </c>
      <c r="K19">
        <v>3.9447925167237599</v>
      </c>
    </row>
    <row r="20" spans="1:11" x14ac:dyDescent="0.25">
      <c r="A20" t="s">
        <v>133</v>
      </c>
      <c r="B20">
        <v>3237.1663333333299</v>
      </c>
      <c r="C20">
        <v>79.7163820951086</v>
      </c>
      <c r="D20">
        <v>6322.1626666666698</v>
      </c>
      <c r="E20">
        <v>143.69610116260401</v>
      </c>
      <c r="F20">
        <v>11.4903333333333</v>
      </c>
      <c r="G20">
        <v>0.136514956445561</v>
      </c>
      <c r="H20">
        <v>1899.4059999999999</v>
      </c>
      <c r="I20">
        <v>122.666742538473</v>
      </c>
      <c r="J20">
        <v>635.44066666666697</v>
      </c>
      <c r="K20">
        <v>7.91723444981473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36"/>
  <sheetViews>
    <sheetView zoomScale="55" zoomScaleNormal="55" workbookViewId="0">
      <selection activeCell="S16" sqref="S16"/>
    </sheetView>
  </sheetViews>
  <sheetFormatPr defaultRowHeight="15" x14ac:dyDescent="0.25"/>
  <cols>
    <col min="2" max="2" width="10" bestFit="1" customWidth="1"/>
    <col min="3" max="3" width="9.85546875" bestFit="1" customWidth="1"/>
    <col min="4" max="4" width="12" bestFit="1" customWidth="1"/>
    <col min="5" max="5" width="8.7109375" bestFit="1" customWidth="1"/>
    <col min="6" max="6" width="12.5703125" bestFit="1" customWidth="1"/>
    <col min="7" max="7" width="9.85546875" bestFit="1" customWidth="1"/>
    <col min="8" max="8" width="10.5703125" bestFit="1" customWidth="1"/>
    <col min="9" max="9" width="9" bestFit="1" customWidth="1"/>
    <col min="10" max="10" width="11" bestFit="1" customWidth="1"/>
  </cols>
  <sheetData>
    <row r="1" spans="1:12" x14ac:dyDescent="0.25">
      <c r="A1" t="s">
        <v>29</v>
      </c>
      <c r="B1" t="s">
        <v>134</v>
      </c>
      <c r="C1" t="s">
        <v>142</v>
      </c>
      <c r="D1" t="s">
        <v>135</v>
      </c>
      <c r="E1" t="s">
        <v>136</v>
      </c>
      <c r="F1" t="s">
        <v>137</v>
      </c>
      <c r="G1" t="s">
        <v>138</v>
      </c>
      <c r="H1" t="s">
        <v>150</v>
      </c>
      <c r="I1" t="s">
        <v>140</v>
      </c>
      <c r="J1" t="s">
        <v>141</v>
      </c>
      <c r="L1" t="s">
        <v>149</v>
      </c>
    </row>
    <row r="2" spans="1:12" x14ac:dyDescent="0.25">
      <c r="A2" t="s">
        <v>50</v>
      </c>
      <c r="B2">
        <v>8667</v>
      </c>
      <c r="C2">
        <v>2901</v>
      </c>
      <c r="D2">
        <v>583.5</v>
      </c>
      <c r="E2">
        <v>2093</v>
      </c>
      <c r="F2">
        <v>741.7</v>
      </c>
      <c r="G2">
        <v>489.8</v>
      </c>
      <c r="H2">
        <v>27.9</v>
      </c>
      <c r="I2">
        <v>160.1</v>
      </c>
      <c r="J2">
        <f>SUM(B2:I2)</f>
        <v>15664</v>
      </c>
      <c r="K2">
        <f>J2/1000</f>
        <v>15.664</v>
      </c>
      <c r="L2">
        <v>0</v>
      </c>
    </row>
    <row r="3" spans="1:12" x14ac:dyDescent="0.25">
      <c r="A3" t="s">
        <v>51</v>
      </c>
      <c r="B3">
        <v>8761.9</v>
      </c>
      <c r="C3">
        <v>2927.8</v>
      </c>
      <c r="D3">
        <v>587.79999999999995</v>
      </c>
      <c r="E3">
        <v>2115.1</v>
      </c>
      <c r="F3">
        <v>748.8</v>
      </c>
      <c r="G3">
        <v>496.1</v>
      </c>
      <c r="H3">
        <v>27.6</v>
      </c>
      <c r="I3">
        <v>303.60000000000002</v>
      </c>
      <c r="J3">
        <f t="shared" ref="J3:J36" si="0">SUM(B3:I3)</f>
        <v>15968.7</v>
      </c>
      <c r="K3">
        <f t="shared" ref="K3:K36" si="1">J3/1000</f>
        <v>15.9687</v>
      </c>
      <c r="L3">
        <v>0</v>
      </c>
    </row>
    <row r="4" spans="1:12" x14ac:dyDescent="0.25">
      <c r="A4" t="s">
        <v>52</v>
      </c>
      <c r="B4">
        <v>8780.6</v>
      </c>
      <c r="C4">
        <v>2934.2</v>
      </c>
      <c r="D4">
        <v>590.4</v>
      </c>
      <c r="E4">
        <v>2122.8000000000002</v>
      </c>
      <c r="F4">
        <v>753.4</v>
      </c>
      <c r="G4">
        <v>495.8</v>
      </c>
      <c r="H4">
        <v>28.3</v>
      </c>
      <c r="I4">
        <v>348.3</v>
      </c>
      <c r="J4">
        <f t="shared" si="0"/>
        <v>16053.799999999997</v>
      </c>
      <c r="K4">
        <f t="shared" si="1"/>
        <v>16.053799999999999</v>
      </c>
      <c r="L4">
        <v>0</v>
      </c>
    </row>
    <row r="5" spans="1:12" x14ac:dyDescent="0.25">
      <c r="A5">
        <v>1</v>
      </c>
      <c r="B5">
        <v>10012.299999999999</v>
      </c>
      <c r="C5">
        <v>3636.2</v>
      </c>
      <c r="D5">
        <v>858.1</v>
      </c>
      <c r="E5">
        <v>2666.6</v>
      </c>
      <c r="F5">
        <v>1060.6099999999999</v>
      </c>
      <c r="G5">
        <v>449.6</v>
      </c>
      <c r="H5">
        <v>70.86</v>
      </c>
      <c r="I5">
        <v>261.5</v>
      </c>
      <c r="J5">
        <f t="shared" si="0"/>
        <v>19015.77</v>
      </c>
      <c r="K5">
        <f t="shared" si="1"/>
        <v>19.01577</v>
      </c>
      <c r="L5">
        <v>283</v>
      </c>
    </row>
    <row r="6" spans="1:12" x14ac:dyDescent="0.25">
      <c r="A6">
        <v>2</v>
      </c>
      <c r="B6">
        <v>9850.4</v>
      </c>
      <c r="C6">
        <v>3522.9</v>
      </c>
      <c r="D6">
        <v>870.9</v>
      </c>
      <c r="E6">
        <v>2679.1</v>
      </c>
      <c r="F6">
        <v>1062.5</v>
      </c>
      <c r="G6">
        <v>453.4</v>
      </c>
      <c r="H6">
        <v>69.3</v>
      </c>
      <c r="I6">
        <v>340.4</v>
      </c>
      <c r="J6">
        <f t="shared" si="0"/>
        <v>18848.900000000001</v>
      </c>
      <c r="K6">
        <f t="shared" si="1"/>
        <v>18.8489</v>
      </c>
      <c r="L6">
        <v>283</v>
      </c>
    </row>
    <row r="7" spans="1:12" x14ac:dyDescent="0.25">
      <c r="A7">
        <v>3</v>
      </c>
      <c r="B7">
        <v>11463.6</v>
      </c>
      <c r="C7">
        <v>4119.8999999999996</v>
      </c>
      <c r="D7">
        <v>971.4</v>
      </c>
      <c r="E7">
        <v>3045.4</v>
      </c>
      <c r="F7">
        <v>1207.2</v>
      </c>
      <c r="G7">
        <v>513.5</v>
      </c>
      <c r="H7">
        <v>80.3</v>
      </c>
      <c r="I7">
        <v>380.1</v>
      </c>
      <c r="J7">
        <f t="shared" si="0"/>
        <v>21781.4</v>
      </c>
      <c r="K7">
        <f t="shared" si="1"/>
        <v>21.781400000000001</v>
      </c>
      <c r="L7">
        <v>283</v>
      </c>
    </row>
    <row r="8" spans="1:12" x14ac:dyDescent="0.25">
      <c r="A8">
        <v>4</v>
      </c>
      <c r="B8">
        <v>11173.5</v>
      </c>
      <c r="C8">
        <v>4074.8</v>
      </c>
      <c r="D8">
        <v>953</v>
      </c>
      <c r="E8">
        <v>2969.2</v>
      </c>
      <c r="F8">
        <v>1186.7</v>
      </c>
      <c r="G8">
        <v>507.7</v>
      </c>
      <c r="H8">
        <v>77.5</v>
      </c>
      <c r="I8">
        <v>364.6</v>
      </c>
      <c r="J8">
        <f t="shared" si="0"/>
        <v>21307</v>
      </c>
      <c r="K8">
        <f t="shared" si="1"/>
        <v>21.306999999999999</v>
      </c>
      <c r="L8">
        <v>283</v>
      </c>
    </row>
    <row r="9" spans="1:12" x14ac:dyDescent="0.25">
      <c r="A9">
        <v>5</v>
      </c>
      <c r="B9">
        <v>152.80000000000001</v>
      </c>
      <c r="C9">
        <v>8577.6</v>
      </c>
      <c r="D9">
        <v>53</v>
      </c>
      <c r="E9">
        <v>6.7</v>
      </c>
      <c r="F9">
        <v>905.9</v>
      </c>
      <c r="G9">
        <v>5.4</v>
      </c>
      <c r="H9">
        <v>80.599999999999994</v>
      </c>
      <c r="I9">
        <v>641.4</v>
      </c>
      <c r="J9">
        <f t="shared" si="0"/>
        <v>10423.4</v>
      </c>
      <c r="K9">
        <f t="shared" si="1"/>
        <v>10.423399999999999</v>
      </c>
      <c r="L9">
        <v>283</v>
      </c>
    </row>
    <row r="10" spans="1:12" x14ac:dyDescent="0.25">
      <c r="A10">
        <v>6</v>
      </c>
      <c r="B10">
        <v>140.4</v>
      </c>
      <c r="C10">
        <v>8374.7999999999993</v>
      </c>
      <c r="D10">
        <v>34.6</v>
      </c>
      <c r="E10">
        <v>9</v>
      </c>
      <c r="F10">
        <v>868.5</v>
      </c>
      <c r="G10">
        <v>4.5999999999999996</v>
      </c>
      <c r="H10">
        <v>90.5</v>
      </c>
      <c r="I10">
        <v>177.2</v>
      </c>
      <c r="J10">
        <f t="shared" si="0"/>
        <v>9699.6</v>
      </c>
      <c r="K10">
        <f t="shared" si="1"/>
        <v>9.6996000000000002</v>
      </c>
      <c r="L10">
        <v>283</v>
      </c>
    </row>
    <row r="11" spans="1:12" x14ac:dyDescent="0.25">
      <c r="A11">
        <v>7</v>
      </c>
      <c r="B11">
        <v>117.7</v>
      </c>
      <c r="C11">
        <v>8495.9</v>
      </c>
      <c r="D11">
        <v>43.3</v>
      </c>
      <c r="E11">
        <v>0</v>
      </c>
      <c r="F11">
        <v>877.1</v>
      </c>
      <c r="G11">
        <v>4</v>
      </c>
      <c r="H11">
        <v>67.400000000000006</v>
      </c>
      <c r="I11">
        <v>1.8</v>
      </c>
      <c r="J11">
        <f t="shared" si="0"/>
        <v>9607.1999999999989</v>
      </c>
      <c r="K11">
        <f t="shared" si="1"/>
        <v>9.6071999999999989</v>
      </c>
      <c r="L11">
        <v>283</v>
      </c>
    </row>
    <row r="12" spans="1:12" x14ac:dyDescent="0.25">
      <c r="A12">
        <v>8</v>
      </c>
      <c r="B12">
        <v>467.5</v>
      </c>
      <c r="C12">
        <v>10099</v>
      </c>
      <c r="D12">
        <v>164.6</v>
      </c>
      <c r="E12">
        <v>8.8000000000000007</v>
      </c>
      <c r="F12">
        <v>1120.8</v>
      </c>
      <c r="G12">
        <v>40.1</v>
      </c>
      <c r="H12">
        <v>125.2</v>
      </c>
      <c r="I12">
        <v>504.5</v>
      </c>
      <c r="J12">
        <f t="shared" si="0"/>
        <v>12530.5</v>
      </c>
      <c r="K12">
        <f t="shared" si="1"/>
        <v>12.5305</v>
      </c>
      <c r="L12">
        <v>283</v>
      </c>
    </row>
    <row r="13" spans="1:12" x14ac:dyDescent="0.25">
      <c r="A13">
        <v>9</v>
      </c>
      <c r="B13">
        <v>3408.9</v>
      </c>
      <c r="C13">
        <v>1250.5999999999999</v>
      </c>
      <c r="D13">
        <v>268.60000000000002</v>
      </c>
      <c r="E13">
        <v>304.7</v>
      </c>
      <c r="F13">
        <v>396.6</v>
      </c>
      <c r="G13">
        <v>66.7</v>
      </c>
      <c r="H13">
        <v>15.9</v>
      </c>
      <c r="I13">
        <v>219.8</v>
      </c>
      <c r="J13">
        <f t="shared" si="0"/>
        <v>5931.8</v>
      </c>
      <c r="K13">
        <f t="shared" si="1"/>
        <v>5.9318</v>
      </c>
      <c r="L13">
        <v>283</v>
      </c>
    </row>
    <row r="14" spans="1:12" x14ac:dyDescent="0.25">
      <c r="A14">
        <v>10</v>
      </c>
      <c r="B14">
        <v>2858.1</v>
      </c>
      <c r="C14">
        <v>1109.7</v>
      </c>
      <c r="D14">
        <v>237.5</v>
      </c>
      <c r="E14">
        <v>252.9</v>
      </c>
      <c r="F14">
        <v>347</v>
      </c>
      <c r="G14">
        <v>54.7</v>
      </c>
      <c r="H14">
        <v>11.8</v>
      </c>
      <c r="I14">
        <v>60.6</v>
      </c>
      <c r="J14">
        <f t="shared" si="0"/>
        <v>4932.3</v>
      </c>
      <c r="K14">
        <f t="shared" si="1"/>
        <v>4.9323000000000006</v>
      </c>
      <c r="L14">
        <v>283</v>
      </c>
    </row>
    <row r="15" spans="1:12" x14ac:dyDescent="0.25">
      <c r="A15">
        <v>11</v>
      </c>
      <c r="B15">
        <v>2837.6</v>
      </c>
      <c r="C15">
        <v>1165.2</v>
      </c>
      <c r="D15">
        <v>244.9</v>
      </c>
      <c r="E15">
        <v>272.8</v>
      </c>
      <c r="F15">
        <v>351</v>
      </c>
      <c r="G15">
        <v>60.8</v>
      </c>
      <c r="H15">
        <v>12.9</v>
      </c>
      <c r="I15">
        <v>82.6</v>
      </c>
      <c r="J15">
        <f t="shared" si="0"/>
        <v>5027.8</v>
      </c>
      <c r="K15">
        <f t="shared" si="1"/>
        <v>5.0278</v>
      </c>
      <c r="L15">
        <v>283</v>
      </c>
    </row>
    <row r="16" spans="1:12" x14ac:dyDescent="0.25">
      <c r="A16">
        <v>12</v>
      </c>
      <c r="B16">
        <v>3360.7</v>
      </c>
      <c r="C16">
        <v>1356</v>
      </c>
      <c r="D16">
        <v>303.60000000000002</v>
      </c>
      <c r="E16">
        <v>388.9</v>
      </c>
      <c r="F16">
        <v>421.1</v>
      </c>
      <c r="G16">
        <v>86.2</v>
      </c>
      <c r="H16">
        <v>19.8</v>
      </c>
      <c r="I16">
        <v>40.200000000000003</v>
      </c>
      <c r="J16">
        <f t="shared" si="0"/>
        <v>5976.5</v>
      </c>
      <c r="K16">
        <f t="shared" si="1"/>
        <v>5.9764999999999997</v>
      </c>
      <c r="L16">
        <v>283</v>
      </c>
    </row>
    <row r="17" spans="1:12" x14ac:dyDescent="0.25">
      <c r="A17">
        <v>13</v>
      </c>
      <c r="B17">
        <v>110.8</v>
      </c>
      <c r="C17">
        <v>17.18</v>
      </c>
      <c r="D17">
        <v>0</v>
      </c>
      <c r="E17">
        <v>6.7</v>
      </c>
      <c r="F17">
        <v>3.2</v>
      </c>
      <c r="G17">
        <v>0</v>
      </c>
      <c r="H17">
        <v>4.5</v>
      </c>
      <c r="I17">
        <v>71.599999999999994</v>
      </c>
      <c r="J17">
        <f t="shared" si="0"/>
        <v>213.97999999999996</v>
      </c>
      <c r="K17">
        <f t="shared" si="1"/>
        <v>0.21397999999999995</v>
      </c>
      <c r="L17">
        <v>283</v>
      </c>
    </row>
    <row r="18" spans="1:12" x14ac:dyDescent="0.25">
      <c r="A18">
        <v>14</v>
      </c>
      <c r="B18">
        <v>40.200000000000003</v>
      </c>
      <c r="C18">
        <v>8.8000000000000007</v>
      </c>
      <c r="D18">
        <v>0</v>
      </c>
      <c r="E18">
        <v>0</v>
      </c>
      <c r="F18">
        <v>3.1</v>
      </c>
      <c r="G18">
        <v>0</v>
      </c>
      <c r="H18">
        <v>12.6</v>
      </c>
      <c r="I18">
        <v>38.5</v>
      </c>
      <c r="J18">
        <f t="shared" si="0"/>
        <v>103.2</v>
      </c>
      <c r="K18">
        <f t="shared" si="1"/>
        <v>0.1032</v>
      </c>
      <c r="L18">
        <v>283</v>
      </c>
    </row>
    <row r="19" spans="1:12" x14ac:dyDescent="0.25">
      <c r="A19">
        <v>15</v>
      </c>
      <c r="B19">
        <v>32.1</v>
      </c>
      <c r="C19">
        <v>0</v>
      </c>
      <c r="D19">
        <v>0</v>
      </c>
      <c r="E19">
        <v>0</v>
      </c>
      <c r="F19">
        <v>0</v>
      </c>
      <c r="G19">
        <v>0</v>
      </c>
      <c r="H19">
        <v>11.4</v>
      </c>
      <c r="I19">
        <v>17.100000000000001</v>
      </c>
      <c r="J19">
        <f t="shared" si="0"/>
        <v>60.6</v>
      </c>
      <c r="K19">
        <f t="shared" si="1"/>
        <v>6.0600000000000001E-2</v>
      </c>
      <c r="L19">
        <v>283</v>
      </c>
    </row>
    <row r="20" spans="1:12" x14ac:dyDescent="0.25">
      <c r="A20">
        <v>16</v>
      </c>
      <c r="B20">
        <v>87</v>
      </c>
      <c r="C20">
        <v>6</v>
      </c>
      <c r="D20">
        <v>0</v>
      </c>
      <c r="E20">
        <v>0</v>
      </c>
      <c r="F20">
        <v>10.199999999999999</v>
      </c>
      <c r="G20">
        <v>7.2</v>
      </c>
      <c r="H20">
        <v>5.4</v>
      </c>
      <c r="I20">
        <v>0</v>
      </c>
      <c r="J20">
        <f t="shared" si="0"/>
        <v>115.80000000000001</v>
      </c>
      <c r="K20">
        <f t="shared" si="1"/>
        <v>0.11580000000000001</v>
      </c>
      <c r="L20">
        <v>283</v>
      </c>
    </row>
    <row r="21" spans="1:12" x14ac:dyDescent="0.25">
      <c r="A21">
        <v>1</v>
      </c>
      <c r="B21">
        <v>549.04999999999995</v>
      </c>
      <c r="C21">
        <v>6034.45</v>
      </c>
      <c r="D21">
        <v>1213.81</v>
      </c>
      <c r="E21">
        <v>8.56</v>
      </c>
      <c r="F21">
        <v>872.15</v>
      </c>
      <c r="G21">
        <v>16.155000000000001</v>
      </c>
      <c r="H21">
        <v>67.460000000000008</v>
      </c>
      <c r="I21">
        <v>20.29</v>
      </c>
      <c r="J21">
        <f t="shared" si="0"/>
        <v>8781.9250000000011</v>
      </c>
      <c r="K21">
        <f t="shared" si="1"/>
        <v>8.7819250000000011</v>
      </c>
      <c r="L21">
        <v>455</v>
      </c>
    </row>
    <row r="22" spans="1:12" x14ac:dyDescent="0.25">
      <c r="A22">
        <v>2</v>
      </c>
      <c r="B22">
        <v>328.03</v>
      </c>
      <c r="C22">
        <v>6083.9</v>
      </c>
      <c r="D22">
        <v>77.965000000000003</v>
      </c>
      <c r="E22">
        <v>7.4</v>
      </c>
      <c r="F22">
        <v>863.02</v>
      </c>
      <c r="G22">
        <v>4.6849999999999996</v>
      </c>
      <c r="H22">
        <v>10.422499999999999</v>
      </c>
      <c r="I22">
        <v>273.80500000000001</v>
      </c>
      <c r="J22">
        <f t="shared" si="0"/>
        <v>7649.2274999999991</v>
      </c>
      <c r="K22">
        <f t="shared" si="1"/>
        <v>7.6492274999999994</v>
      </c>
      <c r="L22">
        <v>455</v>
      </c>
    </row>
    <row r="23" spans="1:12" x14ac:dyDescent="0.25">
      <c r="A23">
        <v>3</v>
      </c>
      <c r="B23">
        <v>212.2</v>
      </c>
      <c r="C23">
        <v>5914.9949999999999</v>
      </c>
      <c r="D23">
        <v>1255.5149999999999</v>
      </c>
      <c r="E23">
        <v>4.8434999999999997</v>
      </c>
      <c r="F23">
        <v>849.82500000000005</v>
      </c>
      <c r="G23">
        <v>6.9055</v>
      </c>
      <c r="H23">
        <v>18.028500000000001</v>
      </c>
      <c r="I23">
        <v>59.135000000000005</v>
      </c>
      <c r="J23">
        <f t="shared" si="0"/>
        <v>8321.4475000000002</v>
      </c>
      <c r="K23">
        <f t="shared" si="1"/>
        <v>8.3214474999999997</v>
      </c>
      <c r="L23">
        <v>455</v>
      </c>
    </row>
    <row r="24" spans="1:12" x14ac:dyDescent="0.25">
      <c r="A24">
        <v>4</v>
      </c>
      <c r="B24">
        <v>107.22749999999999</v>
      </c>
      <c r="C24">
        <v>6161.15</v>
      </c>
      <c r="D24">
        <v>1105.72</v>
      </c>
      <c r="E24">
        <v>4.5250000000000004</v>
      </c>
      <c r="F24">
        <v>851.57999999999993</v>
      </c>
      <c r="G24">
        <v>0</v>
      </c>
      <c r="H24">
        <v>14.82</v>
      </c>
      <c r="I24">
        <v>22.567500000000003</v>
      </c>
      <c r="J24">
        <f t="shared" si="0"/>
        <v>8267.5899999999983</v>
      </c>
      <c r="K24">
        <f t="shared" si="1"/>
        <v>8.2675899999999984</v>
      </c>
      <c r="L24">
        <v>455</v>
      </c>
    </row>
    <row r="25" spans="1:12" x14ac:dyDescent="0.25">
      <c r="A25">
        <v>5</v>
      </c>
      <c r="B25">
        <v>506.41250000000002</v>
      </c>
      <c r="C25">
        <v>9396.6450000000004</v>
      </c>
      <c r="D25">
        <v>302.30500000000001</v>
      </c>
      <c r="E25">
        <v>46.292000000000002</v>
      </c>
      <c r="F25">
        <v>351.96500000000003</v>
      </c>
      <c r="G25">
        <v>28.755000000000003</v>
      </c>
      <c r="H25">
        <v>114.22999999999999</v>
      </c>
      <c r="I25">
        <v>134.57</v>
      </c>
      <c r="J25">
        <f t="shared" si="0"/>
        <v>10881.174499999999</v>
      </c>
      <c r="K25">
        <f t="shared" si="1"/>
        <v>10.881174499999998</v>
      </c>
      <c r="L25">
        <v>455</v>
      </c>
    </row>
    <row r="26" spans="1:12" x14ac:dyDescent="0.25">
      <c r="A26">
        <v>6</v>
      </c>
      <c r="B26">
        <v>410.16499999999996</v>
      </c>
      <c r="C26">
        <v>9925.2999999999993</v>
      </c>
      <c r="D26">
        <v>264.28500000000003</v>
      </c>
      <c r="E26">
        <v>19.924999999999997</v>
      </c>
      <c r="F26">
        <v>346.40499999999997</v>
      </c>
      <c r="G26">
        <v>54.08</v>
      </c>
      <c r="H26">
        <v>132.29000000000002</v>
      </c>
      <c r="I26">
        <v>88.60499999999999</v>
      </c>
      <c r="J26">
        <f t="shared" si="0"/>
        <v>11241.055</v>
      </c>
      <c r="K26">
        <f t="shared" si="1"/>
        <v>11.241055000000001</v>
      </c>
      <c r="L26">
        <v>455</v>
      </c>
    </row>
    <row r="27" spans="1:12" x14ac:dyDescent="0.25">
      <c r="A27">
        <v>7</v>
      </c>
      <c r="B27">
        <v>617.82500000000005</v>
      </c>
      <c r="C27">
        <v>9837.77</v>
      </c>
      <c r="D27">
        <v>265.875</v>
      </c>
      <c r="E27">
        <v>90.08</v>
      </c>
      <c r="F27">
        <v>1362.65</v>
      </c>
      <c r="G27">
        <v>57.94</v>
      </c>
      <c r="H27">
        <v>101.82499999999999</v>
      </c>
      <c r="I27">
        <v>88.28</v>
      </c>
      <c r="J27">
        <f t="shared" si="0"/>
        <v>12422.245000000003</v>
      </c>
      <c r="K27">
        <f t="shared" si="1"/>
        <v>12.422245000000002</v>
      </c>
      <c r="L27">
        <v>455</v>
      </c>
    </row>
    <row r="28" spans="1:12" x14ac:dyDescent="0.25">
      <c r="A28">
        <v>8</v>
      </c>
      <c r="B28">
        <v>265.69499999999999</v>
      </c>
      <c r="C28">
        <v>11621.95</v>
      </c>
      <c r="D28">
        <v>399.935</v>
      </c>
      <c r="E28">
        <v>21.32</v>
      </c>
      <c r="F28">
        <v>276.94499999999999</v>
      </c>
      <c r="G28">
        <v>61.39</v>
      </c>
      <c r="H28">
        <v>162.95500000000001</v>
      </c>
      <c r="I28">
        <v>101.35</v>
      </c>
      <c r="J28">
        <f t="shared" si="0"/>
        <v>12911.539999999999</v>
      </c>
      <c r="K28">
        <f t="shared" si="1"/>
        <v>12.911539999999999</v>
      </c>
      <c r="L28">
        <v>455</v>
      </c>
    </row>
    <row r="29" spans="1:12" x14ac:dyDescent="0.25">
      <c r="A29">
        <v>9</v>
      </c>
      <c r="B29">
        <v>52</v>
      </c>
      <c r="C29">
        <v>173.5</v>
      </c>
      <c r="D29">
        <v>5.09</v>
      </c>
      <c r="E29">
        <v>0</v>
      </c>
      <c r="F29">
        <v>9.0500000000000007</v>
      </c>
      <c r="G29">
        <v>0</v>
      </c>
      <c r="H29">
        <v>2.2970000000000002</v>
      </c>
      <c r="I29">
        <v>256.065</v>
      </c>
      <c r="J29">
        <f t="shared" si="0"/>
        <v>498.00200000000001</v>
      </c>
      <c r="K29">
        <f t="shared" si="1"/>
        <v>0.498002</v>
      </c>
      <c r="L29">
        <v>455</v>
      </c>
    </row>
    <row r="30" spans="1:12" x14ac:dyDescent="0.25">
      <c r="A30">
        <v>10</v>
      </c>
      <c r="B30">
        <v>62.64</v>
      </c>
      <c r="C30">
        <v>50.53</v>
      </c>
      <c r="D30">
        <v>6.6334999999999997</v>
      </c>
      <c r="E30">
        <v>0</v>
      </c>
      <c r="F30">
        <v>498.37</v>
      </c>
      <c r="G30">
        <v>0</v>
      </c>
      <c r="H30">
        <v>10.823499999999999</v>
      </c>
      <c r="I30">
        <v>60.674999999999997</v>
      </c>
      <c r="J30">
        <f t="shared" si="0"/>
        <v>689.67199999999991</v>
      </c>
      <c r="K30">
        <f t="shared" si="1"/>
        <v>0.68967199999999995</v>
      </c>
      <c r="L30">
        <v>455</v>
      </c>
    </row>
    <row r="31" spans="1:12" x14ac:dyDescent="0.25">
      <c r="A31">
        <v>11</v>
      </c>
      <c r="B31">
        <v>47.707999999999998</v>
      </c>
      <c r="C31">
        <v>21.54</v>
      </c>
      <c r="D31">
        <v>0</v>
      </c>
      <c r="E31">
        <v>0</v>
      </c>
      <c r="F31">
        <v>504.625</v>
      </c>
      <c r="G31">
        <v>0</v>
      </c>
      <c r="H31">
        <v>7.2145000000000001</v>
      </c>
      <c r="I31">
        <v>136.47</v>
      </c>
      <c r="J31">
        <f t="shared" si="0"/>
        <v>717.55750000000012</v>
      </c>
      <c r="K31">
        <f t="shared" si="1"/>
        <v>0.71755750000000007</v>
      </c>
      <c r="L31">
        <v>455</v>
      </c>
    </row>
    <row r="32" spans="1:12" x14ac:dyDescent="0.25">
      <c r="A32">
        <v>12</v>
      </c>
      <c r="B32">
        <v>53.225000000000001</v>
      </c>
      <c r="C32">
        <v>26.939999999999998</v>
      </c>
      <c r="D32">
        <v>0</v>
      </c>
      <c r="E32">
        <v>0</v>
      </c>
      <c r="F32">
        <v>8.8625000000000007</v>
      </c>
      <c r="G32">
        <v>0</v>
      </c>
      <c r="H32">
        <v>12.315</v>
      </c>
      <c r="I32">
        <v>62.075000000000003</v>
      </c>
      <c r="J32">
        <f t="shared" si="0"/>
        <v>163.41749999999999</v>
      </c>
      <c r="K32">
        <f t="shared" si="1"/>
        <v>0.16341749999999999</v>
      </c>
      <c r="L32">
        <v>455</v>
      </c>
    </row>
    <row r="33" spans="1:12" x14ac:dyDescent="0.25">
      <c r="A33">
        <v>13</v>
      </c>
      <c r="B33">
        <v>29.335000000000001</v>
      </c>
      <c r="C33">
        <v>13.472999999999999</v>
      </c>
      <c r="D33">
        <v>0</v>
      </c>
      <c r="E33">
        <v>0</v>
      </c>
      <c r="F33">
        <v>2.9525000000000001</v>
      </c>
      <c r="G33">
        <v>0</v>
      </c>
      <c r="H33">
        <v>39.954999999999998</v>
      </c>
      <c r="I33">
        <v>33.104999999999997</v>
      </c>
      <c r="J33">
        <f t="shared" si="0"/>
        <v>118.82049999999998</v>
      </c>
      <c r="K33">
        <f t="shared" si="1"/>
        <v>0.11882049999999998</v>
      </c>
      <c r="L33">
        <v>455</v>
      </c>
    </row>
    <row r="34" spans="1:12" x14ac:dyDescent="0.25">
      <c r="A34">
        <v>14</v>
      </c>
      <c r="B34">
        <v>29.655000000000001</v>
      </c>
      <c r="C34">
        <v>8.6404999999999994</v>
      </c>
      <c r="D34">
        <v>0</v>
      </c>
      <c r="E34">
        <v>0</v>
      </c>
      <c r="F34">
        <v>1.1554</v>
      </c>
      <c r="G34">
        <v>2.2437499999999999</v>
      </c>
      <c r="H34">
        <v>31.952750000000002</v>
      </c>
      <c r="I34">
        <v>16.1965</v>
      </c>
      <c r="J34">
        <f t="shared" si="0"/>
        <v>89.843900000000005</v>
      </c>
      <c r="K34">
        <f t="shared" si="1"/>
        <v>8.9843900000000004E-2</v>
      </c>
      <c r="L34">
        <v>455</v>
      </c>
    </row>
    <row r="35" spans="1:12" x14ac:dyDescent="0.25">
      <c r="A35">
        <v>15</v>
      </c>
      <c r="B35">
        <v>31.463934999999999</v>
      </c>
      <c r="C35">
        <v>8.889800000000001</v>
      </c>
      <c r="D35">
        <v>0</v>
      </c>
      <c r="E35">
        <v>0</v>
      </c>
      <c r="F35">
        <v>0.64880000000000004</v>
      </c>
      <c r="G35">
        <v>0</v>
      </c>
      <c r="H35">
        <v>21.71</v>
      </c>
      <c r="I35">
        <v>24.582000000000001</v>
      </c>
      <c r="J35">
        <f t="shared" si="0"/>
        <v>87.294534999999996</v>
      </c>
      <c r="K35">
        <f t="shared" si="1"/>
        <v>8.7294534999999993E-2</v>
      </c>
      <c r="L35">
        <v>455</v>
      </c>
    </row>
    <row r="36" spans="1:12" x14ac:dyDescent="0.25">
      <c r="A36">
        <v>16</v>
      </c>
      <c r="B36">
        <v>34.286500000000004</v>
      </c>
      <c r="C36">
        <v>8.032</v>
      </c>
      <c r="D36">
        <v>0</v>
      </c>
      <c r="E36">
        <v>0</v>
      </c>
      <c r="F36">
        <v>0</v>
      </c>
      <c r="G36">
        <v>0</v>
      </c>
      <c r="H36">
        <v>31.401499999999999</v>
      </c>
      <c r="I36">
        <v>3.9055</v>
      </c>
      <c r="J36">
        <f t="shared" si="0"/>
        <v>77.625500000000002</v>
      </c>
      <c r="K36">
        <f t="shared" si="1"/>
        <v>7.76255E-2</v>
      </c>
      <c r="L36">
        <v>455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5"/>
  <sheetViews>
    <sheetView workbookViewId="0">
      <selection activeCell="Q18" sqref="Q18"/>
    </sheetView>
  </sheetViews>
  <sheetFormatPr defaultRowHeight="15" x14ac:dyDescent="0.25"/>
  <cols>
    <col min="2" max="2" width="10.28515625" bestFit="1" customWidth="1"/>
    <col min="3" max="3" width="9.85546875" bestFit="1" customWidth="1"/>
    <col min="4" max="4" width="15.7109375" bestFit="1" customWidth="1"/>
    <col min="6" max="6" width="13.7109375" bestFit="1" customWidth="1"/>
    <col min="7" max="7" width="12.28515625" bestFit="1" customWidth="1"/>
  </cols>
  <sheetData>
    <row r="1" spans="1:15" x14ac:dyDescent="0.25">
      <c r="A1" t="s">
        <v>67</v>
      </c>
      <c r="B1" t="s">
        <v>28</v>
      </c>
      <c r="C1" t="s">
        <v>57</v>
      </c>
      <c r="D1" t="s">
        <v>68</v>
      </c>
      <c r="E1" t="s">
        <v>72</v>
      </c>
      <c r="F1" t="s">
        <v>69</v>
      </c>
      <c r="G1" t="s">
        <v>70</v>
      </c>
      <c r="H1" t="s">
        <v>71</v>
      </c>
      <c r="I1" t="s">
        <v>104</v>
      </c>
      <c r="J1" t="s">
        <v>103</v>
      </c>
      <c r="K1" t="s">
        <v>99</v>
      </c>
      <c r="L1" t="s">
        <v>100</v>
      </c>
      <c r="M1" t="s">
        <v>101</v>
      </c>
      <c r="N1" t="s">
        <v>102</v>
      </c>
      <c r="O1" t="s">
        <v>20</v>
      </c>
    </row>
    <row r="2" spans="1:15" x14ac:dyDescent="0.25">
      <c r="A2">
        <v>1</v>
      </c>
      <c r="B2" s="2">
        <v>45000</v>
      </c>
      <c r="C2">
        <v>1184.71</v>
      </c>
      <c r="D2">
        <v>1184.71</v>
      </c>
      <c r="E2">
        <v>551.78</v>
      </c>
      <c r="F2">
        <f>C2-E2</f>
        <v>632.93000000000006</v>
      </c>
      <c r="G2">
        <f>D2-E2-F2</f>
        <v>0</v>
      </c>
      <c r="H2" s="5">
        <f>G2/F2</f>
        <v>0</v>
      </c>
      <c r="I2" s="5" t="s">
        <v>18</v>
      </c>
      <c r="J2" s="5">
        <v>10</v>
      </c>
    </row>
    <row r="3" spans="1:15" x14ac:dyDescent="0.25">
      <c r="A3">
        <v>2</v>
      </c>
      <c r="B3" s="2">
        <v>45000</v>
      </c>
      <c r="C3">
        <v>1152.8699999999999</v>
      </c>
      <c r="D3">
        <v>1152.8699999999999</v>
      </c>
      <c r="E3">
        <v>550.91999999999996</v>
      </c>
      <c r="F3">
        <f t="shared" ref="F3:F9" si="0">C3-E3</f>
        <v>601.94999999999993</v>
      </c>
      <c r="G3">
        <f t="shared" ref="G3:G9" si="1">D3-E3-F3</f>
        <v>0</v>
      </c>
      <c r="H3" s="5">
        <f t="shared" ref="H3:H9" si="2">G3/F3</f>
        <v>0</v>
      </c>
      <c r="I3" s="5" t="s">
        <v>18</v>
      </c>
      <c r="J3" s="5">
        <v>10</v>
      </c>
    </row>
    <row r="4" spans="1:15" x14ac:dyDescent="0.25">
      <c r="A4">
        <v>3</v>
      </c>
      <c r="B4" s="2">
        <v>45000</v>
      </c>
      <c r="C4">
        <v>1180.25</v>
      </c>
      <c r="D4">
        <v>1677</v>
      </c>
      <c r="E4">
        <v>554.62</v>
      </c>
      <c r="F4">
        <f t="shared" si="0"/>
        <v>625.63</v>
      </c>
      <c r="G4">
        <f t="shared" si="1"/>
        <v>496.75000000000011</v>
      </c>
      <c r="H4" s="5">
        <f t="shared" si="2"/>
        <v>0.79399964835445891</v>
      </c>
      <c r="I4" s="5" t="s">
        <v>18</v>
      </c>
      <c r="J4" s="5">
        <v>10</v>
      </c>
    </row>
    <row r="5" spans="1:15" x14ac:dyDescent="0.25">
      <c r="A5">
        <v>4</v>
      </c>
      <c r="B5" s="2">
        <v>45000</v>
      </c>
      <c r="C5">
        <v>1178.8599999999999</v>
      </c>
      <c r="D5">
        <v>1677.58</v>
      </c>
      <c r="E5">
        <v>569.14</v>
      </c>
      <c r="F5">
        <f t="shared" si="0"/>
        <v>609.71999999999991</v>
      </c>
      <c r="G5">
        <f t="shared" si="1"/>
        <v>498.72000000000014</v>
      </c>
      <c r="H5" s="5">
        <f t="shared" si="2"/>
        <v>0.81794922259397795</v>
      </c>
      <c r="I5" s="5" t="s">
        <v>18</v>
      </c>
      <c r="J5" s="5">
        <v>10</v>
      </c>
    </row>
    <row r="6" spans="1:15" x14ac:dyDescent="0.25">
      <c r="A6">
        <v>9</v>
      </c>
      <c r="B6" s="2">
        <v>45000</v>
      </c>
      <c r="C6">
        <v>1076.1300000000001</v>
      </c>
      <c r="D6">
        <v>1076.1300000000001</v>
      </c>
      <c r="E6">
        <v>567.61</v>
      </c>
      <c r="F6">
        <f t="shared" si="0"/>
        <v>508.5200000000001</v>
      </c>
      <c r="G6">
        <f t="shared" si="1"/>
        <v>0</v>
      </c>
      <c r="H6" s="5">
        <f t="shared" si="2"/>
        <v>0</v>
      </c>
      <c r="I6" s="5" t="s">
        <v>19</v>
      </c>
      <c r="J6" s="5">
        <v>10</v>
      </c>
    </row>
    <row r="7" spans="1:15" x14ac:dyDescent="0.25">
      <c r="A7">
        <v>10</v>
      </c>
      <c r="B7" s="2">
        <v>45000</v>
      </c>
      <c r="C7">
        <v>1092.54</v>
      </c>
      <c r="D7">
        <v>1092.54</v>
      </c>
      <c r="E7">
        <v>569.41999999999996</v>
      </c>
      <c r="F7">
        <f t="shared" si="0"/>
        <v>523.12</v>
      </c>
      <c r="G7">
        <f t="shared" si="1"/>
        <v>0</v>
      </c>
      <c r="H7" s="5">
        <f t="shared" si="2"/>
        <v>0</v>
      </c>
      <c r="I7" s="5" t="s">
        <v>19</v>
      </c>
      <c r="J7" s="5">
        <v>10</v>
      </c>
    </row>
    <row r="8" spans="1:15" x14ac:dyDescent="0.25">
      <c r="A8">
        <v>11</v>
      </c>
      <c r="B8" s="2">
        <v>45000</v>
      </c>
      <c r="C8">
        <v>1099.5899999999999</v>
      </c>
      <c r="D8">
        <v>1598.06</v>
      </c>
      <c r="E8">
        <v>567.66</v>
      </c>
      <c r="F8">
        <f t="shared" si="0"/>
        <v>531.92999999999995</v>
      </c>
      <c r="G8">
        <f t="shared" si="1"/>
        <v>498.47000000000014</v>
      </c>
      <c r="H8" s="5">
        <f t="shared" si="2"/>
        <v>0.93709698644558526</v>
      </c>
      <c r="I8" s="5" t="s">
        <v>19</v>
      </c>
      <c r="J8" s="5">
        <v>10</v>
      </c>
    </row>
    <row r="9" spans="1:15" x14ac:dyDescent="0.25">
      <c r="A9">
        <v>12</v>
      </c>
      <c r="B9" s="2">
        <v>45000</v>
      </c>
      <c r="C9">
        <v>1076.1500000000001</v>
      </c>
      <c r="D9">
        <v>1571.91</v>
      </c>
      <c r="E9">
        <v>567.13</v>
      </c>
      <c r="F9">
        <f t="shared" si="0"/>
        <v>509.0200000000001</v>
      </c>
      <c r="G9">
        <f t="shared" si="1"/>
        <v>495.76</v>
      </c>
      <c r="H9" s="5">
        <f t="shared" si="2"/>
        <v>0.97394994302777871</v>
      </c>
      <c r="I9" s="5" t="s">
        <v>19</v>
      </c>
      <c r="J9" s="5">
        <v>10</v>
      </c>
    </row>
    <row r="10" spans="1:15" x14ac:dyDescent="0.25">
      <c r="A10">
        <v>1</v>
      </c>
      <c r="B10" s="2">
        <v>45005</v>
      </c>
      <c r="H10" s="5">
        <v>0</v>
      </c>
      <c r="I10" s="5" t="s">
        <v>18</v>
      </c>
      <c r="J10" s="5">
        <v>10</v>
      </c>
      <c r="K10">
        <v>15.88</v>
      </c>
      <c r="L10">
        <v>1371</v>
      </c>
      <c r="M10">
        <v>-82.7</v>
      </c>
      <c r="N10">
        <v>-25.52</v>
      </c>
      <c r="O10">
        <v>8.6999999999999994E-2</v>
      </c>
    </row>
    <row r="11" spans="1:15" x14ac:dyDescent="0.25">
      <c r="A11">
        <v>2</v>
      </c>
      <c r="B11" s="2">
        <v>45005</v>
      </c>
      <c r="H11" s="5">
        <v>0</v>
      </c>
      <c r="I11" s="5" t="s">
        <v>18</v>
      </c>
      <c r="J11" s="5">
        <v>10</v>
      </c>
      <c r="K11">
        <v>49.28</v>
      </c>
      <c r="L11">
        <v>1490</v>
      </c>
      <c r="M11">
        <v>-85.3</v>
      </c>
      <c r="N11">
        <v>-23.09</v>
      </c>
      <c r="O11">
        <v>8.2000000000000003E-2</v>
      </c>
    </row>
    <row r="12" spans="1:15" x14ac:dyDescent="0.25">
      <c r="A12">
        <v>3</v>
      </c>
      <c r="B12" s="2">
        <v>45005</v>
      </c>
      <c r="H12" s="5">
        <v>0.79399964835445891</v>
      </c>
      <c r="I12" s="5" t="s">
        <v>18</v>
      </c>
      <c r="J12" s="5">
        <v>10</v>
      </c>
      <c r="K12">
        <v>3.657</v>
      </c>
      <c r="L12">
        <v>670</v>
      </c>
      <c r="M12">
        <v>-60.8</v>
      </c>
      <c r="N12">
        <v>-18.149999999999999</v>
      </c>
      <c r="O12">
        <v>7.8E-2</v>
      </c>
    </row>
    <row r="13" spans="1:15" x14ac:dyDescent="0.25">
      <c r="A13">
        <v>4</v>
      </c>
      <c r="B13" s="2">
        <v>45005</v>
      </c>
      <c r="H13" s="5">
        <v>0.81794922259397795</v>
      </c>
      <c r="I13" s="5" t="s">
        <v>18</v>
      </c>
      <c r="J13" s="5">
        <v>10</v>
      </c>
      <c r="K13">
        <v>65.78</v>
      </c>
      <c r="L13">
        <v>615.5</v>
      </c>
      <c r="M13">
        <v>-87.129000000000005</v>
      </c>
      <c r="N13">
        <v>-17.88</v>
      </c>
      <c r="O13">
        <v>9.4E-2</v>
      </c>
    </row>
    <row r="14" spans="1:15" x14ac:dyDescent="0.25">
      <c r="A14">
        <v>9</v>
      </c>
      <c r="B14" s="2">
        <v>45005</v>
      </c>
      <c r="H14" s="5">
        <v>0</v>
      </c>
      <c r="I14" s="5" t="s">
        <v>19</v>
      </c>
      <c r="J14" s="5">
        <v>10</v>
      </c>
      <c r="K14">
        <v>130.80000000000001</v>
      </c>
      <c r="L14">
        <v>1929</v>
      </c>
      <c r="M14">
        <v>-97.03</v>
      </c>
      <c r="N14">
        <v>-20.079999999999998</v>
      </c>
      <c r="O14">
        <v>7.5999999999999998E-2</v>
      </c>
    </row>
    <row r="15" spans="1:15" x14ac:dyDescent="0.25">
      <c r="A15">
        <v>10</v>
      </c>
      <c r="B15" s="2">
        <v>45005</v>
      </c>
      <c r="H15" s="5">
        <v>0</v>
      </c>
      <c r="I15" s="5" t="s">
        <v>19</v>
      </c>
      <c r="J15" s="5">
        <v>10</v>
      </c>
      <c r="K15">
        <v>124.3</v>
      </c>
      <c r="L15">
        <v>1936</v>
      </c>
      <c r="M15">
        <v>-97.33</v>
      </c>
      <c r="N15">
        <v>-20.12</v>
      </c>
      <c r="O15">
        <v>0.08</v>
      </c>
    </row>
    <row r="16" spans="1:15" x14ac:dyDescent="0.25">
      <c r="A16">
        <v>11</v>
      </c>
      <c r="B16" s="2">
        <v>45005</v>
      </c>
      <c r="H16" s="5">
        <v>0.93709698644558526</v>
      </c>
      <c r="I16" s="5" t="s">
        <v>19</v>
      </c>
      <c r="J16" s="5">
        <v>10</v>
      </c>
      <c r="K16">
        <v>97.74</v>
      </c>
      <c r="L16">
        <v>1200</v>
      </c>
      <c r="M16">
        <v>-97.61</v>
      </c>
      <c r="N16">
        <v>-19.5</v>
      </c>
      <c r="O16">
        <v>7.4999999999999997E-2</v>
      </c>
    </row>
    <row r="17" spans="1:15" x14ac:dyDescent="0.25">
      <c r="A17">
        <v>12</v>
      </c>
      <c r="B17" s="2">
        <v>45005</v>
      </c>
      <c r="H17" s="5">
        <v>0.97394994302777871</v>
      </c>
      <c r="I17" s="5" t="s">
        <v>19</v>
      </c>
      <c r="J17" s="5">
        <v>10</v>
      </c>
      <c r="K17">
        <v>134.6</v>
      </c>
      <c r="L17">
        <v>1201</v>
      </c>
      <c r="M17">
        <v>-96.05</v>
      </c>
      <c r="N17">
        <v>-19.52</v>
      </c>
      <c r="O17">
        <v>7.6999999999999999E-2</v>
      </c>
    </row>
    <row r="18" spans="1:15" x14ac:dyDescent="0.25">
      <c r="A18">
        <v>1</v>
      </c>
      <c r="B18" s="2">
        <v>45041</v>
      </c>
      <c r="H18" s="5">
        <v>0</v>
      </c>
      <c r="I18" s="5" t="s">
        <v>18</v>
      </c>
      <c r="J18" s="5">
        <v>10</v>
      </c>
      <c r="K18">
        <v>55.62</v>
      </c>
      <c r="L18" s="5">
        <v>1496</v>
      </c>
      <c r="M18" s="5">
        <v>-92.03</v>
      </c>
      <c r="N18" s="5">
        <v>-20.09</v>
      </c>
    </row>
    <row r="19" spans="1:15" x14ac:dyDescent="0.25">
      <c r="A19">
        <v>2</v>
      </c>
      <c r="B19" s="2">
        <v>45041</v>
      </c>
      <c r="H19" s="5">
        <v>0</v>
      </c>
      <c r="I19" s="5" t="s">
        <v>18</v>
      </c>
      <c r="J19" s="5">
        <v>10</v>
      </c>
      <c r="K19">
        <v>58.58</v>
      </c>
      <c r="L19" s="5">
        <v>1650</v>
      </c>
      <c r="M19" s="5">
        <v>-91.23</v>
      </c>
      <c r="N19" s="5">
        <v>-22.55</v>
      </c>
    </row>
    <row r="20" spans="1:15" x14ac:dyDescent="0.25">
      <c r="A20">
        <v>3</v>
      </c>
      <c r="B20" s="2">
        <v>45041</v>
      </c>
      <c r="H20" s="5">
        <v>0.79399964835445891</v>
      </c>
      <c r="I20" s="5" t="s">
        <v>18</v>
      </c>
      <c r="J20" s="5">
        <v>10</v>
      </c>
      <c r="K20">
        <v>31.01</v>
      </c>
      <c r="L20" s="5">
        <v>832</v>
      </c>
      <c r="M20" s="5">
        <v>-82.3</v>
      </c>
      <c r="N20" s="5">
        <v>-20.83</v>
      </c>
    </row>
    <row r="21" spans="1:15" x14ac:dyDescent="0.25">
      <c r="A21">
        <v>4</v>
      </c>
      <c r="B21" s="2">
        <v>45041</v>
      </c>
      <c r="H21" s="5">
        <v>0.81794922259397795</v>
      </c>
      <c r="I21" s="5" t="s">
        <v>18</v>
      </c>
      <c r="J21" s="5">
        <v>10</v>
      </c>
      <c r="K21">
        <v>31.32</v>
      </c>
      <c r="L21" s="5">
        <v>833</v>
      </c>
      <c r="M21" s="5">
        <v>-81.3</v>
      </c>
      <c r="N21" s="5">
        <v>-20.71</v>
      </c>
    </row>
    <row r="22" spans="1:15" x14ac:dyDescent="0.25">
      <c r="A22">
        <v>9</v>
      </c>
      <c r="B22" s="2">
        <v>45041</v>
      </c>
      <c r="H22" s="5">
        <v>0</v>
      </c>
      <c r="I22" s="5" t="s">
        <v>19</v>
      </c>
      <c r="J22" s="5">
        <v>10</v>
      </c>
      <c r="K22">
        <v>115.6</v>
      </c>
      <c r="L22" s="5">
        <v>1180</v>
      </c>
      <c r="M22" s="5">
        <v>-93.4</v>
      </c>
      <c r="N22" s="5">
        <v>-17.16</v>
      </c>
    </row>
    <row r="23" spans="1:15" x14ac:dyDescent="0.25">
      <c r="A23">
        <v>10</v>
      </c>
      <c r="B23" s="2">
        <v>45041</v>
      </c>
      <c r="H23" s="5">
        <v>0</v>
      </c>
      <c r="I23" s="5" t="s">
        <v>19</v>
      </c>
      <c r="J23" s="5">
        <v>10</v>
      </c>
      <c r="K23">
        <v>144.30000000000001</v>
      </c>
      <c r="L23" s="5">
        <v>1352</v>
      </c>
      <c r="M23" s="5">
        <v>-94.66</v>
      </c>
      <c r="N23" s="5">
        <v>-17.12</v>
      </c>
    </row>
    <row r="24" spans="1:15" x14ac:dyDescent="0.25">
      <c r="A24">
        <v>11</v>
      </c>
      <c r="B24" s="2">
        <v>45041</v>
      </c>
      <c r="H24" s="5">
        <v>0.93709698644558526</v>
      </c>
      <c r="I24" s="5" t="s">
        <v>19</v>
      </c>
      <c r="J24" s="5">
        <v>10</v>
      </c>
      <c r="K24">
        <v>75.5</v>
      </c>
      <c r="L24" s="5">
        <v>1232</v>
      </c>
      <c r="M24" s="5">
        <v>-87.13</v>
      </c>
      <c r="N24" s="5">
        <v>-18.47</v>
      </c>
    </row>
    <row r="25" spans="1:15" x14ac:dyDescent="0.25">
      <c r="A25">
        <v>12</v>
      </c>
      <c r="B25" s="2">
        <v>45041</v>
      </c>
      <c r="H25" s="5">
        <v>0.97394994302777871</v>
      </c>
      <c r="I25" s="5" t="s">
        <v>19</v>
      </c>
      <c r="J25" s="5">
        <v>10</v>
      </c>
      <c r="K25">
        <v>93.1</v>
      </c>
      <c r="L25" s="5">
        <v>1242</v>
      </c>
      <c r="M25" s="5">
        <v>-89.95</v>
      </c>
      <c r="N25" s="5">
        <v>-18.13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workbookViewId="0">
      <selection activeCell="A2" sqref="A2:F18"/>
    </sheetView>
  </sheetViews>
  <sheetFormatPr defaultRowHeight="15" x14ac:dyDescent="0.25"/>
  <sheetData>
    <row r="1" spans="1:6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5">
      <c r="A2" t="s">
        <v>0</v>
      </c>
      <c r="B2">
        <v>6.9000000000000006E-2</v>
      </c>
      <c r="C2" s="1"/>
      <c r="D2">
        <v>45.5</v>
      </c>
      <c r="E2">
        <v>230</v>
      </c>
      <c r="F2">
        <f>B2*1.15</f>
        <v>7.9350000000000004E-2</v>
      </c>
    </row>
    <row r="3" spans="1:6" x14ac:dyDescent="0.25">
      <c r="A3" t="s">
        <v>1</v>
      </c>
      <c r="B3">
        <v>6.7000000000000004E-2</v>
      </c>
      <c r="C3" s="1">
        <v>0.30902777777777779</v>
      </c>
      <c r="D3">
        <v>7.36</v>
      </c>
      <c r="E3">
        <v>195</v>
      </c>
      <c r="F3">
        <f t="shared" ref="F3:F17" si="0">B3*1.15</f>
        <v>7.7049999999999993E-2</v>
      </c>
    </row>
    <row r="4" spans="1:6" x14ac:dyDescent="0.25">
      <c r="A4" t="s">
        <v>2</v>
      </c>
      <c r="B4">
        <v>6.4000000000000001E-2</v>
      </c>
      <c r="C4" s="1">
        <v>0.28680555555555554</v>
      </c>
      <c r="D4">
        <v>55.25</v>
      </c>
      <c r="E4">
        <v>252</v>
      </c>
      <c r="F4">
        <f t="shared" si="0"/>
        <v>7.3599999999999999E-2</v>
      </c>
    </row>
    <row r="5" spans="1:6" x14ac:dyDescent="0.25">
      <c r="A5" t="s">
        <v>3</v>
      </c>
      <c r="B5">
        <v>6.0999999999999999E-2</v>
      </c>
      <c r="C5" s="1">
        <v>0.32222222222222224</v>
      </c>
      <c r="D5">
        <v>5.2</v>
      </c>
      <c r="E5">
        <v>170</v>
      </c>
      <c r="F5">
        <f t="shared" si="0"/>
        <v>7.014999999999999E-2</v>
      </c>
    </row>
    <row r="6" spans="1:6" x14ac:dyDescent="0.25">
      <c r="A6" t="s">
        <v>4</v>
      </c>
      <c r="B6">
        <v>6.2E-2</v>
      </c>
      <c r="C6" s="1"/>
      <c r="D6">
        <v>124.8</v>
      </c>
      <c r="E6">
        <v>440</v>
      </c>
      <c r="F6">
        <v>6.2E-2</v>
      </c>
    </row>
    <row r="7" spans="1:6" x14ac:dyDescent="0.25">
      <c r="A7" t="s">
        <v>5</v>
      </c>
      <c r="B7">
        <v>5.8000000000000003E-2</v>
      </c>
      <c r="C7" s="1"/>
      <c r="D7">
        <v>62.4</v>
      </c>
      <c r="E7">
        <v>385</v>
      </c>
      <c r="F7">
        <f t="shared" si="0"/>
        <v>6.6699999999999995E-2</v>
      </c>
    </row>
    <row r="8" spans="1:6" x14ac:dyDescent="0.25">
      <c r="A8" t="s">
        <v>6</v>
      </c>
      <c r="B8">
        <v>6.4000000000000001E-2</v>
      </c>
      <c r="C8" s="1">
        <v>0.33749999999999997</v>
      </c>
      <c r="D8">
        <v>240</v>
      </c>
      <c r="E8">
        <v>790</v>
      </c>
      <c r="F8">
        <f t="shared" si="0"/>
        <v>7.3599999999999999E-2</v>
      </c>
    </row>
    <row r="9" spans="1:6" x14ac:dyDescent="0.25">
      <c r="A9" t="s">
        <v>7</v>
      </c>
      <c r="B9">
        <v>6.0999999999999999E-2</v>
      </c>
      <c r="C9" s="1"/>
      <c r="D9">
        <v>126.9</v>
      </c>
      <c r="E9">
        <v>600</v>
      </c>
      <c r="F9">
        <f t="shared" si="0"/>
        <v>7.014999999999999E-2</v>
      </c>
    </row>
    <row r="10" spans="1:6" x14ac:dyDescent="0.25">
      <c r="A10" t="s">
        <v>8</v>
      </c>
      <c r="B10">
        <v>0.06</v>
      </c>
      <c r="C10" s="1">
        <v>0.26458333333333334</v>
      </c>
      <c r="D10">
        <v>24.2</v>
      </c>
      <c r="E10">
        <v>1080</v>
      </c>
      <c r="F10">
        <f t="shared" si="0"/>
        <v>6.8999999999999992E-2</v>
      </c>
    </row>
    <row r="11" spans="1:6" x14ac:dyDescent="0.25">
      <c r="A11" t="s">
        <v>9</v>
      </c>
      <c r="B11">
        <v>5.1999999999999998E-2</v>
      </c>
      <c r="C11" s="1"/>
      <c r="D11">
        <v>35.799999999999997</v>
      </c>
      <c r="E11">
        <v>1090</v>
      </c>
      <c r="F11">
        <f t="shared" si="0"/>
        <v>5.9799999999999992E-2</v>
      </c>
    </row>
    <row r="12" spans="1:6" x14ac:dyDescent="0.25">
      <c r="A12" t="s">
        <v>10</v>
      </c>
      <c r="B12">
        <v>0.05</v>
      </c>
      <c r="C12" s="1"/>
      <c r="D12">
        <v>25.8</v>
      </c>
      <c r="E12">
        <v>1070</v>
      </c>
      <c r="F12">
        <f t="shared" si="0"/>
        <v>5.7499999999999996E-2</v>
      </c>
    </row>
    <row r="13" spans="1:6" x14ac:dyDescent="0.25">
      <c r="A13" t="s">
        <v>11</v>
      </c>
      <c r="B13">
        <v>4.8000000000000001E-2</v>
      </c>
      <c r="C13" s="1">
        <v>0.44166666666666665</v>
      </c>
      <c r="D13">
        <v>37.6</v>
      </c>
      <c r="E13">
        <v>995</v>
      </c>
      <c r="F13">
        <f t="shared" si="0"/>
        <v>5.5199999999999999E-2</v>
      </c>
    </row>
    <row r="14" spans="1:6" x14ac:dyDescent="0.25">
      <c r="A14" t="s">
        <v>12</v>
      </c>
      <c r="B14">
        <v>0.05</v>
      </c>
      <c r="C14" s="1"/>
      <c r="D14">
        <v>100.2</v>
      </c>
      <c r="E14">
        <v>2000</v>
      </c>
      <c r="F14">
        <f t="shared" si="0"/>
        <v>5.7499999999999996E-2</v>
      </c>
    </row>
    <row r="15" spans="1:6" x14ac:dyDescent="0.25">
      <c r="A15" t="s">
        <v>13</v>
      </c>
      <c r="B15">
        <v>5.0999999999999997E-2</v>
      </c>
      <c r="C15" s="1"/>
      <c r="D15">
        <v>77.8</v>
      </c>
      <c r="E15">
        <v>2085</v>
      </c>
      <c r="F15">
        <f t="shared" si="0"/>
        <v>5.8649999999999994E-2</v>
      </c>
    </row>
    <row r="16" spans="1:6" x14ac:dyDescent="0.25">
      <c r="A16" t="s">
        <v>14</v>
      </c>
      <c r="B16">
        <v>4.8000000000000001E-2</v>
      </c>
      <c r="C16" s="1"/>
      <c r="D16">
        <v>114</v>
      </c>
      <c r="E16">
        <v>2601</v>
      </c>
      <c r="F16">
        <f t="shared" si="0"/>
        <v>5.5199999999999999E-2</v>
      </c>
    </row>
    <row r="17" spans="1:6" x14ac:dyDescent="0.25">
      <c r="A17" t="s">
        <v>15</v>
      </c>
      <c r="B17">
        <v>4.9000000000000002E-2</v>
      </c>
      <c r="C17" s="1"/>
      <c r="D17">
        <v>109.1</v>
      </c>
      <c r="E17">
        <v>1890</v>
      </c>
      <c r="F17">
        <f t="shared" si="0"/>
        <v>5.6349999999999997E-2</v>
      </c>
    </row>
    <row r="18" spans="1:6" x14ac:dyDescent="0.25">
      <c r="A18" t="s">
        <v>21</v>
      </c>
      <c r="B18">
        <v>0</v>
      </c>
      <c r="D18">
        <v>1.95</v>
      </c>
      <c r="E18">
        <v>430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"/>
  <sheetViews>
    <sheetView workbookViewId="0">
      <selection activeCell="A2" sqref="A2:G18"/>
    </sheetView>
  </sheetViews>
  <sheetFormatPr defaultRowHeight="15" x14ac:dyDescent="0.25"/>
  <cols>
    <col min="3" max="3" width="13.5703125" bestFit="1" customWidth="1"/>
  </cols>
  <sheetData>
    <row r="1" spans="1:7" x14ac:dyDescent="0.25">
      <c r="B1" t="s">
        <v>20</v>
      </c>
      <c r="C1" t="s">
        <v>27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 t="s">
        <v>0</v>
      </c>
      <c r="B2">
        <v>5.7000000000000002E-2</v>
      </c>
      <c r="C2" s="1">
        <v>0.33680555555555558</v>
      </c>
      <c r="D2">
        <v>26.2</v>
      </c>
      <c r="E2">
        <v>190</v>
      </c>
      <c r="F2">
        <f>B2*1.15</f>
        <v>6.5549999999999997E-2</v>
      </c>
      <c r="G2">
        <v>-57.1</v>
      </c>
    </row>
    <row r="3" spans="1:7" x14ac:dyDescent="0.25">
      <c r="A3" t="s">
        <v>1</v>
      </c>
      <c r="B3">
        <v>5.5E-2</v>
      </c>
      <c r="C3" s="1">
        <v>0.35625000000000001</v>
      </c>
      <c r="D3">
        <v>25.4</v>
      </c>
      <c r="E3">
        <v>220</v>
      </c>
      <c r="F3">
        <f t="shared" ref="F3:F18" si="0">B3*1.15</f>
        <v>6.3250000000000001E-2</v>
      </c>
      <c r="G3">
        <v>-56.1</v>
      </c>
    </row>
    <row r="4" spans="1:7" x14ac:dyDescent="0.25">
      <c r="A4" t="s">
        <v>2</v>
      </c>
      <c r="B4">
        <v>5.5E-2</v>
      </c>
      <c r="C4" s="1">
        <v>0.36805555555555558</v>
      </c>
      <c r="D4">
        <v>30.3</v>
      </c>
      <c r="E4">
        <v>220</v>
      </c>
      <c r="F4">
        <f t="shared" si="0"/>
        <v>6.3250000000000001E-2</v>
      </c>
      <c r="G4">
        <v>-56.6</v>
      </c>
    </row>
    <row r="5" spans="1:7" x14ac:dyDescent="0.25">
      <c r="A5" t="s">
        <v>3</v>
      </c>
      <c r="B5">
        <v>5.5E-2</v>
      </c>
      <c r="C5" s="1">
        <v>0.375</v>
      </c>
      <c r="D5">
        <v>26.6</v>
      </c>
      <c r="E5">
        <v>200</v>
      </c>
      <c r="F5">
        <f t="shared" si="0"/>
        <v>6.3250000000000001E-2</v>
      </c>
      <c r="G5">
        <v>-57.7</v>
      </c>
    </row>
    <row r="6" spans="1:7" x14ac:dyDescent="0.25">
      <c r="A6" t="s">
        <v>4</v>
      </c>
      <c r="B6">
        <v>5.5E-2</v>
      </c>
      <c r="C6" s="1">
        <v>0.38611111111111113</v>
      </c>
      <c r="D6">
        <v>179.3</v>
      </c>
      <c r="E6">
        <v>475</v>
      </c>
      <c r="F6">
        <f t="shared" si="0"/>
        <v>6.3250000000000001E-2</v>
      </c>
      <c r="G6">
        <v>-69.150000000000006</v>
      </c>
    </row>
    <row r="7" spans="1:7" x14ac:dyDescent="0.25">
      <c r="A7" t="s">
        <v>5</v>
      </c>
      <c r="B7">
        <v>5.5E-2</v>
      </c>
      <c r="C7" s="1"/>
      <c r="D7">
        <v>72.900000000000006</v>
      </c>
      <c r="E7">
        <v>397</v>
      </c>
      <c r="F7">
        <f t="shared" si="0"/>
        <v>6.3250000000000001E-2</v>
      </c>
      <c r="G7">
        <v>-69.069999999999993</v>
      </c>
    </row>
    <row r="8" spans="1:7" x14ac:dyDescent="0.25">
      <c r="A8" t="s">
        <v>6</v>
      </c>
      <c r="B8">
        <v>5.7000000000000002E-2</v>
      </c>
      <c r="C8" s="1">
        <v>0.43333333333333335</v>
      </c>
      <c r="D8">
        <v>79.900000000000006</v>
      </c>
      <c r="E8">
        <v>397</v>
      </c>
      <c r="F8">
        <f t="shared" si="0"/>
        <v>6.5549999999999997E-2</v>
      </c>
      <c r="G8">
        <v>-71.23</v>
      </c>
    </row>
    <row r="9" spans="1:7" x14ac:dyDescent="0.25">
      <c r="A9" t="s">
        <v>7</v>
      </c>
      <c r="B9">
        <v>5.7000000000000002E-2</v>
      </c>
      <c r="C9" s="1">
        <v>0.44097222222222227</v>
      </c>
      <c r="D9">
        <v>70.599999999999994</v>
      </c>
      <c r="E9">
        <v>403</v>
      </c>
      <c r="F9">
        <f t="shared" si="0"/>
        <v>6.5549999999999997E-2</v>
      </c>
      <c r="G9">
        <v>-68.099999999999994</v>
      </c>
    </row>
    <row r="10" spans="1:7" x14ac:dyDescent="0.25">
      <c r="A10" t="s">
        <v>8</v>
      </c>
      <c r="B10">
        <v>4.9000000000000002E-2</v>
      </c>
      <c r="C10" s="1">
        <v>0.4548611111111111</v>
      </c>
      <c r="D10">
        <v>32.299999999999997</v>
      </c>
      <c r="E10">
        <v>1160</v>
      </c>
      <c r="F10">
        <f t="shared" si="0"/>
        <v>5.6349999999999997E-2</v>
      </c>
      <c r="G10">
        <v>-56.74</v>
      </c>
    </row>
    <row r="11" spans="1:7" x14ac:dyDescent="0.25">
      <c r="A11" t="s">
        <v>9</v>
      </c>
      <c r="B11">
        <v>4.5999999999999999E-2</v>
      </c>
      <c r="C11" s="1"/>
      <c r="D11">
        <v>33.5</v>
      </c>
      <c r="E11">
        <v>1109</v>
      </c>
      <c r="F11">
        <f t="shared" si="0"/>
        <v>5.2899999999999996E-2</v>
      </c>
      <c r="G11">
        <v>-58.07</v>
      </c>
    </row>
    <row r="12" spans="1:7" x14ac:dyDescent="0.25">
      <c r="A12" t="s">
        <v>10</v>
      </c>
      <c r="B12">
        <v>4.4999999999999998E-2</v>
      </c>
      <c r="C12" s="1">
        <v>0.48541666666666666</v>
      </c>
      <c r="D12">
        <v>32.299999999999997</v>
      </c>
      <c r="E12">
        <v>1020</v>
      </c>
      <c r="F12">
        <f t="shared" si="0"/>
        <v>5.1749999999999997E-2</v>
      </c>
      <c r="G12">
        <v>-56.69</v>
      </c>
    </row>
    <row r="13" spans="1:7" x14ac:dyDescent="0.25">
      <c r="A13" t="s">
        <v>11</v>
      </c>
      <c r="B13">
        <v>4.3999999999999997E-2</v>
      </c>
      <c r="C13" s="1"/>
      <c r="D13">
        <v>34.9</v>
      </c>
      <c r="E13">
        <v>1086</v>
      </c>
      <c r="F13">
        <f t="shared" si="0"/>
        <v>5.0599999999999992E-2</v>
      </c>
      <c r="G13">
        <v>-56.43</v>
      </c>
    </row>
    <row r="14" spans="1:7" x14ac:dyDescent="0.25">
      <c r="A14" t="s">
        <v>12</v>
      </c>
      <c r="B14">
        <v>4.5999999999999999E-2</v>
      </c>
      <c r="C14" s="1">
        <v>0.53263888888888888</v>
      </c>
      <c r="D14">
        <v>110.3</v>
      </c>
      <c r="E14">
        <v>2100</v>
      </c>
      <c r="F14">
        <f t="shared" si="0"/>
        <v>5.2899999999999996E-2</v>
      </c>
      <c r="G14">
        <v>-81.23</v>
      </c>
    </row>
    <row r="15" spans="1:7" x14ac:dyDescent="0.25">
      <c r="A15" t="s">
        <v>13</v>
      </c>
      <c r="B15">
        <v>4.4999999999999998E-2</v>
      </c>
      <c r="C15" s="1">
        <v>0.55555555555555558</v>
      </c>
      <c r="D15">
        <v>117.2</v>
      </c>
      <c r="E15">
        <v>2200</v>
      </c>
      <c r="F15">
        <f t="shared" si="0"/>
        <v>5.1749999999999997E-2</v>
      </c>
      <c r="G15">
        <v>-82.24</v>
      </c>
    </row>
    <row r="16" spans="1:7" x14ac:dyDescent="0.25">
      <c r="A16" t="s">
        <v>14</v>
      </c>
      <c r="B16">
        <v>4.5999999999999999E-2</v>
      </c>
      <c r="C16" s="1">
        <v>0.56666666666666665</v>
      </c>
      <c r="D16">
        <v>116.8</v>
      </c>
      <c r="E16">
        <v>3100</v>
      </c>
      <c r="F16">
        <f t="shared" si="0"/>
        <v>5.2899999999999996E-2</v>
      </c>
      <c r="G16">
        <v>-81.739999999999995</v>
      </c>
    </row>
    <row r="17" spans="1:7" x14ac:dyDescent="0.25">
      <c r="A17" t="s">
        <v>15</v>
      </c>
      <c r="B17">
        <v>4.2000000000000003E-2</v>
      </c>
      <c r="C17" s="1">
        <v>0.58263888888888882</v>
      </c>
      <c r="D17">
        <v>114.2</v>
      </c>
      <c r="E17">
        <v>2520</v>
      </c>
      <c r="F17">
        <f t="shared" si="0"/>
        <v>4.8300000000000003E-2</v>
      </c>
      <c r="G17">
        <v>-79.11</v>
      </c>
    </row>
    <row r="18" spans="1:7" x14ac:dyDescent="0.25">
      <c r="A18" t="s">
        <v>21</v>
      </c>
      <c r="B18">
        <v>0</v>
      </c>
      <c r="D18">
        <v>2</v>
      </c>
      <c r="E18">
        <v>430</v>
      </c>
      <c r="F18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"/>
  <sheetViews>
    <sheetView workbookViewId="0">
      <selection activeCell="F2" sqref="F2:F18"/>
    </sheetView>
  </sheetViews>
  <sheetFormatPr defaultRowHeight="15" x14ac:dyDescent="0.25"/>
  <cols>
    <col min="3" max="3" width="13.5703125" bestFit="1" customWidth="1"/>
  </cols>
  <sheetData>
    <row r="1" spans="1:7" x14ac:dyDescent="0.25">
      <c r="B1" t="s">
        <v>20</v>
      </c>
      <c r="C1" t="s">
        <v>27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 t="s">
        <v>0</v>
      </c>
      <c r="B2">
        <v>5.2999999999999999E-2</v>
      </c>
      <c r="C2" s="1">
        <v>0.34861111111111115</v>
      </c>
      <c r="D2">
        <v>22.17</v>
      </c>
      <c r="E2">
        <v>210</v>
      </c>
      <c r="F2">
        <f>B2*1.15</f>
        <v>6.094999999999999E-2</v>
      </c>
      <c r="G2">
        <v>-60.3</v>
      </c>
    </row>
    <row r="3" spans="1:7" x14ac:dyDescent="0.25">
      <c r="A3" t="s">
        <v>1</v>
      </c>
      <c r="B3">
        <v>5.5E-2</v>
      </c>
      <c r="C3" s="1">
        <v>0.375</v>
      </c>
      <c r="D3">
        <v>22.7</v>
      </c>
      <c r="E3">
        <v>222</v>
      </c>
      <c r="F3">
        <f>B3*1.15-F18</f>
        <v>6.3250000000000001E-2</v>
      </c>
      <c r="G3">
        <v>-57.56</v>
      </c>
    </row>
    <row r="4" spans="1:7" x14ac:dyDescent="0.25">
      <c r="A4" t="s">
        <v>2</v>
      </c>
      <c r="B4">
        <v>5.5E-2</v>
      </c>
      <c r="C4" s="1">
        <v>0.37986111111111115</v>
      </c>
      <c r="D4">
        <v>23.04</v>
      </c>
      <c r="E4">
        <v>208</v>
      </c>
      <c r="F4">
        <f t="shared" ref="F4:F17" si="0">B4*1.15</f>
        <v>6.3250000000000001E-2</v>
      </c>
      <c r="G4">
        <v>-60.01</v>
      </c>
    </row>
    <row r="5" spans="1:7" x14ac:dyDescent="0.25">
      <c r="A5" t="s">
        <v>3</v>
      </c>
      <c r="B5">
        <v>0.05</v>
      </c>
      <c r="C5" s="1">
        <v>0.3888888888888889</v>
      </c>
      <c r="D5">
        <v>25.64</v>
      </c>
      <c r="E5">
        <v>210</v>
      </c>
      <c r="F5">
        <f t="shared" si="0"/>
        <v>5.7499999999999996E-2</v>
      </c>
      <c r="G5">
        <v>-60.55</v>
      </c>
    </row>
    <row r="6" spans="1:7" x14ac:dyDescent="0.25">
      <c r="A6" t="s">
        <v>4</v>
      </c>
      <c r="B6">
        <v>5.6000000000000001E-2</v>
      </c>
      <c r="C6" s="1">
        <v>0.40625</v>
      </c>
      <c r="D6">
        <v>81.290000000000006</v>
      </c>
      <c r="E6">
        <v>415</v>
      </c>
      <c r="F6">
        <f t="shared" si="0"/>
        <v>6.4399999999999999E-2</v>
      </c>
      <c r="G6">
        <v>-73.61</v>
      </c>
    </row>
    <row r="7" spans="1:7" x14ac:dyDescent="0.25">
      <c r="A7" t="s">
        <v>5</v>
      </c>
      <c r="B7">
        <v>5.5E-2</v>
      </c>
      <c r="C7" s="1">
        <v>0.41875000000000001</v>
      </c>
      <c r="D7">
        <v>70.05</v>
      </c>
      <c r="E7">
        <v>365</v>
      </c>
      <c r="F7">
        <f t="shared" si="0"/>
        <v>6.3250000000000001E-2</v>
      </c>
      <c r="G7">
        <v>-71.67</v>
      </c>
    </row>
    <row r="8" spans="1:7" x14ac:dyDescent="0.25">
      <c r="A8" t="s">
        <v>6</v>
      </c>
      <c r="B8">
        <v>5.8000000000000003E-2</v>
      </c>
      <c r="C8" s="1">
        <v>0.43055555555555558</v>
      </c>
      <c r="D8">
        <v>68.64</v>
      </c>
      <c r="E8">
        <v>330</v>
      </c>
      <c r="F8">
        <f t="shared" si="0"/>
        <v>6.6699999999999995E-2</v>
      </c>
      <c r="G8">
        <v>-74.260000000000005</v>
      </c>
    </row>
    <row r="9" spans="1:7" x14ac:dyDescent="0.25">
      <c r="A9" t="s">
        <v>7</v>
      </c>
      <c r="B9">
        <v>5.5E-2</v>
      </c>
      <c r="C9" s="1">
        <v>0.44791666666666669</v>
      </c>
      <c r="D9">
        <v>70.39</v>
      </c>
      <c r="E9">
        <v>356</v>
      </c>
      <c r="F9">
        <f t="shared" si="0"/>
        <v>6.3250000000000001E-2</v>
      </c>
      <c r="G9">
        <v>-70.98</v>
      </c>
    </row>
    <row r="10" spans="1:7" x14ac:dyDescent="0.25">
      <c r="A10" t="s">
        <v>8</v>
      </c>
      <c r="B10">
        <v>5.1999999999999998E-2</v>
      </c>
      <c r="C10" s="1">
        <v>0.47222222222222227</v>
      </c>
      <c r="D10">
        <v>28.68</v>
      </c>
      <c r="E10">
        <v>1030</v>
      </c>
      <c r="F10">
        <f t="shared" si="0"/>
        <v>5.9799999999999992E-2</v>
      </c>
      <c r="G10">
        <v>-61.76</v>
      </c>
    </row>
    <row r="11" spans="1:7" x14ac:dyDescent="0.25">
      <c r="A11" t="s">
        <v>9</v>
      </c>
      <c r="B11">
        <v>4.9000000000000002E-2</v>
      </c>
      <c r="C11" s="1"/>
      <c r="D11">
        <v>32.5</v>
      </c>
      <c r="E11">
        <v>1087</v>
      </c>
      <c r="F11">
        <f t="shared" si="0"/>
        <v>5.6349999999999997E-2</v>
      </c>
      <c r="G11">
        <v>-62.26</v>
      </c>
    </row>
    <row r="12" spans="1:7" x14ac:dyDescent="0.25">
      <c r="A12" t="s">
        <v>10</v>
      </c>
      <c r="B12">
        <v>4.9000000000000002E-2</v>
      </c>
      <c r="C12" s="1">
        <v>0.52013888888888882</v>
      </c>
      <c r="D12">
        <v>27.25</v>
      </c>
      <c r="E12">
        <v>980</v>
      </c>
      <c r="F12">
        <f t="shared" si="0"/>
        <v>5.6349999999999997E-2</v>
      </c>
      <c r="G12">
        <v>-61.17</v>
      </c>
    </row>
    <row r="13" spans="1:7" x14ac:dyDescent="0.25">
      <c r="A13" t="s">
        <v>11</v>
      </c>
      <c r="B13">
        <v>4.7E-2</v>
      </c>
      <c r="C13" s="1">
        <v>0.53055555555555556</v>
      </c>
      <c r="D13">
        <v>31.4</v>
      </c>
      <c r="E13">
        <v>1028</v>
      </c>
      <c r="F13">
        <f t="shared" si="0"/>
        <v>5.4049999999999994E-2</v>
      </c>
      <c r="G13">
        <v>-60.75</v>
      </c>
    </row>
    <row r="14" spans="1:7" x14ac:dyDescent="0.25">
      <c r="A14" t="s">
        <v>12</v>
      </c>
      <c r="B14">
        <v>4.9000000000000002E-2</v>
      </c>
      <c r="C14" s="1">
        <v>0.54861111111111105</v>
      </c>
      <c r="D14">
        <v>126.6</v>
      </c>
      <c r="E14">
        <v>2530</v>
      </c>
      <c r="F14">
        <f t="shared" si="0"/>
        <v>5.6349999999999997E-2</v>
      </c>
      <c r="G14">
        <v>-86.1</v>
      </c>
    </row>
    <row r="15" spans="1:7" x14ac:dyDescent="0.25">
      <c r="A15" t="s">
        <v>13</v>
      </c>
      <c r="B15">
        <v>0.05</v>
      </c>
      <c r="C15" s="1"/>
      <c r="D15">
        <v>123.3</v>
      </c>
      <c r="E15">
        <v>2575</v>
      </c>
      <c r="F15">
        <f t="shared" si="0"/>
        <v>5.7499999999999996E-2</v>
      </c>
      <c r="G15">
        <v>-87.23</v>
      </c>
    </row>
    <row r="16" spans="1:7" x14ac:dyDescent="0.25">
      <c r="A16" t="s">
        <v>14</v>
      </c>
      <c r="B16">
        <v>5.0999999999999997E-2</v>
      </c>
      <c r="C16" s="1"/>
      <c r="D16">
        <v>128.9</v>
      </c>
      <c r="E16">
        <v>2484</v>
      </c>
      <c r="F16">
        <f t="shared" si="0"/>
        <v>5.8649999999999994E-2</v>
      </c>
      <c r="G16">
        <v>-88.22</v>
      </c>
    </row>
    <row r="17" spans="1:7" x14ac:dyDescent="0.25">
      <c r="A17" t="s">
        <v>15</v>
      </c>
      <c r="B17">
        <v>4.7E-2</v>
      </c>
      <c r="C17" s="1"/>
      <c r="D17">
        <v>137.4</v>
      </c>
      <c r="E17">
        <v>2722</v>
      </c>
      <c r="F17">
        <f t="shared" si="0"/>
        <v>5.4049999999999994E-2</v>
      </c>
      <c r="G17">
        <v>-83.75</v>
      </c>
    </row>
    <row r="18" spans="1:7" x14ac:dyDescent="0.25">
      <c r="A18" t="s">
        <v>21</v>
      </c>
      <c r="B18">
        <v>0</v>
      </c>
      <c r="F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9"/>
  <sheetViews>
    <sheetView workbookViewId="0">
      <selection activeCell="J6" sqref="J6"/>
    </sheetView>
  </sheetViews>
  <sheetFormatPr defaultRowHeight="15" x14ac:dyDescent="0.25"/>
  <cols>
    <col min="1" max="1" width="40.7109375" bestFit="1" customWidth="1"/>
    <col min="11" max="11" width="12" bestFit="1" customWidth="1"/>
    <col min="13" max="13" width="10.7109375" bestFit="1" customWidth="1"/>
    <col min="14" max="14" width="12" bestFit="1" customWidth="1"/>
  </cols>
  <sheetData>
    <row r="1" spans="1:14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I1" t="s">
        <v>31</v>
      </c>
      <c r="J1" t="s">
        <v>32</v>
      </c>
      <c r="K1" t="s">
        <v>34</v>
      </c>
      <c r="L1" t="s">
        <v>33</v>
      </c>
      <c r="M1" t="s">
        <v>35</v>
      </c>
      <c r="N1" t="s">
        <v>36</v>
      </c>
    </row>
    <row r="2" spans="1:14" x14ac:dyDescent="0.25">
      <c r="A2" t="s">
        <v>30</v>
      </c>
      <c r="C2" s="1">
        <v>0.33194444444444443</v>
      </c>
      <c r="D2">
        <v>20.89</v>
      </c>
      <c r="E2">
        <v>225</v>
      </c>
      <c r="G2">
        <v>-57.47</v>
      </c>
      <c r="I2">
        <v>22.7</v>
      </c>
      <c r="J2">
        <v>222</v>
      </c>
      <c r="K2">
        <f>(1-D2/I2)*100</f>
        <v>7.9735682819383253</v>
      </c>
      <c r="L2">
        <f>(1-E2/J2)*100</f>
        <v>-1.3513513513513598</v>
      </c>
      <c r="M2">
        <v>-57.56</v>
      </c>
      <c r="N2">
        <f>(1-G2/M2)*100</f>
        <v>0.15635858234885891</v>
      </c>
    </row>
    <row r="3" spans="1:14" x14ac:dyDescent="0.25">
      <c r="A3" t="s">
        <v>0</v>
      </c>
      <c r="B3">
        <v>0.05</v>
      </c>
      <c r="C3" s="1"/>
      <c r="D3">
        <v>20.329999999999998</v>
      </c>
      <c r="E3">
        <v>197</v>
      </c>
      <c r="F3">
        <f>B3*1.15</f>
        <v>5.7499999999999996E-2</v>
      </c>
      <c r="G3">
        <v>-63.03</v>
      </c>
    </row>
    <row r="4" spans="1:14" x14ac:dyDescent="0.25">
      <c r="A4" t="s">
        <v>1</v>
      </c>
      <c r="B4">
        <v>5.5E-2</v>
      </c>
      <c r="C4" s="1">
        <v>0.38541666666666669</v>
      </c>
      <c r="D4">
        <v>21.2</v>
      </c>
      <c r="E4">
        <v>199.6</v>
      </c>
      <c r="F4">
        <f>B4*1.15-F19</f>
        <v>6.3250000000000001E-2</v>
      </c>
      <c r="G4">
        <v>-62.41</v>
      </c>
    </row>
    <row r="5" spans="1:14" x14ac:dyDescent="0.25">
      <c r="A5" t="s">
        <v>2</v>
      </c>
      <c r="B5">
        <v>5.5E-2</v>
      </c>
      <c r="C5" s="1"/>
      <c r="D5">
        <v>21.24</v>
      </c>
      <c r="E5">
        <v>193.5</v>
      </c>
      <c r="F5">
        <f t="shared" ref="F5:F18" si="0">B5*1.15</f>
        <v>6.3250000000000001E-2</v>
      </c>
      <c r="G5">
        <v>-62.55</v>
      </c>
    </row>
    <row r="6" spans="1:14" x14ac:dyDescent="0.25">
      <c r="A6" t="s">
        <v>3</v>
      </c>
      <c r="B6">
        <v>5.5E-2</v>
      </c>
      <c r="C6" s="1"/>
      <c r="D6">
        <v>25.24</v>
      </c>
      <c r="E6">
        <v>187</v>
      </c>
      <c r="F6">
        <f t="shared" si="0"/>
        <v>6.3250000000000001E-2</v>
      </c>
      <c r="G6">
        <v>-62.48</v>
      </c>
    </row>
    <row r="7" spans="1:14" x14ac:dyDescent="0.25">
      <c r="A7" t="s">
        <v>4</v>
      </c>
      <c r="B7">
        <v>5.5E-2</v>
      </c>
      <c r="C7" s="1">
        <v>0.41666666666666669</v>
      </c>
      <c r="D7">
        <v>73.010000000000005</v>
      </c>
      <c r="E7">
        <v>355</v>
      </c>
      <c r="F7">
        <f t="shared" si="0"/>
        <v>6.3250000000000001E-2</v>
      </c>
      <c r="G7">
        <v>-75.2</v>
      </c>
    </row>
    <row r="8" spans="1:14" x14ac:dyDescent="0.25">
      <c r="A8" t="s">
        <v>5</v>
      </c>
      <c r="B8">
        <v>5.5E-2</v>
      </c>
      <c r="C8" s="1">
        <v>0.45069444444444445</v>
      </c>
      <c r="D8">
        <v>64.900000000000006</v>
      </c>
      <c r="E8">
        <v>320</v>
      </c>
      <c r="F8">
        <f t="shared" si="0"/>
        <v>6.3250000000000001E-2</v>
      </c>
      <c r="G8">
        <v>-73.23</v>
      </c>
    </row>
    <row r="9" spans="1:14" x14ac:dyDescent="0.25">
      <c r="A9" t="s">
        <v>6</v>
      </c>
      <c r="B9">
        <v>5.5E-2</v>
      </c>
      <c r="C9" s="1">
        <v>0.46180555555555558</v>
      </c>
      <c r="D9">
        <v>71.5</v>
      </c>
      <c r="E9">
        <v>304</v>
      </c>
      <c r="F9">
        <f t="shared" si="0"/>
        <v>6.3250000000000001E-2</v>
      </c>
      <c r="G9">
        <v>-75.02</v>
      </c>
    </row>
    <row r="10" spans="1:14" x14ac:dyDescent="0.25">
      <c r="A10" t="s">
        <v>7</v>
      </c>
      <c r="B10">
        <v>0.05</v>
      </c>
      <c r="C10" s="1">
        <v>0.47222222222222227</v>
      </c>
      <c r="D10">
        <v>64.48</v>
      </c>
      <c r="E10">
        <v>315.39999999999998</v>
      </c>
      <c r="F10">
        <f t="shared" si="0"/>
        <v>5.7499999999999996E-2</v>
      </c>
      <c r="G10">
        <v>-72.739999999999995</v>
      </c>
    </row>
    <row r="11" spans="1:14" x14ac:dyDescent="0.25">
      <c r="A11" t="s">
        <v>8</v>
      </c>
      <c r="B11">
        <v>5.0999999999999997E-2</v>
      </c>
      <c r="C11" s="1">
        <v>0.48125000000000001</v>
      </c>
      <c r="D11">
        <v>28.49</v>
      </c>
      <c r="E11">
        <v>1020</v>
      </c>
      <c r="F11">
        <f t="shared" si="0"/>
        <v>5.8649999999999994E-2</v>
      </c>
      <c r="G11">
        <v>-65.569999999999993</v>
      </c>
    </row>
    <row r="12" spans="1:14" x14ac:dyDescent="0.25">
      <c r="A12" t="s">
        <v>9</v>
      </c>
      <c r="B12">
        <v>4.8000000000000001E-2</v>
      </c>
      <c r="C12" s="1">
        <v>0.50416666666666665</v>
      </c>
      <c r="D12">
        <v>31.37</v>
      </c>
      <c r="E12">
        <v>1100</v>
      </c>
      <c r="F12">
        <f t="shared" si="0"/>
        <v>5.5199999999999999E-2</v>
      </c>
      <c r="G12">
        <v>-66.5</v>
      </c>
    </row>
    <row r="13" spans="1:14" x14ac:dyDescent="0.25">
      <c r="A13" t="s">
        <v>10</v>
      </c>
      <c r="B13">
        <v>4.8000000000000001E-2</v>
      </c>
      <c r="C13" s="1"/>
      <c r="D13">
        <v>25.34</v>
      </c>
      <c r="E13">
        <v>998</v>
      </c>
      <c r="F13">
        <f t="shared" si="0"/>
        <v>5.5199999999999999E-2</v>
      </c>
      <c r="G13">
        <v>-64.94</v>
      </c>
    </row>
    <row r="14" spans="1:14" x14ac:dyDescent="0.25">
      <c r="A14" t="s">
        <v>11</v>
      </c>
      <c r="B14">
        <v>4.7E-2</v>
      </c>
      <c r="C14" s="1"/>
      <c r="D14">
        <v>33.74</v>
      </c>
      <c r="E14">
        <v>993.8</v>
      </c>
      <c r="F14">
        <f t="shared" si="0"/>
        <v>5.4049999999999994E-2</v>
      </c>
      <c r="G14">
        <v>-65.48</v>
      </c>
    </row>
    <row r="15" spans="1:14" x14ac:dyDescent="0.25">
      <c r="A15" t="s">
        <v>12</v>
      </c>
      <c r="B15">
        <v>4.8000000000000001E-2</v>
      </c>
      <c r="C15" s="1"/>
      <c r="D15">
        <v>133.69999999999999</v>
      </c>
      <c r="E15">
        <v>2780</v>
      </c>
      <c r="F15">
        <f t="shared" si="0"/>
        <v>5.5199999999999999E-2</v>
      </c>
      <c r="G15">
        <v>-90.36</v>
      </c>
    </row>
    <row r="16" spans="1:14" x14ac:dyDescent="0.25">
      <c r="A16" t="s">
        <v>13</v>
      </c>
      <c r="B16">
        <v>4.9000000000000002E-2</v>
      </c>
      <c r="C16" s="1"/>
      <c r="D16">
        <v>131.30000000000001</v>
      </c>
      <c r="E16">
        <v>2620</v>
      </c>
      <c r="F16">
        <f t="shared" si="0"/>
        <v>5.6349999999999997E-2</v>
      </c>
      <c r="G16">
        <v>-91.87</v>
      </c>
    </row>
    <row r="17" spans="1:7" x14ac:dyDescent="0.25">
      <c r="A17" t="s">
        <v>14</v>
      </c>
      <c r="B17">
        <v>0.05</v>
      </c>
      <c r="C17" s="1"/>
      <c r="D17">
        <v>141</v>
      </c>
      <c r="E17">
        <v>2535</v>
      </c>
      <c r="F17">
        <f t="shared" si="0"/>
        <v>5.7499999999999996E-2</v>
      </c>
      <c r="G17">
        <v>-92.4</v>
      </c>
    </row>
    <row r="18" spans="1:7" x14ac:dyDescent="0.25">
      <c r="A18" t="s">
        <v>15</v>
      </c>
      <c r="B18">
        <v>4.7E-2</v>
      </c>
      <c r="C18" s="1"/>
      <c r="D18">
        <v>128.5</v>
      </c>
      <c r="E18">
        <v>2339</v>
      </c>
      <c r="F18">
        <f t="shared" si="0"/>
        <v>5.4049999999999994E-2</v>
      </c>
      <c r="G18">
        <v>-88.17</v>
      </c>
    </row>
    <row r="19" spans="1:7" x14ac:dyDescent="0.25">
      <c r="A19" t="s">
        <v>21</v>
      </c>
      <c r="F1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7"/>
  <sheetViews>
    <sheetView workbookViewId="0">
      <selection activeCell="H11" sqref="H11"/>
    </sheetView>
  </sheetViews>
  <sheetFormatPr defaultRowHeight="15" x14ac:dyDescent="0.25"/>
  <sheetData>
    <row r="1" spans="1:13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  <c r="I1" s="3" t="s">
        <v>41</v>
      </c>
    </row>
    <row r="2" spans="1:13" x14ac:dyDescent="0.25">
      <c r="A2" t="s">
        <v>0</v>
      </c>
      <c r="B2">
        <v>5.0999999999999997E-2</v>
      </c>
      <c r="C2" s="1">
        <v>0.3034722222222222</v>
      </c>
      <c r="D2">
        <v>22.77</v>
      </c>
      <c r="E2">
        <v>205</v>
      </c>
      <c r="F2">
        <f>B2*1.15</f>
        <v>5.8649999999999994E-2</v>
      </c>
      <c r="G2">
        <v>-64.86</v>
      </c>
    </row>
    <row r="3" spans="1:13" x14ac:dyDescent="0.25">
      <c r="A3" t="s">
        <v>1</v>
      </c>
      <c r="B3">
        <v>0.05</v>
      </c>
      <c r="C3" s="1">
        <v>0.32083333333333336</v>
      </c>
      <c r="D3">
        <v>22.12</v>
      </c>
      <c r="E3">
        <v>200</v>
      </c>
      <c r="F3">
        <f>B3*1.15-F18</f>
        <v>5.7499999999999996E-2</v>
      </c>
      <c r="G3">
        <v>-63.92</v>
      </c>
    </row>
    <row r="4" spans="1:13" x14ac:dyDescent="0.25">
      <c r="A4" t="s">
        <v>2</v>
      </c>
      <c r="B4">
        <v>5.1999999999999998E-2</v>
      </c>
      <c r="C4" s="1"/>
      <c r="D4">
        <v>21.77</v>
      </c>
      <c r="E4">
        <v>197</v>
      </c>
      <c r="F4">
        <f t="shared" ref="F4:F17" si="0">B4*1.15</f>
        <v>5.9799999999999992E-2</v>
      </c>
      <c r="G4">
        <v>-63.99</v>
      </c>
    </row>
    <row r="5" spans="1:13" x14ac:dyDescent="0.25">
      <c r="A5" t="s">
        <v>3</v>
      </c>
      <c r="B5">
        <v>5.1999999999999998E-2</v>
      </c>
      <c r="C5" s="1"/>
      <c r="D5">
        <v>23.15</v>
      </c>
      <c r="E5">
        <v>189</v>
      </c>
      <c r="F5">
        <f t="shared" si="0"/>
        <v>5.9799999999999992E-2</v>
      </c>
      <c r="G5">
        <v>-64.37</v>
      </c>
    </row>
    <row r="6" spans="1:13" x14ac:dyDescent="0.25">
      <c r="A6" t="s">
        <v>4</v>
      </c>
      <c r="B6">
        <v>5.3999999999999999E-2</v>
      </c>
      <c r="C6" s="1"/>
      <c r="D6">
        <v>68.010000000000005</v>
      </c>
      <c r="E6">
        <v>295</v>
      </c>
      <c r="F6">
        <f t="shared" si="0"/>
        <v>6.2099999999999995E-2</v>
      </c>
      <c r="G6">
        <v>-77.11</v>
      </c>
    </row>
    <row r="7" spans="1:13" x14ac:dyDescent="0.25">
      <c r="A7" t="s">
        <v>5</v>
      </c>
      <c r="B7">
        <v>5.2999999999999999E-2</v>
      </c>
      <c r="C7" s="1"/>
      <c r="D7">
        <v>59.87</v>
      </c>
      <c r="E7">
        <v>290</v>
      </c>
      <c r="F7">
        <f t="shared" si="0"/>
        <v>6.094999999999999E-2</v>
      </c>
      <c r="G7">
        <v>-74.72</v>
      </c>
    </row>
    <row r="8" spans="1:13" x14ac:dyDescent="0.25">
      <c r="A8" t="s">
        <v>6</v>
      </c>
      <c r="B8">
        <v>5.6000000000000001E-2</v>
      </c>
      <c r="C8" s="1"/>
      <c r="D8">
        <v>66.98</v>
      </c>
      <c r="E8">
        <v>282</v>
      </c>
      <c r="F8">
        <f t="shared" si="0"/>
        <v>6.4399999999999999E-2</v>
      </c>
      <c r="G8">
        <v>-76.23</v>
      </c>
    </row>
    <row r="9" spans="1:13" x14ac:dyDescent="0.25">
      <c r="A9" t="s">
        <v>7</v>
      </c>
      <c r="B9">
        <v>5.6000000000000001E-2</v>
      </c>
      <c r="C9" s="1"/>
      <c r="D9">
        <v>57.32</v>
      </c>
      <c r="E9">
        <v>287</v>
      </c>
      <c r="F9">
        <f t="shared" si="0"/>
        <v>6.4399999999999999E-2</v>
      </c>
      <c r="G9">
        <v>-74.260000000000005</v>
      </c>
      <c r="H9">
        <v>-14.85</v>
      </c>
    </row>
    <row r="10" spans="1:13" x14ac:dyDescent="0.25">
      <c r="A10" t="s">
        <v>8</v>
      </c>
      <c r="B10">
        <v>5.0999999999999997E-2</v>
      </c>
      <c r="C10" s="1"/>
      <c r="D10">
        <v>27.35</v>
      </c>
      <c r="E10">
        <v>1028</v>
      </c>
      <c r="F10">
        <f t="shared" si="0"/>
        <v>5.8649999999999994E-2</v>
      </c>
      <c r="G10">
        <v>-69.17</v>
      </c>
    </row>
    <row r="11" spans="1:13" x14ac:dyDescent="0.25">
      <c r="A11" t="s">
        <v>9</v>
      </c>
      <c r="B11">
        <v>4.8000000000000001E-2</v>
      </c>
      <c r="C11" s="1"/>
      <c r="D11">
        <v>31.96</v>
      </c>
      <c r="E11">
        <v>1119</v>
      </c>
      <c r="F11">
        <f t="shared" si="0"/>
        <v>5.5199999999999999E-2</v>
      </c>
      <c r="G11">
        <v>-70.89</v>
      </c>
      <c r="H11">
        <v>-22.95</v>
      </c>
    </row>
    <row r="12" spans="1:13" x14ac:dyDescent="0.25">
      <c r="A12" t="s">
        <v>10</v>
      </c>
      <c r="B12">
        <v>4.9000000000000002E-2</v>
      </c>
      <c r="C12" s="1"/>
      <c r="D12">
        <v>27.23</v>
      </c>
      <c r="E12">
        <v>1038</v>
      </c>
      <c r="F12">
        <f t="shared" si="0"/>
        <v>5.6349999999999997E-2</v>
      </c>
      <c r="G12">
        <v>-68.81</v>
      </c>
    </row>
    <row r="13" spans="1:13" x14ac:dyDescent="0.25">
      <c r="A13" t="s">
        <v>11</v>
      </c>
      <c r="B13">
        <v>4.7E-2</v>
      </c>
      <c r="C13" s="1"/>
      <c r="D13">
        <v>33.700000000000003</v>
      </c>
      <c r="E13">
        <v>1026</v>
      </c>
      <c r="F13">
        <f t="shared" si="0"/>
        <v>5.4049999999999994E-2</v>
      </c>
      <c r="G13">
        <v>-67.98</v>
      </c>
      <c r="I13" t="s">
        <v>39</v>
      </c>
      <c r="K13" t="s">
        <v>38</v>
      </c>
      <c r="M13" t="s">
        <v>40</v>
      </c>
    </row>
    <row r="14" spans="1:13" x14ac:dyDescent="0.25">
      <c r="A14" t="s">
        <v>12</v>
      </c>
      <c r="B14">
        <v>4.8000000000000001E-2</v>
      </c>
      <c r="C14" s="1"/>
      <c r="D14">
        <v>143.2282992530547</v>
      </c>
      <c r="E14">
        <v>2517.738760456436</v>
      </c>
      <c r="F14">
        <f t="shared" si="0"/>
        <v>5.5199999999999999E-2</v>
      </c>
      <c r="G14">
        <v>-93.97</v>
      </c>
      <c r="J14">
        <v>142.9</v>
      </c>
      <c r="K14">
        <v>149.41999999999999</v>
      </c>
      <c r="L14">
        <v>2635.2</v>
      </c>
    </row>
    <row r="15" spans="1:13" x14ac:dyDescent="0.25">
      <c r="A15" t="s">
        <v>13</v>
      </c>
      <c r="B15">
        <v>4.9000000000000002E-2</v>
      </c>
      <c r="C15" s="1"/>
      <c r="D15">
        <v>142.09719636777427</v>
      </c>
      <c r="E15">
        <v>2336.9721493914853</v>
      </c>
      <c r="F15">
        <f t="shared" si="0"/>
        <v>5.6349999999999997E-2</v>
      </c>
      <c r="G15">
        <v>-95.85</v>
      </c>
      <c r="I15">
        <v>2335</v>
      </c>
      <c r="J15">
        <v>142.1</v>
      </c>
      <c r="K15">
        <v>148.24</v>
      </c>
      <c r="L15">
        <v>2446</v>
      </c>
    </row>
    <row r="16" spans="1:13" x14ac:dyDescent="0.25">
      <c r="A16" t="s">
        <v>14</v>
      </c>
      <c r="B16">
        <v>0.05</v>
      </c>
      <c r="C16" s="1"/>
      <c r="D16">
        <v>144.42650146203823</v>
      </c>
      <c r="E16">
        <v>2358.9469488338423</v>
      </c>
      <c r="F16">
        <f t="shared" si="0"/>
        <v>5.7499999999999996E-2</v>
      </c>
      <c r="G16">
        <v>-95.8</v>
      </c>
      <c r="I16">
        <v>2351</v>
      </c>
      <c r="J16">
        <v>144.69999999999999</v>
      </c>
      <c r="K16">
        <v>150.66999999999999</v>
      </c>
      <c r="L16">
        <v>2469</v>
      </c>
    </row>
    <row r="17" spans="1:12" x14ac:dyDescent="0.25">
      <c r="A17" t="s">
        <v>15</v>
      </c>
      <c r="B17">
        <v>4.7E-2</v>
      </c>
      <c r="C17" s="1"/>
      <c r="D17">
        <v>126.9519204462225</v>
      </c>
      <c r="E17">
        <v>2297.3219677889724</v>
      </c>
      <c r="F17">
        <f t="shared" si="0"/>
        <v>5.4049999999999994E-2</v>
      </c>
      <c r="G17">
        <v>-91</v>
      </c>
      <c r="I17">
        <v>2307</v>
      </c>
      <c r="J17">
        <v>127</v>
      </c>
      <c r="K17">
        <v>132.44</v>
      </c>
      <c r="L17">
        <v>2404.5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7"/>
  <sheetViews>
    <sheetView workbookViewId="0">
      <selection activeCell="B2" sqref="B2:B17"/>
    </sheetView>
  </sheetViews>
  <sheetFormatPr defaultRowHeight="15" x14ac:dyDescent="0.25"/>
  <sheetData>
    <row r="1" spans="1:9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  <c r="I1" s="3" t="s">
        <v>41</v>
      </c>
    </row>
    <row r="2" spans="1:9" x14ac:dyDescent="0.25">
      <c r="A2" t="s">
        <v>0</v>
      </c>
      <c r="B2">
        <v>5.0999999999999997E-2</v>
      </c>
      <c r="C2" s="1"/>
      <c r="D2">
        <v>12.5</v>
      </c>
      <c r="E2">
        <v>236</v>
      </c>
      <c r="F2">
        <f>B2*1.15</f>
        <v>5.8649999999999994E-2</v>
      </c>
    </row>
    <row r="3" spans="1:9" x14ac:dyDescent="0.25">
      <c r="A3" t="s">
        <v>1</v>
      </c>
      <c r="B3">
        <v>0.05</v>
      </c>
      <c r="C3" s="1"/>
      <c r="D3">
        <v>18.814</v>
      </c>
      <c r="E3">
        <v>165.29499999999999</v>
      </c>
      <c r="F3">
        <f>B3*1.15-F18</f>
        <v>5.7499999999999996E-2</v>
      </c>
    </row>
    <row r="4" spans="1:9" x14ac:dyDescent="0.25">
      <c r="A4" t="s">
        <v>2</v>
      </c>
      <c r="B4">
        <v>5.1999999999999998E-2</v>
      </c>
      <c r="C4" s="1"/>
      <c r="D4">
        <v>19.077000000000002</v>
      </c>
      <c r="E4">
        <v>129.488</v>
      </c>
      <c r="F4">
        <f t="shared" ref="F4:F17" si="0">B4*1.15</f>
        <v>5.9799999999999992E-2</v>
      </c>
    </row>
    <row r="5" spans="1:9" x14ac:dyDescent="0.25">
      <c r="A5" t="s">
        <v>3</v>
      </c>
      <c r="B5">
        <v>5.1999999999999998E-2</v>
      </c>
      <c r="C5" s="1"/>
      <c r="D5">
        <v>21.44</v>
      </c>
      <c r="E5">
        <v>138.86199999999999</v>
      </c>
      <c r="F5">
        <f t="shared" si="0"/>
        <v>5.9799999999999992E-2</v>
      </c>
    </row>
    <row r="6" spans="1:9" x14ac:dyDescent="0.25">
      <c r="A6" t="s">
        <v>4</v>
      </c>
      <c r="B6">
        <v>5.3999999999999999E-2</v>
      </c>
      <c r="C6" s="1"/>
      <c r="D6">
        <v>59.726999999999997</v>
      </c>
      <c r="E6">
        <v>221.376</v>
      </c>
      <c r="F6">
        <f t="shared" si="0"/>
        <v>6.2099999999999995E-2</v>
      </c>
    </row>
    <row r="7" spans="1:9" x14ac:dyDescent="0.25">
      <c r="A7" t="s">
        <v>5</v>
      </c>
      <c r="B7">
        <v>5.2999999999999999E-2</v>
      </c>
      <c r="C7" s="1"/>
      <c r="D7">
        <v>57.192999999999998</v>
      </c>
      <c r="E7">
        <v>220.899</v>
      </c>
      <c r="F7">
        <f t="shared" si="0"/>
        <v>6.094999999999999E-2</v>
      </c>
    </row>
    <row r="8" spans="1:9" x14ac:dyDescent="0.25">
      <c r="A8" t="s">
        <v>6</v>
      </c>
      <c r="B8">
        <v>5.6000000000000001E-2</v>
      </c>
      <c r="C8" s="1"/>
      <c r="D8">
        <v>159.006</v>
      </c>
      <c r="E8">
        <v>269.71499999999997</v>
      </c>
      <c r="F8">
        <f t="shared" si="0"/>
        <v>6.4399999999999999E-2</v>
      </c>
    </row>
    <row r="9" spans="1:9" x14ac:dyDescent="0.25">
      <c r="A9" t="s">
        <v>7</v>
      </c>
      <c r="B9">
        <v>5.6000000000000001E-2</v>
      </c>
      <c r="C9" s="1"/>
      <c r="D9">
        <v>46.286000000000001</v>
      </c>
      <c r="E9">
        <v>226.26400000000001</v>
      </c>
      <c r="F9">
        <f t="shared" si="0"/>
        <v>6.4399999999999999E-2</v>
      </c>
    </row>
    <row r="10" spans="1:9" x14ac:dyDescent="0.25">
      <c r="A10" t="s">
        <v>8</v>
      </c>
      <c r="B10">
        <v>5.0999999999999997E-2</v>
      </c>
      <c r="C10" s="1"/>
      <c r="D10">
        <v>29.37</v>
      </c>
      <c r="E10">
        <v>1108.78</v>
      </c>
      <c r="F10">
        <f t="shared" si="0"/>
        <v>5.8649999999999994E-2</v>
      </c>
    </row>
    <row r="11" spans="1:9" x14ac:dyDescent="0.25">
      <c r="A11" t="s">
        <v>9</v>
      </c>
      <c r="B11">
        <v>4.8000000000000001E-2</v>
      </c>
      <c r="C11" s="1"/>
      <c r="D11">
        <v>33.161999999999999</v>
      </c>
      <c r="E11">
        <v>1134.2439999999999</v>
      </c>
      <c r="F11">
        <f t="shared" si="0"/>
        <v>5.5199999999999999E-2</v>
      </c>
    </row>
    <row r="12" spans="1:9" x14ac:dyDescent="0.25">
      <c r="A12" t="s">
        <v>10</v>
      </c>
      <c r="B12">
        <v>4.9000000000000002E-2</v>
      </c>
      <c r="C12" s="1"/>
      <c r="D12">
        <v>30.713000000000001</v>
      </c>
      <c r="E12">
        <v>1109.05</v>
      </c>
      <c r="F12">
        <f t="shared" si="0"/>
        <v>5.6349999999999997E-2</v>
      </c>
    </row>
    <row r="13" spans="1:9" x14ac:dyDescent="0.25">
      <c r="A13" t="s">
        <v>11</v>
      </c>
      <c r="B13">
        <v>4.7E-2</v>
      </c>
      <c r="C13" s="1"/>
      <c r="D13">
        <v>30.841000000000001</v>
      </c>
      <c r="E13">
        <v>1077.221</v>
      </c>
      <c r="F13">
        <f t="shared" si="0"/>
        <v>5.4049999999999994E-2</v>
      </c>
    </row>
    <row r="14" spans="1:9" x14ac:dyDescent="0.25">
      <c r="A14" t="s">
        <v>12</v>
      </c>
      <c r="B14">
        <v>4.8000000000000001E-2</v>
      </c>
      <c r="C14" s="1"/>
      <c r="D14">
        <v>168.54</v>
      </c>
      <c r="E14">
        <v>2243.04</v>
      </c>
      <c r="F14">
        <f t="shared" si="0"/>
        <v>5.5199999999999999E-2</v>
      </c>
    </row>
    <row r="15" spans="1:9" x14ac:dyDescent="0.25">
      <c r="A15" t="s">
        <v>13</v>
      </c>
      <c r="B15">
        <v>4.9000000000000002E-2</v>
      </c>
      <c r="C15" s="1"/>
      <c r="D15">
        <v>176.68</v>
      </c>
      <c r="E15">
        <v>2306.5</v>
      </c>
      <c r="F15">
        <f t="shared" si="0"/>
        <v>5.6349999999999997E-2</v>
      </c>
    </row>
    <row r="16" spans="1:9" x14ac:dyDescent="0.25">
      <c r="A16" t="s">
        <v>14</v>
      </c>
      <c r="B16">
        <v>0.05</v>
      </c>
      <c r="C16" s="1"/>
      <c r="D16">
        <v>164.45500000000001</v>
      </c>
      <c r="E16">
        <v>2213.6469999999999</v>
      </c>
      <c r="F16">
        <f t="shared" si="0"/>
        <v>5.7499999999999996E-2</v>
      </c>
    </row>
    <row r="17" spans="1:6" x14ac:dyDescent="0.25">
      <c r="A17" t="s">
        <v>15</v>
      </c>
      <c r="B17">
        <v>4.7E-2</v>
      </c>
      <c r="C17" s="1"/>
      <c r="D17">
        <v>167.44</v>
      </c>
      <c r="E17">
        <v>2091.3000000000002</v>
      </c>
      <c r="F17">
        <f t="shared" si="0"/>
        <v>5.4049999999999994E-2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7"/>
  <sheetViews>
    <sheetView workbookViewId="0">
      <selection activeCell="G2" sqref="G2:G17"/>
    </sheetView>
  </sheetViews>
  <sheetFormatPr defaultRowHeight="15" x14ac:dyDescent="0.25"/>
  <cols>
    <col min="3" max="3" width="16.140625" bestFit="1" customWidth="1"/>
  </cols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5.0999999999999997E-2</v>
      </c>
      <c r="C2" s="1" t="s">
        <v>42</v>
      </c>
      <c r="D2">
        <v>15.21</v>
      </c>
      <c r="E2">
        <v>160</v>
      </c>
      <c r="F2">
        <f>B2*1.15</f>
        <v>5.8649999999999994E-2</v>
      </c>
      <c r="G2">
        <v>-71.48</v>
      </c>
      <c r="H2">
        <v>-25.74</v>
      </c>
    </row>
    <row r="3" spans="1:8" x14ac:dyDescent="0.25">
      <c r="A3" t="s">
        <v>1</v>
      </c>
      <c r="B3">
        <v>0.05</v>
      </c>
      <c r="C3" s="1"/>
      <c r="D3">
        <v>14.02</v>
      </c>
      <c r="E3">
        <v>174.2</v>
      </c>
      <c r="F3">
        <f>B3*1.15-F18</f>
        <v>5.7499999999999996E-2</v>
      </c>
      <c r="G3">
        <v>-70.66</v>
      </c>
      <c r="H3">
        <v>-25.69</v>
      </c>
    </row>
    <row r="4" spans="1:8" x14ac:dyDescent="0.25">
      <c r="A4" t="s">
        <v>2</v>
      </c>
      <c r="B4">
        <v>5.1999999999999998E-2</v>
      </c>
      <c r="C4" s="1"/>
      <c r="D4">
        <v>10.5</v>
      </c>
      <c r="E4">
        <v>228.3</v>
      </c>
      <c r="F4">
        <f t="shared" ref="F4:F17" si="0">B4*1.15</f>
        <v>5.9799999999999992E-2</v>
      </c>
    </row>
    <row r="5" spans="1:8" x14ac:dyDescent="0.25">
      <c r="A5" t="s">
        <v>3</v>
      </c>
      <c r="B5">
        <v>5.1999999999999998E-2</v>
      </c>
      <c r="C5" s="1"/>
      <c r="D5">
        <v>16.010000000000002</v>
      </c>
      <c r="E5">
        <v>165.1</v>
      </c>
      <c r="F5">
        <f t="shared" si="0"/>
        <v>5.9799999999999992E-2</v>
      </c>
    </row>
    <row r="6" spans="1:8" x14ac:dyDescent="0.25">
      <c r="A6" t="s">
        <v>4</v>
      </c>
      <c r="B6">
        <v>5.3999999999999999E-2</v>
      </c>
      <c r="C6" s="1"/>
      <c r="D6">
        <v>52.09</v>
      </c>
      <c r="E6">
        <v>238</v>
      </c>
      <c r="F6">
        <f t="shared" si="0"/>
        <v>6.2099999999999995E-2</v>
      </c>
    </row>
    <row r="7" spans="1:8" x14ac:dyDescent="0.25">
      <c r="A7" t="s">
        <v>5</v>
      </c>
      <c r="B7">
        <v>5.2999999999999999E-2</v>
      </c>
      <c r="C7" s="1"/>
      <c r="D7">
        <v>53.75</v>
      </c>
      <c r="E7">
        <v>179.2</v>
      </c>
      <c r="F7">
        <f t="shared" si="0"/>
        <v>6.094999999999999E-2</v>
      </c>
    </row>
    <row r="8" spans="1:8" x14ac:dyDescent="0.25">
      <c r="A8" t="s">
        <v>6</v>
      </c>
      <c r="B8">
        <v>5.6000000000000001E-2</v>
      </c>
      <c r="C8" s="1"/>
      <c r="D8">
        <v>55.66</v>
      </c>
      <c r="E8">
        <v>253</v>
      </c>
      <c r="F8">
        <f t="shared" si="0"/>
        <v>6.4399999999999999E-2</v>
      </c>
      <c r="G8">
        <v>-83.23</v>
      </c>
    </row>
    <row r="9" spans="1:8" x14ac:dyDescent="0.25">
      <c r="A9" t="s">
        <v>7</v>
      </c>
      <c r="B9">
        <v>5.6000000000000001E-2</v>
      </c>
      <c r="C9" s="1"/>
      <c r="D9">
        <v>57</v>
      </c>
      <c r="E9">
        <v>195.9</v>
      </c>
      <c r="F9">
        <f t="shared" si="0"/>
        <v>6.4399999999999999E-2</v>
      </c>
      <c r="G9">
        <v>-81.58</v>
      </c>
    </row>
    <row r="10" spans="1:8" x14ac:dyDescent="0.25">
      <c r="A10" t="s">
        <v>8</v>
      </c>
      <c r="B10">
        <v>5.0999999999999997E-2</v>
      </c>
      <c r="C10" s="1"/>
      <c r="D10">
        <v>27.29</v>
      </c>
      <c r="E10">
        <v>1020</v>
      </c>
      <c r="F10">
        <f t="shared" si="0"/>
        <v>5.8649999999999994E-2</v>
      </c>
      <c r="G10">
        <v>-79.349999999999994</v>
      </c>
    </row>
    <row r="11" spans="1:8" x14ac:dyDescent="0.25">
      <c r="A11" t="s">
        <v>9</v>
      </c>
      <c r="B11">
        <v>4.8000000000000001E-2</v>
      </c>
      <c r="C11" s="1"/>
      <c r="D11">
        <v>31.6</v>
      </c>
      <c r="E11">
        <v>1011</v>
      </c>
      <c r="F11">
        <f t="shared" si="0"/>
        <v>5.5199999999999999E-2</v>
      </c>
      <c r="G11">
        <v>-80.58</v>
      </c>
    </row>
    <row r="12" spans="1:8" x14ac:dyDescent="0.25">
      <c r="A12" t="s">
        <v>10</v>
      </c>
      <c r="B12">
        <v>4.9000000000000002E-2</v>
      </c>
      <c r="C12" s="1"/>
      <c r="D12">
        <v>26.99</v>
      </c>
      <c r="E12">
        <v>983.5</v>
      </c>
      <c r="F12">
        <f t="shared" si="0"/>
        <v>5.6349999999999997E-2</v>
      </c>
      <c r="G12">
        <v>-77.959999999999994</v>
      </c>
    </row>
    <row r="13" spans="1:8" x14ac:dyDescent="0.25">
      <c r="A13" t="s">
        <v>11</v>
      </c>
      <c r="B13">
        <v>4.7E-2</v>
      </c>
      <c r="C13" s="1"/>
      <c r="D13">
        <v>27.25</v>
      </c>
      <c r="E13">
        <v>1035</v>
      </c>
      <c r="F13">
        <f t="shared" si="0"/>
        <v>5.4049999999999994E-2</v>
      </c>
      <c r="G13">
        <v>-76.540000000000006</v>
      </c>
    </row>
    <row r="14" spans="1:8" x14ac:dyDescent="0.25">
      <c r="A14" t="s">
        <v>12</v>
      </c>
      <c r="B14">
        <v>4.8000000000000001E-2</v>
      </c>
      <c r="C14" s="1"/>
      <c r="D14">
        <v>242.5</v>
      </c>
      <c r="E14">
        <v>2069</v>
      </c>
      <c r="F14">
        <f t="shared" si="0"/>
        <v>5.5199999999999999E-2</v>
      </c>
      <c r="G14">
        <v>-97.62</v>
      </c>
    </row>
    <row r="15" spans="1:8" x14ac:dyDescent="0.25">
      <c r="A15" t="s">
        <v>13</v>
      </c>
      <c r="B15">
        <v>4.9000000000000002E-2</v>
      </c>
      <c r="C15" s="1"/>
      <c r="D15">
        <v>218.9</v>
      </c>
      <c r="E15">
        <v>1830</v>
      </c>
      <c r="F15">
        <f t="shared" si="0"/>
        <v>5.6349999999999997E-2</v>
      </c>
      <c r="G15">
        <v>-98.81</v>
      </c>
    </row>
    <row r="16" spans="1:8" x14ac:dyDescent="0.25">
      <c r="A16" t="s">
        <v>14</v>
      </c>
      <c r="B16">
        <v>0.05</v>
      </c>
      <c r="C16" s="1"/>
      <c r="D16">
        <v>247.2</v>
      </c>
      <c r="E16">
        <v>2000</v>
      </c>
      <c r="F16">
        <f t="shared" si="0"/>
        <v>5.7499999999999996E-2</v>
      </c>
      <c r="G16">
        <v>-98.73</v>
      </c>
    </row>
    <row r="17" spans="1:7" x14ac:dyDescent="0.25">
      <c r="A17" t="s">
        <v>15</v>
      </c>
      <c r="B17">
        <v>4.7E-2</v>
      </c>
      <c r="C17" s="1"/>
      <c r="D17">
        <v>247.6</v>
      </c>
      <c r="E17">
        <v>2065</v>
      </c>
      <c r="F17">
        <f t="shared" si="0"/>
        <v>5.4049999999999994E-2</v>
      </c>
      <c r="G17">
        <v>-95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4" ma:contentTypeDescription="Opret et nyt dokument." ma:contentTypeScope="" ma:versionID="dbe274e19edd2862f4257cb5a3d65833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8a594d2197080b0687313b9717b0496b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129099-9BEA-446C-A0D2-E0CE880051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B66370-AD05-4AA4-83BD-F2AFCB63EAFE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customXml/itemProps3.xml><?xml version="1.0" encoding="utf-8"?>
<ds:datastoreItem xmlns:ds="http://schemas.openxmlformats.org/officeDocument/2006/customXml" ds:itemID="{616B4242-4CA3-43CB-B90F-76F2DAA508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08-06-2022</vt:lpstr>
      <vt:lpstr>15-06-2022</vt:lpstr>
      <vt:lpstr>21-06-2022</vt:lpstr>
      <vt:lpstr>28-06-2022</vt:lpstr>
      <vt:lpstr>05-07-2022</vt:lpstr>
      <vt:lpstr>12-07-2022</vt:lpstr>
      <vt:lpstr>19-07-2022</vt:lpstr>
      <vt:lpstr>02-08-2022</vt:lpstr>
      <vt:lpstr>16-08-2022</vt:lpstr>
      <vt:lpstr>30-08-2022</vt:lpstr>
      <vt:lpstr>26-09-2022</vt:lpstr>
      <vt:lpstr>04-10-2022</vt:lpstr>
      <vt:lpstr>24-10-2022</vt:lpstr>
      <vt:lpstr>07-11-2022</vt:lpstr>
      <vt:lpstr>21-11-2022</vt:lpstr>
      <vt:lpstr>05-12-2022</vt:lpstr>
      <vt:lpstr>20-12-2022</vt:lpstr>
      <vt:lpstr>09-01-2023</vt:lpstr>
      <vt:lpstr>23-01-2023</vt:lpstr>
      <vt:lpstr>06-02-2023</vt:lpstr>
      <vt:lpstr>27-02-2023</vt:lpstr>
      <vt:lpstr>13-03-2023</vt:lpstr>
      <vt:lpstr>all</vt:lpstr>
      <vt:lpstr>info</vt:lpstr>
      <vt:lpstr>VSash</vt:lpstr>
      <vt:lpstr>tveskaeg</vt:lpstr>
      <vt:lpstr>vfa</vt:lpstr>
      <vt:lpstr>dilution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Rask Dalby</dc:creator>
  <cp:lastModifiedBy>Frederik Rask Dalby</cp:lastModifiedBy>
  <dcterms:created xsi:type="dcterms:W3CDTF">2022-06-15T06:03:41Z</dcterms:created>
  <dcterms:modified xsi:type="dcterms:W3CDTF">2024-05-06T10:51:46Z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  <property fmtid="{D5CDD505-2E9C-101B-9397-08002B2CF9AE}" pid="3" name="MediaServiceImageTags">
    <vt:lpwstr/>
  </property>
</Properties>
</file>