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323818\Dropbox\Git repos\Kamp-2024-Broiler-Litter\"/>
    </mc:Choice>
  </mc:AlternateContent>
  <xr:revisionPtr revIDLastSave="0" documentId="13_ncr:1_{60C7A63A-8CD7-46CF-971B-21DBFC75EA9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MyNew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M6" i="2"/>
  <c r="N2" i="2"/>
  <c r="N6" i="2" s="1"/>
  <c r="B72" i="2"/>
  <c r="N13" i="2"/>
  <c r="G50" i="2" s="1"/>
  <c r="C50" i="2"/>
  <c r="C44" i="2"/>
  <c r="C43" i="2"/>
  <c r="N19" i="2"/>
  <c r="F50" i="2" s="1"/>
  <c r="N12" i="2"/>
  <c r="C46" i="2" s="1"/>
  <c r="B65" i="2"/>
  <c r="B71" i="2"/>
  <c r="N17" i="2"/>
  <c r="D50" i="2" s="1"/>
  <c r="N18" i="2"/>
  <c r="E50" i="2" s="1"/>
  <c r="N16" i="2"/>
  <c r="N10" i="2"/>
  <c r="N11" i="2"/>
  <c r="C45" i="2" s="1"/>
  <c r="N9" i="2"/>
  <c r="B76" i="2"/>
  <c r="L3" i="2" s="1"/>
  <c r="D56" i="2" s="1"/>
  <c r="D57" i="2" s="1"/>
  <c r="B77" i="2"/>
  <c r="L4" i="2" s="1"/>
  <c r="E56" i="2" s="1"/>
  <c r="E57" i="2" s="1"/>
  <c r="B78" i="2"/>
  <c r="L19" i="2" s="1"/>
  <c r="D46" i="2" s="1"/>
  <c r="B75" i="2"/>
  <c r="L2" i="2" s="1"/>
  <c r="B70" i="2"/>
  <c r="B69" i="2"/>
  <c r="K3" i="2"/>
  <c r="B33" i="2" s="1"/>
  <c r="K4" i="2"/>
  <c r="B34" i="2" s="1"/>
  <c r="K5" i="2"/>
  <c r="B35" i="2" s="1"/>
  <c r="K2" i="2"/>
  <c r="B32" i="2" s="1"/>
  <c r="K17" i="2"/>
  <c r="E33" i="2" s="1"/>
  <c r="K18" i="2"/>
  <c r="C34" i="2" s="1"/>
  <c r="K19" i="2"/>
  <c r="E26" i="2" s="1"/>
  <c r="K16" i="2"/>
  <c r="C32" i="2" s="1"/>
  <c r="C26" i="2"/>
  <c r="C25" i="2"/>
  <c r="C24" i="2"/>
  <c r="C23" i="2"/>
  <c r="C47" i="2" l="1"/>
  <c r="L11" i="2"/>
  <c r="L9" i="2"/>
  <c r="M9" i="2" s="1"/>
  <c r="C52" i="2" s="1"/>
  <c r="L16" i="2"/>
  <c r="M16" i="2" s="1"/>
  <c r="L10" i="2"/>
  <c r="L12" i="2"/>
  <c r="F51" i="2" s="1"/>
  <c r="L17" i="2"/>
  <c r="D53" i="2" s="1"/>
  <c r="D55" i="2" s="1"/>
  <c r="D61" i="2" s="1"/>
  <c r="L5" i="2"/>
  <c r="F56" i="2" s="1"/>
  <c r="F57" i="2" s="1"/>
  <c r="C56" i="2"/>
  <c r="F46" i="2"/>
  <c r="D44" i="2"/>
  <c r="F53" i="2"/>
  <c r="F55" i="2" s="1"/>
  <c r="M19" i="2"/>
  <c r="E46" i="2" s="1"/>
  <c r="M11" i="2"/>
  <c r="E52" i="2" s="1"/>
  <c r="L18" i="2"/>
  <c r="E32" i="2"/>
  <c r="E35" i="2"/>
  <c r="D35" i="2"/>
  <c r="H35" i="2" s="1"/>
  <c r="D32" i="2"/>
  <c r="E34" i="2"/>
  <c r="D23" i="2"/>
  <c r="D25" i="2"/>
  <c r="E24" i="2"/>
  <c r="D34" i="2"/>
  <c r="D26" i="2"/>
  <c r="F26" i="2" s="1"/>
  <c r="E25" i="2"/>
  <c r="D33" i="2"/>
  <c r="F33" i="2" s="1"/>
  <c r="D24" i="2"/>
  <c r="C33" i="2"/>
  <c r="E23" i="2"/>
  <c r="C35" i="2"/>
  <c r="F32" i="2" l="1"/>
  <c r="D59" i="2"/>
  <c r="D60" i="2" s="1"/>
  <c r="L20" i="2"/>
  <c r="G53" i="2" s="1"/>
  <c r="F59" i="2"/>
  <c r="F60" i="2" s="1"/>
  <c r="D27" i="2"/>
  <c r="F25" i="2"/>
  <c r="H32" i="2"/>
  <c r="G35" i="2"/>
  <c r="G34" i="2"/>
  <c r="M17" i="2"/>
  <c r="D54" i="2" s="1"/>
  <c r="D51" i="2"/>
  <c r="F44" i="2"/>
  <c r="D43" i="2"/>
  <c r="C53" i="2"/>
  <c r="C55" i="2" s="1"/>
  <c r="M10" i="2"/>
  <c r="D52" i="2" s="1"/>
  <c r="C51" i="2"/>
  <c r="L13" i="2"/>
  <c r="G51" i="2" s="1"/>
  <c r="F43" i="2"/>
  <c r="E51" i="2"/>
  <c r="F45" i="2"/>
  <c r="M12" i="2"/>
  <c r="G46" i="2" s="1"/>
  <c r="L6" i="2"/>
  <c r="G56" i="2"/>
  <c r="C57" i="2"/>
  <c r="M18" i="2"/>
  <c r="D45" i="2"/>
  <c r="E53" i="2"/>
  <c r="E55" i="2" s="1"/>
  <c r="F54" i="2"/>
  <c r="G45" i="2"/>
  <c r="G43" i="2"/>
  <c r="E45" i="2"/>
  <c r="E54" i="2"/>
  <c r="C54" i="2"/>
  <c r="E43" i="2"/>
  <c r="H34" i="2"/>
  <c r="G32" i="2"/>
  <c r="F35" i="2"/>
  <c r="F34" i="2"/>
  <c r="G33" i="2"/>
  <c r="H33" i="2"/>
  <c r="F24" i="2"/>
  <c r="F23" i="2"/>
  <c r="E27" i="2"/>
  <c r="G38" i="2"/>
  <c r="H38" i="2"/>
  <c r="M20" i="2" l="1"/>
  <c r="G54" i="2" s="1"/>
  <c r="F47" i="2"/>
  <c r="E44" i="2"/>
  <c r="M13" i="2"/>
  <c r="G52" i="2" s="1"/>
  <c r="D47" i="2"/>
  <c r="F52" i="2"/>
  <c r="G44" i="2"/>
  <c r="G47" i="2" s="1"/>
  <c r="E61" i="2"/>
  <c r="E59" i="2"/>
  <c r="E60" i="2" s="1"/>
  <c r="G55" i="2"/>
  <c r="G57" i="2"/>
  <c r="C61" i="2"/>
  <c r="C59" i="2"/>
  <c r="C60" i="2" s="1"/>
  <c r="E47" i="2"/>
  <c r="E28" i="2"/>
  <c r="D28" i="2"/>
  <c r="G25" i="2"/>
  <c r="G23" i="2"/>
  <c r="G24" i="2"/>
  <c r="G26" i="2"/>
</calcChain>
</file>

<file path=xl/sharedStrings.xml><?xml version="1.0" encoding="utf-8"?>
<sst xmlns="http://schemas.openxmlformats.org/spreadsheetml/2006/main" count="145" uniqueCount="67">
  <si>
    <t>UNCOV_1</t>
  </si>
  <si>
    <t>COV</t>
  </si>
  <si>
    <t>UNCOV_2</t>
  </si>
  <si>
    <t>REM</t>
  </si>
  <si>
    <t>Mean</t>
  </si>
  <si>
    <t>Std</t>
  </si>
  <si>
    <t>Numel</t>
  </si>
  <si>
    <t>min</t>
  </si>
  <si>
    <t>max</t>
  </si>
  <si>
    <t>SEM</t>
  </si>
  <si>
    <t>Mean ci</t>
  </si>
  <si>
    <t>CH4</t>
  </si>
  <si>
    <t>NH3</t>
  </si>
  <si>
    <t>N2O</t>
  </si>
  <si>
    <t>a</t>
  </si>
  <si>
    <t>b</t>
  </si>
  <si>
    <t>c</t>
  </si>
  <si>
    <t>ac</t>
  </si>
  <si>
    <t>d</t>
  </si>
  <si>
    <t>CO2-eq</t>
  </si>
  <si>
    <t>Total</t>
  </si>
  <si>
    <t>GWP-100 CH4</t>
  </si>
  <si>
    <t>GWP-100 N2O</t>
  </si>
  <si>
    <t>Duration (h)</t>
  </si>
  <si>
    <t>CH4 (g/m2)</t>
  </si>
  <si>
    <t>N2O (g/m2)</t>
  </si>
  <si>
    <t>Time frac.</t>
  </si>
  <si>
    <t>Frac.</t>
  </si>
  <si>
    <t>CH4 (g/hr/m2)</t>
  </si>
  <si>
    <t>N2O (g/hr/m2)</t>
  </si>
  <si>
    <t>CH4 (mg/s/m2)</t>
  </si>
  <si>
    <t>N2O (mg/s/m2)</t>
  </si>
  <si>
    <t>CH4 (%)</t>
  </si>
  <si>
    <t>N2O (%)</t>
  </si>
  <si>
    <t>Coverage reduce CO2-eq.:</t>
  </si>
  <si>
    <t>100 days (in s)</t>
  </si>
  <si>
    <t>Area</t>
  </si>
  <si>
    <t>s</t>
  </si>
  <si>
    <t>m2</t>
  </si>
  <si>
    <t>TN</t>
  </si>
  <si>
    <t>g/kg</t>
  </si>
  <si>
    <t>Pile mass</t>
  </si>
  <si>
    <t>TN mass</t>
  </si>
  <si>
    <t>kg</t>
  </si>
  <si>
    <t>g</t>
  </si>
  <si>
    <t>Duration (s)</t>
  </si>
  <si>
    <t>Time (days)</t>
  </si>
  <si>
    <t>Conv (N-NH3)</t>
  </si>
  <si>
    <t>Conv (N-N2O)</t>
  </si>
  <si>
    <t>Period</t>
  </si>
  <si>
    <t>Uncovered</t>
  </si>
  <si>
    <t>Covered</t>
  </si>
  <si>
    <t>Removal</t>
  </si>
  <si>
    <t>Cum (meas. Per) g N2O-N</t>
  </si>
  <si>
    <t>Cum (meas. Per) g NH3-N</t>
  </si>
  <si>
    <t>Loss (g N2O-N)</t>
  </si>
  <si>
    <t>Loss (% of total N)</t>
  </si>
  <si>
    <t>Loss (g NH3-N)</t>
  </si>
  <si>
    <t>Conv (C-CH4)</t>
  </si>
  <si>
    <t>Cum (meas. Per) g CH4-C</t>
  </si>
  <si>
    <t>Loss (g CH4-C)</t>
  </si>
  <si>
    <t>N2O contribution</t>
  </si>
  <si>
    <t>Total CO2 (kg/day)</t>
  </si>
  <si>
    <t>CO2-eq. (kg/day)</t>
  </si>
  <si>
    <t>Uncov x times higher</t>
  </si>
  <si>
    <t>Significant diff.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</si>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</sst>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5" fontId="0" fillId="0" borderId="0" xfId="0" applyNumberFormat="1"/>
    <xf numFmtId="9" fontId="0" fillId="0" borderId="0" xfId="0" applyNumberFormat="1"/>
    <xf numFmtId="165" fontId="1" fillId="0" borderId="0" xfId="0" applyNumberFormat="1" applyFont="1"/>
    <xf numFmtId="2" fontId="0" fillId="0" borderId="0" xfId="0" applyNumberFormat="1"/>
    <xf numFmtId="10" fontId="0" fillId="0" borderId="0" xfId="0" applyNumberFormat="1"/>
    <xf numFmtId="2" fontId="2" fillId="0" borderId="0" xfId="0" applyNumberFormat="1" applyFont="1"/>
    <xf numFmtId="10" fontId="1" fillId="0" borderId="0" xfId="0" applyNumberFormat="1" applyFont="1"/>
    <xf numFmtId="166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8"/>
  <sheetViews>
    <sheetView tabSelected="1" zoomScale="115" zoomScaleNormal="115" workbookViewId="0">
      <selection activeCell="E13" sqref="E13"/>
    </sheetView>
  </sheetViews>
  <sheetFormatPr defaultRowHeight="15" x14ac:dyDescent="0.25"/>
  <cols>
    <col min="1" max="1" width="13.85546875" bestFit="1" customWidth="1"/>
    <col min="2" max="2" width="19.85546875" bestFit="1" customWidth="1"/>
    <col min="3" max="3" width="15" bestFit="1" customWidth="1"/>
    <col min="4" max="4" width="14.140625" bestFit="1" customWidth="1"/>
    <col min="5" max="5" width="17" bestFit="1" customWidth="1"/>
    <col min="6" max="6" width="14" bestFit="1" customWidth="1"/>
    <col min="7" max="7" width="24.42578125" bestFit="1" customWidth="1"/>
    <col min="8" max="9" width="8.140625" bestFit="1" customWidth="1"/>
    <col min="10" max="10" width="14.5703125" bestFit="1" customWidth="1"/>
    <col min="11" max="11" width="7.7109375" bestFit="1" customWidth="1"/>
    <col min="12" max="12" width="24" bestFit="1" customWidth="1"/>
    <col min="13" max="13" width="7.5703125" bestFit="1" customWidth="1"/>
    <col min="14" max="14" width="11.28515625" bestFit="1" customWidth="1"/>
    <col min="15" max="15" width="14.42578125" customWidth="1"/>
    <col min="16" max="17" width="19.140625" customWidth="1"/>
  </cols>
  <sheetData>
    <row r="1" spans="1:14" s="1" customFormat="1" x14ac:dyDescent="0.25">
      <c r="A1" s="1" t="s">
        <v>11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10</v>
      </c>
      <c r="J1" s="1" t="s">
        <v>65</v>
      </c>
      <c r="K1" s="1" t="s">
        <v>19</v>
      </c>
      <c r="L1" s="1" t="s">
        <v>59</v>
      </c>
      <c r="N1" s="1" t="s">
        <v>46</v>
      </c>
    </row>
    <row r="2" spans="1:14" x14ac:dyDescent="0.25">
      <c r="A2" t="s">
        <v>0</v>
      </c>
      <c r="B2" s="2">
        <v>54.342978500963547</v>
      </c>
      <c r="C2" s="2">
        <v>27.842582771926157</v>
      </c>
      <c r="D2">
        <v>144</v>
      </c>
      <c r="E2" s="3">
        <v>-65.037245832121684</v>
      </c>
      <c r="F2" s="3">
        <v>133.03584508384085</v>
      </c>
      <c r="G2" s="2">
        <v>2.3202152309938464</v>
      </c>
      <c r="H2" s="2">
        <v>49.756627156340116</v>
      </c>
      <c r="I2" s="2">
        <v>58.929329845586977</v>
      </c>
      <c r="J2" s="6" t="s">
        <v>14</v>
      </c>
      <c r="K2" s="3">
        <f>B2*$B$63</f>
        <v>1467.2604195260158</v>
      </c>
      <c r="L2" s="3">
        <f>B2*B75*$B$66/10^6*$B$72</f>
        <v>763.12160266295678</v>
      </c>
      <c r="M2" s="11"/>
      <c r="N2" s="2">
        <f>B23/24</f>
        <v>6.034720833333334</v>
      </c>
    </row>
    <row r="3" spans="1:14" x14ac:dyDescent="0.25">
      <c r="A3" t="s">
        <v>1</v>
      </c>
      <c r="B3" s="2">
        <v>40.88213424410246</v>
      </c>
      <c r="C3" s="2">
        <v>40.645053526688876</v>
      </c>
      <c r="D3">
        <v>507</v>
      </c>
      <c r="E3" s="3">
        <v>-225.13696566861583</v>
      </c>
      <c r="F3" s="3">
        <v>209.17271843031335</v>
      </c>
      <c r="G3" s="2">
        <v>1.8051101996046595</v>
      </c>
      <c r="H3" s="2">
        <v>37.335700462282233</v>
      </c>
      <c r="I3" s="2">
        <v>44.428568025922687</v>
      </c>
      <c r="J3" s="6" t="s">
        <v>15</v>
      </c>
      <c r="K3" s="3">
        <f>B3*$B$63</f>
        <v>1103.8176245907664</v>
      </c>
      <c r="L3" s="3">
        <f>B3*B76*$B$66/10^6*$B$72</f>
        <v>2664.3567312404057</v>
      </c>
      <c r="N3" s="2">
        <f>B24/24</f>
        <v>28.006941666666666</v>
      </c>
    </row>
    <row r="4" spans="1:14" x14ac:dyDescent="0.25">
      <c r="A4" t="s">
        <v>2</v>
      </c>
      <c r="B4" s="2">
        <v>68.219373230675913</v>
      </c>
      <c r="C4" s="2">
        <v>35.039371456931313</v>
      </c>
      <c r="D4">
        <v>203</v>
      </c>
      <c r="E4" s="3">
        <v>14.020042636990976</v>
      </c>
      <c r="F4" s="3">
        <v>192.66490955465409</v>
      </c>
      <c r="G4" s="2">
        <v>2.459281756752894</v>
      </c>
      <c r="H4" s="2">
        <v>63.370217080179096</v>
      </c>
      <c r="I4" s="2">
        <v>73.068529381172738</v>
      </c>
      <c r="J4" s="6" t="s">
        <v>16</v>
      </c>
      <c r="K4" s="3">
        <f>B4*$B$63</f>
        <v>1841.9230772282497</v>
      </c>
      <c r="L4" s="3">
        <f>B4*B77*$B$66/10^6*$B$72</f>
        <v>1586.9012665740659</v>
      </c>
      <c r="N4" s="2">
        <f>B25/24</f>
        <v>9.9965250000000001</v>
      </c>
    </row>
    <row r="5" spans="1:14" x14ac:dyDescent="0.25">
      <c r="A5" t="s">
        <v>3</v>
      </c>
      <c r="B5" s="2">
        <v>93.478814765410533</v>
      </c>
      <c r="C5" s="2">
        <v>36.483338991942084</v>
      </c>
      <c r="D5">
        <v>5</v>
      </c>
      <c r="E5" s="3">
        <v>62.340634652272271</v>
      </c>
      <c r="F5" s="3">
        <v>138.60560569755893</v>
      </c>
      <c r="G5" s="2">
        <v>16.315845206430229</v>
      </c>
      <c r="H5" s="2">
        <v>48.178766204852444</v>
      </c>
      <c r="I5" s="2">
        <v>138.77886332596862</v>
      </c>
      <c r="J5" s="6" t="s">
        <v>17</v>
      </c>
      <c r="K5" s="3">
        <f>B5*$B$63</f>
        <v>2523.9279986660845</v>
      </c>
      <c r="L5" s="3">
        <f>B5*B78*$B$66/10^6*$B$72</f>
        <v>18.881952238040693</v>
      </c>
      <c r="N5" s="2">
        <f>B26/24</f>
        <v>8.6804166666666668E-2</v>
      </c>
    </row>
    <row r="6" spans="1:14" x14ac:dyDescent="0.25">
      <c r="B6" s="2"/>
      <c r="C6" s="2"/>
      <c r="E6" s="3"/>
      <c r="F6" s="3"/>
      <c r="G6" s="2"/>
      <c r="H6" s="2"/>
      <c r="I6" s="2"/>
      <c r="L6" s="4">
        <f>SUM(L2:L5)</f>
        <v>5033.2615527154694</v>
      </c>
      <c r="M6" s="13">
        <f>SUM(M2:M5)</f>
        <v>0</v>
      </c>
      <c r="N6" s="4">
        <f>SUM(N2:N5)</f>
        <v>44.124991666666666</v>
      </c>
    </row>
    <row r="7" spans="1:14" x14ac:dyDescent="0.25">
      <c r="C7" s="3"/>
      <c r="E7" s="3"/>
      <c r="F7" s="3"/>
      <c r="G7" s="2"/>
      <c r="H7" s="2"/>
      <c r="I7" s="2"/>
    </row>
    <row r="8" spans="1:14" s="1" customFormat="1" x14ac:dyDescent="0.25">
      <c r="A8" s="1" t="s">
        <v>12</v>
      </c>
      <c r="B8" s="1" t="s">
        <v>4</v>
      </c>
      <c r="C8" s="4" t="s">
        <v>5</v>
      </c>
      <c r="D8" s="1" t="s">
        <v>6</v>
      </c>
      <c r="E8" s="4" t="s">
        <v>7</v>
      </c>
      <c r="F8" s="4" t="s">
        <v>8</v>
      </c>
      <c r="G8" s="5" t="s">
        <v>9</v>
      </c>
      <c r="H8" s="5" t="s">
        <v>10</v>
      </c>
      <c r="I8" s="5" t="s">
        <v>10</v>
      </c>
      <c r="J8" s="1" t="s">
        <v>65</v>
      </c>
      <c r="K8" s="1" t="s">
        <v>19</v>
      </c>
      <c r="L8" s="1" t="s">
        <v>54</v>
      </c>
      <c r="N8" s="1" t="s">
        <v>46</v>
      </c>
    </row>
    <row r="9" spans="1:14" x14ac:dyDescent="0.25">
      <c r="A9" t="s">
        <v>0</v>
      </c>
      <c r="B9" s="2">
        <v>591.06239365833676</v>
      </c>
      <c r="C9" s="2">
        <v>398.49835897368109</v>
      </c>
      <c r="D9">
        <v>144</v>
      </c>
      <c r="E9" s="3">
        <v>0.38283801367662718</v>
      </c>
      <c r="F9" s="3">
        <v>1688.5593823777406</v>
      </c>
      <c r="G9" s="2">
        <v>33.208196581140093</v>
      </c>
      <c r="H9" s="2">
        <v>525.42001056907793</v>
      </c>
      <c r="I9" s="2">
        <v>656.70477674759559</v>
      </c>
      <c r="J9" s="6" t="s">
        <v>14</v>
      </c>
      <c r="K9" s="6" t="s">
        <v>66</v>
      </c>
      <c r="L9" s="3">
        <f>B9*B75*$B$66/10^6*$B$70</f>
        <v>9124.3604597494123</v>
      </c>
      <c r="M9" s="11">
        <f>L9/$B$69</f>
        <v>1.6137885496550073E-2</v>
      </c>
      <c r="N9" s="2">
        <f>B23/24</f>
        <v>6.034720833333334</v>
      </c>
    </row>
    <row r="10" spans="1:14" x14ac:dyDescent="0.25">
      <c r="A10" t="s">
        <v>1</v>
      </c>
      <c r="B10" s="2">
        <v>26.633156516378225</v>
      </c>
      <c r="C10" s="2">
        <v>32.645550718383653</v>
      </c>
      <c r="D10">
        <v>507</v>
      </c>
      <c r="E10" s="3">
        <v>-36.486703294908274</v>
      </c>
      <c r="F10" s="3">
        <v>215.19372761164988</v>
      </c>
      <c r="G10" s="2">
        <v>1.4498398073155681</v>
      </c>
      <c r="H10" s="2">
        <v>23.784709439840867</v>
      </c>
      <c r="I10" s="2">
        <v>29.481603592915583</v>
      </c>
      <c r="J10" s="6" t="s">
        <v>15</v>
      </c>
      <c r="K10" s="6" t="s">
        <v>66</v>
      </c>
      <c r="L10" s="3">
        <f>B10*B76*$B$66/10^6*$B$70</f>
        <v>1908.0961241171251</v>
      </c>
      <c r="M10" s="11">
        <f>L10/$B$69</f>
        <v>3.3747720624639635E-3</v>
      </c>
      <c r="N10" s="2">
        <f>B24/24</f>
        <v>28.006941666666666</v>
      </c>
    </row>
    <row r="11" spans="1:14" x14ac:dyDescent="0.25">
      <c r="A11" t="s">
        <v>2</v>
      </c>
      <c r="B11" s="2">
        <v>336.75908254962832</v>
      </c>
      <c r="C11" s="2">
        <v>645.00602569965974</v>
      </c>
      <c r="D11">
        <v>203</v>
      </c>
      <c r="E11" s="3">
        <v>-104.76772776166376</v>
      </c>
      <c r="F11" s="3">
        <v>5029.3771561735803</v>
      </c>
      <c r="G11" s="2">
        <v>45.270548130368283</v>
      </c>
      <c r="H11" s="2">
        <v>247.4956395545542</v>
      </c>
      <c r="I11" s="2">
        <v>426.02252554470243</v>
      </c>
      <c r="J11" s="6" t="s">
        <v>16</v>
      </c>
      <c r="K11" s="6" t="s">
        <v>66</v>
      </c>
      <c r="L11" s="3">
        <f>B11*B77*$B$66/10^6*$B$70</f>
        <v>8611.5295326676987</v>
      </c>
      <c r="M11" s="11">
        <f>L11/$B$69</f>
        <v>1.5230862279214183E-2</v>
      </c>
      <c r="N11" s="2">
        <f>B25/24</f>
        <v>9.9965250000000001</v>
      </c>
    </row>
    <row r="12" spans="1:14" x14ac:dyDescent="0.25">
      <c r="A12" t="s">
        <v>3</v>
      </c>
      <c r="B12" s="2">
        <v>1164.0479940593184</v>
      </c>
      <c r="C12" s="2">
        <v>430.61159999549375</v>
      </c>
      <c r="D12">
        <v>5</v>
      </c>
      <c r="E12" s="3">
        <v>797.94415187472055</v>
      </c>
      <c r="F12" s="3">
        <v>1655.2321892688224</v>
      </c>
      <c r="G12" s="2">
        <v>192.57536189797443</v>
      </c>
      <c r="H12" s="2">
        <v>629.37307313599365</v>
      </c>
      <c r="I12" s="2">
        <v>1698.722914982643</v>
      </c>
      <c r="J12" s="6" t="s">
        <v>18</v>
      </c>
      <c r="K12" s="6" t="s">
        <v>66</v>
      </c>
      <c r="L12" s="3">
        <f>B12*B78*$B$66/10^6*$B$70</f>
        <v>258.4778782837526</v>
      </c>
      <c r="M12" s="11">
        <f>L12/$B$69</f>
        <v>4.5715931779935021E-4</v>
      </c>
      <c r="N12" s="2">
        <f>B26/24</f>
        <v>8.6804166666666668E-2</v>
      </c>
    </row>
    <row r="13" spans="1:14" x14ac:dyDescent="0.25">
      <c r="B13" s="2"/>
      <c r="C13" s="3"/>
      <c r="E13" s="3"/>
      <c r="F13" s="3"/>
      <c r="G13" s="2"/>
      <c r="H13" s="2"/>
      <c r="I13" s="2"/>
      <c r="L13" s="4">
        <f>SUM(L9:L12)</f>
        <v>19902.46399481799</v>
      </c>
      <c r="M13" s="13">
        <f>SUM(M9:M12)</f>
        <v>3.5200679156027564E-2</v>
      </c>
      <c r="N13" s="4">
        <f>SUM(N9:N12)</f>
        <v>44.124991666666666</v>
      </c>
    </row>
    <row r="14" spans="1:14" x14ac:dyDescent="0.25">
      <c r="C14" s="3"/>
      <c r="E14" s="3"/>
      <c r="F14" s="3"/>
      <c r="G14" s="2"/>
      <c r="H14" s="2"/>
      <c r="I14" s="2"/>
    </row>
    <row r="15" spans="1:14" s="1" customFormat="1" x14ac:dyDescent="0.25">
      <c r="A15" s="1" t="s">
        <v>13</v>
      </c>
      <c r="B15" s="1" t="s">
        <v>4</v>
      </c>
      <c r="C15" s="4" t="s">
        <v>5</v>
      </c>
      <c r="D15" s="1" t="s">
        <v>6</v>
      </c>
      <c r="E15" s="4" t="s">
        <v>7</v>
      </c>
      <c r="F15" s="4" t="s">
        <v>8</v>
      </c>
      <c r="G15" s="5" t="s">
        <v>9</v>
      </c>
      <c r="H15" s="5" t="s">
        <v>10</v>
      </c>
      <c r="I15" s="5" t="s">
        <v>10</v>
      </c>
      <c r="J15" s="1" t="s">
        <v>65</v>
      </c>
      <c r="K15" s="1" t="s">
        <v>19</v>
      </c>
      <c r="L15" s="1" t="s">
        <v>53</v>
      </c>
      <c r="N15" s="1" t="s">
        <v>46</v>
      </c>
    </row>
    <row r="16" spans="1:14" x14ac:dyDescent="0.25">
      <c r="A16" t="s">
        <v>0</v>
      </c>
      <c r="B16" s="2">
        <v>32.525865034326507</v>
      </c>
      <c r="C16" s="2">
        <v>39.225395105362935</v>
      </c>
      <c r="D16">
        <v>144</v>
      </c>
      <c r="E16" s="3">
        <v>-52.109397487926643</v>
      </c>
      <c r="F16" s="3">
        <v>166.77208438509408</v>
      </c>
      <c r="G16" s="2">
        <v>3.2687829254469114</v>
      </c>
      <c r="H16" s="2">
        <v>26.064487328869436</v>
      </c>
      <c r="I16" s="2">
        <v>38.987242739783575</v>
      </c>
      <c r="J16" s="6" t="s">
        <v>14</v>
      </c>
      <c r="K16" s="3">
        <f>B16*$B$64</f>
        <v>8879.5611543711366</v>
      </c>
      <c r="L16" s="3">
        <f>B16*B75*$B$66/10^6*$B$71</f>
        <v>194.29299293138249</v>
      </c>
      <c r="M16" s="11">
        <f>L16/$B$69</f>
        <v>3.4363811979374334E-4</v>
      </c>
      <c r="N16" s="2">
        <f>B23/24</f>
        <v>6.034720833333334</v>
      </c>
    </row>
    <row r="17" spans="1:14" x14ac:dyDescent="0.25">
      <c r="A17" t="s">
        <v>1</v>
      </c>
      <c r="B17" s="2">
        <v>3.4529796245202</v>
      </c>
      <c r="C17" s="2">
        <v>17.09768496583871</v>
      </c>
      <c r="D17">
        <v>507</v>
      </c>
      <c r="E17" s="3">
        <v>-88.65842486960662</v>
      </c>
      <c r="F17" s="3">
        <v>56.467447962183741</v>
      </c>
      <c r="G17" s="2">
        <v>0.75933484750356905</v>
      </c>
      <c r="H17" s="2">
        <v>1.9611423087210029</v>
      </c>
      <c r="I17" s="2">
        <v>4.9448169403193969</v>
      </c>
      <c r="J17" s="6" t="s">
        <v>15</v>
      </c>
      <c r="K17" s="3">
        <f>B17*$B$64</f>
        <v>942.6634374940146</v>
      </c>
      <c r="L17" s="3">
        <f>B17*B76*$B$66/10^6*$B$71</f>
        <v>95.726195934459312</v>
      </c>
      <c r="M17" s="11">
        <f>L17/$B$69</f>
        <v>1.6930703207368114E-4</v>
      </c>
      <c r="N17" s="2">
        <f>B24/24</f>
        <v>28.006941666666666</v>
      </c>
    </row>
    <row r="18" spans="1:14" x14ac:dyDescent="0.25">
      <c r="A18" t="s">
        <v>2</v>
      </c>
      <c r="B18" s="2">
        <v>18.970588329984594</v>
      </c>
      <c r="C18" s="2">
        <v>26.344932371417244</v>
      </c>
      <c r="D18">
        <v>203</v>
      </c>
      <c r="E18" s="3">
        <v>-73.853275794676321</v>
      </c>
      <c r="F18" s="3">
        <v>159.09700046760824</v>
      </c>
      <c r="G18" s="2">
        <v>1.8490517629162218</v>
      </c>
      <c r="H18" s="2">
        <v>15.324669880782228</v>
      </c>
      <c r="I18" s="2">
        <v>22.61650677918696</v>
      </c>
      <c r="J18" s="6" t="s">
        <v>16</v>
      </c>
      <c r="K18" s="3">
        <f>B18*$B$64</f>
        <v>5178.9706140857943</v>
      </c>
      <c r="L18" s="3">
        <f>B18*B77*$B$66/10^6*$B$71</f>
        <v>187.71585441292478</v>
      </c>
      <c r="M18" s="11">
        <f>L18/$B$69</f>
        <v>3.3200540221599712E-4</v>
      </c>
      <c r="N18" s="2">
        <f>B25/24</f>
        <v>9.9965250000000001</v>
      </c>
    </row>
    <row r="19" spans="1:14" x14ac:dyDescent="0.25">
      <c r="A19" t="s">
        <v>3</v>
      </c>
      <c r="B19" s="2">
        <v>49.499985168994506</v>
      </c>
      <c r="C19" s="2">
        <v>7.1177181169826884</v>
      </c>
      <c r="D19">
        <v>5</v>
      </c>
      <c r="E19" s="3">
        <v>38.124539659609006</v>
      </c>
      <c r="F19" s="3">
        <v>56.918913183331817</v>
      </c>
      <c r="G19" s="2">
        <v>3.1831403108510181</v>
      </c>
      <c r="H19" s="2">
        <v>40.662170833774411</v>
      </c>
      <c r="I19" s="2">
        <v>58.337799504214601</v>
      </c>
      <c r="J19" s="6" t="s">
        <v>17</v>
      </c>
      <c r="K19" s="3">
        <f>B19*$B$64</f>
        <v>13513.495951135501</v>
      </c>
      <c r="L19" s="3">
        <f>B19*B78*$B$66/10^6*$B$71</f>
        <v>4.2532091477549656</v>
      </c>
      <c r="M19" s="14">
        <f>L19/$B$69</f>
        <v>7.5224781530862494E-6</v>
      </c>
      <c r="N19" s="2">
        <f>B26/24</f>
        <v>8.6804166666666668E-2</v>
      </c>
    </row>
    <row r="20" spans="1:14" x14ac:dyDescent="0.25">
      <c r="B20" s="2"/>
      <c r="C20" s="3"/>
      <c r="E20" s="3"/>
      <c r="F20" s="3"/>
      <c r="G20" s="2"/>
      <c r="H20" s="2"/>
      <c r="I20" s="2"/>
      <c r="L20" s="4">
        <f>SUM(L16:L19)</f>
        <v>481.98825242652151</v>
      </c>
      <c r="M20" s="13">
        <f>SUM(M16:M19)</f>
        <v>8.5247303223650792E-4</v>
      </c>
    </row>
    <row r="21" spans="1:14" x14ac:dyDescent="0.25">
      <c r="D21" s="1" t="s">
        <v>19</v>
      </c>
      <c r="I21" s="2"/>
    </row>
    <row r="22" spans="1:14" x14ac:dyDescent="0.25">
      <c r="B22" s="6" t="s">
        <v>23</v>
      </c>
      <c r="C22" s="6" t="s">
        <v>26</v>
      </c>
      <c r="D22" s="6" t="s">
        <v>24</v>
      </c>
      <c r="E22" s="6" t="s">
        <v>25</v>
      </c>
      <c r="F22" s="6" t="s">
        <v>20</v>
      </c>
      <c r="G22" s="6" t="s">
        <v>27</v>
      </c>
      <c r="I22" s="5"/>
      <c r="J22" s="1"/>
    </row>
    <row r="23" spans="1:14" x14ac:dyDescent="0.25">
      <c r="A23" t="s">
        <v>0</v>
      </c>
      <c r="B23" s="2">
        <v>144.83330000000001</v>
      </c>
      <c r="C23" s="8">
        <f>B23/SUM(B23:B26)</f>
        <v>0.13676423734924217</v>
      </c>
      <c r="D23" s="3">
        <f>K2*B23*60*60/10^6</f>
        <v>765.02940666961433</v>
      </c>
      <c r="E23" s="3">
        <f>K16*B23*60*60/10^6</f>
        <v>4629.802120341772</v>
      </c>
      <c r="F23" s="3">
        <f>SUM(D23:E23)</f>
        <v>5394.8315270113862</v>
      </c>
      <c r="G23" s="8">
        <f>F23/SUM(F23:F26)</f>
        <v>0.32634380702670779</v>
      </c>
      <c r="I23" s="2"/>
      <c r="J23" s="6"/>
    </row>
    <row r="24" spans="1:14" x14ac:dyDescent="0.25">
      <c r="A24" t="s">
        <v>1</v>
      </c>
      <c r="B24" s="2">
        <v>672.16660000000002</v>
      </c>
      <c r="C24" s="8">
        <f>B24/SUM(B23:B26)</f>
        <v>0.63471834461158538</v>
      </c>
      <c r="D24" s="3">
        <f>K3*B24*60*60/10^6</f>
        <v>2671.0176230685065</v>
      </c>
      <c r="E24" s="3">
        <f>K17*B24*60*60/10^6</f>
        <v>2281.0567598087914</v>
      </c>
      <c r="F24" s="3">
        <f t="shared" ref="F24:F26" si="0">SUM(D24:E24)</f>
        <v>4952.0743828772975</v>
      </c>
      <c r="G24" s="8">
        <f>F24/SUM(F23:F26)</f>
        <v>0.29956056990770991</v>
      </c>
      <c r="I24" s="2"/>
      <c r="J24" s="6"/>
    </row>
    <row r="25" spans="1:14" x14ac:dyDescent="0.25">
      <c r="A25" t="s">
        <v>2</v>
      </c>
      <c r="B25" s="2">
        <v>239.91659999999999</v>
      </c>
      <c r="C25" s="8">
        <f>B25/SUM(B23:B26)</f>
        <v>0.22655018442874114</v>
      </c>
      <c r="D25" s="3">
        <f>K4*B25*60*60/10^6</f>
        <v>1590.8685197405007</v>
      </c>
      <c r="E25" s="3">
        <f>K18*B25*60*60/10^6</f>
        <v>4473.0756764329526</v>
      </c>
      <c r="F25" s="3">
        <f t="shared" si="0"/>
        <v>6063.9441961734537</v>
      </c>
      <c r="G25" s="8">
        <f>F25/SUM(F23:F26)</f>
        <v>0.36681972822848036</v>
      </c>
      <c r="I25" s="2"/>
      <c r="J25" s="6"/>
    </row>
    <row r="26" spans="1:14" x14ac:dyDescent="0.25">
      <c r="A26" t="s">
        <v>3</v>
      </c>
      <c r="B26" s="2">
        <v>2.0832999999999999</v>
      </c>
      <c r="C26" s="8">
        <f>B26/SUM(B23:B26)</f>
        <v>1.9672336104312768E-3</v>
      </c>
      <c r="D26" s="3">
        <f>K5*B26*60*60/10^6</f>
        <v>18.929157118635793</v>
      </c>
      <c r="E26" s="3">
        <f>K19*B26*60*60/10^6</f>
        <v>101.34959801400211</v>
      </c>
      <c r="F26" s="3">
        <f t="shared" si="0"/>
        <v>120.27875513263791</v>
      </c>
      <c r="G26" s="8">
        <f>F26/SUM(F23:F26)</f>
        <v>7.2758948371021825E-3</v>
      </c>
      <c r="I26" s="2"/>
      <c r="J26" s="6"/>
    </row>
    <row r="27" spans="1:14" x14ac:dyDescent="0.25">
      <c r="D27" s="3">
        <f>SUM(D23:D26)</f>
        <v>5045.8447065972568</v>
      </c>
      <c r="E27" s="3">
        <f>SUM(E23:E26)</f>
        <v>11485.284154597517</v>
      </c>
      <c r="F27" s="3"/>
      <c r="I27" s="2"/>
    </row>
    <row r="28" spans="1:14" x14ac:dyDescent="0.25">
      <c r="D28" s="7">
        <f>D27/SUM(D27:E27)</f>
        <v>0.30523291839082384</v>
      </c>
      <c r="E28" s="7">
        <f>E27/SUM(D27:E27)</f>
        <v>0.69476708160917611</v>
      </c>
      <c r="I28" s="3"/>
    </row>
    <row r="29" spans="1:14" x14ac:dyDescent="0.25">
      <c r="I29" s="4"/>
      <c r="J29" s="1"/>
    </row>
    <row r="30" spans="1:14" x14ac:dyDescent="0.25">
      <c r="B30" s="1" t="s">
        <v>19</v>
      </c>
      <c r="D30" s="1" t="s">
        <v>19</v>
      </c>
      <c r="I30" s="3"/>
      <c r="J30" s="6"/>
    </row>
    <row r="31" spans="1:14" x14ac:dyDescent="0.25">
      <c r="B31" t="s">
        <v>30</v>
      </c>
      <c r="C31" t="s">
        <v>31</v>
      </c>
      <c r="D31" t="s">
        <v>28</v>
      </c>
      <c r="E31" t="s">
        <v>29</v>
      </c>
      <c r="F31" t="s">
        <v>32</v>
      </c>
      <c r="G31" t="s">
        <v>33</v>
      </c>
      <c r="H31" t="s">
        <v>20</v>
      </c>
      <c r="I31" s="3"/>
    </row>
    <row r="32" spans="1:14" x14ac:dyDescent="0.25">
      <c r="A32" t="s">
        <v>0</v>
      </c>
      <c r="B32" s="2">
        <f>K2/1000</f>
        <v>1.4672604195260157</v>
      </c>
      <c r="C32" s="2">
        <f>K16/1000</f>
        <v>8.879561154371137</v>
      </c>
      <c r="D32" s="2">
        <f>K2*60*60/10^6</f>
        <v>5.2821375102936559</v>
      </c>
      <c r="E32" s="2">
        <f>K16*60*60/10^6</f>
        <v>31.966420155736092</v>
      </c>
      <c r="F32" s="8">
        <f>D32/(D32+E32)</f>
        <v>0.14180784012238154</v>
      </c>
      <c r="G32" s="8">
        <f>E32/(D32+E32)</f>
        <v>0.85819215987761843</v>
      </c>
      <c r="H32" s="2">
        <f>D32+E32</f>
        <v>37.248557666029747</v>
      </c>
      <c r="I32" s="3"/>
      <c r="J32" s="6"/>
    </row>
    <row r="33" spans="1:22" x14ac:dyDescent="0.25">
      <c r="A33" t="s">
        <v>1</v>
      </c>
      <c r="B33" s="2">
        <f>K3/1000</f>
        <v>1.1038176245907665</v>
      </c>
      <c r="C33" s="2">
        <f>K17/1000</f>
        <v>0.9426634374940146</v>
      </c>
      <c r="D33" s="2">
        <f>K3*60*60/10^6</f>
        <v>3.9737434485267586</v>
      </c>
      <c r="E33" s="2">
        <f>K17*60*60/10^6</f>
        <v>3.3935883749784526</v>
      </c>
      <c r="F33" s="8">
        <f t="shared" ref="F33:F35" si="1">D33/(D33+E33)</f>
        <v>0.53937348604940949</v>
      </c>
      <c r="G33" s="8">
        <f t="shared" ref="G33:G35" si="2">E33/(D33+E33)</f>
        <v>0.46062651395059051</v>
      </c>
      <c r="H33" s="2">
        <f t="shared" ref="H33:H35" si="3">D33+E33</f>
        <v>7.3673318235052108</v>
      </c>
      <c r="I33" s="3"/>
    </row>
    <row r="34" spans="1:22" x14ac:dyDescent="0.25">
      <c r="A34" t="s">
        <v>2</v>
      </c>
      <c r="B34" s="2">
        <f>K4/1000</f>
        <v>1.8419230772282498</v>
      </c>
      <c r="C34" s="2">
        <f>K18/1000</f>
        <v>5.1789706140857943</v>
      </c>
      <c r="D34" s="2">
        <f>K4*60*60/10^6</f>
        <v>6.6309230780216986</v>
      </c>
      <c r="E34" s="2">
        <f>K18*60*60/10^6</f>
        <v>18.644294210708861</v>
      </c>
      <c r="F34" s="8">
        <f t="shared" si="1"/>
        <v>0.26234880603690092</v>
      </c>
      <c r="G34" s="8">
        <f t="shared" si="2"/>
        <v>0.73765119396309908</v>
      </c>
      <c r="H34" s="2">
        <f t="shared" si="3"/>
        <v>25.275217288730559</v>
      </c>
    </row>
    <row r="35" spans="1:22" x14ac:dyDescent="0.25">
      <c r="A35" t="s">
        <v>3</v>
      </c>
      <c r="B35" s="2">
        <f>K5/1000</f>
        <v>2.5239279986660845</v>
      </c>
      <c r="C35" s="2">
        <f>K19/1000</f>
        <v>13.513495951135502</v>
      </c>
      <c r="D35" s="2">
        <f>K5*60*60/10^6</f>
        <v>9.0861407951979043</v>
      </c>
      <c r="E35" s="2">
        <f>K19*60*60/10^6</f>
        <v>48.648585424087806</v>
      </c>
      <c r="F35" s="8">
        <f t="shared" si="1"/>
        <v>0.15737739468421985</v>
      </c>
      <c r="G35" s="8">
        <f t="shared" si="2"/>
        <v>0.84262260531578015</v>
      </c>
      <c r="H35" s="2">
        <f t="shared" si="3"/>
        <v>57.734726219285712</v>
      </c>
    </row>
    <row r="37" spans="1:22" x14ac:dyDescent="0.25">
      <c r="G37" t="s">
        <v>34</v>
      </c>
      <c r="H37" s="7"/>
    </row>
    <row r="38" spans="1:22" x14ac:dyDescent="0.25">
      <c r="F38" s="8"/>
      <c r="G38" s="9">
        <f>1-H33/H34</f>
        <v>0.70851558903154999</v>
      </c>
      <c r="H38" s="9">
        <f>1-H33/H32</f>
        <v>0.8022116214657049</v>
      </c>
    </row>
    <row r="41" spans="1:22" x14ac:dyDescent="0.25">
      <c r="D41" s="6" t="s">
        <v>13</v>
      </c>
      <c r="F41" s="6" t="s">
        <v>12</v>
      </c>
      <c r="V41" s="6"/>
    </row>
    <row r="42" spans="1:22" x14ac:dyDescent="0.25">
      <c r="B42" s="1" t="s">
        <v>49</v>
      </c>
      <c r="C42" s="1" t="s">
        <v>46</v>
      </c>
      <c r="D42" s="1" t="s">
        <v>55</v>
      </c>
      <c r="E42" s="1" t="s">
        <v>56</v>
      </c>
      <c r="F42" s="1" t="s">
        <v>57</v>
      </c>
      <c r="G42" s="1" t="s">
        <v>56</v>
      </c>
      <c r="T42" s="2"/>
      <c r="U42" s="2"/>
      <c r="V42" s="2"/>
    </row>
    <row r="43" spans="1:22" x14ac:dyDescent="0.25">
      <c r="B43" t="s">
        <v>50</v>
      </c>
      <c r="C43" s="2">
        <f>N9</f>
        <v>6.034720833333334</v>
      </c>
      <c r="D43" s="3">
        <f>L16</f>
        <v>194.29299293138249</v>
      </c>
      <c r="E43" s="11">
        <f>M16</f>
        <v>3.4363811979374334E-4</v>
      </c>
      <c r="F43" s="3">
        <f>L9</f>
        <v>9124.3604597494123</v>
      </c>
      <c r="G43" s="11">
        <f>M9</f>
        <v>1.6137885496550073E-2</v>
      </c>
      <c r="P43" s="6"/>
      <c r="Q43" s="1"/>
      <c r="R43" s="3"/>
      <c r="S43" s="3"/>
      <c r="T43" s="3"/>
      <c r="U43" s="3"/>
      <c r="V43" s="2"/>
    </row>
    <row r="44" spans="1:22" x14ac:dyDescent="0.25">
      <c r="B44" t="s">
        <v>51</v>
      </c>
      <c r="C44" s="2">
        <f>N10</f>
        <v>28.006941666666666</v>
      </c>
      <c r="D44" s="3">
        <f>L17</f>
        <v>95.726195934459312</v>
      </c>
      <c r="E44" s="11">
        <f>M17</f>
        <v>1.6930703207368114E-4</v>
      </c>
      <c r="F44" s="3">
        <f>L10</f>
        <v>1908.0961241171251</v>
      </c>
      <c r="G44" s="11">
        <f>M10</f>
        <v>3.3747720624639635E-3</v>
      </c>
      <c r="Q44" s="1"/>
      <c r="R44" s="11"/>
      <c r="S44" s="11"/>
      <c r="T44" s="11"/>
      <c r="U44" s="11"/>
      <c r="V44" s="11"/>
    </row>
    <row r="45" spans="1:22" x14ac:dyDescent="0.25">
      <c r="B45" t="s">
        <v>50</v>
      </c>
      <c r="C45" s="2">
        <f>N11</f>
        <v>9.9965250000000001</v>
      </c>
      <c r="D45" s="3">
        <f>L18</f>
        <v>187.71585441292478</v>
      </c>
      <c r="E45" s="11">
        <f>M18</f>
        <v>3.3200540221599712E-4</v>
      </c>
      <c r="F45" s="3">
        <f>L11</f>
        <v>8611.5295326676987</v>
      </c>
      <c r="G45" s="11">
        <f>M11</f>
        <v>1.5230862279214183E-2</v>
      </c>
      <c r="P45" s="6"/>
      <c r="Q45" s="1"/>
      <c r="R45" s="3"/>
      <c r="S45" s="3"/>
      <c r="T45" s="3"/>
      <c r="U45" s="3"/>
      <c r="V45" s="3"/>
    </row>
    <row r="46" spans="1:22" x14ac:dyDescent="0.25">
      <c r="B46" t="s">
        <v>52</v>
      </c>
      <c r="C46" s="2">
        <f>N12</f>
        <v>8.6804166666666668E-2</v>
      </c>
      <c r="D46" s="3">
        <f>L19</f>
        <v>4.2532091477549656</v>
      </c>
      <c r="E46" s="11">
        <f>M19</f>
        <v>7.5224781530862494E-6</v>
      </c>
      <c r="F46" s="3">
        <f>L12</f>
        <v>258.4778782837526</v>
      </c>
      <c r="G46" s="11">
        <f>M12</f>
        <v>4.5715931779935021E-4</v>
      </c>
      <c r="Q46" s="1"/>
      <c r="R46" s="11"/>
      <c r="S46" s="11"/>
      <c r="T46" s="11"/>
      <c r="U46" s="11"/>
      <c r="V46" s="11"/>
    </row>
    <row r="47" spans="1:22" x14ac:dyDescent="0.25">
      <c r="B47" s="6" t="s">
        <v>20</v>
      </c>
      <c r="C47" s="2">
        <f>SUM(C43:C46)</f>
        <v>44.124991666666666</v>
      </c>
      <c r="D47" s="2">
        <f t="shared" ref="D47:G47" si="4">SUM(D43:D46)</f>
        <v>481.98825242652151</v>
      </c>
      <c r="E47" s="11">
        <f t="shared" si="4"/>
        <v>8.5247303223650792E-4</v>
      </c>
      <c r="F47" s="3">
        <f t="shared" si="4"/>
        <v>19902.46399481799</v>
      </c>
      <c r="G47" s="11">
        <f t="shared" si="4"/>
        <v>3.5200679156027564E-2</v>
      </c>
    </row>
    <row r="49" spans="1:8" x14ac:dyDescent="0.25">
      <c r="B49" s="1" t="s">
        <v>49</v>
      </c>
      <c r="C49" t="s">
        <v>50</v>
      </c>
      <c r="D49" t="s">
        <v>51</v>
      </c>
      <c r="E49" t="s">
        <v>50</v>
      </c>
      <c r="F49" t="s">
        <v>52</v>
      </c>
      <c r="G49" s="6" t="s">
        <v>20</v>
      </c>
    </row>
    <row r="50" spans="1:8" x14ac:dyDescent="0.25">
      <c r="B50" s="1" t="s">
        <v>46</v>
      </c>
      <c r="C50" s="2">
        <f>N16</f>
        <v>6.034720833333334</v>
      </c>
      <c r="D50" s="2">
        <f>N17</f>
        <v>28.006941666666666</v>
      </c>
      <c r="E50" s="2">
        <f>N18</f>
        <v>9.9965250000000001</v>
      </c>
      <c r="F50" s="2">
        <f>N19</f>
        <v>8.6804166666666668E-2</v>
      </c>
      <c r="G50" s="2">
        <f>N13</f>
        <v>44.124991666666666</v>
      </c>
    </row>
    <row r="51" spans="1:8" x14ac:dyDescent="0.25">
      <c r="A51" s="1" t="s">
        <v>12</v>
      </c>
      <c r="B51" s="1" t="s">
        <v>57</v>
      </c>
      <c r="C51" s="3">
        <f>L9</f>
        <v>9124.3604597494123</v>
      </c>
      <c r="D51" s="3">
        <f>L10</f>
        <v>1908.0961241171251</v>
      </c>
      <c r="E51" s="3">
        <f>L11</f>
        <v>8611.5295326676987</v>
      </c>
      <c r="F51" s="3">
        <f>L12</f>
        <v>258.4778782837526</v>
      </c>
      <c r="G51" s="3">
        <f>L13</f>
        <v>19902.46399481799</v>
      </c>
    </row>
    <row r="52" spans="1:8" x14ac:dyDescent="0.25">
      <c r="B52" s="1" t="s">
        <v>56</v>
      </c>
      <c r="C52" s="11">
        <f>M9</f>
        <v>1.6137885496550073E-2</v>
      </c>
      <c r="D52" s="11">
        <f>M10</f>
        <v>3.3747720624639635E-3</v>
      </c>
      <c r="E52" s="11">
        <f>M11</f>
        <v>1.5230862279214183E-2</v>
      </c>
      <c r="F52" s="11">
        <f>M12</f>
        <v>4.5715931779935021E-4</v>
      </c>
      <c r="G52" s="11">
        <f>M13</f>
        <v>3.5200679156027564E-2</v>
      </c>
    </row>
    <row r="53" spans="1:8" x14ac:dyDescent="0.25">
      <c r="A53" s="1" t="s">
        <v>13</v>
      </c>
      <c r="B53" s="1" t="s">
        <v>55</v>
      </c>
      <c r="C53" s="3">
        <f>L16</f>
        <v>194.29299293138249</v>
      </c>
      <c r="D53" s="3">
        <f>L17</f>
        <v>95.726195934459312</v>
      </c>
      <c r="E53" s="3">
        <f>L18</f>
        <v>187.71585441292478</v>
      </c>
      <c r="F53" s="3">
        <f>L19</f>
        <v>4.2532091477549656</v>
      </c>
      <c r="G53" s="3">
        <f>L20</f>
        <v>481.98825242652151</v>
      </c>
    </row>
    <row r="54" spans="1:8" x14ac:dyDescent="0.25">
      <c r="B54" s="1" t="s">
        <v>56</v>
      </c>
      <c r="C54" s="11">
        <f>M16</f>
        <v>3.4363811979374334E-4</v>
      </c>
      <c r="D54" s="11">
        <f>M17</f>
        <v>1.6930703207368114E-4</v>
      </c>
      <c r="E54" s="11">
        <f>M18</f>
        <v>3.3200540221599712E-4</v>
      </c>
      <c r="F54" s="14">
        <f>M19</f>
        <v>7.5224781530862494E-6</v>
      </c>
      <c r="G54" s="11">
        <f>M20</f>
        <v>8.5247303223650792E-4</v>
      </c>
    </row>
    <row r="55" spans="1:8" x14ac:dyDescent="0.25">
      <c r="B55" s="1" t="s">
        <v>63</v>
      </c>
      <c r="C55" s="2">
        <f>C53*$B$64/1000/C43</f>
        <v>8.7894682347665753</v>
      </c>
      <c r="D55" s="2">
        <f>D53*$B$64/1000/C44</f>
        <v>0.93309907954750715</v>
      </c>
      <c r="E55" s="2">
        <f>E53*$B$64/1000/C45</f>
        <v>5.1264242579024675</v>
      </c>
      <c r="F55" s="2">
        <f>F53*$B$64/1000/C46</f>
        <v>13.376386663510072</v>
      </c>
      <c r="G55" s="2">
        <f>SUM(C55:F55)</f>
        <v>28.225378235726623</v>
      </c>
    </row>
    <row r="56" spans="1:8" x14ac:dyDescent="0.25">
      <c r="A56" s="1" t="s">
        <v>11</v>
      </c>
      <c r="B56" s="1" t="s">
        <v>60</v>
      </c>
      <c r="C56" s="3">
        <f>L2</f>
        <v>763.12160266295678</v>
      </c>
      <c r="D56" s="3">
        <f>L3</f>
        <v>2664.3567312404057</v>
      </c>
      <c r="E56" s="3">
        <f>L4</f>
        <v>1586.9012665740659</v>
      </c>
      <c r="F56" s="3">
        <f>L5</f>
        <v>18.881952238040693</v>
      </c>
      <c r="G56" s="3">
        <f>SUM(C56:F56)</f>
        <v>5033.2615527154694</v>
      </c>
    </row>
    <row r="57" spans="1:8" x14ac:dyDescent="0.25">
      <c r="B57" s="1" t="s">
        <v>63</v>
      </c>
      <c r="C57" s="2">
        <f>C56*$B$63/1000/C43</f>
        <v>3.4142893832122576</v>
      </c>
      <c r="D57" s="2">
        <f>D56*$B$63/1000/C44</f>
        <v>2.5685643437858752</v>
      </c>
      <c r="E57" s="2">
        <f>E56*$B$63/1000/C45</f>
        <v>4.2861228474394624</v>
      </c>
      <c r="F57" s="2">
        <f>F56*$B$63/1000/C46</f>
        <v>5.8731363943024864</v>
      </c>
      <c r="G57" s="2">
        <f>SUM(C57:F57)</f>
        <v>16.142112968740079</v>
      </c>
    </row>
    <row r="59" spans="1:8" x14ac:dyDescent="0.25">
      <c r="B59" s="1" t="s">
        <v>62</v>
      </c>
      <c r="C59" s="2">
        <f>(C55+C57)</f>
        <v>12.203757617978834</v>
      </c>
      <c r="D59" s="2">
        <f t="shared" ref="D59:F59" si="5">(D55+D57)</f>
        <v>3.5016634233333823</v>
      </c>
      <c r="E59" s="2">
        <f t="shared" si="5"/>
        <v>9.412547105341929</v>
      </c>
      <c r="F59" s="2">
        <f t="shared" si="5"/>
        <v>19.24952305781256</v>
      </c>
    </row>
    <row r="60" spans="1:8" x14ac:dyDescent="0.25">
      <c r="B60" s="1" t="s">
        <v>64</v>
      </c>
      <c r="C60" s="2">
        <f>C59/$D$59</f>
        <v>3.4851315339615243</v>
      </c>
      <c r="D60" s="2">
        <f>D59/$D$59</f>
        <v>1</v>
      </c>
      <c r="E60" s="2">
        <f>E59/$D$59</f>
        <v>2.6880216535436534</v>
      </c>
      <c r="F60" s="2">
        <f>F59/$D$59</f>
        <v>5.4972510863103228</v>
      </c>
    </row>
    <row r="61" spans="1:8" x14ac:dyDescent="0.25">
      <c r="B61" s="1" t="s">
        <v>61</v>
      </c>
      <c r="C61" s="7">
        <f>C55/(C57+C55)</f>
        <v>0.72022638517645954</v>
      </c>
      <c r="D61" s="7">
        <f>D55/(D57+D55)</f>
        <v>0.2664730919967318</v>
      </c>
      <c r="E61" s="7">
        <f>E55/(E57+E55)</f>
        <v>0.54463730173451708</v>
      </c>
      <c r="F61" s="7"/>
      <c r="G61" s="2"/>
      <c r="H61" s="2"/>
    </row>
    <row r="63" spans="1:8" x14ac:dyDescent="0.25">
      <c r="A63" s="6" t="s">
        <v>21</v>
      </c>
      <c r="B63" s="6">
        <v>27</v>
      </c>
      <c r="C63" s="1"/>
    </row>
    <row r="64" spans="1:8" x14ac:dyDescent="0.25">
      <c r="A64" s="6" t="s">
        <v>22</v>
      </c>
      <c r="B64" s="6">
        <v>273</v>
      </c>
    </row>
    <row r="65" spans="1:3" x14ac:dyDescent="0.25">
      <c r="A65" s="6" t="s">
        <v>35</v>
      </c>
      <c r="B65">
        <f>100*60*60*24</f>
        <v>8640000</v>
      </c>
      <c r="C65" s="6" t="s">
        <v>37</v>
      </c>
    </row>
    <row r="66" spans="1:3" x14ac:dyDescent="0.25">
      <c r="A66" s="6" t="s">
        <v>36</v>
      </c>
      <c r="B66">
        <v>36</v>
      </c>
      <c r="C66" s="6" t="s">
        <v>38</v>
      </c>
    </row>
    <row r="67" spans="1:3" x14ac:dyDescent="0.25">
      <c r="A67" s="6" t="s">
        <v>39</v>
      </c>
      <c r="B67">
        <v>25.7</v>
      </c>
      <c r="C67" s="6" t="s">
        <v>40</v>
      </c>
    </row>
    <row r="68" spans="1:3" x14ac:dyDescent="0.25">
      <c r="A68" s="6" t="s">
        <v>41</v>
      </c>
      <c r="B68">
        <v>22000</v>
      </c>
      <c r="C68" s="6" t="s">
        <v>43</v>
      </c>
    </row>
    <row r="69" spans="1:3" x14ac:dyDescent="0.25">
      <c r="A69" s="6" t="s">
        <v>42</v>
      </c>
      <c r="B69">
        <f>B68*B67</f>
        <v>565400</v>
      </c>
      <c r="C69" s="6" t="s">
        <v>44</v>
      </c>
    </row>
    <row r="70" spans="1:3" x14ac:dyDescent="0.25">
      <c r="A70" s="6" t="s">
        <v>47</v>
      </c>
      <c r="B70" s="12">
        <f>14.0067/17.031</f>
        <v>0.82242381539545539</v>
      </c>
    </row>
    <row r="71" spans="1:3" x14ac:dyDescent="0.25">
      <c r="A71" s="6" t="s">
        <v>48</v>
      </c>
      <c r="B71" s="10">
        <f>14.0067/44.013</f>
        <v>0.31824006543521233</v>
      </c>
    </row>
    <row r="72" spans="1:3" x14ac:dyDescent="0.25">
      <c r="A72" s="6" t="s">
        <v>58</v>
      </c>
      <c r="B72" s="15">
        <f>12/16.04</f>
        <v>0.74812967581047385</v>
      </c>
    </row>
    <row r="74" spans="1:3" x14ac:dyDescent="0.25">
      <c r="B74" s="6" t="s">
        <v>45</v>
      </c>
    </row>
    <row r="75" spans="1:3" x14ac:dyDescent="0.25">
      <c r="A75" t="s">
        <v>0</v>
      </c>
      <c r="B75" s="2">
        <f>B23*60*60</f>
        <v>521399.88</v>
      </c>
    </row>
    <row r="76" spans="1:3" x14ac:dyDescent="0.25">
      <c r="A76" t="s">
        <v>1</v>
      </c>
      <c r="B76" s="2">
        <f>B24*60*60</f>
        <v>2419799.7599999998</v>
      </c>
    </row>
    <row r="77" spans="1:3" x14ac:dyDescent="0.25">
      <c r="A77" t="s">
        <v>2</v>
      </c>
      <c r="B77" s="2">
        <f>B25*60*60</f>
        <v>863699.76</v>
      </c>
    </row>
    <row r="78" spans="1:3" x14ac:dyDescent="0.25">
      <c r="A78" t="s">
        <v>3</v>
      </c>
      <c r="B78" s="2">
        <f>B26*60*60</f>
        <v>7499.8799999999992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MyNewSheet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Nørlem Kamp</dc:creator>
  <cp:lastModifiedBy>Jesper Nørlem Kamp</cp:lastModifiedBy>
  <dcterms:created xsi:type="dcterms:W3CDTF">2023-10-16T11:09:52Z</dcterms:created>
  <dcterms:modified xsi:type="dcterms:W3CDTF">2023-12-15T14:06:15Z</dcterms:modified>
</cp:coreProperties>
</file>