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323818\Dropbox\Uni\eGylle\3rd trial Nov21 NL\flow chambers\"/>
    </mc:Choice>
  </mc:AlternateContent>
  <xr:revisionPtr revIDLastSave="0" documentId="13_ncr:1_{A5E9619F-C391-47E8-9AC2-ABE0427EFEEA}" xr6:coauthVersionLast="47" xr6:coauthVersionMax="47" xr10:uidLastSave="{00000000-0000-0000-0000-000000000000}"/>
  <bookViews>
    <workbookView xWindow="-120" yWindow="-120" windowWidth="29040" windowHeight="17640" activeTab="1" xr2:uid="{90549392-BB61-4CF8-A281-2E3FC61ECE10}"/>
  </bookViews>
  <sheets>
    <sheet name="Sheet1" sheetId="4" r:id="rId1"/>
    <sheet name="Plot" sheetId="5" r:id="rId2"/>
    <sheet name="Sheet3" sheetId="3" r:id="rId3"/>
    <sheet name="Sheet2" sheetId="2" r:id="rId4"/>
  </sheets>
  <externalReferences>
    <externalReference r:id="rId5"/>
  </externalReferences>
  <definedNames>
    <definedName name="analysedata">[1]analyses_sheet!$A$2:$C$144</definedName>
    <definedName name="DS_mest">[1]mestanalyes!$G$5</definedName>
    <definedName name="NNH4_mest">[1]mestanalyes!$F$5</definedName>
    <definedName name="NTot_mest">[1]mestanalyes!$E$5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I3" i="5"/>
  <c r="G3" i="5"/>
  <c r="F3" i="5"/>
  <c r="E24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2" i="5"/>
  <c r="F2" i="5"/>
  <c r="I11" i="5"/>
  <c r="F24" i="5"/>
  <c r="F23" i="5"/>
  <c r="F22" i="5"/>
  <c r="F21" i="5"/>
  <c r="F20" i="5"/>
  <c r="F19" i="5"/>
  <c r="I19" i="5" s="1"/>
  <c r="F18" i="5"/>
  <c r="F17" i="5"/>
  <c r="F16" i="5"/>
  <c r="F15" i="5"/>
  <c r="F14" i="5"/>
  <c r="F13" i="5"/>
  <c r="I13" i="5" s="1"/>
  <c r="F12" i="5"/>
  <c r="F11" i="5"/>
  <c r="F10" i="5"/>
  <c r="F9" i="5"/>
  <c r="F8" i="5"/>
  <c r="F7" i="5"/>
  <c r="F6" i="5"/>
  <c r="F5" i="5"/>
  <c r="I5" i="5" s="1"/>
  <c r="F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H2" i="5" l="1"/>
  <c r="H12" i="5"/>
  <c r="I2" i="5"/>
  <c r="H9" i="5"/>
  <c r="H16" i="5"/>
  <c r="H18" i="5"/>
  <c r="H10" i="5"/>
  <c r="I6" i="5"/>
  <c r="I18" i="5"/>
  <c r="I21" i="5"/>
  <c r="I4" i="5"/>
  <c r="H20" i="5"/>
  <c r="H7" i="5"/>
  <c r="H23" i="5"/>
  <c r="H17" i="5"/>
  <c r="H15" i="5"/>
  <c r="H8" i="5"/>
  <c r="H4" i="5"/>
  <c r="H5" i="5"/>
  <c r="I22" i="5"/>
  <c r="I23" i="5"/>
  <c r="H21" i="5"/>
  <c r="I15" i="5"/>
  <c r="H13" i="5"/>
  <c r="I7" i="5"/>
  <c r="H19" i="5"/>
  <c r="I8" i="5"/>
  <c r="I10" i="5"/>
  <c r="H11" i="5"/>
  <c r="I17" i="5"/>
  <c r="I9" i="5"/>
  <c r="I14" i="5"/>
  <c r="I16" i="5"/>
  <c r="H22" i="5"/>
  <c r="I20" i="5"/>
  <c r="H14" i="5"/>
  <c r="I12" i="5"/>
  <c r="H6" i="5"/>
  <c r="H24" i="5"/>
  <c r="I24" i="5"/>
  <c r="N2" i="4"/>
  <c r="M2" i="4"/>
  <c r="L2" i="4"/>
  <c r="K2" i="4"/>
  <c r="A19" i="4"/>
  <c r="C3" i="4" s="1"/>
  <c r="A21" i="4"/>
  <c r="C5" i="4" s="1"/>
  <c r="A27" i="4"/>
  <c r="C11" i="4" s="1"/>
  <c r="A29" i="4"/>
  <c r="C13" i="4" s="1"/>
  <c r="E23" i="4"/>
  <c r="E7" i="4" s="1"/>
  <c r="E25" i="4"/>
  <c r="E9" i="4" s="1"/>
  <c r="I19" i="4"/>
  <c r="G3" i="4" s="1"/>
  <c r="I21" i="4"/>
  <c r="G5" i="4" s="1"/>
  <c r="I27" i="4"/>
  <c r="G11" i="4" s="1"/>
  <c r="I29" i="4"/>
  <c r="G13" i="4" s="1"/>
  <c r="M23" i="4"/>
  <c r="I7" i="4" s="1"/>
  <c r="M25" i="4"/>
  <c r="I9" i="4" s="1"/>
  <c r="B18" i="4"/>
  <c r="F18" i="4"/>
  <c r="J18" i="4"/>
  <c r="N18" i="4"/>
  <c r="L22" i="4"/>
  <c r="L24" i="4"/>
  <c r="H19" i="4"/>
  <c r="A4" i="4"/>
  <c r="A6" i="4"/>
  <c r="A12" i="4"/>
  <c r="B9" i="2"/>
  <c r="B10" i="2" s="1"/>
  <c r="B40" i="3"/>
  <c r="O40" i="3" s="1"/>
  <c r="J22" i="4" s="1"/>
  <c r="F6" i="4" s="1"/>
  <c r="A51" i="3"/>
  <c r="M51" i="3"/>
  <c r="A52" i="3"/>
  <c r="L18" i="4" s="1"/>
  <c r="C52" i="3"/>
  <c r="D52" i="3"/>
  <c r="E52" i="3"/>
  <c r="F52" i="3"/>
  <c r="G52" i="3"/>
  <c r="H52" i="3"/>
  <c r="I52" i="3"/>
  <c r="K52" i="3"/>
  <c r="L52" i="3"/>
  <c r="M52" i="3"/>
  <c r="N52" i="3"/>
  <c r="M18" i="4" s="1"/>
  <c r="A53" i="3"/>
  <c r="L19" i="4" s="1"/>
  <c r="C53" i="3"/>
  <c r="D53" i="3"/>
  <c r="E53" i="3"/>
  <c r="F53" i="3"/>
  <c r="G53" i="3"/>
  <c r="H53" i="3"/>
  <c r="I53" i="3"/>
  <c r="K53" i="3"/>
  <c r="L53" i="3"/>
  <c r="M53" i="3"/>
  <c r="N53" i="3"/>
  <c r="M19" i="4" s="1"/>
  <c r="I3" i="4" s="1"/>
  <c r="A54" i="3"/>
  <c r="L20" i="4" s="1"/>
  <c r="C54" i="3"/>
  <c r="D54" i="3"/>
  <c r="E54" i="3"/>
  <c r="F54" i="3"/>
  <c r="G54" i="3"/>
  <c r="H54" i="3"/>
  <c r="I54" i="3"/>
  <c r="K54" i="3"/>
  <c r="L54" i="3"/>
  <c r="M54" i="3"/>
  <c r="N54" i="3"/>
  <c r="M20" i="4" s="1"/>
  <c r="I4" i="4" s="1"/>
  <c r="A55" i="3"/>
  <c r="B55" i="3" s="1"/>
  <c r="C55" i="3"/>
  <c r="D55" i="3"/>
  <c r="E55" i="3"/>
  <c r="F55" i="3"/>
  <c r="G55" i="3"/>
  <c r="H55" i="3"/>
  <c r="I55" i="3"/>
  <c r="K55" i="3"/>
  <c r="O55" i="3" s="1"/>
  <c r="N21" i="4" s="1"/>
  <c r="H5" i="4" s="1"/>
  <c r="L55" i="3"/>
  <c r="M55" i="3"/>
  <c r="N55" i="3"/>
  <c r="M21" i="4" s="1"/>
  <c r="I5" i="4" s="1"/>
  <c r="A56" i="3"/>
  <c r="B56" i="3" s="1"/>
  <c r="C56" i="3"/>
  <c r="D56" i="3"/>
  <c r="E56" i="3"/>
  <c r="F56" i="3"/>
  <c r="G56" i="3"/>
  <c r="H56" i="3"/>
  <c r="I56" i="3"/>
  <c r="K56" i="3"/>
  <c r="O56" i="3" s="1"/>
  <c r="N22" i="4" s="1"/>
  <c r="H6" i="4" s="1"/>
  <c r="L56" i="3"/>
  <c r="M56" i="3"/>
  <c r="N56" i="3"/>
  <c r="M22" i="4" s="1"/>
  <c r="I6" i="4" s="1"/>
  <c r="A57" i="3"/>
  <c r="B57" i="3" s="1"/>
  <c r="C57" i="3"/>
  <c r="D57" i="3"/>
  <c r="E57" i="3"/>
  <c r="F57" i="3"/>
  <c r="G57" i="3"/>
  <c r="H57" i="3"/>
  <c r="I57" i="3"/>
  <c r="K57" i="3"/>
  <c r="O57" i="3" s="1"/>
  <c r="N23" i="4" s="1"/>
  <c r="H7" i="4" s="1"/>
  <c r="L57" i="3"/>
  <c r="M57" i="3"/>
  <c r="N57" i="3"/>
  <c r="A58" i="3"/>
  <c r="B58" i="3" s="1"/>
  <c r="C58" i="3"/>
  <c r="D58" i="3"/>
  <c r="E58" i="3"/>
  <c r="F58" i="3"/>
  <c r="G58" i="3"/>
  <c r="H58" i="3"/>
  <c r="I58" i="3"/>
  <c r="K58" i="3"/>
  <c r="O58" i="3" s="1"/>
  <c r="N24" i="4" s="1"/>
  <c r="H8" i="4" s="1"/>
  <c r="L58" i="3"/>
  <c r="M58" i="3"/>
  <c r="N58" i="3"/>
  <c r="M24" i="4" s="1"/>
  <c r="I8" i="4" s="1"/>
  <c r="A59" i="3"/>
  <c r="L25" i="4" s="1"/>
  <c r="C59" i="3"/>
  <c r="D59" i="3"/>
  <c r="E59" i="3"/>
  <c r="F59" i="3"/>
  <c r="G59" i="3"/>
  <c r="H59" i="3"/>
  <c r="I59" i="3"/>
  <c r="K59" i="3"/>
  <c r="L59" i="3"/>
  <c r="M59" i="3"/>
  <c r="N59" i="3"/>
  <c r="A60" i="3"/>
  <c r="L26" i="4" s="1"/>
  <c r="C60" i="3"/>
  <c r="D60" i="3"/>
  <c r="E60" i="3"/>
  <c r="F60" i="3"/>
  <c r="G60" i="3"/>
  <c r="H60" i="3"/>
  <c r="I60" i="3"/>
  <c r="K60" i="3"/>
  <c r="L60" i="3"/>
  <c r="M60" i="3"/>
  <c r="N60" i="3"/>
  <c r="M26" i="4" s="1"/>
  <c r="I10" i="4" s="1"/>
  <c r="A61" i="3"/>
  <c r="L27" i="4" s="1"/>
  <c r="C61" i="3"/>
  <c r="D61" i="3"/>
  <c r="E61" i="3"/>
  <c r="F61" i="3"/>
  <c r="G61" i="3"/>
  <c r="H61" i="3"/>
  <c r="I61" i="3"/>
  <c r="K61" i="3"/>
  <c r="L61" i="3"/>
  <c r="M61" i="3"/>
  <c r="N61" i="3"/>
  <c r="M27" i="4" s="1"/>
  <c r="I11" i="4" s="1"/>
  <c r="A62" i="3"/>
  <c r="L28" i="4" s="1"/>
  <c r="C62" i="3"/>
  <c r="D62" i="3"/>
  <c r="E62" i="3"/>
  <c r="F62" i="3"/>
  <c r="G62" i="3"/>
  <c r="H62" i="3"/>
  <c r="I62" i="3"/>
  <c r="K62" i="3"/>
  <c r="L62" i="3"/>
  <c r="M62" i="3"/>
  <c r="N62" i="3"/>
  <c r="M28" i="4" s="1"/>
  <c r="I12" i="4" s="1"/>
  <c r="A63" i="3"/>
  <c r="B63" i="3" s="1"/>
  <c r="C63" i="3"/>
  <c r="D63" i="3"/>
  <c r="E63" i="3"/>
  <c r="F63" i="3"/>
  <c r="G63" i="3"/>
  <c r="H63" i="3"/>
  <c r="I63" i="3"/>
  <c r="K63" i="3"/>
  <c r="O63" i="3" s="1"/>
  <c r="N29" i="4" s="1"/>
  <c r="H13" i="4" s="1"/>
  <c r="L63" i="3"/>
  <c r="M63" i="3"/>
  <c r="N63" i="3"/>
  <c r="M29" i="4" s="1"/>
  <c r="I13" i="4" s="1"/>
  <c r="A35" i="3"/>
  <c r="M35" i="3"/>
  <c r="A36" i="3"/>
  <c r="H18" i="4" s="1"/>
  <c r="C36" i="3"/>
  <c r="D36" i="3"/>
  <c r="E36" i="3"/>
  <c r="F36" i="3"/>
  <c r="G36" i="3"/>
  <c r="H36" i="3"/>
  <c r="I36" i="3"/>
  <c r="K36" i="3"/>
  <c r="L36" i="3"/>
  <c r="M36" i="3"/>
  <c r="N36" i="3"/>
  <c r="I18" i="4" s="1"/>
  <c r="A37" i="3"/>
  <c r="B37" i="3" s="1"/>
  <c r="C37" i="3"/>
  <c r="D37" i="3"/>
  <c r="E37" i="3"/>
  <c r="F37" i="3"/>
  <c r="G37" i="3"/>
  <c r="H37" i="3"/>
  <c r="I37" i="3"/>
  <c r="K37" i="3"/>
  <c r="O37" i="3" s="1"/>
  <c r="J19" i="4" s="1"/>
  <c r="F3" i="4" s="1"/>
  <c r="L37" i="3"/>
  <c r="M37" i="3"/>
  <c r="N37" i="3"/>
  <c r="A38" i="3"/>
  <c r="H20" i="4" s="1"/>
  <c r="C38" i="3"/>
  <c r="D38" i="3"/>
  <c r="E38" i="3"/>
  <c r="F38" i="3"/>
  <c r="G38" i="3"/>
  <c r="H38" i="3"/>
  <c r="I38" i="3"/>
  <c r="K38" i="3"/>
  <c r="L38" i="3"/>
  <c r="M38" i="3"/>
  <c r="N38" i="3"/>
  <c r="I20" i="4" s="1"/>
  <c r="G4" i="4" s="1"/>
  <c r="A39" i="3"/>
  <c r="B39" i="3" s="1"/>
  <c r="C39" i="3"/>
  <c r="D39" i="3"/>
  <c r="E39" i="3"/>
  <c r="F39" i="3"/>
  <c r="G39" i="3"/>
  <c r="H39" i="3"/>
  <c r="I39" i="3"/>
  <c r="K39" i="3"/>
  <c r="O39" i="3" s="1"/>
  <c r="J21" i="4" s="1"/>
  <c r="F5" i="4" s="1"/>
  <c r="L39" i="3"/>
  <c r="M39" i="3"/>
  <c r="N39" i="3"/>
  <c r="A40" i="3"/>
  <c r="H22" i="4" s="1"/>
  <c r="C40" i="3"/>
  <c r="D40" i="3"/>
  <c r="E40" i="3"/>
  <c r="F40" i="3"/>
  <c r="G40" i="3"/>
  <c r="H40" i="3"/>
  <c r="I40" i="3"/>
  <c r="K40" i="3"/>
  <c r="L40" i="3"/>
  <c r="M40" i="3"/>
  <c r="N40" i="3"/>
  <c r="I22" i="4" s="1"/>
  <c r="G6" i="4" s="1"/>
  <c r="A41" i="3"/>
  <c r="H23" i="4" s="1"/>
  <c r="C41" i="3"/>
  <c r="D41" i="3"/>
  <c r="E41" i="3"/>
  <c r="F41" i="3"/>
  <c r="G41" i="3"/>
  <c r="H41" i="3"/>
  <c r="I41" i="3"/>
  <c r="K41" i="3"/>
  <c r="L41" i="3"/>
  <c r="M41" i="3"/>
  <c r="N41" i="3"/>
  <c r="I23" i="4" s="1"/>
  <c r="G7" i="4" s="1"/>
  <c r="A42" i="3"/>
  <c r="H24" i="4" s="1"/>
  <c r="C42" i="3"/>
  <c r="D42" i="3"/>
  <c r="E42" i="3"/>
  <c r="F42" i="3"/>
  <c r="G42" i="3"/>
  <c r="H42" i="3"/>
  <c r="I42" i="3"/>
  <c r="K42" i="3"/>
  <c r="L42" i="3"/>
  <c r="M42" i="3"/>
  <c r="N42" i="3"/>
  <c r="I24" i="4" s="1"/>
  <c r="G8" i="4" s="1"/>
  <c r="A43" i="3"/>
  <c r="B43" i="3" s="1"/>
  <c r="C43" i="3"/>
  <c r="D43" i="3"/>
  <c r="E43" i="3"/>
  <c r="F43" i="3"/>
  <c r="G43" i="3"/>
  <c r="H43" i="3"/>
  <c r="I43" i="3"/>
  <c r="K43" i="3"/>
  <c r="O43" i="3" s="1"/>
  <c r="J25" i="4" s="1"/>
  <c r="F9" i="4" s="1"/>
  <c r="L43" i="3"/>
  <c r="M43" i="3"/>
  <c r="N43" i="3"/>
  <c r="I25" i="4" s="1"/>
  <c r="G9" i="4" s="1"/>
  <c r="A44" i="3"/>
  <c r="B44" i="3" s="1"/>
  <c r="C44" i="3"/>
  <c r="D44" i="3"/>
  <c r="E44" i="3"/>
  <c r="F44" i="3"/>
  <c r="G44" i="3"/>
  <c r="H44" i="3"/>
  <c r="I44" i="3"/>
  <c r="K44" i="3"/>
  <c r="O44" i="3" s="1"/>
  <c r="J26" i="4" s="1"/>
  <c r="F10" i="4" s="1"/>
  <c r="L44" i="3"/>
  <c r="M44" i="3"/>
  <c r="N44" i="3"/>
  <c r="I26" i="4" s="1"/>
  <c r="G10" i="4" s="1"/>
  <c r="A45" i="3"/>
  <c r="B45" i="3" s="1"/>
  <c r="C45" i="3"/>
  <c r="D45" i="3"/>
  <c r="E45" i="3"/>
  <c r="F45" i="3"/>
  <c r="G45" i="3"/>
  <c r="H45" i="3"/>
  <c r="I45" i="3"/>
  <c r="K45" i="3"/>
  <c r="O45" i="3" s="1"/>
  <c r="J27" i="4" s="1"/>
  <c r="F11" i="4" s="1"/>
  <c r="L45" i="3"/>
  <c r="M45" i="3"/>
  <c r="N45" i="3"/>
  <c r="A46" i="3"/>
  <c r="H28" i="4" s="1"/>
  <c r="C46" i="3"/>
  <c r="D46" i="3"/>
  <c r="E46" i="3"/>
  <c r="F46" i="3"/>
  <c r="G46" i="3"/>
  <c r="H46" i="3"/>
  <c r="I46" i="3"/>
  <c r="K46" i="3"/>
  <c r="L46" i="3"/>
  <c r="M46" i="3"/>
  <c r="N46" i="3"/>
  <c r="I28" i="4" s="1"/>
  <c r="G12" i="4" s="1"/>
  <c r="A47" i="3"/>
  <c r="B47" i="3" s="1"/>
  <c r="C47" i="3"/>
  <c r="D47" i="3"/>
  <c r="E47" i="3"/>
  <c r="F47" i="3"/>
  <c r="G47" i="3"/>
  <c r="H47" i="3"/>
  <c r="I47" i="3"/>
  <c r="K47" i="3"/>
  <c r="O47" i="3" s="1"/>
  <c r="J29" i="4" s="1"/>
  <c r="F13" i="4" s="1"/>
  <c r="L47" i="3"/>
  <c r="M47" i="3"/>
  <c r="N47" i="3"/>
  <c r="A19" i="3"/>
  <c r="M19" i="3"/>
  <c r="A20" i="3"/>
  <c r="D18" i="4" s="1"/>
  <c r="C20" i="3"/>
  <c r="D20" i="3"/>
  <c r="E20" i="3"/>
  <c r="F20" i="3"/>
  <c r="G20" i="3"/>
  <c r="H20" i="3"/>
  <c r="I20" i="3"/>
  <c r="K20" i="3"/>
  <c r="L20" i="3"/>
  <c r="M20" i="3"/>
  <c r="N20" i="3"/>
  <c r="E18" i="4" s="1"/>
  <c r="A21" i="3"/>
  <c r="D19" i="4" s="1"/>
  <c r="C21" i="3"/>
  <c r="D21" i="3"/>
  <c r="E21" i="3"/>
  <c r="F21" i="3"/>
  <c r="G21" i="3"/>
  <c r="H21" i="3"/>
  <c r="I21" i="3"/>
  <c r="K21" i="3"/>
  <c r="L21" i="3"/>
  <c r="M21" i="3"/>
  <c r="N21" i="3"/>
  <c r="E19" i="4" s="1"/>
  <c r="E3" i="4" s="1"/>
  <c r="A22" i="3"/>
  <c r="D20" i="4" s="1"/>
  <c r="C22" i="3"/>
  <c r="D22" i="3"/>
  <c r="E22" i="3"/>
  <c r="F22" i="3"/>
  <c r="G22" i="3"/>
  <c r="H22" i="3"/>
  <c r="I22" i="3"/>
  <c r="K22" i="3"/>
  <c r="L22" i="3"/>
  <c r="M22" i="3"/>
  <c r="N22" i="3"/>
  <c r="E20" i="4" s="1"/>
  <c r="E4" i="4" s="1"/>
  <c r="A23" i="3"/>
  <c r="B23" i="3" s="1"/>
  <c r="C23" i="3"/>
  <c r="D23" i="3"/>
  <c r="E23" i="3"/>
  <c r="F23" i="3"/>
  <c r="G23" i="3"/>
  <c r="H23" i="3"/>
  <c r="I23" i="3"/>
  <c r="K23" i="3"/>
  <c r="O23" i="3" s="1"/>
  <c r="F21" i="4" s="1"/>
  <c r="D5" i="4" s="1"/>
  <c r="L23" i="3"/>
  <c r="M23" i="3"/>
  <c r="N23" i="3"/>
  <c r="E21" i="4" s="1"/>
  <c r="E5" i="4" s="1"/>
  <c r="A24" i="3"/>
  <c r="B24" i="3" s="1"/>
  <c r="C24" i="3"/>
  <c r="D24" i="3"/>
  <c r="E24" i="3"/>
  <c r="F24" i="3"/>
  <c r="G24" i="3"/>
  <c r="H24" i="3"/>
  <c r="I24" i="3"/>
  <c r="K24" i="3"/>
  <c r="O24" i="3" s="1"/>
  <c r="F22" i="4" s="1"/>
  <c r="D6" i="4" s="1"/>
  <c r="L24" i="3"/>
  <c r="M24" i="3"/>
  <c r="N24" i="3"/>
  <c r="E22" i="4" s="1"/>
  <c r="E6" i="4" s="1"/>
  <c r="R6" i="4" s="1"/>
  <c r="A25" i="3"/>
  <c r="D23" i="4" s="1"/>
  <c r="C25" i="3"/>
  <c r="D25" i="3"/>
  <c r="E25" i="3"/>
  <c r="F25" i="3"/>
  <c r="G25" i="3"/>
  <c r="H25" i="3"/>
  <c r="I25" i="3"/>
  <c r="K25" i="3"/>
  <c r="L25" i="3"/>
  <c r="M25" i="3"/>
  <c r="N25" i="3"/>
  <c r="A26" i="3"/>
  <c r="D24" i="4" s="1"/>
  <c r="C26" i="3"/>
  <c r="D26" i="3"/>
  <c r="E26" i="3"/>
  <c r="F26" i="3"/>
  <c r="G26" i="3"/>
  <c r="H26" i="3"/>
  <c r="I26" i="3"/>
  <c r="K26" i="3"/>
  <c r="L26" i="3"/>
  <c r="M26" i="3"/>
  <c r="N26" i="3"/>
  <c r="E24" i="4" s="1"/>
  <c r="E8" i="4" s="1"/>
  <c r="A27" i="3"/>
  <c r="D25" i="4" s="1"/>
  <c r="C27" i="3"/>
  <c r="D27" i="3"/>
  <c r="E27" i="3"/>
  <c r="F27" i="3"/>
  <c r="G27" i="3"/>
  <c r="H27" i="3"/>
  <c r="I27" i="3"/>
  <c r="K27" i="3"/>
  <c r="L27" i="3"/>
  <c r="M27" i="3"/>
  <c r="N27" i="3"/>
  <c r="A28" i="3"/>
  <c r="B28" i="3" s="1"/>
  <c r="C28" i="3"/>
  <c r="D28" i="3"/>
  <c r="E28" i="3"/>
  <c r="F28" i="3"/>
  <c r="G28" i="3"/>
  <c r="H28" i="3"/>
  <c r="I28" i="3"/>
  <c r="K28" i="3"/>
  <c r="O28" i="3" s="1"/>
  <c r="F26" i="4" s="1"/>
  <c r="D10" i="4" s="1"/>
  <c r="L28" i="3"/>
  <c r="M28" i="3"/>
  <c r="N28" i="3"/>
  <c r="E26" i="4" s="1"/>
  <c r="E10" i="4" s="1"/>
  <c r="A29" i="3"/>
  <c r="D27" i="4" s="1"/>
  <c r="C29" i="3"/>
  <c r="D29" i="3"/>
  <c r="E29" i="3"/>
  <c r="F29" i="3"/>
  <c r="G29" i="3"/>
  <c r="H29" i="3"/>
  <c r="I29" i="3"/>
  <c r="K29" i="3"/>
  <c r="L29" i="3"/>
  <c r="M29" i="3"/>
  <c r="N29" i="3"/>
  <c r="E27" i="4" s="1"/>
  <c r="E11" i="4" s="1"/>
  <c r="A30" i="3"/>
  <c r="D28" i="4" s="1"/>
  <c r="C30" i="3"/>
  <c r="D30" i="3"/>
  <c r="E30" i="3"/>
  <c r="F30" i="3"/>
  <c r="G30" i="3"/>
  <c r="H30" i="3"/>
  <c r="I30" i="3"/>
  <c r="K30" i="3"/>
  <c r="L30" i="3"/>
  <c r="M30" i="3"/>
  <c r="N30" i="3"/>
  <c r="E28" i="4" s="1"/>
  <c r="E12" i="4" s="1"/>
  <c r="A31" i="3"/>
  <c r="B31" i="3" s="1"/>
  <c r="C31" i="3"/>
  <c r="D31" i="3"/>
  <c r="E31" i="3"/>
  <c r="F31" i="3"/>
  <c r="G31" i="3"/>
  <c r="H31" i="3"/>
  <c r="I31" i="3"/>
  <c r="K31" i="3"/>
  <c r="O31" i="3" s="1"/>
  <c r="F29" i="4" s="1"/>
  <c r="D13" i="4" s="1"/>
  <c r="L31" i="3"/>
  <c r="M31" i="3"/>
  <c r="N31" i="3"/>
  <c r="E29" i="4" s="1"/>
  <c r="E13" i="4" s="1"/>
  <c r="D1" i="3"/>
  <c r="M1" i="3"/>
  <c r="A2" i="3"/>
  <c r="K2" i="3"/>
  <c r="L2" i="3"/>
  <c r="M2" i="3"/>
  <c r="A3" i="3"/>
  <c r="C3" i="3"/>
  <c r="D3" i="3"/>
  <c r="E3" i="3"/>
  <c r="F3" i="3"/>
  <c r="G3" i="3"/>
  <c r="H3" i="3"/>
  <c r="I3" i="3"/>
  <c r="K3" i="3"/>
  <c r="L3" i="3"/>
  <c r="M3" i="3"/>
  <c r="N3" i="3"/>
  <c r="A18" i="4" s="1"/>
  <c r="A4" i="3"/>
  <c r="A3" i="4" s="1"/>
  <c r="C4" i="3"/>
  <c r="D4" i="3"/>
  <c r="E4" i="3"/>
  <c r="F4" i="3"/>
  <c r="G4" i="3"/>
  <c r="H4" i="3"/>
  <c r="I4" i="3"/>
  <c r="K4" i="3"/>
  <c r="L4" i="3"/>
  <c r="M4" i="3"/>
  <c r="N4" i="3"/>
  <c r="A5" i="3"/>
  <c r="C5" i="3"/>
  <c r="D5" i="3"/>
  <c r="E5" i="3"/>
  <c r="F5" i="3"/>
  <c r="G5" i="3"/>
  <c r="H5" i="3"/>
  <c r="I5" i="3"/>
  <c r="K5" i="3"/>
  <c r="L5" i="3"/>
  <c r="M5" i="3"/>
  <c r="N5" i="3"/>
  <c r="A20" i="4" s="1"/>
  <c r="C4" i="4" s="1"/>
  <c r="A6" i="3"/>
  <c r="B6" i="3" s="1"/>
  <c r="C6" i="3"/>
  <c r="D6" i="3"/>
  <c r="E6" i="3"/>
  <c r="F6" i="3"/>
  <c r="G6" i="3"/>
  <c r="H6" i="3"/>
  <c r="I6" i="3"/>
  <c r="K6" i="3"/>
  <c r="O6" i="3" s="1"/>
  <c r="B21" i="4" s="1"/>
  <c r="B5" i="4" s="1"/>
  <c r="L6" i="3"/>
  <c r="M6" i="3"/>
  <c r="N6" i="3"/>
  <c r="A7" i="3"/>
  <c r="C7" i="3"/>
  <c r="D7" i="3"/>
  <c r="E7" i="3"/>
  <c r="F7" i="3"/>
  <c r="G7" i="3"/>
  <c r="H7" i="3"/>
  <c r="I7" i="3"/>
  <c r="K7" i="3"/>
  <c r="L7" i="3"/>
  <c r="M7" i="3"/>
  <c r="N7" i="3"/>
  <c r="A22" i="4" s="1"/>
  <c r="C6" i="4" s="1"/>
  <c r="A8" i="3"/>
  <c r="A7" i="4" s="1"/>
  <c r="C8" i="3"/>
  <c r="D8" i="3"/>
  <c r="E8" i="3"/>
  <c r="F8" i="3"/>
  <c r="G8" i="3"/>
  <c r="H8" i="3"/>
  <c r="I8" i="3"/>
  <c r="K8" i="3"/>
  <c r="L8" i="3"/>
  <c r="M8" i="3"/>
  <c r="N8" i="3"/>
  <c r="A23" i="4" s="1"/>
  <c r="C7" i="4" s="1"/>
  <c r="A9" i="3"/>
  <c r="A8" i="4" s="1"/>
  <c r="C9" i="3"/>
  <c r="D9" i="3"/>
  <c r="E9" i="3"/>
  <c r="F9" i="3"/>
  <c r="G9" i="3"/>
  <c r="H9" i="3"/>
  <c r="I9" i="3"/>
  <c r="K9" i="3"/>
  <c r="L9" i="3"/>
  <c r="M9" i="3"/>
  <c r="N9" i="3"/>
  <c r="A24" i="4" s="1"/>
  <c r="C8" i="4" s="1"/>
  <c r="A10" i="3"/>
  <c r="B10" i="3" s="1"/>
  <c r="C10" i="3"/>
  <c r="D10" i="3"/>
  <c r="E10" i="3"/>
  <c r="F10" i="3"/>
  <c r="G10" i="3"/>
  <c r="H10" i="3"/>
  <c r="I10" i="3"/>
  <c r="K10" i="3"/>
  <c r="O10" i="3" s="1"/>
  <c r="B25" i="4" s="1"/>
  <c r="B9" i="4" s="1"/>
  <c r="L10" i="3"/>
  <c r="M10" i="3"/>
  <c r="N10" i="3"/>
  <c r="A25" i="4" s="1"/>
  <c r="C9" i="4" s="1"/>
  <c r="A11" i="3"/>
  <c r="B11" i="3" s="1"/>
  <c r="C11" i="3"/>
  <c r="D11" i="3"/>
  <c r="E11" i="3"/>
  <c r="F11" i="3"/>
  <c r="G11" i="3"/>
  <c r="H11" i="3"/>
  <c r="I11" i="3"/>
  <c r="K11" i="3"/>
  <c r="O11" i="3" s="1"/>
  <c r="B26" i="4" s="1"/>
  <c r="B10" i="4" s="1"/>
  <c r="L11" i="3"/>
  <c r="M11" i="3"/>
  <c r="N11" i="3"/>
  <c r="A26" i="4" s="1"/>
  <c r="C10" i="4" s="1"/>
  <c r="A12" i="3"/>
  <c r="B12" i="3" s="1"/>
  <c r="C12" i="3"/>
  <c r="D12" i="3"/>
  <c r="E12" i="3"/>
  <c r="F12" i="3"/>
  <c r="G12" i="3"/>
  <c r="H12" i="3"/>
  <c r="I12" i="3"/>
  <c r="K12" i="3"/>
  <c r="O12" i="3" s="1"/>
  <c r="B27" i="4" s="1"/>
  <c r="B11" i="4" s="1"/>
  <c r="L12" i="3"/>
  <c r="M12" i="3"/>
  <c r="N12" i="3"/>
  <c r="A13" i="3"/>
  <c r="B13" i="3" s="1"/>
  <c r="C13" i="3"/>
  <c r="D13" i="3"/>
  <c r="E13" i="3"/>
  <c r="F13" i="3"/>
  <c r="G13" i="3"/>
  <c r="H13" i="3"/>
  <c r="I13" i="3"/>
  <c r="K13" i="3"/>
  <c r="O13" i="3" s="1"/>
  <c r="B28" i="4" s="1"/>
  <c r="B12" i="4" s="1"/>
  <c r="L13" i="3"/>
  <c r="M13" i="3"/>
  <c r="N13" i="3"/>
  <c r="A28" i="4" s="1"/>
  <c r="C12" i="4" s="1"/>
  <c r="A14" i="3"/>
  <c r="B14" i="3" s="1"/>
  <c r="C14" i="3"/>
  <c r="D14" i="3"/>
  <c r="E14" i="3"/>
  <c r="F14" i="3"/>
  <c r="G14" i="3"/>
  <c r="H14" i="3"/>
  <c r="I14" i="3"/>
  <c r="K14" i="3"/>
  <c r="O14" i="3" s="1"/>
  <c r="B29" i="4" s="1"/>
  <c r="B13" i="4" s="1"/>
  <c r="L14" i="3"/>
  <c r="M14" i="3"/>
  <c r="N14" i="3"/>
  <c r="B19" i="2"/>
  <c r="C19" i="2" s="1"/>
  <c r="F29" i="2"/>
  <c r="E29" i="2"/>
  <c r="B29" i="2"/>
  <c r="I29" i="2" s="1"/>
  <c r="F28" i="2"/>
  <c r="E28" i="2"/>
  <c r="B28" i="2"/>
  <c r="C28" i="2" s="1"/>
  <c r="F27" i="2"/>
  <c r="E27" i="2"/>
  <c r="B27" i="2"/>
  <c r="C27" i="2" s="1"/>
  <c r="F26" i="2"/>
  <c r="E26" i="2"/>
  <c r="B26" i="2"/>
  <c r="C26" i="2" s="1"/>
  <c r="F25" i="2"/>
  <c r="E25" i="2"/>
  <c r="B25" i="2"/>
  <c r="F24" i="2"/>
  <c r="E24" i="2"/>
  <c r="B24" i="2"/>
  <c r="F23" i="2"/>
  <c r="E23" i="2"/>
  <c r="B23" i="2"/>
  <c r="I23" i="2" s="1"/>
  <c r="F22" i="2"/>
  <c r="E22" i="2"/>
  <c r="B22" i="2"/>
  <c r="C22" i="2" s="1"/>
  <c r="F21" i="2"/>
  <c r="E21" i="2"/>
  <c r="B21" i="2"/>
  <c r="F20" i="2"/>
  <c r="E20" i="2"/>
  <c r="B20" i="2"/>
  <c r="I20" i="2" s="1"/>
  <c r="F19" i="2"/>
  <c r="E19" i="2"/>
  <c r="I19" i="2"/>
  <c r="B13" i="2"/>
  <c r="B12" i="2"/>
  <c r="B11" i="2"/>
  <c r="B14" i="2" s="1"/>
  <c r="B15" i="2" s="1"/>
  <c r="B7" i="2"/>
  <c r="D7" i="2" s="1"/>
  <c r="M12" i="4" l="1"/>
  <c r="N12" i="4"/>
  <c r="N8" i="4"/>
  <c r="M8" i="4"/>
  <c r="T10" i="4"/>
  <c r="M13" i="4"/>
  <c r="N9" i="4"/>
  <c r="M9" i="4"/>
  <c r="N7" i="4"/>
  <c r="M7" i="4"/>
  <c r="N13" i="4"/>
  <c r="T12" i="4"/>
  <c r="N11" i="4"/>
  <c r="M5" i="4"/>
  <c r="R12" i="4"/>
  <c r="R10" i="4"/>
  <c r="K13" i="4"/>
  <c r="L13" i="4"/>
  <c r="L9" i="4"/>
  <c r="K5" i="4"/>
  <c r="L5" i="4"/>
  <c r="O41" i="3"/>
  <c r="J23" i="4" s="1"/>
  <c r="F7" i="4" s="1"/>
  <c r="N3" i="4"/>
  <c r="M3" i="4"/>
  <c r="T6" i="4"/>
  <c r="N10" i="4"/>
  <c r="M10" i="4"/>
  <c r="P6" i="4"/>
  <c r="M6" i="4"/>
  <c r="Z6" i="4" s="1"/>
  <c r="N6" i="4"/>
  <c r="AA6" i="4" s="1"/>
  <c r="M4" i="4"/>
  <c r="N4" i="4"/>
  <c r="O26" i="3"/>
  <c r="F24" i="4" s="1"/>
  <c r="D8" i="4" s="1"/>
  <c r="O22" i="3"/>
  <c r="F20" i="4" s="1"/>
  <c r="D4" i="4" s="1"/>
  <c r="O61" i="3"/>
  <c r="N27" i="4" s="1"/>
  <c r="H11" i="4" s="1"/>
  <c r="O59" i="3"/>
  <c r="N25" i="4" s="1"/>
  <c r="H9" i="4" s="1"/>
  <c r="K9" i="4" s="1"/>
  <c r="O53" i="3"/>
  <c r="N19" i="4" s="1"/>
  <c r="H3" i="4" s="1"/>
  <c r="V6" i="4"/>
  <c r="V10" i="4"/>
  <c r="O7" i="3"/>
  <c r="B22" i="4" s="1"/>
  <c r="B6" i="4" s="1"/>
  <c r="O5" i="3"/>
  <c r="B20" i="4" s="1"/>
  <c r="B4" i="4" s="1"/>
  <c r="O42" i="3"/>
  <c r="J24" i="4" s="1"/>
  <c r="F8" i="4" s="1"/>
  <c r="I22" i="2"/>
  <c r="B9" i="3"/>
  <c r="O9" i="3" s="1"/>
  <c r="B24" i="4" s="1"/>
  <c r="B8" i="4" s="1"/>
  <c r="B25" i="3"/>
  <c r="O25" i="3" s="1"/>
  <c r="F23" i="4" s="1"/>
  <c r="D7" i="4" s="1"/>
  <c r="B38" i="3"/>
  <c r="O38" i="3" s="1"/>
  <c r="J20" i="4" s="1"/>
  <c r="F4" i="4" s="1"/>
  <c r="B46" i="3"/>
  <c r="O46" i="3" s="1"/>
  <c r="J28" i="4" s="1"/>
  <c r="F12" i="4" s="1"/>
  <c r="B59" i="3"/>
  <c r="D26" i="4"/>
  <c r="H29" i="4"/>
  <c r="H21" i="4"/>
  <c r="M11" i="4"/>
  <c r="B4" i="3"/>
  <c r="O4" i="3" s="1"/>
  <c r="B19" i="4" s="1"/>
  <c r="B3" i="4" s="1"/>
  <c r="B8" i="3"/>
  <c r="O8" i="3" s="1"/>
  <c r="B23" i="4" s="1"/>
  <c r="B7" i="4" s="1"/>
  <c r="B26" i="3"/>
  <c r="B60" i="3"/>
  <c r="O60" i="3" s="1"/>
  <c r="N26" i="4" s="1"/>
  <c r="H10" i="4" s="1"/>
  <c r="A13" i="4"/>
  <c r="V12" i="4" s="1"/>
  <c r="A5" i="4"/>
  <c r="L23" i="4"/>
  <c r="N5" i="4"/>
  <c r="G29" i="2"/>
  <c r="O29" i="2" s="1"/>
  <c r="B5" i="3"/>
  <c r="B7" i="3"/>
  <c r="B27" i="3"/>
  <c r="O27" i="3" s="1"/>
  <c r="F25" i="4" s="1"/>
  <c r="D9" i="4" s="1"/>
  <c r="B53" i="3"/>
  <c r="B61" i="3"/>
  <c r="H27" i="4"/>
  <c r="B41" i="3"/>
  <c r="B54" i="3"/>
  <c r="O54" i="3" s="1"/>
  <c r="N20" i="4" s="1"/>
  <c r="H4" i="4" s="1"/>
  <c r="B62" i="3"/>
  <c r="O62" i="3" s="1"/>
  <c r="N28" i="4" s="1"/>
  <c r="H12" i="4" s="1"/>
  <c r="A11" i="4"/>
  <c r="H26" i="4"/>
  <c r="L29" i="4"/>
  <c r="L21" i="4"/>
  <c r="C25" i="2"/>
  <c r="B21" i="3"/>
  <c r="O21" i="3" s="1"/>
  <c r="F19" i="4" s="1"/>
  <c r="D3" i="4" s="1"/>
  <c r="B29" i="3"/>
  <c r="O29" i="3" s="1"/>
  <c r="F27" i="4" s="1"/>
  <c r="D11" i="4" s="1"/>
  <c r="B42" i="3"/>
  <c r="A10" i="4"/>
  <c r="P10" i="4" s="1"/>
  <c r="D22" i="4"/>
  <c r="H25" i="4"/>
  <c r="G21" i="2"/>
  <c r="H21" i="2" s="1"/>
  <c r="B22" i="3"/>
  <c r="B30" i="3"/>
  <c r="O30" i="3" s="1"/>
  <c r="F28" i="4" s="1"/>
  <c r="D12" i="4" s="1"/>
  <c r="A9" i="4"/>
  <c r="R8" i="4" s="1"/>
  <c r="D29" i="4"/>
  <c r="D21" i="4"/>
  <c r="G28" i="2"/>
  <c r="H28" i="2" s="1"/>
  <c r="J28" i="2" s="1"/>
  <c r="I24" i="2"/>
  <c r="G26" i="2"/>
  <c r="I25" i="2"/>
  <c r="C24" i="2"/>
  <c r="I27" i="2"/>
  <c r="I28" i="2"/>
  <c r="C20" i="2"/>
  <c r="C23" i="2"/>
  <c r="C21" i="2"/>
  <c r="C29" i="2"/>
  <c r="G20" i="2"/>
  <c r="H20" i="2" s="1"/>
  <c r="J20" i="2" s="1"/>
  <c r="G24" i="2"/>
  <c r="O24" i="2" s="1"/>
  <c r="G19" i="2"/>
  <c r="L28" i="2"/>
  <c r="M28" i="2" s="1"/>
  <c r="G27" i="2"/>
  <c r="O27" i="2" s="1"/>
  <c r="G23" i="2"/>
  <c r="L23" i="2" s="1"/>
  <c r="M23" i="2" s="1"/>
  <c r="G22" i="2"/>
  <c r="O22" i="2" s="1"/>
  <c r="G25" i="2"/>
  <c r="L25" i="2" s="1"/>
  <c r="M25" i="2" s="1"/>
  <c r="L21" i="2"/>
  <c r="M21" i="2" s="1"/>
  <c r="H26" i="2"/>
  <c r="O26" i="2"/>
  <c r="L26" i="2"/>
  <c r="M26" i="2" s="1"/>
  <c r="O20" i="2"/>
  <c r="O28" i="2"/>
  <c r="I26" i="2"/>
  <c r="I21" i="2"/>
  <c r="L3" i="4" l="1"/>
  <c r="K3" i="4"/>
  <c r="K10" i="4"/>
  <c r="L10" i="4"/>
  <c r="L11" i="4"/>
  <c r="K11" i="4"/>
  <c r="K8" i="4"/>
  <c r="L8" i="4"/>
  <c r="L7" i="4"/>
  <c r="K7" i="4"/>
  <c r="K12" i="4"/>
  <c r="L12" i="4"/>
  <c r="P8" i="4"/>
  <c r="Z9" i="4"/>
  <c r="Z8" i="4"/>
  <c r="L29" i="2"/>
  <c r="M29" i="2" s="1"/>
  <c r="H29" i="2"/>
  <c r="J29" i="2" s="1"/>
  <c r="V9" i="4"/>
  <c r="P9" i="4"/>
  <c r="O21" i="2"/>
  <c r="K4" i="4"/>
  <c r="L4" i="4"/>
  <c r="L6" i="4"/>
  <c r="K6" i="4"/>
  <c r="Z10" i="4"/>
  <c r="P12" i="4"/>
  <c r="AA8" i="4"/>
  <c r="AA9" i="4"/>
  <c r="H22" i="2"/>
  <c r="J22" i="2" s="1"/>
  <c r="L22" i="2"/>
  <c r="M22" i="2" s="1"/>
  <c r="O23" i="2"/>
  <c r="L20" i="2"/>
  <c r="M20" i="2" s="1"/>
  <c r="T9" i="4"/>
  <c r="AA10" i="4"/>
  <c r="R9" i="4"/>
  <c r="AA12" i="4"/>
  <c r="L24" i="2"/>
  <c r="M24" i="2" s="1"/>
  <c r="V8" i="4"/>
  <c r="H24" i="2"/>
  <c r="J24" i="2" s="1"/>
  <c r="H23" i="2"/>
  <c r="J23" i="2" s="1"/>
  <c r="T8" i="4"/>
  <c r="Z12" i="4"/>
  <c r="F30" i="2"/>
  <c r="O25" i="2"/>
  <c r="H19" i="2"/>
  <c r="J19" i="2" s="1"/>
  <c r="H25" i="2"/>
  <c r="J25" i="2" s="1"/>
  <c r="L19" i="2"/>
  <c r="O19" i="2"/>
  <c r="L27" i="2"/>
  <c r="M27" i="2" s="1"/>
  <c r="H27" i="2"/>
  <c r="J27" i="2" s="1"/>
  <c r="J26" i="2"/>
  <c r="J21" i="2"/>
  <c r="N19" i="2" l="1"/>
  <c r="N20" i="2" s="1"/>
  <c r="M19" i="2"/>
  <c r="P19" i="2"/>
  <c r="N21" i="2"/>
  <c r="P20" i="2"/>
  <c r="N22" i="2" l="1"/>
  <c r="P21" i="2"/>
  <c r="P22" i="2" l="1"/>
  <c r="N23" i="2"/>
  <c r="N24" i="2" l="1"/>
  <c r="P23" i="2"/>
  <c r="P24" i="2" l="1"/>
  <c r="N25" i="2"/>
  <c r="N26" i="2" l="1"/>
  <c r="P25" i="2"/>
  <c r="N27" i="2" l="1"/>
  <c r="P26" i="2"/>
  <c r="P27" i="2" l="1"/>
  <c r="N28" i="2"/>
  <c r="N29" i="2" l="1"/>
  <c r="P29" i="2" s="1"/>
  <c r="P28" i="2"/>
</calcChain>
</file>

<file path=xl/sharedStrings.xml><?xml version="1.0" encoding="utf-8"?>
<sst xmlns="http://schemas.openxmlformats.org/spreadsheetml/2006/main" count="88" uniqueCount="78">
  <si>
    <t>liter per minuut</t>
  </si>
  <si>
    <t>% per interval</t>
  </si>
  <si>
    <t>% cumulative</t>
  </si>
  <si>
    <t>Eerste wasfles</t>
  </si>
  <si>
    <t>per interval emission</t>
  </si>
  <si>
    <t>emission cumulative</t>
  </si>
  <si>
    <r>
      <t>N-NH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vervluchtigd als percentage van N-MIN toegediend met mest</t>
    </r>
  </si>
  <si>
    <t>Monstercode</t>
  </si>
  <si>
    <r>
      <t>[N-NH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] (mg/l = ug/ml)</t>
    </r>
  </si>
  <si>
    <t>Volume (ml)</t>
  </si>
  <si>
    <r>
      <t>mg N-NH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in buis</t>
    </r>
  </si>
  <si>
    <r>
      <t>mg NH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geabsorbeerd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</si>
  <si>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lucht bemonsterd</t>
    </r>
  </si>
  <si>
    <r>
      <t>[NH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 in ug/m3</t>
    </r>
  </si>
  <si>
    <r>
      <t>N-NH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in periode vervluchtigd (mg N)</t>
    </r>
  </si>
  <si>
    <r>
      <t>N-NH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cumulatief vervluchtigd (mg N)</t>
    </r>
  </si>
  <si>
    <t>in deze periode</t>
  </si>
  <si>
    <t>cumulatief</t>
  </si>
  <si>
    <t>M1.1u.#1</t>
  </si>
  <si>
    <t>M1.3u.#1</t>
  </si>
  <si>
    <t>M1.7u.#1</t>
  </si>
  <si>
    <t>M1.1d.#1</t>
  </si>
  <si>
    <t>M1.1,5d.#1</t>
  </si>
  <si>
    <t>M1.2d.#1</t>
  </si>
  <si>
    <t>M1.3d.#1</t>
  </si>
  <si>
    <t>M1.4d.#1</t>
  </si>
  <si>
    <t>M1.5d.#1</t>
  </si>
  <si>
    <t>M1.6d.#1</t>
  </si>
  <si>
    <t>M1.7d.#1</t>
  </si>
  <si>
    <r>
      <t>Uitwerking vierde NH</t>
    </r>
    <r>
      <rPr>
        <b/>
        <vertAlign val="sub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 xml:space="preserve"> emssie proef op Nergena met RDM (samen met de Denen)</t>
    </r>
  </si>
  <si>
    <t>Object</t>
  </si>
  <si>
    <t>M1#1</t>
  </si>
  <si>
    <t>Proef ingezet op dinsdag 9 november 's ochtends en gestopt op dinsdag 16 november 's ochtends</t>
  </si>
  <si>
    <t>Onverdunde runderdrijfmest</t>
  </si>
  <si>
    <r>
      <t>Mestgift is omgerekend 20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/ ha</t>
    </r>
  </si>
  <si>
    <t>Bekertje plus mest (gram)</t>
  </si>
  <si>
    <t>Toegediend in een sleuf met een breedte van 2 cm en een lengte van 20 cm.</t>
  </si>
  <si>
    <t>Bekertje plus restant mest (gram)</t>
  </si>
  <si>
    <t>Netto toegediende mest (gram)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</si>
  <si>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/ha omgerekend</t>
    </r>
  </si>
  <si>
    <t>Oppervlakte grond in emmer (doorsnede emmer = 26 cm)</t>
  </si>
  <si>
    <t>DIT GELDT NU NIET WANT TOEGEDIEND IN SLEUF!!</t>
  </si>
  <si>
    <t>Mestgift in ton/ha</t>
  </si>
  <si>
    <t>ton per hectare</t>
  </si>
  <si>
    <t>g/kg mest</t>
  </si>
  <si>
    <t>Ntot gehalte mest:</t>
  </si>
  <si>
    <t>Drogestof gehalte mest:</t>
  </si>
  <si>
    <t>mg</t>
  </si>
  <si>
    <t>Hoeveelheid potentiele NH3</t>
  </si>
  <si>
    <t>Bemonsteringsflow</t>
  </si>
  <si>
    <t>h after application</t>
  </si>
  <si>
    <t>N-NH4 concentration in manure</t>
  </si>
  <si>
    <t>N-NH4 applied in bucket</t>
  </si>
  <si>
    <t>N-NH3 (ug N / hour / m2)</t>
  </si>
  <si>
    <t>M1 #1</t>
  </si>
  <si>
    <t>M1 #2</t>
  </si>
  <si>
    <t>M1 #3</t>
  </si>
  <si>
    <t>M1 #4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</si>
  <si>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</si>
  <si>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Emis_M1_ugm2s</t>
  </si>
  <si>
    <t>N-NH3 (ug N / s/ m2)</t>
  </si>
  <si>
    <t>CumEmis_M1</t>
  </si>
  <si>
    <t>Emis_M2_ugm2s</t>
  </si>
  <si>
    <t>Emis_M3_ugm2s</t>
  </si>
  <si>
    <t>Emis_M4_ugm2s</t>
  </si>
  <si>
    <t>CumEmis_M4</t>
  </si>
  <si>
    <t>CumEmis_M2</t>
  </si>
  <si>
    <t>CumEmis_M3</t>
  </si>
  <si>
    <t>HoursApplication</t>
  </si>
  <si>
    <t>Emis_avg</t>
  </si>
  <si>
    <t>Emis_std</t>
  </si>
  <si>
    <t>Cum_avg</t>
  </si>
  <si>
    <t>Cum_std</t>
  </si>
  <si>
    <t>Time</t>
  </si>
  <si>
    <t>ConfP</t>
  </si>
  <si>
    <t>ConfM</t>
  </si>
  <si>
    <t>flux</t>
  </si>
  <si>
    <t>fluxsd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</si>
</sst>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"/>
    <numFmt numFmtId="167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horizontal="centerContinuous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Continuous"/>
    </xf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0" fillId="0" borderId="0" xfId="0" applyNumberForma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64" fontId="2" fillId="2" borderId="0" xfId="0" applyNumberFormat="1" applyFont="1" applyFill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64" fontId="2" fillId="0" borderId="0" xfId="0" applyNumberFormat="1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22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'[1]M1#1'!$B$2</c:f>
              <c:strCache>
                <c:ptCount val="1"/>
                <c:pt idx="0">
                  <c:v>M1#1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'[1]M1#1'!$B$19:$B$29</c:f>
              <c:numCache>
                <c:formatCode>General</c:formatCode>
                <c:ptCount val="11"/>
                <c:pt idx="0">
                  <c:v>0.99999999994179234</c:v>
                </c:pt>
                <c:pt idx="1">
                  <c:v>3</c:v>
                </c:pt>
                <c:pt idx="2">
                  <c:v>6</c:v>
                </c:pt>
                <c:pt idx="3">
                  <c:v>22.450000000011642</c:v>
                </c:pt>
                <c:pt idx="4">
                  <c:v>30.016666666720994</c:v>
                </c:pt>
                <c:pt idx="5">
                  <c:v>46.450000000011642</c:v>
                </c:pt>
                <c:pt idx="6">
                  <c:v>70.450000000011642</c:v>
                </c:pt>
                <c:pt idx="7">
                  <c:v>94.616666666697711</c:v>
                </c:pt>
                <c:pt idx="8">
                  <c:v>118.53333333326736</c:v>
                </c:pt>
                <c:pt idx="9">
                  <c:v>142.45000000001164</c:v>
                </c:pt>
                <c:pt idx="10">
                  <c:v>166.45000000001164</c:v>
                </c:pt>
              </c:numCache>
            </c:numRef>
          </c:xVal>
          <c:yVal>
            <c:numRef>
              <c:f>'[1]M1#1'!$N$19:$N$29</c:f>
              <c:numCache>
                <c:formatCode>General</c:formatCode>
                <c:ptCount val="11"/>
                <c:pt idx="0">
                  <c:v>4.0493777552483125E-3</c:v>
                </c:pt>
                <c:pt idx="1">
                  <c:v>1.6192769649629138E-2</c:v>
                </c:pt>
                <c:pt idx="2">
                  <c:v>3.4425527010321602E-2</c:v>
                </c:pt>
                <c:pt idx="3">
                  <c:v>8.9237337431749303E-2</c:v>
                </c:pt>
                <c:pt idx="4">
                  <c:v>0.10324622633237703</c:v>
                </c:pt>
                <c:pt idx="5">
                  <c:v>0.12856087068758959</c:v>
                </c:pt>
                <c:pt idx="6">
                  <c:v>0.15302158764231691</c:v>
                </c:pt>
                <c:pt idx="7">
                  <c:v>0.16840541289961908</c:v>
                </c:pt>
                <c:pt idx="8">
                  <c:v>0.1826321777293245</c:v>
                </c:pt>
                <c:pt idx="9">
                  <c:v>0.19580683050475145</c:v>
                </c:pt>
                <c:pt idx="10">
                  <c:v>0.20592998498514872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9-477D-8549-169A562F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482424"/>
        <c:axId val="778477176"/>
      </c:scatterChart>
      <c:valAx>
        <c:axId val="7784824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Uren na mest</a:t>
                </a:r>
                <a:r>
                  <a:rPr lang="en-US" baseline="0"/>
                  <a:t> toediening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0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8477176"/>
        <c:crosses val="autoZero"/>
        <c:crossBetween val="midCat"/>
        <c:majorUnit val="24"/>
        <c:minorUnit val="6"/>
      </c:valAx>
      <c:valAx>
        <c:axId val="77847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N-NH</a:t>
                </a:r>
                <a:r>
                  <a:rPr lang="en-US" baseline="-25000"/>
                  <a:t>3</a:t>
                </a:r>
                <a:r>
                  <a:rPr lang="en-US" baseline="0"/>
                  <a:t> emssie, cumulatief als % van toegediende N-MIN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%" sourceLinked="0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8482424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7</xdr:col>
      <xdr:colOff>0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0BBD6-9A5D-4C10-9174-24300931C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arhusuniversitet-my.sharepoint.com/personal/au323818_uni_au_dk/Documents/Desktop/Uitwerking%20NH3%20emissie%20metingen%20emmer-wasflessen%20methode%20mest%20experimenten%209%20nov%202021.xlsx" TargetMode="External"/><Relationship Id="rId1" Type="http://schemas.openxmlformats.org/officeDocument/2006/relationships/externalLinkPath" Target="https://aarhusuniversitet-my.sharepoint.com/personal/au323818_uni_au_dk/Documents/Desktop/Uitwerking%20NH3%20emissie%20metingen%20emmer-wasflessen%20methode%20mest%20experimenten%209%20nov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jdsduren"/>
      <sheetName val="Resultaten naast elkaar"/>
      <sheetName val="M1#1"/>
      <sheetName val="M1#2"/>
      <sheetName val="M1#3"/>
      <sheetName val="M1#4"/>
      <sheetName val="M2#1"/>
      <sheetName val="M2#2"/>
      <sheetName val="M2#3"/>
      <sheetName val="M2#4"/>
      <sheetName val="M3#1"/>
      <sheetName val="M3#2"/>
      <sheetName val="M3#3"/>
      <sheetName val="leeg1"/>
      <sheetName val="leeg2"/>
      <sheetName val="leeg3"/>
      <sheetName val="M3#4"/>
      <sheetName val="BM"/>
      <sheetName val="analyses_sheet"/>
      <sheetName val="mestanalyes"/>
      <sheetName val="Geert_Analyses_Wasvloeistoffen"/>
    </sheetNames>
    <sheetDataSet>
      <sheetData sheetId="0">
        <row r="5">
          <cell r="D5">
            <v>0.99999999994179234</v>
          </cell>
        </row>
        <row r="6">
          <cell r="D6">
            <v>3</v>
          </cell>
        </row>
        <row r="7">
          <cell r="D7">
            <v>6</v>
          </cell>
        </row>
        <row r="8">
          <cell r="D8">
            <v>22.450000000011642</v>
          </cell>
        </row>
        <row r="9">
          <cell r="D9">
            <v>30.016666666720994</v>
          </cell>
        </row>
        <row r="10">
          <cell r="D10">
            <v>46.450000000011642</v>
          </cell>
        </row>
        <row r="11">
          <cell r="D11">
            <v>70.450000000011642</v>
          </cell>
        </row>
        <row r="12">
          <cell r="D12">
            <v>94.616666666697711</v>
          </cell>
        </row>
        <row r="13">
          <cell r="D13">
            <v>118.53333333326736</v>
          </cell>
        </row>
        <row r="14">
          <cell r="D14">
            <v>142.45000000001164</v>
          </cell>
        </row>
        <row r="15">
          <cell r="D15">
            <v>166.45000000001164</v>
          </cell>
        </row>
      </sheetData>
      <sheetData sheetId="1"/>
      <sheetData sheetId="2">
        <row r="2">
          <cell r="B2" t="str">
            <v>M1#1</v>
          </cell>
        </row>
        <row r="16">
          <cell r="D16" t="str">
            <v>liter per minuut</v>
          </cell>
          <cell r="M16" t="str">
            <v>% per interval</v>
          </cell>
        </row>
        <row r="17">
          <cell r="B17" t="str">
            <v>Eerste wasfles</v>
          </cell>
          <cell r="K17" t="str">
            <v>per interval emission</v>
          </cell>
          <cell r="L17" t="str">
            <v>emission cumulative</v>
          </cell>
          <cell r="M17" t="str">
            <v>N-NH3 vervluchtigd als percentage van N-MIN toegediend met mest</v>
          </cell>
        </row>
        <row r="18">
          <cell r="B18" t="str">
            <v>Uren na mesttoediening (h after application)</v>
          </cell>
          <cell r="C18" t="str">
            <v>Monstercode</v>
          </cell>
          <cell r="D18" t="str">
            <v>[N-NH4] (mg/l = ug/ml)</v>
          </cell>
          <cell r="E18" t="str">
            <v>Volume (ml)</v>
          </cell>
          <cell r="F18" t="str">
            <v>mg N-NH4 in buis</v>
          </cell>
          <cell r="G18" t="str">
            <v>mg NH3 geabsorbeerd</v>
          </cell>
          <cell r="H18" t="str">
            <v>m3 lucht bemonsterd</v>
          </cell>
          <cell r="I18" t="str">
            <v>[NH3] in ug/m3</v>
          </cell>
          <cell r="K18" t="str">
            <v>N-NH3 in periode vervluchtigd (mg N)</v>
          </cell>
          <cell r="L18" t="str">
            <v>N-NH3 cumulatief vervluchtigd (mg N)</v>
          </cell>
          <cell r="M18" t="str">
            <v>in deze periode</v>
          </cell>
          <cell r="N18" t="str">
            <v>cumulatief</v>
          </cell>
        </row>
        <row r="19">
          <cell r="B19">
            <v>0.99999999994179234</v>
          </cell>
          <cell r="C19" t="str">
            <v>M1.1u.#1</v>
          </cell>
          <cell r="D19">
            <v>4.9441543974124063</v>
          </cell>
          <cell r="E19">
            <v>100.16000000000001</v>
          </cell>
          <cell r="F19">
            <v>0.49520650444482667</v>
          </cell>
          <cell r="G19">
            <v>0.60132218396871806</v>
          </cell>
          <cell r="H19">
            <v>0.23999999998603017</v>
          </cell>
          <cell r="I19">
            <v>2505.5091000154985</v>
          </cell>
          <cell r="K19">
            <v>0.49520650444482667</v>
          </cell>
          <cell r="L19">
            <v>0.49520650444482667</v>
          </cell>
          <cell r="M19">
            <v>4.0493777552483125E-3</v>
          </cell>
          <cell r="N19">
            <v>4.0493777552483125E-3</v>
          </cell>
        </row>
        <row r="20">
          <cell r="B20">
            <v>3</v>
          </cell>
          <cell r="C20" t="str">
            <v>M1.3u.#1</v>
          </cell>
          <cell r="D20">
            <v>15.001916168780891</v>
          </cell>
          <cell r="E20">
            <v>98.99</v>
          </cell>
          <cell r="F20">
            <v>1.4850396815476203</v>
          </cell>
          <cell r="G20">
            <v>1.8032624704506817</v>
          </cell>
          <cell r="H20">
            <v>0.48000000001396986</v>
          </cell>
          <cell r="I20">
            <v>3756.7968133295826</v>
          </cell>
          <cell r="K20">
            <v>1.4850396815476203</v>
          </cell>
          <cell r="L20">
            <v>1.980246185992447</v>
          </cell>
          <cell r="M20">
            <v>1.2143391894380828E-2</v>
          </cell>
          <cell r="N20">
            <v>1.6192769649629138E-2</v>
          </cell>
        </row>
        <row r="21">
          <cell r="B21">
            <v>6</v>
          </cell>
          <cell r="C21" t="str">
            <v>M1.7u.#1</v>
          </cell>
          <cell r="D21">
            <v>22.584020694356354</v>
          </cell>
          <cell r="E21">
            <v>98.72999999999999</v>
          </cell>
          <cell r="F21">
            <v>2.229720363153803</v>
          </cell>
          <cell r="G21">
            <v>2.7075175838296177</v>
          </cell>
          <cell r="H21">
            <v>0.72</v>
          </cell>
          <cell r="I21">
            <v>3760.4410886522469</v>
          </cell>
          <cell r="K21">
            <v>2.229720363153803</v>
          </cell>
          <cell r="L21">
            <v>4.2099665491462499</v>
          </cell>
          <cell r="M21">
            <v>1.8232757360692464E-2</v>
          </cell>
          <cell r="N21">
            <v>3.4425527010321602E-2</v>
          </cell>
        </row>
        <row r="22">
          <cell r="B22">
            <v>22.450000000011642</v>
          </cell>
          <cell r="C22" t="str">
            <v>M1.1d.#1</v>
          </cell>
          <cell r="D22">
            <v>67.680189015117506</v>
          </cell>
          <cell r="E22">
            <v>99.039999999999992</v>
          </cell>
          <cell r="F22">
            <v>6.703045920057237</v>
          </cell>
          <cell r="G22">
            <v>8.1394129029266455</v>
          </cell>
          <cell r="H22">
            <v>3.9480000000027942</v>
          </cell>
          <cell r="I22">
            <v>2061.6547373153203</v>
          </cell>
          <cell r="K22">
            <v>6.703045920057237</v>
          </cell>
          <cell r="L22">
            <v>10.913012469203487</v>
          </cell>
          <cell r="M22">
            <v>5.4811810421427701E-2</v>
          </cell>
          <cell r="N22">
            <v>8.9237337431749303E-2</v>
          </cell>
        </row>
        <row r="23">
          <cell r="B23">
            <v>30.016666666720994</v>
          </cell>
          <cell r="C23" t="str">
            <v>M1.1,5d.#1</v>
          </cell>
          <cell r="D23">
            <v>17.243194506853019</v>
          </cell>
          <cell r="E23">
            <v>99.353692307692313</v>
          </cell>
          <cell r="F23">
            <v>1.7131750414355651</v>
          </cell>
          <cell r="G23">
            <v>2.0802839788860434</v>
          </cell>
          <cell r="H23">
            <v>1.8160000000102445</v>
          </cell>
          <cell r="I23">
            <v>1145.5308253713149</v>
          </cell>
          <cell r="K23">
            <v>1.7131750414355651</v>
          </cell>
          <cell r="L23">
            <v>12.626187510639053</v>
          </cell>
          <cell r="M23">
            <v>1.4008888900627717E-2</v>
          </cell>
          <cell r="N23">
            <v>0.10324622633237703</v>
          </cell>
        </row>
        <row r="24">
          <cell r="B24">
            <v>46.450000000011642</v>
          </cell>
          <cell r="C24" t="str">
            <v>M1.2d.#1</v>
          </cell>
          <cell r="D24">
            <v>31.352830539676475</v>
          </cell>
          <cell r="E24">
            <v>98.740000000000009</v>
          </cell>
          <cell r="F24">
            <v>3.0957784874876557</v>
          </cell>
          <cell r="G24">
            <v>3.7591595919492962</v>
          </cell>
          <cell r="H24">
            <v>3.9439999999897553</v>
          </cell>
          <cell r="I24">
            <v>953.13377078069493</v>
          </cell>
          <cell r="K24">
            <v>3.0957784874876557</v>
          </cell>
          <cell r="L24">
            <v>15.721965998126709</v>
          </cell>
          <cell r="M24">
            <v>2.5314644355212568E-2</v>
          </cell>
          <cell r="N24">
            <v>0.12856087068758959</v>
          </cell>
        </row>
        <row r="25">
          <cell r="B25">
            <v>70.450000000011642</v>
          </cell>
          <cell r="C25" t="str">
            <v>M1.3d.#1</v>
          </cell>
          <cell r="D25">
            <v>30.282951992584657</v>
          </cell>
          <cell r="E25">
            <v>98.78</v>
          </cell>
          <cell r="F25">
            <v>2.9913499978275127</v>
          </cell>
          <cell r="G25">
            <v>3.6323535687905513</v>
          </cell>
          <cell r="H25">
            <v>5.76</v>
          </cell>
          <cell r="I25">
            <v>630.6169390261374</v>
          </cell>
          <cell r="K25">
            <v>2.9913499978275127</v>
          </cell>
          <cell r="L25">
            <v>18.713315995954222</v>
          </cell>
          <cell r="M25">
            <v>2.4460716954727312E-2</v>
          </cell>
          <cell r="N25">
            <v>0.15302158764231691</v>
          </cell>
        </row>
        <row r="26">
          <cell r="B26">
            <v>94.616666666697711</v>
          </cell>
          <cell r="C26" t="str">
            <v>M1.4d.#1</v>
          </cell>
          <cell r="D26">
            <v>18.796270939814121</v>
          </cell>
          <cell r="E26">
            <v>100.09</v>
          </cell>
          <cell r="F26">
            <v>1.8813187583659956</v>
          </cell>
          <cell r="G26">
            <v>2.2844584923015661</v>
          </cell>
          <cell r="H26">
            <v>5.8000000000046565</v>
          </cell>
          <cell r="I26">
            <v>393.87215384478134</v>
          </cell>
          <cell r="K26">
            <v>1.8813187583659956</v>
          </cell>
          <cell r="L26">
            <v>20.594634754320218</v>
          </cell>
          <cell r="M26">
            <v>1.5383825257302157E-2</v>
          </cell>
          <cell r="N26">
            <v>0.16840541289961908</v>
          </cell>
        </row>
        <row r="27">
          <cell r="B27">
            <v>118.53333333326736</v>
          </cell>
          <cell r="C27" t="str">
            <v>M1.5d.#1</v>
          </cell>
          <cell r="D27">
            <v>17.431314743556101</v>
          </cell>
          <cell r="E27">
            <v>99.81</v>
          </cell>
          <cell r="F27">
            <v>1.7398195245543344</v>
          </cell>
          <cell r="G27">
            <v>2.112637994101692</v>
          </cell>
          <cell r="H27">
            <v>5.7399999999767166</v>
          </cell>
          <cell r="I27">
            <v>368.05539967077732</v>
          </cell>
          <cell r="K27">
            <v>1.7398195245543344</v>
          </cell>
          <cell r="L27">
            <v>22.334454278874553</v>
          </cell>
          <cell r="M27">
            <v>1.4226764829705411E-2</v>
          </cell>
          <cell r="N27">
            <v>0.1826321777293245</v>
          </cell>
        </row>
        <row r="28">
          <cell r="B28">
            <v>142.45000000001164</v>
          </cell>
          <cell r="C28" t="str">
            <v>M1.6d.#1</v>
          </cell>
          <cell r="D28">
            <v>16.307233170167144</v>
          </cell>
          <cell r="E28">
            <v>98.800000000000011</v>
          </cell>
          <cell r="F28">
            <v>1.6111546372125141</v>
          </cell>
          <cell r="G28">
            <v>1.9564020594723386</v>
          </cell>
          <cell r="H28">
            <v>5.7400000000186262</v>
          </cell>
          <cell r="I28">
            <v>340.83659572578222</v>
          </cell>
          <cell r="K28">
            <v>1.6111546372125141</v>
          </cell>
          <cell r="L28">
            <v>23.945608916087068</v>
          </cell>
          <cell r="M28">
            <v>1.3174652775426961E-2</v>
          </cell>
          <cell r="N28">
            <v>0.19580683050475145</v>
          </cell>
        </row>
        <row r="29">
          <cell r="B29">
            <v>166.45000000001164</v>
          </cell>
          <cell r="C29" t="str">
            <v>M1.7d.#1</v>
          </cell>
          <cell r="D29">
            <v>12.40213191461371</v>
          </cell>
          <cell r="E29">
            <v>99.82</v>
          </cell>
          <cell r="F29">
            <v>1.2379808077167405</v>
          </cell>
          <cell r="G29">
            <v>1.5032624093703277</v>
          </cell>
          <cell r="H29">
            <v>5.76</v>
          </cell>
          <cell r="I29">
            <v>260.9830571823486</v>
          </cell>
          <cell r="K29">
            <v>1.2379808077167405</v>
          </cell>
          <cell r="L29">
            <v>25.183589723803809</v>
          </cell>
          <cell r="M29">
            <v>1.0123154480397249E-2</v>
          </cell>
          <cell r="N29">
            <v>0.20592998498514872</v>
          </cell>
        </row>
      </sheetData>
      <sheetData sheetId="3">
        <row r="17">
          <cell r="B17" t="str">
            <v>Eerste wasfles</v>
          </cell>
          <cell r="M17" t="str">
            <v>N-NH3 vervluchtigd als percentage van N-MIN toegediend met mest</v>
          </cell>
        </row>
        <row r="18">
          <cell r="B18" t="str">
            <v>Uren na mesttoediening</v>
          </cell>
          <cell r="C18" t="str">
            <v>Monstercode</v>
          </cell>
          <cell r="D18" t="str">
            <v>[N-NH4] (mg/l = ug/ml)</v>
          </cell>
          <cell r="E18" t="str">
            <v>Volume (ml)</v>
          </cell>
          <cell r="F18" t="str">
            <v>mg N-NH4 in buis</v>
          </cell>
          <cell r="G18" t="str">
            <v>mg NH3 geabsorbeerd</v>
          </cell>
          <cell r="H18" t="str">
            <v>m3 lucht bemonsterd</v>
          </cell>
          <cell r="I18" t="str">
            <v>[NH3] in ug/m3</v>
          </cell>
          <cell r="K18" t="str">
            <v>N-NH3 in periode vervluchtigd (mg N)</v>
          </cell>
          <cell r="L18" t="str">
            <v>N-NH3 cumulatief vervluchtigd (mg N)</v>
          </cell>
          <cell r="M18" t="str">
            <v>in deze periode</v>
          </cell>
          <cell r="N18" t="str">
            <v>cumulatief</v>
          </cell>
        </row>
        <row r="19">
          <cell r="B19">
            <v>0.99999999994179234</v>
          </cell>
          <cell r="C19" t="str">
            <v>M1.1u.#2</v>
          </cell>
          <cell r="D19">
            <v>5.4926043523029611</v>
          </cell>
          <cell r="E19">
            <v>100.75</v>
          </cell>
          <cell r="F19">
            <v>0.55337988849452335</v>
          </cell>
          <cell r="G19">
            <v>0.67196129317192121</v>
          </cell>
          <cell r="H19">
            <v>0.23999999998603017</v>
          </cell>
          <cell r="I19">
            <v>2799.8387217126437</v>
          </cell>
          <cell r="K19">
            <v>0.55337988849452335</v>
          </cell>
          <cell r="L19">
            <v>0.55337988849452335</v>
          </cell>
          <cell r="M19">
            <v>4.5060573292824849E-3</v>
          </cell>
          <cell r="N19">
            <v>4.5060573292824849E-3</v>
          </cell>
        </row>
        <row r="20">
          <cell r="B20">
            <v>3</v>
          </cell>
          <cell r="C20" t="str">
            <v>M1.3u.#2</v>
          </cell>
          <cell r="D20">
            <v>16.85696748679306</v>
          </cell>
          <cell r="E20">
            <v>98.34</v>
          </cell>
          <cell r="F20">
            <v>1.6577141826512296</v>
          </cell>
          <cell r="G20">
            <v>2.0129386503622073</v>
          </cell>
          <cell r="H20">
            <v>0.48000000001396986</v>
          </cell>
          <cell r="I20">
            <v>4193.6221881325473</v>
          </cell>
          <cell r="K20">
            <v>1.6577141826512296</v>
          </cell>
          <cell r="L20">
            <v>2.211094071145753</v>
          </cell>
          <cell r="M20">
            <v>1.3498421785642872E-2</v>
          </cell>
          <cell r="N20">
            <v>1.8004479114925358E-2</v>
          </cell>
        </row>
        <row r="21">
          <cell r="B21">
            <v>6</v>
          </cell>
          <cell r="C21" t="str">
            <v>M1.7u.#2</v>
          </cell>
          <cell r="D21">
            <v>25.971505709856832</v>
          </cell>
          <cell r="E21">
            <v>98.66</v>
          </cell>
          <cell r="F21">
            <v>2.5623487533344749</v>
          </cell>
          <cell r="G21">
            <v>3.1114234861918626</v>
          </cell>
          <cell r="H21">
            <v>0.72</v>
          </cell>
          <cell r="I21">
            <v>4321.4215085998094</v>
          </cell>
          <cell r="K21">
            <v>2.5623487533344749</v>
          </cell>
          <cell r="L21">
            <v>4.7734428244802274</v>
          </cell>
          <cell r="M21">
            <v>2.0864672931197276E-2</v>
          </cell>
          <cell r="N21">
            <v>3.8869152046122631E-2</v>
          </cell>
        </row>
        <row r="22">
          <cell r="B22">
            <v>22.450000000011642</v>
          </cell>
          <cell r="C22" t="str">
            <v>M1.1d.#2</v>
          </cell>
          <cell r="D22">
            <v>82.221815403431421</v>
          </cell>
          <cell r="E22">
            <v>99.58</v>
          </cell>
          <cell r="F22">
            <v>8.1876483778737015</v>
          </cell>
          <cell r="G22">
            <v>9.9421444588466379</v>
          </cell>
          <cell r="H22">
            <v>3.9480000000027942</v>
          </cell>
          <cell r="I22">
            <v>2518.2736724517736</v>
          </cell>
          <cell r="K22">
            <v>8.1876483778737015</v>
          </cell>
          <cell r="L22">
            <v>12.961091202353929</v>
          </cell>
          <cell r="M22">
            <v>6.6670317714429869E-2</v>
          </cell>
          <cell r="N22">
            <v>0.10553946976055249</v>
          </cell>
        </row>
        <row r="23">
          <cell r="B23">
            <v>30.016666666720994</v>
          </cell>
          <cell r="C23" t="str">
            <v>M1.1,5d.#2</v>
          </cell>
          <cell r="D23">
            <v>20.878601103931494</v>
          </cell>
          <cell r="E23">
            <v>98.893692307692305</v>
          </cell>
          <cell r="F23">
            <v>2.0647619533872463</v>
          </cell>
          <cell r="G23">
            <v>2.5072109433987992</v>
          </cell>
          <cell r="H23">
            <v>1.8160000000102445</v>
          </cell>
          <cell r="I23">
            <v>1380.6227661809778</v>
          </cell>
          <cell r="K23">
            <v>2.0647619533872463</v>
          </cell>
          <cell r="L23">
            <v>15.025853155741174</v>
          </cell>
          <cell r="M23">
            <v>1.6812927117022071E-2</v>
          </cell>
          <cell r="N23">
            <v>0.12235239687757456</v>
          </cell>
        </row>
        <row r="24">
          <cell r="B24">
            <v>46.450000000011642</v>
          </cell>
          <cell r="C24" t="str">
            <v>M1.2d.#2</v>
          </cell>
          <cell r="D24">
            <v>31.514571685771806</v>
          </cell>
          <cell r="E24">
            <v>98.36</v>
          </cell>
          <cell r="F24">
            <v>3.0997732710125145</v>
          </cell>
          <cell r="G24">
            <v>3.7640104005151964</v>
          </cell>
          <cell r="H24">
            <v>3.9439999999897553</v>
          </cell>
          <cell r="I24">
            <v>954.36369181667692</v>
          </cell>
          <cell r="K24">
            <v>3.0997732710125145</v>
          </cell>
          <cell r="L24">
            <v>18.125626426753691</v>
          </cell>
          <cell r="M24">
            <v>2.5240808994629951E-2</v>
          </cell>
          <cell r="N24">
            <v>0.14759320587220454</v>
          </cell>
        </row>
        <row r="25">
          <cell r="B25">
            <v>70.450000000011642</v>
          </cell>
          <cell r="C25" t="str">
            <v>M1.3d.#2</v>
          </cell>
          <cell r="D25">
            <v>28.443040545834457</v>
          </cell>
          <cell r="E25">
            <v>99.509999999999991</v>
          </cell>
          <cell r="F25">
            <v>2.8303669647159864</v>
          </cell>
          <cell r="G25">
            <v>3.4368741714408406</v>
          </cell>
          <cell r="H25">
            <v>5.76</v>
          </cell>
          <cell r="I25">
            <v>596.67954365292371</v>
          </cell>
          <cell r="K25">
            <v>2.8303669647159864</v>
          </cell>
          <cell r="L25">
            <v>20.955993391469676</v>
          </cell>
          <cell r="M25">
            <v>2.3047089478828633E-2</v>
          </cell>
          <cell r="N25">
            <v>0.17064029535103314</v>
          </cell>
        </row>
        <row r="26">
          <cell r="B26">
            <v>94.616666666697711</v>
          </cell>
          <cell r="C26" t="str">
            <v>M1.4d.#2</v>
          </cell>
          <cell r="D26">
            <v>18.153938612163287</v>
          </cell>
          <cell r="E26">
            <v>99.36</v>
          </cell>
          <cell r="F26">
            <v>1.8037753405045442</v>
          </cell>
          <cell r="G26">
            <v>2.1902986277555181</v>
          </cell>
          <cell r="H26">
            <v>5.8000000000046565</v>
          </cell>
          <cell r="I26">
            <v>377.63769444030339</v>
          </cell>
          <cell r="K26">
            <v>1.8037753405045442</v>
          </cell>
          <cell r="L26">
            <v>22.759768731974219</v>
          </cell>
          <cell r="M26">
            <v>1.4687767413397699E-2</v>
          </cell>
          <cell r="N26">
            <v>0.18532806276443084</v>
          </cell>
        </row>
        <row r="27">
          <cell r="B27">
            <v>118.53333333326736</v>
          </cell>
          <cell r="C27" t="str">
            <v>M1.5d.#2</v>
          </cell>
          <cell r="D27">
            <v>17.270731661643389</v>
          </cell>
          <cell r="E27">
            <v>97.85</v>
          </cell>
          <cell r="F27">
            <v>1.6899410930918055</v>
          </cell>
          <cell r="G27">
            <v>2.0520713273257636</v>
          </cell>
          <cell r="H27">
            <v>5.7399999999767166</v>
          </cell>
          <cell r="I27">
            <v>357.50371556342986</v>
          </cell>
          <cell r="K27">
            <v>1.6899410930918055</v>
          </cell>
          <cell r="L27">
            <v>24.449709825066023</v>
          </cell>
          <cell r="M27">
            <v>1.3760838814179905E-2</v>
          </cell>
          <cell r="N27">
            <v>0.19908890157861073</v>
          </cell>
        </row>
        <row r="28">
          <cell r="B28">
            <v>142.45000000001164</v>
          </cell>
          <cell r="C28" t="str">
            <v>M1.6d.#2</v>
          </cell>
          <cell r="D28">
            <v>16.467816252079853</v>
          </cell>
          <cell r="E28">
            <v>96.64</v>
          </cell>
          <cell r="F28">
            <v>1.5914497626009969</v>
          </cell>
          <cell r="G28">
            <v>1.932474711729782</v>
          </cell>
          <cell r="H28">
            <v>5.7400000000186262</v>
          </cell>
          <cell r="I28">
            <v>336.66806824451413</v>
          </cell>
          <cell r="K28">
            <v>1.5914497626009969</v>
          </cell>
          <cell r="L28">
            <v>26.041159587667021</v>
          </cell>
          <cell r="M28">
            <v>1.2958844396138666E-2</v>
          </cell>
          <cell r="N28">
            <v>0.2120477459747494</v>
          </cell>
        </row>
        <row r="29">
          <cell r="B29">
            <v>166.45000000001164</v>
          </cell>
          <cell r="C29" t="str">
            <v>M1.7d.#2</v>
          </cell>
          <cell r="D29">
            <v>12.241441712715666</v>
          </cell>
          <cell r="E29">
            <v>97.67</v>
          </cell>
          <cell r="F29">
            <v>1.1956216120809391</v>
          </cell>
          <cell r="G29">
            <v>1.4518262432411402</v>
          </cell>
          <cell r="H29">
            <v>5.76</v>
          </cell>
          <cell r="I29">
            <v>252.05316722936462</v>
          </cell>
          <cell r="K29">
            <v>1.1956216120809391</v>
          </cell>
          <cell r="L29">
            <v>27.236781199747959</v>
          </cell>
          <cell r="M29">
            <v>9.7356980985028613E-3</v>
          </cell>
          <cell r="N29">
            <v>0.22178344407325226</v>
          </cell>
        </row>
      </sheetData>
      <sheetData sheetId="4">
        <row r="17">
          <cell r="B17" t="str">
            <v>Eerste wasfles</v>
          </cell>
          <cell r="M17" t="str">
            <v>N-NH3 vervluchtigd als percentage van N-MIN toegediend met mest</v>
          </cell>
        </row>
        <row r="18">
          <cell r="B18" t="str">
            <v>Uren na mesttoediening</v>
          </cell>
          <cell r="C18" t="str">
            <v>Monstercode</v>
          </cell>
          <cell r="D18" t="str">
            <v>[N-NH4] (mg/l = ug/ml)</v>
          </cell>
          <cell r="E18" t="str">
            <v>Volume (ml)</v>
          </cell>
          <cell r="F18" t="str">
            <v>mg N-NH4 in buis</v>
          </cell>
          <cell r="G18" t="str">
            <v>mg NH3 geabsorbeerd</v>
          </cell>
          <cell r="H18" t="str">
            <v>m3 lucht bemonsterd</v>
          </cell>
          <cell r="I18" t="str">
            <v>[NH3] in ug/m3</v>
          </cell>
          <cell r="K18" t="str">
            <v>N-NH3 in periode vervluchtigd (mg N)</v>
          </cell>
          <cell r="L18" t="str">
            <v>N-NH3 cumulatief vervluchtigd (mg N)</v>
          </cell>
          <cell r="M18" t="str">
            <v>in deze periode</v>
          </cell>
          <cell r="N18" t="str">
            <v>cumulatief</v>
          </cell>
        </row>
        <row r="19">
          <cell r="B19">
            <v>0.99999999994179234</v>
          </cell>
          <cell r="C19" t="str">
            <v>M1.1u.#3</v>
          </cell>
          <cell r="D19">
            <v>5.0732014456219492</v>
          </cell>
          <cell r="E19">
            <v>99.800000000000011</v>
          </cell>
          <cell r="F19">
            <v>0.50630550427307064</v>
          </cell>
          <cell r="G19">
            <v>0.61479954090301436</v>
          </cell>
          <cell r="H19">
            <v>0.23999999998603017</v>
          </cell>
          <cell r="I19">
            <v>2561.6647539116684</v>
          </cell>
          <cell r="K19">
            <v>0.50630550427307064</v>
          </cell>
          <cell r="L19">
            <v>0.50630550427307064</v>
          </cell>
          <cell r="M19">
            <v>3.9092120222449017E-3</v>
          </cell>
          <cell r="N19">
            <v>3.9092120222449017E-3</v>
          </cell>
        </row>
        <row r="20">
          <cell r="B20">
            <v>3</v>
          </cell>
          <cell r="C20" t="str">
            <v>M1.3u.#3</v>
          </cell>
          <cell r="D20">
            <v>13.993736104643846</v>
          </cell>
          <cell r="E20">
            <v>98.5</v>
          </cell>
          <cell r="F20">
            <v>1.3783830063074187</v>
          </cell>
          <cell r="G20">
            <v>1.6737507933732942</v>
          </cell>
          <cell r="H20">
            <v>0.48000000001396986</v>
          </cell>
          <cell r="I20">
            <v>3486.9808194262118</v>
          </cell>
          <cell r="K20">
            <v>1.3783830063074187</v>
          </cell>
          <cell r="L20">
            <v>1.8846885105804894</v>
          </cell>
          <cell r="M20">
            <v>1.0642569306552231E-2</v>
          </cell>
          <cell r="N20">
            <v>1.4551781328797133E-2</v>
          </cell>
        </row>
        <row r="21">
          <cell r="B21">
            <v>6</v>
          </cell>
          <cell r="C21" t="str">
            <v>M1.7u.#3</v>
          </cell>
          <cell r="D21">
            <v>21.454859022522857</v>
          </cell>
          <cell r="E21">
            <v>98.15</v>
          </cell>
          <cell r="F21">
            <v>2.1057944130606185</v>
          </cell>
          <cell r="G21">
            <v>2.5570360730021799</v>
          </cell>
          <cell r="H21">
            <v>0.72</v>
          </cell>
          <cell r="I21">
            <v>3551.4389902808052</v>
          </cell>
          <cell r="K21">
            <v>2.1057944130606185</v>
          </cell>
          <cell r="L21">
            <v>3.9904829236411077</v>
          </cell>
          <cell r="M21">
            <v>1.6258951890582001E-2</v>
          </cell>
          <cell r="N21">
            <v>3.0810733219379133E-2</v>
          </cell>
        </row>
        <row r="22">
          <cell r="B22">
            <v>22.450000000011642</v>
          </cell>
          <cell r="C22" t="str">
            <v>M1.1d.#3</v>
          </cell>
          <cell r="D22">
            <v>81.737094523820957</v>
          </cell>
          <cell r="E22">
            <v>95.56</v>
          </cell>
          <cell r="F22">
            <v>7.8107967526963309</v>
          </cell>
          <cell r="G22">
            <v>9.484538913988402</v>
          </cell>
          <cell r="H22">
            <v>3.9480000000027942</v>
          </cell>
          <cell r="I22">
            <v>2402.3654797319377</v>
          </cell>
          <cell r="K22">
            <v>7.8107967526963309</v>
          </cell>
          <cell r="L22">
            <v>11.801279676337439</v>
          </cell>
          <cell r="M22">
            <v>6.0307581709567404E-2</v>
          </cell>
          <cell r="N22">
            <v>9.1118314928946537E-2</v>
          </cell>
        </row>
        <row r="23">
          <cell r="B23">
            <v>30.016666666720994</v>
          </cell>
          <cell r="C23" t="str">
            <v>M1.1,5d.#3</v>
          </cell>
          <cell r="D23">
            <v>20.959387917199908</v>
          </cell>
          <cell r="E23">
            <v>97.783692307692306</v>
          </cell>
          <cell r="F23">
            <v>2.0494863390530398</v>
          </cell>
          <cell r="G23">
            <v>2.4886619831358341</v>
          </cell>
          <cell r="H23">
            <v>1.8160000000102445</v>
          </cell>
          <cell r="I23">
            <v>1370.4085810142042</v>
          </cell>
          <cell r="K23">
            <v>2.0494863390530398</v>
          </cell>
          <cell r="L23">
            <v>13.850766015390478</v>
          </cell>
          <cell r="M23">
            <v>1.5824194223517093E-2</v>
          </cell>
          <cell r="N23">
            <v>0.10694250915246363</v>
          </cell>
        </row>
        <row r="24">
          <cell r="B24">
            <v>46.450000000011642</v>
          </cell>
          <cell r="C24" t="str">
            <v>M1.2d.#3</v>
          </cell>
          <cell r="D24">
            <v>32.929806714105922</v>
          </cell>
          <cell r="E24">
            <v>95.31</v>
          </cell>
          <cell r="F24">
            <v>3.1385398779214357</v>
          </cell>
          <cell r="G24">
            <v>3.8110841374760294</v>
          </cell>
          <cell r="H24">
            <v>3.9439999999897553</v>
          </cell>
          <cell r="I24">
            <v>966.29922350048901</v>
          </cell>
          <cell r="K24">
            <v>3.1385398779214357</v>
          </cell>
          <cell r="L24">
            <v>16.989305893311915</v>
          </cell>
          <cell r="M24">
            <v>2.4232835154895424E-2</v>
          </cell>
          <cell r="N24">
            <v>0.13117534430735905</v>
          </cell>
        </row>
        <row r="25">
          <cell r="B25">
            <v>70.450000000011642</v>
          </cell>
          <cell r="C25" t="str">
            <v>M1.3d.#3</v>
          </cell>
          <cell r="D25">
            <v>31.802878839900043</v>
          </cell>
          <cell r="E25">
            <v>93.59</v>
          </cell>
          <cell r="F25">
            <v>2.9764314306262452</v>
          </cell>
          <cell r="G25">
            <v>3.6142381657604403</v>
          </cell>
          <cell r="H25">
            <v>5.76</v>
          </cell>
          <cell r="I25">
            <v>627.47190377785421</v>
          </cell>
          <cell r="K25">
            <v>2.9764314306262452</v>
          </cell>
          <cell r="L25">
            <v>19.965737323938161</v>
          </cell>
          <cell r="M25">
            <v>2.2981187116852323E-2</v>
          </cell>
          <cell r="N25">
            <v>0.15415653142421137</v>
          </cell>
        </row>
        <row r="26">
          <cell r="B26">
            <v>94.616666666697711</v>
          </cell>
          <cell r="C26" t="str">
            <v>M1.4d.#3</v>
          </cell>
          <cell r="D26">
            <v>19.117437103639539</v>
          </cell>
          <cell r="E26">
            <v>96.39</v>
          </cell>
          <cell r="F26">
            <v>1.8427297624198151</v>
          </cell>
          <cell r="G26">
            <v>2.2376004257954896</v>
          </cell>
          <cell r="H26">
            <v>5.8000000000046565</v>
          </cell>
          <cell r="I26">
            <v>385.79317686098159</v>
          </cell>
          <cell r="K26">
            <v>1.8427297624198151</v>
          </cell>
          <cell r="L26">
            <v>21.808467086357975</v>
          </cell>
          <cell r="M26">
            <v>1.422781557815108E-2</v>
          </cell>
          <cell r="N26">
            <v>0.16838434700236246</v>
          </cell>
        </row>
        <row r="27">
          <cell r="B27">
            <v>118.53333333326736</v>
          </cell>
          <cell r="C27" t="str">
            <v>M1.5d.#3</v>
          </cell>
          <cell r="D27">
            <v>18.796270939814121</v>
          </cell>
          <cell r="E27">
            <v>95.149999999999991</v>
          </cell>
          <cell r="F27">
            <v>1.7884651799233136</v>
          </cell>
          <cell r="G27">
            <v>2.1717077184783093</v>
          </cell>
          <cell r="H27">
            <v>5.7399999999767166</v>
          </cell>
          <cell r="I27">
            <v>378.34629241935863</v>
          </cell>
          <cell r="K27">
            <v>1.7884651799233136</v>
          </cell>
          <cell r="L27">
            <v>23.596932266281289</v>
          </cell>
          <cell r="M27">
            <v>1.3808835818920548E-2</v>
          </cell>
          <cell r="N27">
            <v>0.18219318282128302</v>
          </cell>
        </row>
        <row r="28">
          <cell r="B28">
            <v>142.45000000001164</v>
          </cell>
          <cell r="C28" t="str">
            <v>M1.6d.#3</v>
          </cell>
          <cell r="D28">
            <v>16.788982415905267</v>
          </cell>
          <cell r="E28">
            <v>98.38</v>
          </cell>
          <cell r="F28">
            <v>1.65170009007676</v>
          </cell>
          <cell r="G28">
            <v>2.0056358236646372</v>
          </cell>
          <cell r="H28">
            <v>5.7400000000186262</v>
          </cell>
          <cell r="I28">
            <v>349.41390656064965</v>
          </cell>
          <cell r="K28">
            <v>1.65170009007676</v>
          </cell>
          <cell r="L28">
            <v>25.248632356358048</v>
          </cell>
          <cell r="M28">
            <v>1.2752865206435962E-2</v>
          </cell>
          <cell r="N28">
            <v>0.19494604802771898</v>
          </cell>
        </row>
        <row r="29">
          <cell r="B29">
            <v>166.45000000001164</v>
          </cell>
          <cell r="C29" t="str">
            <v>M1.7d.#3</v>
          </cell>
          <cell r="D29">
            <v>12.88420252030784</v>
          </cell>
          <cell r="E29">
            <v>95.360000000000014</v>
          </cell>
          <cell r="F29">
            <v>1.2286375523365558</v>
          </cell>
          <cell r="G29">
            <v>1.4919170278372462</v>
          </cell>
          <cell r="H29">
            <v>5.76</v>
          </cell>
          <cell r="I29">
            <v>259.0133728884108</v>
          </cell>
          <cell r="K29">
            <v>1.2286375523365558</v>
          </cell>
          <cell r="L29">
            <v>26.477269908694602</v>
          </cell>
          <cell r="M29">
            <v>9.4863766047172237E-3</v>
          </cell>
          <cell r="N29">
            <v>0.20443242463243619</v>
          </cell>
        </row>
      </sheetData>
      <sheetData sheetId="5">
        <row r="17">
          <cell r="B17" t="str">
            <v>Eerste wasfles</v>
          </cell>
          <cell r="M17" t="str">
            <v>N-NH3 vervluchtigd als percentage van N-MIN toegediend met mest</v>
          </cell>
        </row>
        <row r="18">
          <cell r="B18" t="str">
            <v>Uren na mesttoediening</v>
          </cell>
          <cell r="C18" t="str">
            <v>Monstercode</v>
          </cell>
          <cell r="D18" t="str">
            <v>[N-NH4] (mg/l = ug/ml)</v>
          </cell>
          <cell r="E18" t="str">
            <v>Volume (ml)</v>
          </cell>
          <cell r="F18" t="str">
            <v>mg N-NH4 in buis</v>
          </cell>
          <cell r="G18" t="str">
            <v>mg NH3 geabsorbeerd</v>
          </cell>
          <cell r="H18" t="str">
            <v>m3 lucht bemonsterd</v>
          </cell>
          <cell r="I18" t="str">
            <v>[NH3] in ug/m3</v>
          </cell>
          <cell r="K18" t="str">
            <v>N-NH3 in periode vervluchtigd (mg N)</v>
          </cell>
          <cell r="L18" t="str">
            <v>N-NH3 cumulatief vervluchtigd (mg N)</v>
          </cell>
          <cell r="M18" t="str">
            <v>in deze periode</v>
          </cell>
          <cell r="N18" t="str">
            <v>cumulatief</v>
          </cell>
        </row>
        <row r="19">
          <cell r="B19">
            <v>0.99999999994179234</v>
          </cell>
          <cell r="C19" t="str">
            <v>M1.1u.#4</v>
          </cell>
          <cell r="D19">
            <v>11.130386633841658</v>
          </cell>
          <cell r="E19">
            <v>99.59</v>
          </cell>
          <cell r="F19">
            <v>1.1084752048642907</v>
          </cell>
          <cell r="G19">
            <v>1.3460056059066388</v>
          </cell>
          <cell r="H19">
            <v>0.23999999998603017</v>
          </cell>
          <cell r="I19">
            <v>5608.3566916041109</v>
          </cell>
          <cell r="K19">
            <v>1.1084752048642907</v>
          </cell>
          <cell r="L19">
            <v>1.1084752048642907</v>
          </cell>
          <cell r="M19">
            <v>8.7921190778918329E-3</v>
          </cell>
          <cell r="N19">
            <v>8.7921190778918329E-3</v>
          </cell>
        </row>
        <row r="20">
          <cell r="B20">
            <v>3</v>
          </cell>
          <cell r="C20" t="str">
            <v>M1.3u.#4</v>
          </cell>
          <cell r="D20">
            <v>26.414514494812273</v>
          </cell>
          <cell r="E20">
            <v>98.69</v>
          </cell>
          <cell r="F20">
            <v>2.6068484354930233</v>
          </cell>
          <cell r="G20">
            <v>3.1654588145272422</v>
          </cell>
          <cell r="H20">
            <v>0.48000000001396986</v>
          </cell>
          <cell r="I20">
            <v>6594.7058634064897</v>
          </cell>
          <cell r="K20">
            <v>2.6068484354930233</v>
          </cell>
          <cell r="L20">
            <v>3.715323640357314</v>
          </cell>
          <cell r="M20">
            <v>2.0676801575978166E-2</v>
          </cell>
          <cell r="N20">
            <v>2.9468920653869999E-2</v>
          </cell>
        </row>
        <row r="21">
          <cell r="B21">
            <v>6</v>
          </cell>
          <cell r="C21" t="str">
            <v>M1.7u.#4</v>
          </cell>
          <cell r="D21">
            <v>37.263122428191771</v>
          </cell>
          <cell r="E21">
            <v>98.240000000000009</v>
          </cell>
          <cell r="F21">
            <v>3.6607291473455597</v>
          </cell>
          <cell r="G21">
            <v>4.4451711074910367</v>
          </cell>
          <cell r="H21">
            <v>0.72</v>
          </cell>
          <cell r="I21">
            <v>6173.8487604042175</v>
          </cell>
          <cell r="K21">
            <v>3.6607291473455597</v>
          </cell>
          <cell r="L21">
            <v>7.3760527877028732</v>
          </cell>
          <cell r="M21">
            <v>2.9035892218547223E-2</v>
          </cell>
          <cell r="N21">
            <v>5.8504812872417218E-2</v>
          </cell>
        </row>
        <row r="22">
          <cell r="B22">
            <v>22.450000000011642</v>
          </cell>
          <cell r="C22" t="str">
            <v>M1.1d.#4</v>
          </cell>
          <cell r="D22">
            <v>109.01429665282794</v>
          </cell>
          <cell r="E22">
            <v>98.07</v>
          </cell>
          <cell r="F22">
            <v>10.691032072742836</v>
          </cell>
          <cell r="G22">
            <v>12.981967516902015</v>
          </cell>
          <cell r="H22">
            <v>3.9480000000027942</v>
          </cell>
          <cell r="I22">
            <v>3288.2389860417497</v>
          </cell>
          <cell r="K22">
            <v>10.691032072742836</v>
          </cell>
          <cell r="L22">
            <v>18.067084860445711</v>
          </cell>
          <cell r="M22">
            <v>8.4798312706168E-2</v>
          </cell>
          <cell r="N22">
            <v>0.14330312557858524</v>
          </cell>
        </row>
        <row r="23">
          <cell r="B23">
            <v>30.016666666720994</v>
          </cell>
          <cell r="C23" t="str">
            <v>M1.1,5d.#4</v>
          </cell>
          <cell r="D23">
            <v>27.745480231746392</v>
          </cell>
          <cell r="E23">
            <v>98.193692307692316</v>
          </cell>
          <cell r="F23">
            <v>2.724431148805265</v>
          </cell>
          <cell r="G23">
            <v>3.3082378235492507</v>
          </cell>
          <cell r="H23">
            <v>1.8160000000102445</v>
          </cell>
          <cell r="I23">
            <v>1821.7168631776365</v>
          </cell>
          <cell r="K23">
            <v>2.724431148805265</v>
          </cell>
          <cell r="L23">
            <v>20.791516009250977</v>
          </cell>
          <cell r="M23">
            <v>2.1609435172477435E-2</v>
          </cell>
          <cell r="N23">
            <v>0.16491256075106267</v>
          </cell>
        </row>
        <row r="24">
          <cell r="B24">
            <v>46.450000000011642</v>
          </cell>
          <cell r="C24" t="str">
            <v>M1.2d.#4</v>
          </cell>
          <cell r="D24">
            <v>40.399478363200963</v>
          </cell>
          <cell r="E24">
            <v>97.45</v>
          </cell>
          <cell r="F24">
            <v>3.9369291664939339</v>
          </cell>
          <cell r="G24">
            <v>4.7805568450283484</v>
          </cell>
          <cell r="H24">
            <v>3.9439999999897553</v>
          </cell>
          <cell r="I24">
            <v>1212.1087335296058</v>
          </cell>
          <cell r="K24">
            <v>3.9369291664939339</v>
          </cell>
          <cell r="L24">
            <v>24.728445175744909</v>
          </cell>
          <cell r="M24">
            <v>3.1226634462498286E-2</v>
          </cell>
          <cell r="N24">
            <v>0.19613919521356096</v>
          </cell>
        </row>
        <row r="25">
          <cell r="B25">
            <v>70.450000000011642</v>
          </cell>
          <cell r="C25" t="str">
            <v>M1.3d.#4</v>
          </cell>
          <cell r="D25">
            <v>35.962678632552667</v>
          </cell>
          <cell r="E25">
            <v>97.08</v>
          </cell>
          <cell r="F25">
            <v>3.4912568416482128</v>
          </cell>
          <cell r="G25">
            <v>4.2393833077156868</v>
          </cell>
          <cell r="H25">
            <v>5.76</v>
          </cell>
          <cell r="I25">
            <v>736.00404647841788</v>
          </cell>
          <cell r="K25">
            <v>3.4912568416482128</v>
          </cell>
          <cell r="L25">
            <v>28.219702017393121</v>
          </cell>
          <cell r="M25">
            <v>2.7691684711191766E-2</v>
          </cell>
          <cell r="N25">
            <v>0.2238308799247527</v>
          </cell>
        </row>
        <row r="26">
          <cell r="B26">
            <v>94.616666666697711</v>
          </cell>
          <cell r="C26" t="str">
            <v>M1.4d.#4</v>
          </cell>
          <cell r="D26">
            <v>22.730556446675475</v>
          </cell>
          <cell r="E26">
            <v>97.039999999999992</v>
          </cell>
          <cell r="F26">
            <v>2.2057731975853883</v>
          </cell>
          <cell r="G26">
            <v>2.6784388827822569</v>
          </cell>
          <cell r="H26">
            <v>5.8000000000046565</v>
          </cell>
          <cell r="I26">
            <v>461.79980737588039</v>
          </cell>
          <cell r="K26">
            <v>2.2057731975853883</v>
          </cell>
          <cell r="L26">
            <v>30.425475214978508</v>
          </cell>
          <cell r="M26">
            <v>1.7495583597079447E-2</v>
          </cell>
          <cell r="N26">
            <v>0.24132646352183215</v>
          </cell>
        </row>
        <row r="27">
          <cell r="B27">
            <v>118.53333333326736</v>
          </cell>
          <cell r="C27" t="str">
            <v>M1.5d.#4</v>
          </cell>
          <cell r="D27">
            <v>20.964142545635681</v>
          </cell>
          <cell r="E27">
            <v>97.699999999999989</v>
          </cell>
          <cell r="F27">
            <v>2.0481967267086056</v>
          </cell>
          <cell r="G27">
            <v>2.4870960252890209</v>
          </cell>
          <cell r="H27">
            <v>5.7399999999767166</v>
          </cell>
          <cell r="I27">
            <v>433.29199047022809</v>
          </cell>
          <cell r="K27">
            <v>2.0481967267086056</v>
          </cell>
          <cell r="L27">
            <v>32.473671941687115</v>
          </cell>
          <cell r="M27">
            <v>1.6245730564965623E-2</v>
          </cell>
          <cell r="N27">
            <v>0.25757219408679777</v>
          </cell>
        </row>
        <row r="28">
          <cell r="B28">
            <v>142.45000000001164</v>
          </cell>
          <cell r="C28" t="str">
            <v>M1.6d.#4</v>
          </cell>
          <cell r="D28">
            <v>18.508359586739342</v>
          </cell>
          <cell r="E28">
            <v>99.649999999999991</v>
          </cell>
          <cell r="F28">
            <v>1.8443580328185754</v>
          </cell>
          <cell r="G28">
            <v>2.2395776112796986</v>
          </cell>
          <cell r="H28">
            <v>5.7400000000186262</v>
          </cell>
          <cell r="I28">
            <v>390.17031555268835</v>
          </cell>
          <cell r="K28">
            <v>1.8443580328185754</v>
          </cell>
          <cell r="L28">
            <v>34.318029974505691</v>
          </cell>
          <cell r="M28">
            <v>1.4628938361135945E-2</v>
          </cell>
          <cell r="N28">
            <v>0.27220113244793376</v>
          </cell>
        </row>
        <row r="29">
          <cell r="B29">
            <v>166.45000000001164</v>
          </cell>
          <cell r="C29" t="str">
            <v>M1.7d.#4</v>
          </cell>
          <cell r="D29">
            <v>15.133865346880439</v>
          </cell>
          <cell r="E29">
            <v>91.179999999999993</v>
          </cell>
          <cell r="F29">
            <v>1.3799058423285582</v>
          </cell>
          <cell r="G29">
            <v>1.6755999513989634</v>
          </cell>
          <cell r="H29">
            <v>5.76</v>
          </cell>
          <cell r="I29">
            <v>290.90276934009785</v>
          </cell>
          <cell r="K29">
            <v>1.3799058423285582</v>
          </cell>
          <cell r="L29">
            <v>35.697935816834253</v>
          </cell>
          <cell r="M29">
            <v>1.0945031903998844E-2</v>
          </cell>
          <cell r="N29">
            <v>0.28314616435193263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A2" t="str">
            <v>M1.1u.#1</v>
          </cell>
          <cell r="B2">
            <v>100.16000000000001</v>
          </cell>
          <cell r="C2">
            <v>4.9441543974124063</v>
          </cell>
        </row>
        <row r="3">
          <cell r="A3" t="str">
            <v>M1.1u.#2</v>
          </cell>
          <cell r="B3">
            <v>100.75</v>
          </cell>
          <cell r="C3">
            <v>5.4926043523029611</v>
          </cell>
        </row>
        <row r="4">
          <cell r="A4" t="str">
            <v>M1.1u.#3</v>
          </cell>
          <cell r="B4">
            <v>99.800000000000011</v>
          </cell>
          <cell r="C4">
            <v>5.0732014456219492</v>
          </cell>
        </row>
        <row r="5">
          <cell r="A5" t="str">
            <v>M1.1u.#4</v>
          </cell>
          <cell r="B5">
            <v>99.59</v>
          </cell>
          <cell r="C5">
            <v>11.130386633841658</v>
          </cell>
        </row>
        <row r="6">
          <cell r="A6" t="str">
            <v>M2.1u.#1</v>
          </cell>
          <cell r="B6">
            <v>98.84</v>
          </cell>
          <cell r="C6">
            <v>3.3794589378717084</v>
          </cell>
        </row>
        <row r="7">
          <cell r="A7" t="str">
            <v>M2.1u.#2</v>
          </cell>
          <cell r="B7">
            <v>99.48</v>
          </cell>
          <cell r="C7">
            <v>4.226330191746829</v>
          </cell>
        </row>
        <row r="8">
          <cell r="A8" t="str">
            <v>M2.1u.#3</v>
          </cell>
          <cell r="B8">
            <v>99.07</v>
          </cell>
          <cell r="C8">
            <v>3.9682360953277445</v>
          </cell>
        </row>
        <row r="9">
          <cell r="A9" t="str">
            <v>M2.1u.#4</v>
          </cell>
          <cell r="B9">
            <v>99</v>
          </cell>
          <cell r="C9">
            <v>3.8230581660920091</v>
          </cell>
        </row>
        <row r="10">
          <cell r="A10" t="str">
            <v>M3.1u.#1</v>
          </cell>
          <cell r="B10">
            <v>100.2</v>
          </cell>
          <cell r="C10">
            <v>5.3958190661458048</v>
          </cell>
        </row>
        <row r="11">
          <cell r="A11" t="str">
            <v>M3.1u.#2</v>
          </cell>
          <cell r="B11">
            <v>100.03</v>
          </cell>
          <cell r="C11">
            <v>5.363557304093419</v>
          </cell>
        </row>
        <row r="12">
          <cell r="A12" t="str">
            <v>M3.1u.#3</v>
          </cell>
          <cell r="B12">
            <v>99.63000000000001</v>
          </cell>
          <cell r="C12">
            <v>5.4522771497374789</v>
          </cell>
        </row>
        <row r="13">
          <cell r="A13" t="str">
            <v>M3.1u.#4</v>
          </cell>
          <cell r="B13">
            <v>99.98</v>
          </cell>
          <cell r="C13">
            <v>2.6213075296406485</v>
          </cell>
        </row>
        <row r="14">
          <cell r="A14" t="str">
            <v>BM.1u</v>
          </cell>
          <cell r="B14">
            <v>100.13</v>
          </cell>
          <cell r="C14">
            <v>8.0693768015287798E-2</v>
          </cell>
        </row>
        <row r="15">
          <cell r="A15" t="str">
            <v>M1.3u.#1</v>
          </cell>
          <cell r="B15">
            <v>98.99</v>
          </cell>
          <cell r="C15">
            <v>15.001916168780891</v>
          </cell>
        </row>
        <row r="16">
          <cell r="A16" t="str">
            <v>M1.3u.#2</v>
          </cell>
          <cell r="B16">
            <v>98.34</v>
          </cell>
          <cell r="C16">
            <v>16.85696748679306</v>
          </cell>
        </row>
        <row r="17">
          <cell r="A17" t="str">
            <v>M1.3u.#3</v>
          </cell>
          <cell r="B17">
            <v>98.5</v>
          </cell>
          <cell r="C17">
            <v>13.993736104643846</v>
          </cell>
        </row>
        <row r="18">
          <cell r="A18" t="str">
            <v>M1.3u.#4</v>
          </cell>
          <cell r="B18">
            <v>98.69</v>
          </cell>
          <cell r="C18">
            <v>26.414514494812273</v>
          </cell>
        </row>
        <row r="19">
          <cell r="A19" t="str">
            <v>M2.3u.#1</v>
          </cell>
          <cell r="B19">
            <v>98.800000000000011</v>
          </cell>
          <cell r="C19">
            <v>12.259666394328121</v>
          </cell>
        </row>
        <row r="20">
          <cell r="A20" t="str">
            <v>M2.3u.#2</v>
          </cell>
          <cell r="B20">
            <v>98.03</v>
          </cell>
          <cell r="C20">
            <v>14.155044914905769</v>
          </cell>
        </row>
        <row r="21">
          <cell r="A21" t="str">
            <v>M2.3u.#3</v>
          </cell>
          <cell r="B21">
            <v>98.31</v>
          </cell>
          <cell r="C21">
            <v>15.606824207263122</v>
          </cell>
        </row>
        <row r="22">
          <cell r="A22" t="str">
            <v>M2.3u.#4</v>
          </cell>
          <cell r="B22">
            <v>98.69</v>
          </cell>
          <cell r="C22">
            <v>11.816067166107819</v>
          </cell>
        </row>
        <row r="23">
          <cell r="A23" t="str">
            <v>M3.3u.#1</v>
          </cell>
          <cell r="B23">
            <v>99.06</v>
          </cell>
          <cell r="C23">
            <v>16.85696748679306</v>
          </cell>
        </row>
        <row r="24">
          <cell r="A24" t="str">
            <v>M3.3u.#2</v>
          </cell>
          <cell r="B24">
            <v>98.97</v>
          </cell>
          <cell r="C24">
            <v>15.445515397001193</v>
          </cell>
        </row>
        <row r="25">
          <cell r="A25" t="str">
            <v>M3.3u.#3</v>
          </cell>
          <cell r="B25">
            <v>99.1</v>
          </cell>
          <cell r="C25">
            <v>16.534349866269206</v>
          </cell>
        </row>
        <row r="26">
          <cell r="A26" t="str">
            <v>M3.3u.#4</v>
          </cell>
          <cell r="B26">
            <v>98.960000000000008</v>
          </cell>
          <cell r="C26">
            <v>12.259666394328121</v>
          </cell>
        </row>
        <row r="27">
          <cell r="A27" t="str">
            <v>BM.3u</v>
          </cell>
          <cell r="B27">
            <v>98.800000000000011</v>
          </cell>
          <cell r="C27">
            <v>8.0693768015287798E-2</v>
          </cell>
        </row>
        <row r="28">
          <cell r="A28" t="str">
            <v>M1.7u.#1</v>
          </cell>
          <cell r="B28">
            <v>98.72999999999999</v>
          </cell>
          <cell r="C28">
            <v>22.584020694356354</v>
          </cell>
        </row>
        <row r="29">
          <cell r="A29" t="str">
            <v>M1.7u.#2</v>
          </cell>
          <cell r="B29">
            <v>98.66</v>
          </cell>
          <cell r="C29">
            <v>25.971505709856832</v>
          </cell>
        </row>
        <row r="30">
          <cell r="A30" t="str">
            <v>M1.7u.#3</v>
          </cell>
          <cell r="B30">
            <v>98.15</v>
          </cell>
          <cell r="C30">
            <v>21.454859022522857</v>
          </cell>
        </row>
        <row r="31">
          <cell r="A31" t="str">
            <v>M1.7u.#4</v>
          </cell>
          <cell r="B31">
            <v>98.240000000000009</v>
          </cell>
          <cell r="C31">
            <v>37.263122428191771</v>
          </cell>
        </row>
        <row r="32">
          <cell r="A32" t="str">
            <v>M2.7u.#1</v>
          </cell>
          <cell r="B32">
            <v>98.34</v>
          </cell>
          <cell r="C32">
            <v>20.348696691734194</v>
          </cell>
        </row>
        <row r="33">
          <cell r="A33" t="str">
            <v>M2.7u.#2</v>
          </cell>
          <cell r="B33">
            <v>98.12</v>
          </cell>
          <cell r="C33">
            <v>20.267909878465783</v>
          </cell>
        </row>
        <row r="34">
          <cell r="A34" t="str">
            <v>M2.7u.#3</v>
          </cell>
          <cell r="B34">
            <v>97.89</v>
          </cell>
          <cell r="C34">
            <v>24.307250541886312</v>
          </cell>
        </row>
        <row r="35">
          <cell r="A35" t="str">
            <v>M2.7u.#4</v>
          </cell>
          <cell r="B35">
            <v>97.87</v>
          </cell>
          <cell r="C35">
            <v>21.1565648244183</v>
          </cell>
        </row>
        <row r="36">
          <cell r="A36" t="str">
            <v>M3.7u.#1</v>
          </cell>
          <cell r="B36">
            <v>98.52000000000001</v>
          </cell>
          <cell r="C36">
            <v>26.730854939938627</v>
          </cell>
        </row>
        <row r="37">
          <cell r="A37" t="str">
            <v>M3.7u.#2</v>
          </cell>
          <cell r="B37">
            <v>98.710000000000008</v>
          </cell>
          <cell r="C37">
            <v>28.508164831843658</v>
          </cell>
        </row>
        <row r="38">
          <cell r="A38" t="str">
            <v>M3.7u.#3</v>
          </cell>
          <cell r="B38">
            <v>98.7</v>
          </cell>
          <cell r="C38">
            <v>27.942657138964787</v>
          </cell>
        </row>
        <row r="39">
          <cell r="A39" t="str">
            <v>M3.7u.#4</v>
          </cell>
          <cell r="B39">
            <v>98.990000000000009</v>
          </cell>
          <cell r="C39">
            <v>26.084560433791346</v>
          </cell>
        </row>
        <row r="40">
          <cell r="A40" t="str">
            <v>BM.7u</v>
          </cell>
          <cell r="B40">
            <v>98.87</v>
          </cell>
          <cell r="C40">
            <v>7.9828788077884183E-2</v>
          </cell>
        </row>
        <row r="41">
          <cell r="A41" t="str">
            <v>M1.1d.#1</v>
          </cell>
          <cell r="B41">
            <v>99.039999999999992</v>
          </cell>
          <cell r="C41">
            <v>67.680189015117506</v>
          </cell>
        </row>
        <row r="42">
          <cell r="A42" t="str">
            <v>M1.1d.#2</v>
          </cell>
          <cell r="B42">
            <v>99.58</v>
          </cell>
          <cell r="C42">
            <v>82.221815403431421</v>
          </cell>
        </row>
        <row r="43">
          <cell r="A43" t="str">
            <v>M1.1d.#3</v>
          </cell>
          <cell r="B43">
            <v>95.56</v>
          </cell>
          <cell r="C43">
            <v>81.737094523820957</v>
          </cell>
        </row>
        <row r="44">
          <cell r="A44" t="str">
            <v>M1.1d.#4</v>
          </cell>
          <cell r="B44">
            <v>98.07</v>
          </cell>
          <cell r="C44">
            <v>109.01429665282794</v>
          </cell>
        </row>
        <row r="45">
          <cell r="A45" t="str">
            <v>M2.1d.#1</v>
          </cell>
          <cell r="B45">
            <v>98.53</v>
          </cell>
          <cell r="C45">
            <v>70.265367039706646</v>
          </cell>
        </row>
        <row r="46">
          <cell r="A46" t="str">
            <v>M2.1d.#2</v>
          </cell>
          <cell r="B46">
            <v>96.27</v>
          </cell>
          <cell r="C46">
            <v>61.217243953644669</v>
          </cell>
        </row>
        <row r="47">
          <cell r="A47" t="str">
            <v>M2.1d.#3</v>
          </cell>
          <cell r="B47">
            <v>97.88</v>
          </cell>
          <cell r="C47">
            <v>63.640848351696988</v>
          </cell>
        </row>
        <row r="48">
          <cell r="A48" t="str">
            <v>M2.1d.#4</v>
          </cell>
          <cell r="B48">
            <v>98.800000000000011</v>
          </cell>
          <cell r="C48">
            <v>57.339476916760958</v>
          </cell>
        </row>
        <row r="49">
          <cell r="A49" t="str">
            <v>M3.1d.#1</v>
          </cell>
          <cell r="B49">
            <v>98.47</v>
          </cell>
          <cell r="C49">
            <v>106.18675818843354</v>
          </cell>
        </row>
        <row r="50">
          <cell r="A50" t="str">
            <v>M3.1d.#2</v>
          </cell>
          <cell r="B50">
            <v>97.359999999999985</v>
          </cell>
          <cell r="C50">
            <v>142.94475822556035</v>
          </cell>
        </row>
        <row r="51">
          <cell r="A51" t="str">
            <v>M3.1d.#3</v>
          </cell>
          <cell r="B51">
            <v>99.16</v>
          </cell>
          <cell r="C51">
            <v>83.029683536115527</v>
          </cell>
        </row>
        <row r="52">
          <cell r="A52" t="str">
            <v>M3.1d.#4</v>
          </cell>
          <cell r="B52">
            <v>98.679999999999993</v>
          </cell>
          <cell r="C52">
            <v>105.7828241220915</v>
          </cell>
        </row>
        <row r="53">
          <cell r="A53" t="str">
            <v>BM.1d</v>
          </cell>
          <cell r="B53">
            <v>93.81</v>
          </cell>
          <cell r="C53">
            <v>9.5986150731566286E-2</v>
          </cell>
        </row>
        <row r="54">
          <cell r="A54" t="str">
            <v>M1.1,5d.#1</v>
          </cell>
          <cell r="B54">
            <v>99.353692307692313</v>
          </cell>
          <cell r="C54">
            <v>17.243194506853019</v>
          </cell>
        </row>
        <row r="55">
          <cell r="A55" t="str">
            <v>M1.1,5d.#2</v>
          </cell>
          <cell r="B55">
            <v>98.893692307692305</v>
          </cell>
          <cell r="C55">
            <v>20.878601103931494</v>
          </cell>
        </row>
        <row r="56">
          <cell r="A56" t="str">
            <v>M1.1,5d.#3</v>
          </cell>
          <cell r="B56">
            <v>97.783692307692306</v>
          </cell>
          <cell r="C56">
            <v>20.959387917199908</v>
          </cell>
        </row>
        <row r="57">
          <cell r="A57" t="str">
            <v>M1.1,5d.#4</v>
          </cell>
          <cell r="B57">
            <v>98.193692307692316</v>
          </cell>
          <cell r="C57">
            <v>27.745480231746392</v>
          </cell>
        </row>
        <row r="58">
          <cell r="A58" t="str">
            <v>M2.1,5d.#1</v>
          </cell>
          <cell r="B58">
            <v>98.683692307692311</v>
          </cell>
          <cell r="C58">
            <v>17.970275826268715</v>
          </cell>
        </row>
        <row r="59">
          <cell r="A59" t="str">
            <v>M2.1,5d.#2</v>
          </cell>
          <cell r="B59">
            <v>97.613692307692318</v>
          </cell>
          <cell r="C59">
            <v>14.698409888898087</v>
          </cell>
        </row>
        <row r="60">
          <cell r="A60" t="str">
            <v>M2.1,5d.#3</v>
          </cell>
          <cell r="B60">
            <v>96.993692307692314</v>
          </cell>
          <cell r="C60">
            <v>16.475719780803118</v>
          </cell>
        </row>
        <row r="61">
          <cell r="A61" t="str">
            <v>M2.1,5d.#4</v>
          </cell>
          <cell r="B61">
            <v>98.373692307692309</v>
          </cell>
          <cell r="C61">
            <v>16.112179121095274</v>
          </cell>
        </row>
        <row r="62">
          <cell r="A62" t="str">
            <v>M3.1,5d.#1</v>
          </cell>
          <cell r="B62">
            <v>99.273692307692315</v>
          </cell>
          <cell r="C62">
            <v>37.909362121133874</v>
          </cell>
        </row>
        <row r="63">
          <cell r="A63" t="str">
            <v>M3.1,5d.#2</v>
          </cell>
          <cell r="B63">
            <v>98.723692307692318</v>
          </cell>
          <cell r="C63">
            <v>40.011997020373123</v>
          </cell>
        </row>
        <row r="64">
          <cell r="A64" t="str">
            <v>M3.1,5d.#3</v>
          </cell>
          <cell r="B64">
            <v>98.753692307692305</v>
          </cell>
          <cell r="C64">
            <v>24.357525971053569</v>
          </cell>
        </row>
        <row r="65">
          <cell r="A65" t="str">
            <v>M3.1,5d.#4</v>
          </cell>
          <cell r="B65">
            <v>98.753692307692305</v>
          </cell>
          <cell r="C65">
            <v>26.82407844900732</v>
          </cell>
        </row>
        <row r="66">
          <cell r="A66" t="str">
            <v>BM.1,5d</v>
          </cell>
          <cell r="B66">
            <v>98.843692307692308</v>
          </cell>
          <cell r="C66">
            <v>8.3967269789028492E-2</v>
          </cell>
        </row>
        <row r="67">
          <cell r="A67" t="str">
            <v>M1.2d.#1</v>
          </cell>
          <cell r="B67">
            <v>98.740000000000009</v>
          </cell>
          <cell r="C67">
            <v>31.352830539676475</v>
          </cell>
        </row>
        <row r="68">
          <cell r="A68" t="str">
            <v>M1.2d.#2</v>
          </cell>
          <cell r="B68">
            <v>98.36</v>
          </cell>
          <cell r="C68">
            <v>31.514571685771806</v>
          </cell>
        </row>
        <row r="69">
          <cell r="A69" t="str">
            <v>M1.2d.#3</v>
          </cell>
          <cell r="B69">
            <v>95.31</v>
          </cell>
          <cell r="C69">
            <v>32.929806714105922</v>
          </cell>
        </row>
        <row r="70">
          <cell r="A70" t="str">
            <v>M1.2d.#4</v>
          </cell>
          <cell r="B70">
            <v>97.45</v>
          </cell>
          <cell r="C70">
            <v>40.399478363200963</v>
          </cell>
        </row>
        <row r="71">
          <cell r="A71" t="str">
            <v>M2.2d.#1</v>
          </cell>
          <cell r="B71">
            <v>98.06</v>
          </cell>
          <cell r="C71">
            <v>23.006412791901553</v>
          </cell>
        </row>
        <row r="72">
          <cell r="A72" t="str">
            <v>M2.2d.#2</v>
          </cell>
          <cell r="B72">
            <v>94.97</v>
          </cell>
          <cell r="C72">
            <v>23.083298505301254</v>
          </cell>
        </row>
        <row r="73">
          <cell r="A73" t="str">
            <v>M2.2d.#3</v>
          </cell>
          <cell r="B73">
            <v>95.26</v>
          </cell>
          <cell r="C73">
            <v>25.48318300106239</v>
          </cell>
        </row>
        <row r="74">
          <cell r="A74" t="str">
            <v>M2.2d.#4</v>
          </cell>
          <cell r="B74">
            <v>96.92</v>
          </cell>
          <cell r="C74">
            <v>23.003302355442553</v>
          </cell>
        </row>
        <row r="75">
          <cell r="A75" t="str">
            <v>M3.2d.#1</v>
          </cell>
          <cell r="B75">
            <v>100.2</v>
          </cell>
          <cell r="C75">
            <v>57.846034889973353</v>
          </cell>
        </row>
        <row r="76">
          <cell r="A76" t="str">
            <v>M3.2d.#2</v>
          </cell>
          <cell r="B76">
            <v>97.71</v>
          </cell>
          <cell r="C76">
            <v>64.40571917838713</v>
          </cell>
        </row>
        <row r="77">
          <cell r="A77" t="str">
            <v>M3.2d.#3</v>
          </cell>
          <cell r="B77">
            <v>98.53</v>
          </cell>
          <cell r="C77">
            <v>30.122959692867248</v>
          </cell>
        </row>
        <row r="78">
          <cell r="A78" t="str">
            <v>M3.2d.#4</v>
          </cell>
          <cell r="B78">
            <v>96.31</v>
          </cell>
          <cell r="C78">
            <v>51.126358301842188</v>
          </cell>
        </row>
        <row r="79">
          <cell r="A79" t="str">
            <v>BM.2d</v>
          </cell>
          <cell r="B79">
            <v>97.88</v>
          </cell>
          <cell r="C79">
            <v>0.10843572941575431</v>
          </cell>
        </row>
        <row r="80">
          <cell r="A80" t="str">
            <v>M1.3d.#1</v>
          </cell>
          <cell r="B80">
            <v>98.78</v>
          </cell>
          <cell r="C80">
            <v>30.282951992584657</v>
          </cell>
        </row>
        <row r="81">
          <cell r="A81" t="str">
            <v>M1.3d.#2</v>
          </cell>
          <cell r="B81">
            <v>99.509999999999991</v>
          </cell>
          <cell r="C81">
            <v>28.443040545834457</v>
          </cell>
        </row>
        <row r="82">
          <cell r="A82" t="str">
            <v>M1.3d.#3</v>
          </cell>
          <cell r="B82">
            <v>93.59</v>
          </cell>
          <cell r="C82">
            <v>31.802878839900043</v>
          </cell>
        </row>
        <row r="83">
          <cell r="A83" t="str">
            <v>M1.3d.#4</v>
          </cell>
          <cell r="B83">
            <v>97.08</v>
          </cell>
          <cell r="C83">
            <v>35.962678632552667</v>
          </cell>
        </row>
        <row r="84">
          <cell r="A84" t="str">
            <v>M2.3d.#1</v>
          </cell>
          <cell r="B84">
            <v>97.139999999999986</v>
          </cell>
          <cell r="C84">
            <v>24.923209952051462</v>
          </cell>
        </row>
        <row r="85">
          <cell r="A85" t="str">
            <v>M2.3d.#2</v>
          </cell>
          <cell r="B85">
            <v>93.84</v>
          </cell>
          <cell r="C85">
            <v>22.763313905866443</v>
          </cell>
        </row>
        <row r="86">
          <cell r="A86" t="str">
            <v>M2.3d.#3</v>
          </cell>
          <cell r="B86">
            <v>96.990000000000009</v>
          </cell>
          <cell r="C86">
            <v>22.283337006714213</v>
          </cell>
        </row>
        <row r="87">
          <cell r="A87" t="str">
            <v>M2.3d.#4</v>
          </cell>
          <cell r="B87">
            <v>98.17</v>
          </cell>
          <cell r="C87">
            <v>20.763410159398831</v>
          </cell>
        </row>
        <row r="88">
          <cell r="A88" t="str">
            <v>M3.3d.#1</v>
          </cell>
          <cell r="B88">
            <v>97.82</v>
          </cell>
          <cell r="C88">
            <v>50.006412203820325</v>
          </cell>
        </row>
        <row r="89">
          <cell r="A89" t="str">
            <v>M3.3d.#2</v>
          </cell>
          <cell r="B89">
            <v>97.17</v>
          </cell>
          <cell r="C89">
            <v>54.646188895625187</v>
          </cell>
        </row>
        <row r="90">
          <cell r="A90" t="str">
            <v>M3.3d.#3</v>
          </cell>
          <cell r="B90">
            <v>99.27</v>
          </cell>
          <cell r="C90">
            <v>30.647343938013858</v>
          </cell>
        </row>
        <row r="91">
          <cell r="A91" t="str">
            <v>M3.3d.#4</v>
          </cell>
          <cell r="B91">
            <v>97.24</v>
          </cell>
          <cell r="C91">
            <v>42.806758716536933</v>
          </cell>
        </row>
        <row r="92">
          <cell r="A92" t="str">
            <v>BM.3d</v>
          </cell>
          <cell r="B92">
            <v>98.740000000000009</v>
          </cell>
          <cell r="C92">
            <v>0.17744642570670441</v>
          </cell>
        </row>
        <row r="93">
          <cell r="A93" t="str">
            <v>M1.4d.#1</v>
          </cell>
          <cell r="B93">
            <v>100.09</v>
          </cell>
          <cell r="C93">
            <v>18.796270939814121</v>
          </cell>
        </row>
        <row r="94">
          <cell r="A94" t="str">
            <v>M1.4d.#2</v>
          </cell>
          <cell r="B94">
            <v>99.36</v>
          </cell>
          <cell r="C94">
            <v>18.153938612163287</v>
          </cell>
        </row>
        <row r="95">
          <cell r="A95" t="str">
            <v>M1.4d.#3</v>
          </cell>
          <cell r="B95">
            <v>96.39</v>
          </cell>
          <cell r="C95">
            <v>19.117437103639539</v>
          </cell>
        </row>
        <row r="96">
          <cell r="A96" t="str">
            <v>M1.4d.#4</v>
          </cell>
          <cell r="B96">
            <v>97.039999999999992</v>
          </cell>
          <cell r="C96">
            <v>22.730556446675475</v>
          </cell>
        </row>
        <row r="97">
          <cell r="A97" t="str">
            <v>M2.4d.#1</v>
          </cell>
          <cell r="B97">
            <v>98.47999999999999</v>
          </cell>
          <cell r="C97">
            <v>18.153938612163287</v>
          </cell>
        </row>
        <row r="98">
          <cell r="A98" t="str">
            <v>M2.4d.#2</v>
          </cell>
          <cell r="B98">
            <v>97.81</v>
          </cell>
          <cell r="C98">
            <v>14.701402351040059</v>
          </cell>
        </row>
        <row r="99">
          <cell r="A99" t="str">
            <v>M2.4d.#3</v>
          </cell>
          <cell r="B99">
            <v>95.800000000000011</v>
          </cell>
          <cell r="C99">
            <v>16.06635854729808</v>
          </cell>
        </row>
        <row r="100">
          <cell r="A100" t="str">
            <v>M2.4d.#4</v>
          </cell>
          <cell r="B100">
            <v>97.289999999999992</v>
          </cell>
          <cell r="C100">
            <v>15.102860055821829</v>
          </cell>
        </row>
        <row r="101">
          <cell r="A101" t="str">
            <v>M3.4d.#1</v>
          </cell>
          <cell r="B101">
            <v>99.96</v>
          </cell>
          <cell r="C101">
            <v>34.059714077548655</v>
          </cell>
        </row>
        <row r="102">
          <cell r="A102" t="str">
            <v>M3.4d.#2</v>
          </cell>
          <cell r="B102">
            <v>101.05</v>
          </cell>
          <cell r="C102">
            <v>33.899130995635943</v>
          </cell>
        </row>
        <row r="103">
          <cell r="A103" t="str">
            <v>M3.4d.#3</v>
          </cell>
          <cell r="B103">
            <v>99.7</v>
          </cell>
          <cell r="C103">
            <v>20.00064405415943</v>
          </cell>
        </row>
        <row r="104">
          <cell r="A104" t="str">
            <v>M3.4d.#4</v>
          </cell>
          <cell r="B104">
            <v>99.14</v>
          </cell>
          <cell r="C104">
            <v>25.299885757278805</v>
          </cell>
        </row>
        <row r="105">
          <cell r="A105" t="str">
            <v>BM.4d</v>
          </cell>
          <cell r="B105">
            <v>99.75</v>
          </cell>
          <cell r="C105">
            <v>0.13730065522852733</v>
          </cell>
        </row>
        <row r="106">
          <cell r="A106" t="str">
            <v>M1.5d.#1</v>
          </cell>
          <cell r="B106">
            <v>99.81</v>
          </cell>
          <cell r="C106">
            <v>17.431314743556101</v>
          </cell>
        </row>
        <row r="107">
          <cell r="A107" t="str">
            <v>M1.5d.#2</v>
          </cell>
          <cell r="B107">
            <v>97.85</v>
          </cell>
          <cell r="C107">
            <v>17.270731661643389</v>
          </cell>
        </row>
        <row r="108">
          <cell r="A108" t="str">
            <v>M1.5d.#3</v>
          </cell>
          <cell r="B108">
            <v>95.149999999999991</v>
          </cell>
          <cell r="C108">
            <v>18.796270939814121</v>
          </cell>
        </row>
        <row r="109">
          <cell r="A109" t="str">
            <v>M1.5d.#4</v>
          </cell>
          <cell r="B109">
            <v>97.699999999999989</v>
          </cell>
          <cell r="C109">
            <v>20.964142545635681</v>
          </cell>
        </row>
        <row r="110">
          <cell r="A110" t="str">
            <v>M2.5d.#1</v>
          </cell>
          <cell r="B110">
            <v>96.12</v>
          </cell>
          <cell r="C110">
            <v>17.591897825468806</v>
          </cell>
        </row>
        <row r="111">
          <cell r="A111" t="str">
            <v>M2.5d.#2</v>
          </cell>
          <cell r="B111">
            <v>92.25</v>
          </cell>
          <cell r="C111">
            <v>15.584609301559954</v>
          </cell>
        </row>
        <row r="112">
          <cell r="A112" t="str">
            <v>M2.5d.#3</v>
          </cell>
          <cell r="B112">
            <v>98.509999999999991</v>
          </cell>
          <cell r="C112">
            <v>14.781693891996412</v>
          </cell>
        </row>
        <row r="113">
          <cell r="A113" t="str">
            <v>M2.5d.#4</v>
          </cell>
          <cell r="B113">
            <v>98.2</v>
          </cell>
          <cell r="C113">
            <v>12.533530745218497</v>
          </cell>
        </row>
        <row r="114">
          <cell r="A114" t="str">
            <v>M3.5d.#1</v>
          </cell>
          <cell r="B114">
            <v>99.72</v>
          </cell>
          <cell r="C114">
            <v>27.154641555302206</v>
          </cell>
        </row>
        <row r="115">
          <cell r="A115" t="str">
            <v>M3.5d.#2</v>
          </cell>
          <cell r="B115">
            <v>96.210000000000008</v>
          </cell>
          <cell r="C115">
            <v>29.402804702080118</v>
          </cell>
        </row>
        <row r="116">
          <cell r="A116" t="str">
            <v>M3.5d.#3</v>
          </cell>
          <cell r="B116">
            <v>99.65</v>
          </cell>
          <cell r="C116">
            <v>21.373650606444706</v>
          </cell>
        </row>
        <row r="117">
          <cell r="A117" t="str">
            <v>M3.5d.#4</v>
          </cell>
          <cell r="B117">
            <v>98.399999999999991</v>
          </cell>
          <cell r="C117">
            <v>27.957556964865748</v>
          </cell>
        </row>
        <row r="118">
          <cell r="A118" t="str">
            <v>BM.5d</v>
          </cell>
          <cell r="B118">
            <v>95.41</v>
          </cell>
          <cell r="C118">
            <v>0.13730065522852733</v>
          </cell>
        </row>
        <row r="119">
          <cell r="A119" t="str">
            <v>M1.6d.#1</v>
          </cell>
          <cell r="B119">
            <v>98.800000000000011</v>
          </cell>
          <cell r="C119">
            <v>16.307233170167144</v>
          </cell>
        </row>
        <row r="120">
          <cell r="A120" t="str">
            <v>M1.6d.#2</v>
          </cell>
          <cell r="B120">
            <v>96.64</v>
          </cell>
          <cell r="C120">
            <v>16.467816252079853</v>
          </cell>
        </row>
        <row r="121">
          <cell r="A121" t="str">
            <v>M1.6d.#3</v>
          </cell>
          <cell r="B121">
            <v>98.38</v>
          </cell>
          <cell r="C121">
            <v>16.788982415905267</v>
          </cell>
        </row>
        <row r="122">
          <cell r="A122" t="str">
            <v>M1.6d.#4</v>
          </cell>
          <cell r="B122">
            <v>99.649999999999991</v>
          </cell>
          <cell r="C122">
            <v>18.508359586739342</v>
          </cell>
        </row>
        <row r="123">
          <cell r="A123" t="str">
            <v>M2.6d.#1</v>
          </cell>
          <cell r="B123">
            <v>98.77</v>
          </cell>
          <cell r="C123">
            <v>13.793677996989384</v>
          </cell>
        </row>
        <row r="124">
          <cell r="A124" t="str">
            <v>M2.6d.#2</v>
          </cell>
          <cell r="B124">
            <v>95</v>
          </cell>
          <cell r="C124">
            <v>11.584187720891293</v>
          </cell>
        </row>
        <row r="125">
          <cell r="A125" t="str">
            <v>M2.6d.#3</v>
          </cell>
          <cell r="B125">
            <v>98.41</v>
          </cell>
          <cell r="C125">
            <v>12.106430877059932</v>
          </cell>
        </row>
        <row r="126">
          <cell r="A126" t="str">
            <v>M2.6d.#4</v>
          </cell>
          <cell r="B126">
            <v>99.58</v>
          </cell>
          <cell r="C126">
            <v>9.3345248943186938</v>
          </cell>
        </row>
        <row r="127">
          <cell r="A127" t="str">
            <v>M3.6d.#1</v>
          </cell>
          <cell r="B127">
            <v>98.72</v>
          </cell>
          <cell r="C127">
            <v>25.125644233023504</v>
          </cell>
        </row>
        <row r="128">
          <cell r="A128" t="str">
            <v>M3.6d.#2</v>
          </cell>
          <cell r="B128">
            <v>95.02</v>
          </cell>
          <cell r="C128">
            <v>26.250475646309805</v>
          </cell>
        </row>
        <row r="129">
          <cell r="A129" t="str">
            <v>M3.6d.#3</v>
          </cell>
          <cell r="B129">
            <v>98.070000000000007</v>
          </cell>
          <cell r="C129">
            <v>16.660422264911851</v>
          </cell>
        </row>
        <row r="130">
          <cell r="A130" t="str">
            <v>M3.6d.#4</v>
          </cell>
          <cell r="B130">
            <v>96.89</v>
          </cell>
          <cell r="C130">
            <v>23.518742214043073</v>
          </cell>
        </row>
        <row r="131">
          <cell r="A131" t="str">
            <v>BM.6d</v>
          </cell>
          <cell r="B131">
            <v>93.95</v>
          </cell>
          <cell r="C131">
            <v>0.16358883874448324</v>
          </cell>
        </row>
        <row r="132">
          <cell r="A132" t="str">
            <v>M1.7d.#1</v>
          </cell>
          <cell r="B132">
            <v>99.82</v>
          </cell>
          <cell r="C132">
            <v>12.40213191461371</v>
          </cell>
        </row>
        <row r="133">
          <cell r="A133" t="str">
            <v>M1.7d.#2</v>
          </cell>
          <cell r="B133">
            <v>97.67</v>
          </cell>
          <cell r="C133">
            <v>12.241441712715666</v>
          </cell>
        </row>
        <row r="134">
          <cell r="A134" t="str">
            <v>M1.7d.#3</v>
          </cell>
          <cell r="B134">
            <v>95.360000000000014</v>
          </cell>
          <cell r="C134">
            <v>12.88420252030784</v>
          </cell>
        </row>
        <row r="135">
          <cell r="A135" t="str">
            <v>M1.7d.#4</v>
          </cell>
          <cell r="B135">
            <v>91.179999999999993</v>
          </cell>
          <cell r="C135">
            <v>15.133865346880439</v>
          </cell>
        </row>
        <row r="136">
          <cell r="A136" t="str">
            <v>M2.7d.#1</v>
          </cell>
          <cell r="B136">
            <v>97.3</v>
          </cell>
          <cell r="C136">
            <v>9.17383469242065</v>
          </cell>
        </row>
        <row r="137">
          <cell r="A137" t="str">
            <v>M2.7d.#2</v>
          </cell>
          <cell r="B137">
            <v>94.36</v>
          </cell>
          <cell r="C137">
            <v>7.0045169667970697</v>
          </cell>
        </row>
        <row r="138">
          <cell r="A138" t="str">
            <v>M2.7d.#3</v>
          </cell>
          <cell r="B138">
            <v>99.17</v>
          </cell>
          <cell r="C138">
            <v>8.1695209305578818</v>
          </cell>
        </row>
        <row r="139">
          <cell r="A139" t="str">
            <v>M2.7d.#4</v>
          </cell>
          <cell r="B139">
            <v>99.62</v>
          </cell>
          <cell r="C139">
            <v>6.2010659573068549</v>
          </cell>
        </row>
        <row r="140">
          <cell r="A140" t="str">
            <v>M3.7d.#1</v>
          </cell>
          <cell r="B140">
            <v>99.19</v>
          </cell>
          <cell r="C140">
            <v>17.945943880096191</v>
          </cell>
        </row>
        <row r="141">
          <cell r="A141" t="str">
            <v>M3.7d.#2</v>
          </cell>
          <cell r="B141">
            <v>96</v>
          </cell>
          <cell r="C141">
            <v>18.82973999053543</v>
          </cell>
        </row>
        <row r="142">
          <cell r="A142" t="str">
            <v>M3.7d.#3</v>
          </cell>
          <cell r="B142">
            <v>98.26</v>
          </cell>
          <cell r="C142">
            <v>11.759371107021536</v>
          </cell>
        </row>
        <row r="143">
          <cell r="A143" t="str">
            <v>M3.7d.#4</v>
          </cell>
          <cell r="B143">
            <v>97.3</v>
          </cell>
          <cell r="C143">
            <v>16.499732063013806</v>
          </cell>
        </row>
        <row r="144">
          <cell r="A144" t="str">
            <v>BM.7d</v>
          </cell>
          <cell r="B144">
            <v>94.64</v>
          </cell>
          <cell r="C144">
            <v>0.1555543286495811</v>
          </cell>
        </row>
      </sheetData>
      <sheetData sheetId="19">
        <row r="5">
          <cell r="E5">
            <v>3.48</v>
          </cell>
          <cell r="F5">
            <v>1.72</v>
          </cell>
          <cell r="G5">
            <v>67.599999999999994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93D8-33AD-48B4-8302-4D91F1AA538D}">
  <dimension ref="A1:AC29"/>
  <sheetViews>
    <sheetView topLeftCell="E1" workbookViewId="0">
      <selection activeCell="R21" sqref="R21"/>
    </sheetView>
  </sheetViews>
  <sheetFormatPr defaultRowHeight="14.5" x14ac:dyDescent="0.35"/>
  <cols>
    <col min="1" max="1" width="16.453125" bestFit="1" customWidth="1"/>
    <col min="2" max="2" width="15.7265625" bestFit="1" customWidth="1"/>
    <col min="3" max="3" width="12.81640625" bestFit="1" customWidth="1"/>
    <col min="4" max="4" width="15.7265625" bestFit="1" customWidth="1"/>
    <col min="5" max="5" width="12.81640625" bestFit="1" customWidth="1"/>
    <col min="6" max="6" width="15.7265625" bestFit="1" customWidth="1"/>
    <col min="7" max="7" width="12.81640625" bestFit="1" customWidth="1"/>
    <col min="8" max="8" width="15.7265625" bestFit="1" customWidth="1"/>
    <col min="9" max="9" width="12.81640625" bestFit="1" customWidth="1"/>
  </cols>
  <sheetData>
    <row r="1" spans="1:29" x14ac:dyDescent="0.35">
      <c r="A1" t="s">
        <v>68</v>
      </c>
      <c r="B1" t="s">
        <v>59</v>
      </c>
      <c r="C1" t="s">
        <v>61</v>
      </c>
      <c r="D1" t="s">
        <v>62</v>
      </c>
      <c r="E1" t="s">
        <v>66</v>
      </c>
      <c r="F1" t="s">
        <v>63</v>
      </c>
      <c r="G1" t="s">
        <v>67</v>
      </c>
      <c r="H1" t="s">
        <v>64</v>
      </c>
      <c r="I1" t="s">
        <v>65</v>
      </c>
      <c r="K1" t="s">
        <v>69</v>
      </c>
      <c r="L1" t="s">
        <v>70</v>
      </c>
      <c r="M1" t="s">
        <v>71</v>
      </c>
      <c r="N1" t="s">
        <v>72</v>
      </c>
    </row>
    <row r="2" spans="1:29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s="18">
        <f t="shared" ref="K2:K13" si="0">AVERAGE(B2,D2,F2,H2)</f>
        <v>0</v>
      </c>
      <c r="L2" s="18">
        <f t="shared" ref="L2:L13" si="1">STDEV(B2,D2,F2,H2)</f>
        <v>0</v>
      </c>
      <c r="M2" s="18">
        <f t="shared" ref="M2:M13" si="2">AVERAGE(C2,E2,G2,I2)</f>
        <v>0</v>
      </c>
      <c r="N2" s="18">
        <f t="shared" ref="N2:N13" si="3">STDEV(C2,E2,G2,I2)</f>
        <v>0</v>
      </c>
    </row>
    <row r="3" spans="1:29" x14ac:dyDescent="0.35">
      <c r="A3" s="17">
        <f>Sheet3!A4</f>
        <v>0.99999999994179234</v>
      </c>
      <c r="B3" s="18">
        <f t="shared" ref="B3:B13" si="4">B19* 17.031 / 14.0067</f>
        <v>3.1502976151642135</v>
      </c>
      <c r="C3" s="18">
        <f t="shared" ref="C3:C13" si="5">A19*100</f>
        <v>0.40493777552483123</v>
      </c>
      <c r="D3" s="18">
        <f t="shared" ref="D3:D13" si="6">F19* 17.031 / 14.0067</f>
        <v>3.520372465540516</v>
      </c>
      <c r="E3" s="18">
        <f t="shared" ref="E3:E13" si="7">E19*100</f>
        <v>0.45060573292824851</v>
      </c>
      <c r="F3" s="18">
        <f t="shared" ref="F3:F13" si="8">J19* 17.031 / 14.0067</f>
        <v>3.2209048312968536</v>
      </c>
      <c r="G3" s="18">
        <f t="shared" ref="G3:G13" si="9">I19*100</f>
        <v>0.39092120222449017</v>
      </c>
      <c r="H3" s="18">
        <f t="shared" ref="H3:H13" si="10">N19* 17.031 / 14.0067</f>
        <v>7.0516577690503688</v>
      </c>
      <c r="I3" s="18">
        <f t="shared" ref="I3:I13" si="11">M19*100</f>
        <v>0.87921190778918334</v>
      </c>
      <c r="K3" s="18">
        <f t="shared" si="0"/>
        <v>4.2358081702629882</v>
      </c>
      <c r="L3" s="18">
        <f t="shared" si="1"/>
        <v>1.8840752960235105</v>
      </c>
      <c r="M3" s="18">
        <f t="shared" si="2"/>
        <v>0.53141915461668832</v>
      </c>
      <c r="N3" s="18">
        <f t="shared" si="3"/>
        <v>0.23325795603985741</v>
      </c>
    </row>
    <row r="4" spans="1:29" x14ac:dyDescent="0.35">
      <c r="A4" s="17">
        <f>Sheet3!A5</f>
        <v>3</v>
      </c>
      <c r="B4" s="18">
        <f t="shared" si="4"/>
        <v>4.7236020981186995</v>
      </c>
      <c r="C4" s="18">
        <f t="shared" si="5"/>
        <v>1.6192769649629137</v>
      </c>
      <c r="D4" s="18">
        <f t="shared" si="6"/>
        <v>5.2728437418534924</v>
      </c>
      <c r="E4" s="18">
        <f t="shared" si="7"/>
        <v>1.8004479114925358</v>
      </c>
      <c r="F4" s="18">
        <f t="shared" si="8"/>
        <v>4.384349416050334</v>
      </c>
      <c r="G4" s="18">
        <f t="shared" si="9"/>
        <v>1.4551781328797133</v>
      </c>
      <c r="H4" s="18">
        <f t="shared" si="10"/>
        <v>8.2918422264243272</v>
      </c>
      <c r="I4" s="18">
        <f t="shared" si="11"/>
        <v>2.9468920653869999</v>
      </c>
      <c r="K4" s="18">
        <f t="shared" si="0"/>
        <v>5.668159370611713</v>
      </c>
      <c r="L4" s="18">
        <f t="shared" si="1"/>
        <v>1.7870219747460563</v>
      </c>
      <c r="M4" s="18">
        <f t="shared" si="2"/>
        <v>1.9554487686805406</v>
      </c>
      <c r="N4" s="18">
        <f t="shared" si="3"/>
        <v>0.67583707774692647</v>
      </c>
    </row>
    <row r="5" spans="1:29" x14ac:dyDescent="0.35">
      <c r="A5" s="17">
        <f>Sheet3!A6</f>
        <v>6</v>
      </c>
      <c r="B5" s="18">
        <f t="shared" si="4"/>
        <v>4.7281842215114729</v>
      </c>
      <c r="C5" s="18">
        <f t="shared" si="5"/>
        <v>3.4425527010321604</v>
      </c>
      <c r="D5" s="18">
        <f t="shared" si="6"/>
        <v>5.4335320005730976</v>
      </c>
      <c r="E5" s="18">
        <f t="shared" si="7"/>
        <v>3.8869152046122633</v>
      </c>
      <c r="F5" s="18">
        <f t="shared" si="8"/>
        <v>4.4653957877916364</v>
      </c>
      <c r="G5" s="18">
        <f t="shared" si="9"/>
        <v>3.0810733219379132</v>
      </c>
      <c r="H5" s="18">
        <f t="shared" si="10"/>
        <v>7.7626782621406694</v>
      </c>
      <c r="I5" s="18">
        <f t="shared" si="11"/>
        <v>5.8504812872417222</v>
      </c>
      <c r="K5" s="18">
        <f t="shared" si="0"/>
        <v>5.5974475680042186</v>
      </c>
      <c r="L5" s="18">
        <f t="shared" si="1"/>
        <v>1.5002502314297601</v>
      </c>
      <c r="M5" s="18">
        <f t="shared" si="2"/>
        <v>4.0652556287060149</v>
      </c>
      <c r="N5" s="18">
        <f t="shared" si="3"/>
        <v>1.2349372059406036</v>
      </c>
    </row>
    <row r="6" spans="1:29" x14ac:dyDescent="0.35">
      <c r="A6" s="17">
        <f>Sheet3!A7</f>
        <v>22.450000000011642</v>
      </c>
      <c r="B6" s="18">
        <f t="shared" si="4"/>
        <v>2.5922180854247467</v>
      </c>
      <c r="C6" s="18">
        <f t="shared" si="5"/>
        <v>8.92373374317493</v>
      </c>
      <c r="D6" s="18">
        <f t="shared" si="6"/>
        <v>3.1663471286560374</v>
      </c>
      <c r="E6" s="18">
        <f t="shared" si="7"/>
        <v>10.553946976055249</v>
      </c>
      <c r="F6" s="18">
        <f t="shared" si="8"/>
        <v>3.0206101592309276</v>
      </c>
      <c r="G6" s="18">
        <f t="shared" si="9"/>
        <v>9.1118314928946536</v>
      </c>
      <c r="H6" s="18">
        <f t="shared" si="10"/>
        <v>4.1344617091006519</v>
      </c>
      <c r="I6" s="18">
        <f t="shared" si="11"/>
        <v>14.330312557858523</v>
      </c>
      <c r="K6" s="18">
        <f t="shared" si="0"/>
        <v>3.2284092706030911</v>
      </c>
      <c r="L6" s="18">
        <f t="shared" si="1"/>
        <v>0.65133258927527926</v>
      </c>
      <c r="M6" s="18">
        <f t="shared" si="2"/>
        <v>10.729956192495838</v>
      </c>
      <c r="N6" s="18">
        <f t="shared" si="3"/>
        <v>2.5082737943168509</v>
      </c>
      <c r="P6" s="18">
        <f>SLOPE(C6:C7,$A$6:$A$7)*24+INTERCEPT(C6:C7,$A$6:$A$7)</f>
        <v>9.2106999695496512</v>
      </c>
      <c r="Q6" s="18"/>
      <c r="R6" s="18">
        <f t="shared" ref="R6" si="12">SLOPE(E6:E7,$A$6:$A$7)*24+INTERCEPT(E6:E7,$A$6:$A$7)</f>
        <v>10.898352751795887</v>
      </c>
      <c r="S6" s="18"/>
      <c r="T6" s="18">
        <f t="shared" ref="T6" si="13">SLOPE(G6:G7,$A$6:$A$7)*24+INTERCEPT(G6:G7,$A$6:$A$7)</f>
        <v>9.4359834890989998</v>
      </c>
      <c r="U6" s="18"/>
      <c r="V6" s="18">
        <f t="shared" ref="V6" si="14">SLOPE(I6:I7,$A$6:$A$7)*24+INTERCEPT(I6:I7,$A$6:$A$7)</f>
        <v>14.772972793764684</v>
      </c>
      <c r="W6" s="18"/>
      <c r="X6" s="18"/>
      <c r="Y6" s="18"/>
      <c r="Z6" s="18">
        <f t="shared" ref="Z6" si="15">SLOPE(M6:M7,$A$6:$A$7)*24+INTERCEPT(M6:M7,$A$6:$A$7)</f>
        <v>11.079502251052304</v>
      </c>
      <c r="AA6" s="18">
        <f t="shared" ref="AA6" si="16">SLOPE(N6:N7,$A$6:$A$7)*24+INTERCEPT(N6:N7,$A$6:$A$7)</f>
        <v>2.5735782973108847</v>
      </c>
      <c r="AB6" s="18"/>
      <c r="AC6" s="18"/>
    </row>
    <row r="7" spans="1:29" x14ac:dyDescent="0.35">
      <c r="A7" s="17">
        <f>Sheet3!A8</f>
        <v>30.016666666720994</v>
      </c>
      <c r="B7" s="18">
        <f t="shared" si="4"/>
        <v>1.440331239364496</v>
      </c>
      <c r="C7" s="18">
        <f t="shared" si="5"/>
        <v>10.324622633237702</v>
      </c>
      <c r="D7" s="18">
        <f t="shared" si="6"/>
        <v>1.7359236922006982</v>
      </c>
      <c r="E7" s="18">
        <f t="shared" si="7"/>
        <v>12.235239687757456</v>
      </c>
      <c r="F7" s="18">
        <f t="shared" si="8"/>
        <v>1.7230809038142849</v>
      </c>
      <c r="G7" s="18">
        <f t="shared" si="9"/>
        <v>10.694250915246363</v>
      </c>
      <c r="H7" s="18">
        <f t="shared" si="10"/>
        <v>2.2905326065418961</v>
      </c>
      <c r="I7" s="18">
        <f t="shared" si="11"/>
        <v>16.491256075106268</v>
      </c>
      <c r="K7" s="18">
        <f t="shared" si="0"/>
        <v>1.7974671104803437</v>
      </c>
      <c r="L7" s="18">
        <f t="shared" si="1"/>
        <v>0.35589348309094365</v>
      </c>
      <c r="M7" s="18">
        <f t="shared" si="2"/>
        <v>12.436342327836947</v>
      </c>
      <c r="N7" s="18">
        <f t="shared" si="3"/>
        <v>2.8270721207650391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x14ac:dyDescent="0.35">
      <c r="A8" s="17">
        <f>Sheet3!A9</f>
        <v>46.450000000011642</v>
      </c>
      <c r="B8" s="18">
        <f t="shared" si="4"/>
        <v>1.1984211292644371</v>
      </c>
      <c r="C8" s="18">
        <f t="shared" si="5"/>
        <v>12.85608706875896</v>
      </c>
      <c r="D8" s="18">
        <f t="shared" si="6"/>
        <v>1.1999675683919062</v>
      </c>
      <c r="E8" s="18">
        <f t="shared" si="7"/>
        <v>14.759320587220454</v>
      </c>
      <c r="F8" s="18">
        <f t="shared" si="8"/>
        <v>1.2149746889004676</v>
      </c>
      <c r="G8" s="18">
        <f t="shared" si="9"/>
        <v>13.117534430735905</v>
      </c>
      <c r="H8" s="18">
        <f t="shared" si="10"/>
        <v>1.5240428592075008</v>
      </c>
      <c r="I8" s="18">
        <f t="shared" si="11"/>
        <v>19.613919521356095</v>
      </c>
      <c r="K8" s="18">
        <f t="shared" si="0"/>
        <v>1.2843515614410779</v>
      </c>
      <c r="L8" s="18">
        <f t="shared" si="1"/>
        <v>0.15996850328054704</v>
      </c>
      <c r="M8" s="18">
        <f t="shared" si="2"/>
        <v>15.086715402017854</v>
      </c>
      <c r="N8" s="18">
        <f t="shared" si="3"/>
        <v>3.1334826717092072</v>
      </c>
      <c r="P8" s="18">
        <f>SLOPE(C8:C9,$A$8:$A$9)*48+INTERCEPT(C8:C9,$A$8:$A$9)</f>
        <v>13.01406253242372</v>
      </c>
      <c r="Q8" s="18"/>
      <c r="R8" s="18">
        <f t="shared" ref="R8" si="17">SLOPE(E8:E9,$A$8:$A$9)*48+INTERCEPT(E8:E9,$A$8:$A$9)</f>
        <v>14.908166373436771</v>
      </c>
      <c r="S8" s="18"/>
      <c r="T8" s="18">
        <f t="shared" ref="T8" si="18">SLOPE(G8:G9,$A$8:$A$9)*48+INTERCEPT(G8:G9,$A$8:$A$9)</f>
        <v>13.265954597531127</v>
      </c>
      <c r="U8" s="18"/>
      <c r="V8" s="18">
        <f t="shared" ref="V8" si="19">SLOPE(I8:I9,$A$8:$A$9)*48+INTERCEPT(I8:I9,$A$8:$A$9)</f>
        <v>19.792761651781198</v>
      </c>
      <c r="W8" s="18"/>
      <c r="X8" s="18"/>
      <c r="Y8" s="18"/>
      <c r="Z8" s="18">
        <f t="shared" ref="Z8" si="20">SLOPE(M8:M9,$A$8:$A$9)*48+INTERCEPT(M8:M9,$A$8:$A$9)</f>
        <v>15.245236288793205</v>
      </c>
      <c r="AA8" s="18">
        <f t="shared" ref="AA8" si="21">SLOPE(N8:N9,$A$8:$A$9)*48+INTERCEPT(N8:N9,$A$8:$A$9)</f>
        <v>3.1459678506244515</v>
      </c>
      <c r="AB8" s="18"/>
      <c r="AC8" s="18"/>
    </row>
    <row r="9" spans="1:29" x14ac:dyDescent="0.35">
      <c r="A9" s="17">
        <f>Sheet3!A10</f>
        <v>70.450000000011642</v>
      </c>
      <c r="B9" s="18">
        <f t="shared" si="4"/>
        <v>0.79290513815491925</v>
      </c>
      <c r="C9" s="18">
        <f t="shared" si="5"/>
        <v>15.302158764231692</v>
      </c>
      <c r="D9" s="18">
        <f t="shared" si="6"/>
        <v>0.75023401167269721</v>
      </c>
      <c r="E9" s="18">
        <f t="shared" si="7"/>
        <v>17.064029535103316</v>
      </c>
      <c r="F9" s="18">
        <f t="shared" si="8"/>
        <v>0.78895073342247901</v>
      </c>
      <c r="G9" s="18">
        <f t="shared" si="9"/>
        <v>15.415653142421137</v>
      </c>
      <c r="H9" s="18">
        <f t="shared" si="10"/>
        <v>0.92541343887269378</v>
      </c>
      <c r="I9" s="18">
        <f t="shared" si="11"/>
        <v>22.383087992475271</v>
      </c>
      <c r="K9" s="18">
        <f t="shared" si="0"/>
        <v>0.8143758305306974</v>
      </c>
      <c r="L9" s="18">
        <f t="shared" si="1"/>
        <v>7.6487361890229338E-2</v>
      </c>
      <c r="M9" s="18">
        <f t="shared" si="2"/>
        <v>17.541232358557853</v>
      </c>
      <c r="N9" s="18">
        <f t="shared" si="3"/>
        <v>3.326801571043474</v>
      </c>
      <c r="P9" s="18">
        <f>SLOPE(C8:C9,$A$8:$A$9)*70+INTERCEPT(C8:C9,$A$8:$A$9)</f>
        <v>15.256294919940391</v>
      </c>
      <c r="Q9" s="18"/>
      <c r="R9" s="18">
        <f t="shared" ref="R9" si="22">SLOPE(E8:E9,$A$8:$A$9)*70+INTERCEPT(E8:E9,$A$8:$A$9)</f>
        <v>17.020816242329396</v>
      </c>
      <c r="S9" s="18"/>
      <c r="T9" s="18">
        <f t="shared" ref="T9" si="23">SLOPE(G8:G9,$A$8:$A$9)*70+INTERCEPT(G8:G9,$A$8:$A$9)</f>
        <v>15.372563416575925</v>
      </c>
      <c r="U9" s="18"/>
      <c r="V9" s="18">
        <f t="shared" ref="V9" si="24">SLOPE(I8:I9,$A$8:$A$9)*70+INTERCEPT(I8:I9,$A$8:$A$9)</f>
        <v>22.33116608364044</v>
      </c>
      <c r="W9" s="18"/>
      <c r="X9" s="18"/>
      <c r="Y9" s="18"/>
      <c r="Z9" s="18">
        <f t="shared" ref="Z9" si="25">SLOPE(M8:M9,$A$8:$A$9)*70+INTERCEPT(M8:M9,$A$8:$A$9)</f>
        <v>17.495210165621536</v>
      </c>
      <c r="AA9" s="18">
        <f t="shared" ref="AA9" si="26">SLOPE(N8:N9,$A$8:$A$9)*70+INTERCEPT(N8:N9,$A$8:$A$9)</f>
        <v>3.3231768416808629</v>
      </c>
      <c r="AB9" s="18"/>
      <c r="AC9" s="18"/>
    </row>
    <row r="10" spans="1:29" x14ac:dyDescent="0.35">
      <c r="A10" s="17">
        <f>Sheet3!A11</f>
        <v>94.616666666697711</v>
      </c>
      <c r="B10" s="18">
        <f t="shared" si="4"/>
        <v>0.49523448425277378</v>
      </c>
      <c r="C10" s="18">
        <f t="shared" si="5"/>
        <v>16.840541289961909</v>
      </c>
      <c r="D10" s="18">
        <f t="shared" si="6"/>
        <v>0.47482211426972681</v>
      </c>
      <c r="E10" s="18">
        <f t="shared" si="7"/>
        <v>18.532806276443083</v>
      </c>
      <c r="F10" s="18">
        <f t="shared" si="8"/>
        <v>0.48507639625186677</v>
      </c>
      <c r="G10" s="18">
        <f t="shared" si="9"/>
        <v>16.838434700236245</v>
      </c>
      <c r="H10" s="18">
        <f t="shared" si="10"/>
        <v>0.5806432041498194</v>
      </c>
      <c r="I10" s="18">
        <f t="shared" si="11"/>
        <v>24.132646352183215</v>
      </c>
      <c r="K10" s="18">
        <f t="shared" si="0"/>
        <v>0.50894404973104668</v>
      </c>
      <c r="L10" s="18">
        <f t="shared" si="1"/>
        <v>4.8520415951084465E-2</v>
      </c>
      <c r="M10" s="18">
        <f t="shared" si="2"/>
        <v>19.086107154706113</v>
      </c>
      <c r="N10" s="18">
        <f t="shared" si="3"/>
        <v>3.4577592575272629</v>
      </c>
      <c r="P10" s="18">
        <f>SLOPE(C10:C11,$A$10:$A$11)*96+INTERCEPT(C10:C11,$A$10:$A$11)</f>
        <v>16.922828501170539</v>
      </c>
      <c r="Q10" s="18"/>
      <c r="R10" s="18">
        <f t="shared" ref="R10" si="27">SLOPE(E10:E11,$A$10:$A$11)*96+INTERCEPT(E10:E11,$A$10:$A$11)</f>
        <v>18.612398584565447</v>
      </c>
      <c r="S10" s="18"/>
      <c r="T10" s="18">
        <f t="shared" ref="T10" si="28">SLOPE(G10:G11,$A$10:$A$11)*96+INTERCEPT(G10:G11,$A$10:$A$11)</f>
        <v>16.91830462169613</v>
      </c>
      <c r="U10" s="18"/>
      <c r="V10" s="18">
        <f t="shared" ref="V10" si="29">SLOPE(I10:I11,$A$10:$A$11)*96+INTERCEPT(I10:I11,$A$10:$A$11)</f>
        <v>24.226611204926584</v>
      </c>
      <c r="W10" s="18"/>
      <c r="X10" s="18"/>
      <c r="Y10" s="18"/>
      <c r="Z10" s="18">
        <f t="shared" ref="Z10" si="30">SLOPE(M10:M11,$A$10:$A$11)*96+INTERCEPT(M10:M11,$A$10:$A$11)</f>
        <v>19.170035728089672</v>
      </c>
      <c r="AA10" s="18">
        <f t="shared" ref="AA10" si="31">SLOPE(N10:N11,$A$10:$A$11)*96+INTERCEPT(N10:N11,$A$10:$A$11)</f>
        <v>3.4641222438488439</v>
      </c>
      <c r="AB10" s="18"/>
      <c r="AC10" s="18"/>
    </row>
    <row r="11" spans="1:29" x14ac:dyDescent="0.35">
      <c r="A11" s="17">
        <f>Sheet3!A12</f>
        <v>118.53333333326736</v>
      </c>
      <c r="B11" s="18">
        <f t="shared" si="4"/>
        <v>0.4627738322020018</v>
      </c>
      <c r="C11" s="18">
        <f t="shared" si="5"/>
        <v>18.26321777293245</v>
      </c>
      <c r="D11" s="18">
        <f t="shared" si="6"/>
        <v>0.44950669009537902</v>
      </c>
      <c r="E11" s="18">
        <f t="shared" si="7"/>
        <v>19.908890157861073</v>
      </c>
      <c r="F11" s="18">
        <f t="shared" si="8"/>
        <v>0.47571306873623181</v>
      </c>
      <c r="G11" s="18">
        <f t="shared" si="9"/>
        <v>18.219318282128302</v>
      </c>
      <c r="H11" s="18">
        <f t="shared" si="10"/>
        <v>0.54479894894002623</v>
      </c>
      <c r="I11" s="18">
        <f t="shared" si="11"/>
        <v>25.757219408679777</v>
      </c>
      <c r="K11" s="18">
        <f t="shared" si="0"/>
        <v>0.48319813499340974</v>
      </c>
      <c r="L11" s="18">
        <f t="shared" si="1"/>
        <v>4.2438002229103412E-2</v>
      </c>
      <c r="M11" s="18">
        <f t="shared" si="2"/>
        <v>20.537161405400401</v>
      </c>
      <c r="N11" s="18">
        <f t="shared" si="3"/>
        <v>3.5677699246554115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x14ac:dyDescent="0.35">
      <c r="A12" s="17">
        <f>Sheet3!A13</f>
        <v>142.45000000001164</v>
      </c>
      <c r="B12" s="18">
        <f t="shared" si="4"/>
        <v>0.42855031525089216</v>
      </c>
      <c r="C12" s="18">
        <f t="shared" si="5"/>
        <v>19.580683050475145</v>
      </c>
      <c r="D12" s="18">
        <f t="shared" si="6"/>
        <v>0.42330902429612988</v>
      </c>
      <c r="E12" s="18">
        <f t="shared" si="7"/>
        <v>21.204774597474941</v>
      </c>
      <c r="F12" s="18">
        <f t="shared" si="8"/>
        <v>0.4393349824737881</v>
      </c>
      <c r="G12" s="18">
        <f t="shared" si="9"/>
        <v>19.494604802771896</v>
      </c>
      <c r="H12" s="18">
        <f t="shared" si="10"/>
        <v>0.49057998415806975</v>
      </c>
      <c r="I12" s="18">
        <f t="shared" si="11"/>
        <v>27.220113244793374</v>
      </c>
      <c r="K12" s="18">
        <f t="shared" si="0"/>
        <v>0.44544357654471994</v>
      </c>
      <c r="L12" s="18">
        <f t="shared" si="1"/>
        <v>3.0821696330934317E-2</v>
      </c>
      <c r="M12" s="18">
        <f t="shared" si="2"/>
        <v>21.875043923878838</v>
      </c>
      <c r="N12" s="18">
        <f t="shared" si="3"/>
        <v>3.6491829789695038</v>
      </c>
      <c r="P12" s="18">
        <f>SLOPE(C12:C13,$A$12:$A$13)*168+INTERCEPT(C12:C13,$A$12:$A$13)</f>
        <v>20.658377204533615</v>
      </c>
      <c r="Q12" s="18"/>
      <c r="R12" s="18">
        <f t="shared" ref="R12" si="32">SLOPE(E12:E13,$A$12:$A$13)*168+INTERCEPT(E12:E13,$A$12:$A$13)</f>
        <v>22.241220790877584</v>
      </c>
      <c r="S12" s="18"/>
      <c r="T12" s="18">
        <f t="shared" ref="T12" si="33">SLOPE(G12:G13,$A$12:$A$13)*168+INTERCEPT(G12:G13,$A$12:$A$13)</f>
        <v>20.504508645481955</v>
      </c>
      <c r="U12" s="18"/>
      <c r="V12" s="18">
        <f t="shared" ref="V12" si="34">SLOPE(I12:I13,$A$12:$A$13)*168+INTERCEPT(I12:I13,$A$12:$A$13)</f>
        <v>28.385303099572724</v>
      </c>
      <c r="W12" s="18"/>
      <c r="X12" s="18"/>
      <c r="Y12" s="18"/>
      <c r="Z12" s="18">
        <f t="shared" ref="Z12" si="35">SLOPE(M12:M13,$A$12:$A$13)*168+INTERCEPT(M12:M13,$A$12:$A$13)</f>
        <v>22.947352435116471</v>
      </c>
      <c r="AA12" s="18">
        <f t="shared" ref="AA12" si="36">SLOPE(N12:N13,$A$12:$A$13)*168+INTERCEPT(N12:N13,$A$12:$A$13)</f>
        <v>3.7092964738025107</v>
      </c>
      <c r="AB12" s="18"/>
      <c r="AC12" s="18"/>
    </row>
    <row r="13" spans="1:29" x14ac:dyDescent="0.35">
      <c r="A13" s="17">
        <f>Sheet3!A14</f>
        <v>166.45000000001164</v>
      </c>
      <c r="B13" s="18">
        <f t="shared" si="4"/>
        <v>0.32814660407129725</v>
      </c>
      <c r="C13" s="18">
        <f t="shared" si="5"/>
        <v>20.592998498514874</v>
      </c>
      <c r="D13" s="18">
        <f t="shared" si="6"/>
        <v>0.31691862209254884</v>
      </c>
      <c r="E13" s="18">
        <f t="shared" si="7"/>
        <v>22.178344407325227</v>
      </c>
      <c r="F13" s="18">
        <f t="shared" si="8"/>
        <v>0.32567002486678343</v>
      </c>
      <c r="G13" s="18">
        <f t="shared" si="9"/>
        <v>20.443242463243617</v>
      </c>
      <c r="H13" s="18">
        <f t="shared" si="10"/>
        <v>0.36576610338038945</v>
      </c>
      <c r="I13" s="18">
        <f t="shared" si="11"/>
        <v>28.314616435193262</v>
      </c>
      <c r="K13" s="18">
        <f t="shared" si="0"/>
        <v>0.33412533860275473</v>
      </c>
      <c r="L13" s="18">
        <f t="shared" si="1"/>
        <v>2.1636748721773864E-2</v>
      </c>
      <c r="M13" s="18">
        <f t="shared" si="2"/>
        <v>22.882300451069245</v>
      </c>
      <c r="N13" s="18">
        <f t="shared" si="3"/>
        <v>3.7056496668752894</v>
      </c>
    </row>
    <row r="18" spans="1:14" x14ac:dyDescent="0.35">
      <c r="A18" t="str">
        <f>Sheet3!N3</f>
        <v>cumulatief</v>
      </c>
      <c r="B18" t="str">
        <f>Sheet3!O3</f>
        <v>N-NH3 (ug N / s/ m2)</v>
      </c>
      <c r="D18" t="str">
        <f>Sheet3!A20</f>
        <v>Uren na mesttoediening</v>
      </c>
      <c r="E18" t="str">
        <f>Sheet3!N20</f>
        <v>cumulatief</v>
      </c>
      <c r="F18" t="str">
        <f>Sheet3!O20</f>
        <v>N-NH3 (ug N / s/ m2)</v>
      </c>
      <c r="H18" t="str">
        <f>Sheet3!A36</f>
        <v>Uren na mesttoediening</v>
      </c>
      <c r="I18" t="str">
        <f>Sheet3!N36</f>
        <v>cumulatief</v>
      </c>
      <c r="J18" t="str">
        <f>Sheet3!O36</f>
        <v>N-NH3 (ug N / s/ m2)</v>
      </c>
      <c r="L18" t="str">
        <f>Sheet3!A52</f>
        <v>Uren na mesttoediening</v>
      </c>
      <c r="M18" t="str">
        <f>Sheet3!N52</f>
        <v>cumulatief</v>
      </c>
      <c r="N18" t="str">
        <f>Sheet3!O52</f>
        <v>N-NH3 (ug N / s/ m2)</v>
      </c>
    </row>
    <row r="19" spans="1:14" x14ac:dyDescent="0.35">
      <c r="A19" s="24">
        <f>Sheet3!N4</f>
        <v>4.0493777552483125E-3</v>
      </c>
      <c r="B19">
        <f>Sheet3!O4</f>
        <v>2.5908797842945566</v>
      </c>
      <c r="D19">
        <f>Sheet3!A21</f>
        <v>0.99999999994179234</v>
      </c>
      <c r="E19">
        <f>Sheet3!N21</f>
        <v>4.5060573292824849E-3</v>
      </c>
      <c r="F19">
        <f>Sheet3!O21</f>
        <v>2.8952381547229376</v>
      </c>
      <c r="H19">
        <f>Sheet3!A37</f>
        <v>0.99999999994179234</v>
      </c>
      <c r="I19">
        <f>Sheet3!N37</f>
        <v>3.9092120222449017E-3</v>
      </c>
      <c r="J19">
        <f>Sheet3!O37</f>
        <v>2.6489488403808137</v>
      </c>
      <c r="L19">
        <f>Sheet3!A53</f>
        <v>0.99999999994179234</v>
      </c>
      <c r="M19">
        <f>Sheet3!N53</f>
        <v>8.7921190778918329E-3</v>
      </c>
      <c r="N19">
        <f>Sheet3!O53</f>
        <v>5.7994512872854092</v>
      </c>
    </row>
    <row r="20" spans="1:14" x14ac:dyDescent="0.35">
      <c r="A20" s="24">
        <f>Sheet3!N5</f>
        <v>1.6192769649629138E-2</v>
      </c>
      <c r="B20">
        <f>Sheet3!O5</f>
        <v>3.884802859944759</v>
      </c>
      <c r="D20">
        <f>Sheet3!A22</f>
        <v>3</v>
      </c>
      <c r="E20">
        <f>Sheet3!N22</f>
        <v>1.8004479114925358E-2</v>
      </c>
      <c r="F20">
        <f>Sheet3!O22</f>
        <v>4.3365122681591988</v>
      </c>
      <c r="H20">
        <f>Sheet3!A38</f>
        <v>3</v>
      </c>
      <c r="I20">
        <f>Sheet3!N38</f>
        <v>1.4551781328797133E-2</v>
      </c>
      <c r="J20">
        <f>Sheet3!O38</f>
        <v>3.6057933747749527</v>
      </c>
      <c r="L20">
        <f>Sheet3!A54</f>
        <v>3</v>
      </c>
      <c r="M20">
        <f>Sheet3!N54</f>
        <v>2.9468920653869999E-2</v>
      </c>
      <c r="N20">
        <f>Sheet3!O54</f>
        <v>6.8194085205130435</v>
      </c>
    </row>
    <row r="21" spans="1:14" x14ac:dyDescent="0.35">
      <c r="A21" s="24">
        <f>Sheet3!N6</f>
        <v>3.4425527010321602E-2</v>
      </c>
      <c r="B21">
        <f>Sheet3!O6</f>
        <v>3.888571307348057</v>
      </c>
      <c r="D21">
        <f>Sheet3!A23</f>
        <v>6</v>
      </c>
      <c r="E21">
        <f>Sheet3!N23</f>
        <v>3.8869152046122631E-2</v>
      </c>
      <c r="F21">
        <f>Sheet3!O23</f>
        <v>4.4686661189846282</v>
      </c>
      <c r="H21">
        <f>Sheet3!A39</f>
        <v>6</v>
      </c>
      <c r="I21">
        <f>Sheet3!N39</f>
        <v>3.0810733219379133E-2</v>
      </c>
      <c r="J21">
        <f>Sheet3!O39</f>
        <v>3.672447841046393</v>
      </c>
      <c r="L21">
        <f>Sheet3!A55</f>
        <v>6</v>
      </c>
      <c r="M21">
        <f>Sheet3!N55</f>
        <v>5.8504812872417218E-2</v>
      </c>
      <c r="N21">
        <f>Sheet3!O55</f>
        <v>6.3842114740370928</v>
      </c>
    </row>
    <row r="22" spans="1:14" x14ac:dyDescent="0.35">
      <c r="A22" s="24">
        <f>Sheet3!N7</f>
        <v>8.9237337431749303E-2</v>
      </c>
      <c r="B22">
        <f>Sheet3!O7</f>
        <v>2.1319018881521226</v>
      </c>
      <c r="D22">
        <f>Sheet3!A24</f>
        <v>22.450000000011642</v>
      </c>
      <c r="E22">
        <f>Sheet3!N24</f>
        <v>0.10553946976055249</v>
      </c>
      <c r="F22">
        <f>Sheet3!O24</f>
        <v>2.6040792864157432</v>
      </c>
      <c r="H22">
        <f>Sheet3!A40</f>
        <v>22.450000000011642</v>
      </c>
      <c r="I22">
        <f>Sheet3!N40</f>
        <v>9.1118314928946537E-2</v>
      </c>
      <c r="J22">
        <f>Sheet3!O40</f>
        <v>2.4842217319769735</v>
      </c>
      <c r="L22">
        <f>Sheet3!A56</f>
        <v>22.450000000011642</v>
      </c>
      <c r="M22">
        <f>Sheet3!N56</f>
        <v>0.14330312557858524</v>
      </c>
      <c r="N22">
        <f>Sheet3!O56</f>
        <v>3.4002797734049737</v>
      </c>
    </row>
    <row r="23" spans="1:14" x14ac:dyDescent="0.35">
      <c r="A23" s="24">
        <f>Sheet3!N8</f>
        <v>0.10324622633237703</v>
      </c>
      <c r="B23">
        <f>Sheet3!O8</f>
        <v>1.1845627133114138</v>
      </c>
      <c r="D23">
        <f>Sheet3!A25</f>
        <v>30.016666666720994</v>
      </c>
      <c r="E23">
        <f>Sheet3!N25</f>
        <v>0.12235239687757456</v>
      </c>
      <c r="F23">
        <f>Sheet3!O25</f>
        <v>1.4276649861750645</v>
      </c>
      <c r="H23">
        <f>Sheet3!A41</f>
        <v>30.016666666720994</v>
      </c>
      <c r="I23">
        <f>Sheet3!N41</f>
        <v>0.10694250915246363</v>
      </c>
      <c r="J23">
        <f>Sheet3!O41</f>
        <v>1.4171027711499939</v>
      </c>
      <c r="L23">
        <f>Sheet3!A57</f>
        <v>30.016666666720994</v>
      </c>
      <c r="M23">
        <f>Sheet3!N57</f>
        <v>0.16491256075106267</v>
      </c>
      <c r="N23">
        <f>Sheet3!O57</f>
        <v>1.8837885655598836</v>
      </c>
    </row>
    <row r="24" spans="1:14" x14ac:dyDescent="0.35">
      <c r="A24" s="24">
        <f>Sheet3!N9</f>
        <v>0.12856087068758959</v>
      </c>
      <c r="B24">
        <f>Sheet3!O9</f>
        <v>0.98561007758018859</v>
      </c>
      <c r="D24">
        <f>Sheet3!A26</f>
        <v>46.450000000011642</v>
      </c>
      <c r="E24">
        <f>Sheet3!N26</f>
        <v>0.14759320587220454</v>
      </c>
      <c r="F24">
        <f>Sheet3!O26</f>
        <v>0.98688190594767855</v>
      </c>
      <c r="H24">
        <f>Sheet3!A42</f>
        <v>46.450000000011642</v>
      </c>
      <c r="I24">
        <f>Sheet3!N42</f>
        <v>0.13117534430735905</v>
      </c>
      <c r="J24">
        <f>Sheet3!O42</f>
        <v>0.999224119254429</v>
      </c>
      <c r="L24">
        <f>Sheet3!A58</f>
        <v>46.450000000011642</v>
      </c>
      <c r="M24">
        <f>Sheet3!N58</f>
        <v>0.19613919521356096</v>
      </c>
      <c r="N24">
        <f>Sheet3!O58</f>
        <v>1.2534091430956316</v>
      </c>
    </row>
    <row r="25" spans="1:14" x14ac:dyDescent="0.35">
      <c r="A25" s="24">
        <f>Sheet3!N10</f>
        <v>0.15302158764231691</v>
      </c>
      <c r="B25">
        <f>Sheet3!O10</f>
        <v>0.65210406896802942</v>
      </c>
      <c r="D25">
        <f>Sheet3!A27</f>
        <v>70.450000000011642</v>
      </c>
      <c r="E25">
        <f>Sheet3!N27</f>
        <v>0.17064029535103314</v>
      </c>
      <c r="F25">
        <f>Sheet3!O27</f>
        <v>0.61701031831929831</v>
      </c>
      <c r="H25">
        <f>Sheet3!A43</f>
        <v>70.450000000011642</v>
      </c>
      <c r="I25">
        <f>Sheet3!N43</f>
        <v>0.15415653142421137</v>
      </c>
      <c r="J25">
        <f>Sheet3!O43</f>
        <v>0.64885187234035802</v>
      </c>
      <c r="L25">
        <f>Sheet3!A59</f>
        <v>70.450000000011642</v>
      </c>
      <c r="M25">
        <f>Sheet3!N59</f>
        <v>0.2238308799247527</v>
      </c>
      <c r="N25">
        <f>Sheet3!O59</f>
        <v>0.76108205121590988</v>
      </c>
    </row>
    <row r="26" spans="1:14" x14ac:dyDescent="0.35">
      <c r="A26" s="24">
        <f>Sheet3!N11</f>
        <v>0.16840541289961908</v>
      </c>
      <c r="B26">
        <f>Sheet3!O11</f>
        <v>0.40729263405456678</v>
      </c>
      <c r="D26">
        <f>Sheet3!A28</f>
        <v>94.616666666697711</v>
      </c>
      <c r="E26">
        <f>Sheet3!N28</f>
        <v>0.18532806276443084</v>
      </c>
      <c r="F26">
        <f>Sheet3!O28</f>
        <v>0.39050501485184569</v>
      </c>
      <c r="H26">
        <f>Sheet3!A44</f>
        <v>94.616666666697711</v>
      </c>
      <c r="I26">
        <f>Sheet3!N44</f>
        <v>0.16838434700236246</v>
      </c>
      <c r="J26">
        <f>Sheet3!O44</f>
        <v>0.39893838056373804</v>
      </c>
      <c r="L26">
        <f>Sheet3!A60</f>
        <v>94.616666666697711</v>
      </c>
      <c r="M26">
        <f>Sheet3!N60</f>
        <v>0.24132646352183215</v>
      </c>
      <c r="N26">
        <f>Sheet3!O60</f>
        <v>0.47753479934033677</v>
      </c>
    </row>
    <row r="27" spans="1:14" x14ac:dyDescent="0.35">
      <c r="A27" s="24">
        <f>Sheet3!N12</f>
        <v>0.1826321777293245</v>
      </c>
      <c r="B27">
        <f>Sheet3!O12</f>
        <v>0.38059622074474658</v>
      </c>
      <c r="D27">
        <f>Sheet3!A29</f>
        <v>118.53333333326736</v>
      </c>
      <c r="E27">
        <f>Sheet3!N29</f>
        <v>0.19908890157861073</v>
      </c>
      <c r="F27">
        <f>Sheet3!O29</f>
        <v>0.36968500711402419</v>
      </c>
      <c r="H27">
        <f>Sheet3!A45</f>
        <v>118.53333333326736</v>
      </c>
      <c r="I27">
        <f>Sheet3!N45</f>
        <v>0.18219318282128302</v>
      </c>
      <c r="J27">
        <f>Sheet3!O45</f>
        <v>0.39123775702353231</v>
      </c>
      <c r="L27">
        <f>Sheet3!A61</f>
        <v>118.53333333326736</v>
      </c>
      <c r="M27">
        <f>Sheet3!N61</f>
        <v>0.25757219408679777</v>
      </c>
      <c r="N27">
        <f>Sheet3!O61</f>
        <v>0.44805563021069028</v>
      </c>
    </row>
    <row r="28" spans="1:14" x14ac:dyDescent="0.35">
      <c r="A28" s="24">
        <f>Sheet3!N13</f>
        <v>0.19580683050475145</v>
      </c>
      <c r="B28">
        <f>Sheet3!O13</f>
        <v>0.35244998535756394</v>
      </c>
      <c r="D28">
        <f>Sheet3!A30</f>
        <v>142.45000000001164</v>
      </c>
      <c r="E28">
        <f>Sheet3!N30</f>
        <v>0.2120477459747494</v>
      </c>
      <c r="F28">
        <f>Sheet3!O30</f>
        <v>0.34813942285295069</v>
      </c>
      <c r="H28">
        <f>Sheet3!A46</f>
        <v>142.45000000001164</v>
      </c>
      <c r="I28">
        <f>Sheet3!N46</f>
        <v>0.19494604802771898</v>
      </c>
      <c r="J28">
        <f>Sheet3!O46</f>
        <v>0.36131955252278836</v>
      </c>
      <c r="L28">
        <f>Sheet3!A62</f>
        <v>142.45000000001164</v>
      </c>
      <c r="M28">
        <f>Sheet3!N62</f>
        <v>0.27220113244793376</v>
      </c>
      <c r="N28">
        <f>Sheet3!O62</f>
        <v>0.40346466232792177</v>
      </c>
    </row>
    <row r="29" spans="1:14" x14ac:dyDescent="0.35">
      <c r="A29" s="24">
        <f>Sheet3!N14</f>
        <v>0.20592998498514872</v>
      </c>
      <c r="B29">
        <f>Sheet3!O14</f>
        <v>0.26987558212937818</v>
      </c>
      <c r="D29">
        <f>Sheet3!A31</f>
        <v>166.45000000001164</v>
      </c>
      <c r="E29">
        <f>Sheet3!N31</f>
        <v>0.22178344407325226</v>
      </c>
      <c r="F29">
        <f>Sheet3!O31</f>
        <v>0.26064142235122451</v>
      </c>
      <c r="H29">
        <f>Sheet3!A47</f>
        <v>166.45000000001164</v>
      </c>
      <c r="I29">
        <f>Sheet3!N47</f>
        <v>0.20443242463243619</v>
      </c>
      <c r="J29">
        <f>Sheet3!O47</f>
        <v>0.26783878441087289</v>
      </c>
      <c r="L29">
        <f>Sheet3!A63</f>
        <v>166.45000000001164</v>
      </c>
      <c r="M29">
        <f>Sheet3!N63</f>
        <v>0.28314616435193263</v>
      </c>
      <c r="N29">
        <f>Sheet3!O63</f>
        <v>0.3008147542844285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AF23-46D4-4D86-A5B1-87890E5556F9}">
  <dimension ref="A1:I39"/>
  <sheetViews>
    <sheetView tabSelected="1" workbookViewId="0">
      <selection activeCell="M15" sqref="M15"/>
    </sheetView>
  </sheetViews>
  <sheetFormatPr defaultRowHeight="14.5" x14ac:dyDescent="0.35"/>
  <cols>
    <col min="1" max="1" width="20.7265625" bestFit="1" customWidth="1"/>
    <col min="5" max="5" width="20.7265625" bestFit="1" customWidth="1"/>
  </cols>
  <sheetData>
    <row r="1" spans="1:9" x14ac:dyDescent="0.35">
      <c r="A1" t="s">
        <v>73</v>
      </c>
      <c r="B1" t="s">
        <v>69</v>
      </c>
      <c r="C1" t="s">
        <v>70</v>
      </c>
      <c r="E1" t="s">
        <v>73</v>
      </c>
      <c r="F1" t="s">
        <v>76</v>
      </c>
      <c r="G1" t="s">
        <v>77</v>
      </c>
      <c r="H1" t="s">
        <v>74</v>
      </c>
      <c r="I1" t="s">
        <v>75</v>
      </c>
    </row>
    <row r="2" spans="1:9" x14ac:dyDescent="0.35">
      <c r="A2" s="26">
        <v>44509.430555555555</v>
      </c>
      <c r="B2">
        <v>0</v>
      </c>
      <c r="C2">
        <v>0</v>
      </c>
      <c r="E2" s="26">
        <f>A2</f>
        <v>44509.430555555555</v>
      </c>
      <c r="F2" s="27">
        <f>B2</f>
        <v>0</v>
      </c>
      <c r="G2" s="27">
        <f>C2</f>
        <v>0</v>
      </c>
      <c r="H2">
        <f t="shared" ref="H2" si="0">F2+G2</f>
        <v>0</v>
      </c>
      <c r="I2">
        <f t="shared" ref="I2" si="1">F2-G2</f>
        <v>0</v>
      </c>
    </row>
    <row r="3" spans="1:9" x14ac:dyDescent="0.35">
      <c r="A3" s="26">
        <v>44509.472210648149</v>
      </c>
      <c r="B3">
        <v>4.2358081702629899</v>
      </c>
      <c r="C3">
        <v>1.8840752960235101</v>
      </c>
      <c r="E3" s="26">
        <f>A3</f>
        <v>44509.472210648149</v>
      </c>
      <c r="F3">
        <f>B2</f>
        <v>0</v>
      </c>
      <c r="G3">
        <f>C2</f>
        <v>0</v>
      </c>
      <c r="H3">
        <f t="shared" ref="H3" si="2">F3+G3</f>
        <v>0</v>
      </c>
      <c r="I3">
        <f t="shared" ref="I3" si="3">F3-G3</f>
        <v>0</v>
      </c>
    </row>
    <row r="4" spans="1:9" x14ac:dyDescent="0.35">
      <c r="A4" s="26">
        <v>44509.555555555555</v>
      </c>
      <c r="B4">
        <v>5.6681593706117104</v>
      </c>
      <c r="C4">
        <v>1.7870219747460601</v>
      </c>
      <c r="E4" s="26">
        <f>A3</f>
        <v>44509.472210648149</v>
      </c>
      <c r="F4" s="27">
        <f>B3</f>
        <v>4.2358081702629899</v>
      </c>
      <c r="G4" s="27">
        <f>C3</f>
        <v>1.8840752960235101</v>
      </c>
      <c r="H4">
        <f>F4+G4</f>
        <v>6.1198834662864998</v>
      </c>
      <c r="I4">
        <f>F4-G4</f>
        <v>2.3517328742394801</v>
      </c>
    </row>
    <row r="5" spans="1:9" x14ac:dyDescent="0.35">
      <c r="A5" s="26">
        <v>44509.680555555555</v>
      </c>
      <c r="B5">
        <v>5.5974475680042204</v>
      </c>
      <c r="C5">
        <v>1.5002502314297601</v>
      </c>
      <c r="E5" s="26">
        <f>A4</f>
        <v>44509.555555555555</v>
      </c>
      <c r="F5" s="27">
        <f>B3</f>
        <v>4.2358081702629899</v>
      </c>
      <c r="G5" s="27">
        <f>C3</f>
        <v>1.8840752960235101</v>
      </c>
      <c r="H5">
        <f>F5+G5</f>
        <v>6.1198834662864998</v>
      </c>
      <c r="I5">
        <f>F5-G5</f>
        <v>2.3517328742394801</v>
      </c>
    </row>
    <row r="6" spans="1:9" x14ac:dyDescent="0.35">
      <c r="A6" s="26">
        <v>44510.365972222222</v>
      </c>
      <c r="B6">
        <v>3.2284092706030898</v>
      </c>
      <c r="C6">
        <v>0.65133258927527904</v>
      </c>
      <c r="E6" s="26">
        <f>A4</f>
        <v>44509.555555555555</v>
      </c>
      <c r="F6" s="27">
        <f>B4</f>
        <v>5.6681593706117104</v>
      </c>
      <c r="G6" s="27">
        <f>C4</f>
        <v>1.7870219747460601</v>
      </c>
      <c r="H6">
        <f>F6+G6</f>
        <v>7.4551813453577704</v>
      </c>
      <c r="I6">
        <f>F6-G6</f>
        <v>3.8811373958656503</v>
      </c>
    </row>
    <row r="7" spans="1:9" x14ac:dyDescent="0.35">
      <c r="A7" s="26">
        <v>44510.681250000001</v>
      </c>
      <c r="B7">
        <v>1.7974671104803399</v>
      </c>
      <c r="C7">
        <v>0.35589348309094399</v>
      </c>
      <c r="E7" s="26">
        <f>A5</f>
        <v>44509.680555555555</v>
      </c>
      <c r="F7" s="27">
        <f>B4</f>
        <v>5.6681593706117104</v>
      </c>
      <c r="G7" s="27">
        <f>C4</f>
        <v>1.7870219747460601</v>
      </c>
      <c r="H7">
        <f>F7+G7</f>
        <v>7.4551813453577704</v>
      </c>
      <c r="I7">
        <f>F7-G7</f>
        <v>3.8811373958656503</v>
      </c>
    </row>
    <row r="8" spans="1:9" x14ac:dyDescent="0.35">
      <c r="A8" s="26">
        <v>44511.365972222222</v>
      </c>
      <c r="B8">
        <v>1.2843515614410801</v>
      </c>
      <c r="C8">
        <v>0.15996850328054699</v>
      </c>
      <c r="E8" s="26">
        <f>A5</f>
        <v>44509.680555555555</v>
      </c>
      <c r="F8" s="27">
        <f>B5</f>
        <v>5.5974475680042204</v>
      </c>
      <c r="G8" s="27">
        <f>C5</f>
        <v>1.5002502314297601</v>
      </c>
      <c r="H8">
        <f>F8+G8</f>
        <v>7.0976977994339805</v>
      </c>
      <c r="I8">
        <f>F8-G8</f>
        <v>4.0971973365744603</v>
      </c>
    </row>
    <row r="9" spans="1:9" x14ac:dyDescent="0.35">
      <c r="A9" s="26">
        <v>44512.365972222222</v>
      </c>
      <c r="B9">
        <v>0.81437583053069695</v>
      </c>
      <c r="C9">
        <v>7.6487361890229297E-2</v>
      </c>
      <c r="E9" s="26">
        <f>A6</f>
        <v>44510.365972222222</v>
      </c>
      <c r="F9" s="27">
        <f>B5</f>
        <v>5.5974475680042204</v>
      </c>
      <c r="G9" s="27">
        <f>C5</f>
        <v>1.5002502314297601</v>
      </c>
      <c r="H9">
        <f>F9+G9</f>
        <v>7.0976977994339805</v>
      </c>
      <c r="I9">
        <f>F9-G9</f>
        <v>4.0971973365744603</v>
      </c>
    </row>
    <row r="10" spans="1:9" x14ac:dyDescent="0.35">
      <c r="A10" s="26">
        <v>44513.372916666667</v>
      </c>
      <c r="B10">
        <v>0.50894404973104701</v>
      </c>
      <c r="C10">
        <v>4.85204159510845E-2</v>
      </c>
      <c r="E10" s="26">
        <f>A6</f>
        <v>44510.365972222222</v>
      </c>
      <c r="F10" s="27">
        <f>B6</f>
        <v>3.2284092706030898</v>
      </c>
      <c r="G10" s="27">
        <f>C6</f>
        <v>0.65133258927527904</v>
      </c>
      <c r="H10">
        <f>F10+G10</f>
        <v>3.8797418598783686</v>
      </c>
      <c r="I10">
        <f>F10-G10</f>
        <v>2.577076681327811</v>
      </c>
    </row>
    <row r="11" spans="1:9" x14ac:dyDescent="0.35">
      <c r="A11" s="26">
        <v>44514.369432870371</v>
      </c>
      <c r="B11">
        <v>0.48319813499341002</v>
      </c>
      <c r="C11">
        <v>4.2438002229103398E-2</v>
      </c>
      <c r="E11" s="26">
        <f>A7</f>
        <v>44510.681250000001</v>
      </c>
      <c r="F11" s="27">
        <f>B6</f>
        <v>3.2284092706030898</v>
      </c>
      <c r="G11" s="27">
        <f>C6</f>
        <v>0.65133258927527904</v>
      </c>
      <c r="H11">
        <f>F11+G11</f>
        <v>3.8797418598783686</v>
      </c>
      <c r="I11">
        <f>F11-G11</f>
        <v>2.577076681327811</v>
      </c>
    </row>
    <row r="12" spans="1:9" x14ac:dyDescent="0.35">
      <c r="A12" s="26">
        <v>44515.365972222222</v>
      </c>
      <c r="B12">
        <v>0.44544357654472</v>
      </c>
      <c r="C12">
        <v>3.08216963309343E-2</v>
      </c>
      <c r="E12" s="26">
        <f>A7</f>
        <v>44510.681250000001</v>
      </c>
      <c r="F12" s="27">
        <f>B7</f>
        <v>1.7974671104803399</v>
      </c>
      <c r="G12" s="27">
        <f>C7</f>
        <v>0.35589348309094399</v>
      </c>
      <c r="H12">
        <f>F12+G12</f>
        <v>2.1533605935712838</v>
      </c>
      <c r="I12">
        <f>F12-G12</f>
        <v>1.441573627389396</v>
      </c>
    </row>
    <row r="13" spans="1:9" x14ac:dyDescent="0.35">
      <c r="A13" s="26">
        <v>44516.365972222222</v>
      </c>
      <c r="B13">
        <v>0.33412533860275501</v>
      </c>
      <c r="C13">
        <v>2.1636748721773898E-2</v>
      </c>
      <c r="E13" s="26">
        <f>A8</f>
        <v>44511.365972222222</v>
      </c>
      <c r="F13" s="27">
        <f>B7</f>
        <v>1.7974671104803399</v>
      </c>
      <c r="G13" s="27">
        <f>C7</f>
        <v>0.35589348309094399</v>
      </c>
      <c r="H13">
        <f>F13+G13</f>
        <v>2.1533605935712838</v>
      </c>
      <c r="I13">
        <f>F13-G13</f>
        <v>1.441573627389396</v>
      </c>
    </row>
    <row r="14" spans="1:9" x14ac:dyDescent="0.35">
      <c r="E14" s="26">
        <f>A8</f>
        <v>44511.365972222222</v>
      </c>
      <c r="F14" s="27">
        <f>B8</f>
        <v>1.2843515614410801</v>
      </c>
      <c r="G14" s="27">
        <f>C8</f>
        <v>0.15996850328054699</v>
      </c>
      <c r="H14">
        <f>F14+G14</f>
        <v>1.444320064721627</v>
      </c>
      <c r="I14">
        <f>F14-G14</f>
        <v>1.1243830581605332</v>
      </c>
    </row>
    <row r="15" spans="1:9" x14ac:dyDescent="0.35">
      <c r="E15" s="26">
        <f>A9</f>
        <v>44512.365972222222</v>
      </c>
      <c r="F15" s="27">
        <f>B8</f>
        <v>1.2843515614410801</v>
      </c>
      <c r="G15" s="27">
        <f>C8</f>
        <v>0.15996850328054699</v>
      </c>
      <c r="H15">
        <f>F15+G15</f>
        <v>1.444320064721627</v>
      </c>
      <c r="I15">
        <f>F15-G15</f>
        <v>1.1243830581605332</v>
      </c>
    </row>
    <row r="16" spans="1:9" x14ac:dyDescent="0.35">
      <c r="E16" s="26">
        <f>A9</f>
        <v>44512.365972222222</v>
      </c>
      <c r="F16" s="27">
        <f>B9</f>
        <v>0.81437583053069695</v>
      </c>
      <c r="G16" s="27">
        <f>C9</f>
        <v>7.6487361890229297E-2</v>
      </c>
      <c r="H16">
        <f>F16+G16</f>
        <v>0.89086319242092626</v>
      </c>
      <c r="I16">
        <f>F16-G16</f>
        <v>0.73788846864046764</v>
      </c>
    </row>
    <row r="17" spans="5:9" x14ac:dyDescent="0.35">
      <c r="E17" s="26">
        <f>A10</f>
        <v>44513.372916666667</v>
      </c>
      <c r="F17" s="27">
        <f>B9</f>
        <v>0.81437583053069695</v>
      </c>
      <c r="G17" s="27">
        <f>C9</f>
        <v>7.6487361890229297E-2</v>
      </c>
      <c r="H17">
        <f>F17+G17</f>
        <v>0.89086319242092626</v>
      </c>
      <c r="I17">
        <f>F17-G17</f>
        <v>0.73788846864046764</v>
      </c>
    </row>
    <row r="18" spans="5:9" x14ac:dyDescent="0.35">
      <c r="E18" s="26">
        <f>A10</f>
        <v>44513.372916666667</v>
      </c>
      <c r="F18" s="27">
        <f>B10</f>
        <v>0.50894404973104701</v>
      </c>
      <c r="G18" s="27">
        <f>C10</f>
        <v>4.85204159510845E-2</v>
      </c>
      <c r="H18">
        <f>F18+G18</f>
        <v>0.55746446568213148</v>
      </c>
      <c r="I18">
        <f>F18-G18</f>
        <v>0.46042363377996254</v>
      </c>
    </row>
    <row r="19" spans="5:9" x14ac:dyDescent="0.35">
      <c r="E19" s="26">
        <f>A11</f>
        <v>44514.369432870371</v>
      </c>
      <c r="F19" s="27">
        <f>B10</f>
        <v>0.50894404973104701</v>
      </c>
      <c r="G19" s="27">
        <f>C10</f>
        <v>4.85204159510845E-2</v>
      </c>
      <c r="H19">
        <f>F19+G19</f>
        <v>0.55746446568213148</v>
      </c>
      <c r="I19">
        <f>F19-G19</f>
        <v>0.46042363377996254</v>
      </c>
    </row>
    <row r="20" spans="5:9" x14ac:dyDescent="0.35">
      <c r="E20" s="26">
        <f>A11</f>
        <v>44514.369432870371</v>
      </c>
      <c r="F20" s="27">
        <f>B11</f>
        <v>0.48319813499341002</v>
      </c>
      <c r="G20" s="27">
        <f>C11</f>
        <v>4.2438002229103398E-2</v>
      </c>
      <c r="H20">
        <f>F20+G20</f>
        <v>0.52563613722251346</v>
      </c>
      <c r="I20">
        <f>F20-G20</f>
        <v>0.44076013276430664</v>
      </c>
    </row>
    <row r="21" spans="5:9" x14ac:dyDescent="0.35">
      <c r="E21" s="26">
        <f>A12</f>
        <v>44515.365972222222</v>
      </c>
      <c r="F21" s="27">
        <f>B11</f>
        <v>0.48319813499341002</v>
      </c>
      <c r="G21" s="27">
        <f>C11</f>
        <v>4.2438002229103398E-2</v>
      </c>
      <c r="H21">
        <f>F21+G21</f>
        <v>0.52563613722251346</v>
      </c>
      <c r="I21">
        <f>F21-G21</f>
        <v>0.44076013276430664</v>
      </c>
    </row>
    <row r="22" spans="5:9" x14ac:dyDescent="0.35">
      <c r="E22" s="26">
        <f>A12</f>
        <v>44515.365972222222</v>
      </c>
      <c r="F22" s="27">
        <f>B12</f>
        <v>0.44544357654472</v>
      </c>
      <c r="G22" s="27">
        <f>C12</f>
        <v>3.08216963309343E-2</v>
      </c>
      <c r="H22">
        <f>F22+G22</f>
        <v>0.47626527287565429</v>
      </c>
      <c r="I22">
        <f>F22-G22</f>
        <v>0.41462188021378571</v>
      </c>
    </row>
    <row r="23" spans="5:9" x14ac:dyDescent="0.35">
      <c r="E23" s="26">
        <f>A13</f>
        <v>44516.365972222222</v>
      </c>
      <c r="F23" s="27">
        <f>B12</f>
        <v>0.44544357654472</v>
      </c>
      <c r="G23" s="27">
        <f>C12</f>
        <v>3.08216963309343E-2</v>
      </c>
      <c r="H23">
        <f>F23+G23</f>
        <v>0.47626527287565429</v>
      </c>
      <c r="I23">
        <f>F23-G23</f>
        <v>0.41462188021378571</v>
      </c>
    </row>
    <row r="24" spans="5:9" x14ac:dyDescent="0.35">
      <c r="E24" s="26">
        <f>A13</f>
        <v>44516.365972222222</v>
      </c>
      <c r="F24" s="27">
        <f>B13</f>
        <v>0.33412533860275501</v>
      </c>
      <c r="G24" s="27">
        <f>C13</f>
        <v>2.1636748721773898E-2</v>
      </c>
      <c r="H24">
        <f>F24+G24</f>
        <v>0.35576208732452891</v>
      </c>
      <c r="I24">
        <f>F24-G24</f>
        <v>0.3124885898809811</v>
      </c>
    </row>
    <row r="25" spans="5:9" x14ac:dyDescent="0.35">
      <c r="E25" s="26"/>
      <c r="F25" s="27"/>
      <c r="G25" s="27"/>
    </row>
    <row r="26" spans="5:9" x14ac:dyDescent="0.35">
      <c r="E26" s="26"/>
    </row>
    <row r="27" spans="5:9" x14ac:dyDescent="0.35">
      <c r="E27" s="26"/>
    </row>
    <row r="28" spans="5:9" x14ac:dyDescent="0.35">
      <c r="E28" s="26"/>
    </row>
    <row r="29" spans="5:9" x14ac:dyDescent="0.35">
      <c r="E29" s="26"/>
    </row>
    <row r="30" spans="5:9" x14ac:dyDescent="0.35">
      <c r="E30" s="26"/>
    </row>
    <row r="31" spans="5:9" x14ac:dyDescent="0.35">
      <c r="E31" s="26"/>
    </row>
    <row r="32" spans="5:9" x14ac:dyDescent="0.35">
      <c r="E32" s="26"/>
    </row>
    <row r="33" spans="5:5" x14ac:dyDescent="0.35">
      <c r="E33" s="26"/>
    </row>
    <row r="34" spans="5:5" x14ac:dyDescent="0.35">
      <c r="E34" s="26"/>
    </row>
    <row r="35" spans="5:5" x14ac:dyDescent="0.35">
      <c r="E35" s="26"/>
    </row>
    <row r="36" spans="5:5" x14ac:dyDescent="0.35">
      <c r="E36" s="26"/>
    </row>
    <row r="37" spans="5:5" x14ac:dyDescent="0.35">
      <c r="E37" s="26"/>
    </row>
    <row r="38" spans="5:5" x14ac:dyDescent="0.35">
      <c r="E38" s="26"/>
    </row>
    <row r="39" spans="5:5" x14ac:dyDescent="0.35">
      <c r="E39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299AF-62CD-451F-B110-FAFEC052B5A7}">
  <dimension ref="A1:O63"/>
  <sheetViews>
    <sheetView topLeftCell="C15" workbookViewId="0">
      <selection activeCell="O52" sqref="O52"/>
    </sheetView>
  </sheetViews>
  <sheetFormatPr defaultRowHeight="14.5" x14ac:dyDescent="0.35"/>
  <cols>
    <col min="1" max="1" width="41.453125" bestFit="1" customWidth="1"/>
    <col min="2" max="2" width="17.1796875" customWidth="1"/>
    <col min="3" max="3" width="5.81640625" customWidth="1"/>
    <col min="4" max="4" width="13.1796875" customWidth="1"/>
    <col min="5" max="5" width="5.453125" customWidth="1"/>
    <col min="6" max="6" width="10.1796875" customWidth="1"/>
    <col min="7" max="8" width="12.26953125" customWidth="1"/>
    <col min="9" max="9" width="14.54296875" bestFit="1" customWidth="1"/>
    <col min="10" max="10" width="5.7265625" customWidth="1"/>
    <col min="11" max="11" width="35.1796875" bestFit="1" customWidth="1"/>
    <col min="12" max="12" width="35.54296875" bestFit="1" customWidth="1"/>
    <col min="13" max="13" width="62.81640625" bestFit="1" customWidth="1"/>
    <col min="14" max="14" width="12" bestFit="1" customWidth="1"/>
    <col min="15" max="15" width="23.453125" bestFit="1" customWidth="1"/>
  </cols>
  <sheetData>
    <row r="1" spans="1:15" x14ac:dyDescent="0.35">
      <c r="A1" t="s">
        <v>54</v>
      </c>
      <c r="D1" t="str">
        <f>'[1]M1#1'!D16</f>
        <v>liter per minuut</v>
      </c>
      <c r="M1" t="str">
        <f>'[1]M1#1'!M16</f>
        <v>% per interval</v>
      </c>
    </row>
    <row r="2" spans="1:15" x14ac:dyDescent="0.35">
      <c r="A2" t="str">
        <f>'[1]M1#1'!B17</f>
        <v>Eerste wasfles</v>
      </c>
      <c r="K2" t="str">
        <f>'[1]M1#1'!K17</f>
        <v>per interval emission</v>
      </c>
      <c r="L2" t="str">
        <f>'[1]M1#1'!L17</f>
        <v>emission cumulative</v>
      </c>
      <c r="M2" t="str">
        <f>'[1]M1#1'!M17</f>
        <v>N-NH3 vervluchtigd als percentage van N-MIN toegediend met mest</v>
      </c>
    </row>
    <row r="3" spans="1:15" x14ac:dyDescent="0.35">
      <c r="A3" t="str">
        <f>'[1]M1#1'!B18</f>
        <v>Uren na mesttoediening (h after application)</v>
      </c>
      <c r="C3" t="str">
        <f>'[1]M1#1'!C18</f>
        <v>Monstercode</v>
      </c>
      <c r="D3" t="str">
        <f>'[1]M1#1'!D18</f>
        <v>[N-NH4] (mg/l = ug/ml)</v>
      </c>
      <c r="E3" t="str">
        <f>'[1]M1#1'!E18</f>
        <v>Volume (ml)</v>
      </c>
      <c r="F3" t="str">
        <f>'[1]M1#1'!F18</f>
        <v>mg N-NH4 in buis</v>
      </c>
      <c r="G3" t="str">
        <f>'[1]M1#1'!G18</f>
        <v>mg NH3 geabsorbeerd</v>
      </c>
      <c r="H3" t="str">
        <f>'[1]M1#1'!H18</f>
        <v>m3 lucht bemonsterd</v>
      </c>
      <c r="I3" t="str">
        <f>'[1]M1#1'!I18</f>
        <v>[NH3] in ug/m3</v>
      </c>
      <c r="K3" t="str">
        <f>'[1]M1#1'!K18</f>
        <v>N-NH3 in periode vervluchtigd (mg N)</v>
      </c>
      <c r="L3" t="str">
        <f>'[1]M1#1'!L18</f>
        <v>N-NH3 cumulatief vervluchtigd (mg N)</v>
      </c>
      <c r="M3" t="str">
        <f>'[1]M1#1'!M18</f>
        <v>in deze periode</v>
      </c>
      <c r="N3" t="str">
        <f>'[1]M1#1'!N18</f>
        <v>cumulatief</v>
      </c>
      <c r="O3" t="s">
        <v>60</v>
      </c>
    </row>
    <row r="4" spans="1:15" x14ac:dyDescent="0.35">
      <c r="A4">
        <f>'[1]M1#1'!B19</f>
        <v>0.99999999994179234</v>
      </c>
      <c r="B4">
        <f>A4</f>
        <v>0.99999999994179234</v>
      </c>
      <c r="C4" t="str">
        <f>'[1]M1#1'!C19</f>
        <v>M1.1u.#1</v>
      </c>
      <c r="D4">
        <f>'[1]M1#1'!D19</f>
        <v>4.9441543974124063</v>
      </c>
      <c r="E4">
        <f>'[1]M1#1'!E19</f>
        <v>100.16000000000001</v>
      </c>
      <c r="F4">
        <f>'[1]M1#1'!F19</f>
        <v>0.49520650444482667</v>
      </c>
      <c r="G4">
        <f>'[1]M1#1'!G19</f>
        <v>0.60132218396871806</v>
      </c>
      <c r="H4">
        <f>'[1]M1#1'!H19</f>
        <v>0.23999999998603017</v>
      </c>
      <c r="I4">
        <f>'[1]M1#1'!I19</f>
        <v>2505.5091000154985</v>
      </c>
      <c r="K4">
        <f>'[1]M1#1'!K19</f>
        <v>0.49520650444482667</v>
      </c>
      <c r="L4">
        <f>'[1]M1#1'!L19</f>
        <v>0.49520650444482667</v>
      </c>
      <c r="M4">
        <f>'[1]M1#1'!M19</f>
        <v>4.0493777552483125E-3</v>
      </c>
      <c r="N4">
        <f>'[1]M1#1'!N19</f>
        <v>4.0493777552483125E-3</v>
      </c>
      <c r="O4" s="18">
        <f>K4/B4/((0.26/2)^2*PI())*1000/3600</f>
        <v>2.5908797842945566</v>
      </c>
    </row>
    <row r="5" spans="1:15" x14ac:dyDescent="0.35">
      <c r="A5">
        <f>'[1]M1#1'!B20</f>
        <v>3</v>
      </c>
      <c r="B5">
        <f>A5-A4</f>
        <v>2.0000000000582077</v>
      </c>
      <c r="C5" t="str">
        <f>'[1]M1#1'!C20</f>
        <v>M1.3u.#1</v>
      </c>
      <c r="D5">
        <f>'[1]M1#1'!D20</f>
        <v>15.001916168780891</v>
      </c>
      <c r="E5">
        <f>'[1]M1#1'!E20</f>
        <v>98.99</v>
      </c>
      <c r="F5">
        <f>'[1]M1#1'!F20</f>
        <v>1.4850396815476203</v>
      </c>
      <c r="G5">
        <f>'[1]M1#1'!G20</f>
        <v>1.8032624704506817</v>
      </c>
      <c r="H5">
        <f>'[1]M1#1'!H20</f>
        <v>0.48000000001396986</v>
      </c>
      <c r="I5">
        <f>'[1]M1#1'!I20</f>
        <v>3756.7968133295826</v>
      </c>
      <c r="K5">
        <f>'[1]M1#1'!K20</f>
        <v>1.4850396815476203</v>
      </c>
      <c r="L5">
        <f>'[1]M1#1'!L20</f>
        <v>1.980246185992447</v>
      </c>
      <c r="M5">
        <f>'[1]M1#1'!M20</f>
        <v>1.2143391894380828E-2</v>
      </c>
      <c r="N5">
        <f>'[1]M1#1'!N20</f>
        <v>1.6192769649629138E-2</v>
      </c>
      <c r="O5" s="18">
        <f t="shared" ref="O5:O14" si="0">K5/B5/((0.26/2)^2*PI())*1000/3600</f>
        <v>3.884802859944759</v>
      </c>
    </row>
    <row r="6" spans="1:15" x14ac:dyDescent="0.35">
      <c r="A6">
        <f>'[1]M1#1'!B21</f>
        <v>6</v>
      </c>
      <c r="B6">
        <f t="shared" ref="B6:B14" si="1">A6-A5</f>
        <v>3</v>
      </c>
      <c r="C6" t="str">
        <f>'[1]M1#1'!C21</f>
        <v>M1.7u.#1</v>
      </c>
      <c r="D6">
        <f>'[1]M1#1'!D21</f>
        <v>22.584020694356354</v>
      </c>
      <c r="E6">
        <f>'[1]M1#1'!E21</f>
        <v>98.72999999999999</v>
      </c>
      <c r="F6">
        <f>'[1]M1#1'!F21</f>
        <v>2.229720363153803</v>
      </c>
      <c r="G6">
        <f>'[1]M1#1'!G21</f>
        <v>2.7075175838296177</v>
      </c>
      <c r="H6">
        <f>'[1]M1#1'!H21</f>
        <v>0.72</v>
      </c>
      <c r="I6">
        <f>'[1]M1#1'!I21</f>
        <v>3760.4410886522469</v>
      </c>
      <c r="K6">
        <f>'[1]M1#1'!K21</f>
        <v>2.229720363153803</v>
      </c>
      <c r="L6">
        <f>'[1]M1#1'!L21</f>
        <v>4.2099665491462499</v>
      </c>
      <c r="M6">
        <f>'[1]M1#1'!M21</f>
        <v>1.8232757360692464E-2</v>
      </c>
      <c r="N6">
        <f>'[1]M1#1'!N21</f>
        <v>3.4425527010321602E-2</v>
      </c>
      <c r="O6" s="18">
        <f t="shared" si="0"/>
        <v>3.888571307348057</v>
      </c>
    </row>
    <row r="7" spans="1:15" x14ac:dyDescent="0.35">
      <c r="A7">
        <f>'[1]M1#1'!B22</f>
        <v>22.450000000011642</v>
      </c>
      <c r="B7">
        <f t="shared" si="1"/>
        <v>16.450000000011642</v>
      </c>
      <c r="C7" t="str">
        <f>'[1]M1#1'!C22</f>
        <v>M1.1d.#1</v>
      </c>
      <c r="D7">
        <f>'[1]M1#1'!D22</f>
        <v>67.680189015117506</v>
      </c>
      <c r="E7">
        <f>'[1]M1#1'!E22</f>
        <v>99.039999999999992</v>
      </c>
      <c r="F7">
        <f>'[1]M1#1'!F22</f>
        <v>6.703045920057237</v>
      </c>
      <c r="G7">
        <f>'[1]M1#1'!G22</f>
        <v>8.1394129029266455</v>
      </c>
      <c r="H7">
        <f>'[1]M1#1'!H22</f>
        <v>3.9480000000027942</v>
      </c>
      <c r="I7">
        <f>'[1]M1#1'!I22</f>
        <v>2061.6547373153203</v>
      </c>
      <c r="K7">
        <f>'[1]M1#1'!K22</f>
        <v>6.703045920057237</v>
      </c>
      <c r="L7">
        <f>'[1]M1#1'!L22</f>
        <v>10.913012469203487</v>
      </c>
      <c r="M7">
        <f>'[1]M1#1'!M22</f>
        <v>5.4811810421427701E-2</v>
      </c>
      <c r="N7">
        <f>'[1]M1#1'!N22</f>
        <v>8.9237337431749303E-2</v>
      </c>
      <c r="O7" s="18">
        <f t="shared" si="0"/>
        <v>2.1319018881521226</v>
      </c>
    </row>
    <row r="8" spans="1:15" x14ac:dyDescent="0.35">
      <c r="A8">
        <f>'[1]M1#1'!B23</f>
        <v>30.016666666720994</v>
      </c>
      <c r="B8">
        <f t="shared" si="1"/>
        <v>7.5666666667093523</v>
      </c>
      <c r="C8" t="str">
        <f>'[1]M1#1'!C23</f>
        <v>M1.1,5d.#1</v>
      </c>
      <c r="D8">
        <f>'[1]M1#1'!D23</f>
        <v>17.243194506853019</v>
      </c>
      <c r="E8">
        <f>'[1]M1#1'!E23</f>
        <v>99.353692307692313</v>
      </c>
      <c r="F8">
        <f>'[1]M1#1'!F23</f>
        <v>1.7131750414355651</v>
      </c>
      <c r="G8">
        <f>'[1]M1#1'!G23</f>
        <v>2.0802839788860434</v>
      </c>
      <c r="H8">
        <f>'[1]M1#1'!H23</f>
        <v>1.8160000000102445</v>
      </c>
      <c r="I8">
        <f>'[1]M1#1'!I23</f>
        <v>1145.5308253713149</v>
      </c>
      <c r="K8">
        <f>'[1]M1#1'!K23</f>
        <v>1.7131750414355651</v>
      </c>
      <c r="L8">
        <f>'[1]M1#1'!L23</f>
        <v>12.626187510639053</v>
      </c>
      <c r="M8">
        <f>'[1]M1#1'!M23</f>
        <v>1.4008888900627717E-2</v>
      </c>
      <c r="N8">
        <f>'[1]M1#1'!N23</f>
        <v>0.10324622633237703</v>
      </c>
      <c r="O8" s="18">
        <f t="shared" si="0"/>
        <v>1.1845627133114138</v>
      </c>
    </row>
    <row r="9" spans="1:15" x14ac:dyDescent="0.35">
      <c r="A9">
        <f>'[1]M1#1'!B24</f>
        <v>46.450000000011642</v>
      </c>
      <c r="B9">
        <f t="shared" si="1"/>
        <v>16.433333333290648</v>
      </c>
      <c r="C9" t="str">
        <f>'[1]M1#1'!C24</f>
        <v>M1.2d.#1</v>
      </c>
      <c r="D9">
        <f>'[1]M1#1'!D24</f>
        <v>31.352830539676475</v>
      </c>
      <c r="E9">
        <f>'[1]M1#1'!E24</f>
        <v>98.740000000000009</v>
      </c>
      <c r="F9">
        <f>'[1]M1#1'!F24</f>
        <v>3.0957784874876557</v>
      </c>
      <c r="G9">
        <f>'[1]M1#1'!G24</f>
        <v>3.7591595919492962</v>
      </c>
      <c r="H9">
        <f>'[1]M1#1'!H24</f>
        <v>3.9439999999897553</v>
      </c>
      <c r="I9">
        <f>'[1]M1#1'!I24</f>
        <v>953.13377078069493</v>
      </c>
      <c r="K9">
        <f>'[1]M1#1'!K24</f>
        <v>3.0957784874876557</v>
      </c>
      <c r="L9">
        <f>'[1]M1#1'!L24</f>
        <v>15.721965998126709</v>
      </c>
      <c r="M9">
        <f>'[1]M1#1'!M24</f>
        <v>2.5314644355212568E-2</v>
      </c>
      <c r="N9">
        <f>'[1]M1#1'!N24</f>
        <v>0.12856087068758959</v>
      </c>
      <c r="O9" s="18">
        <f t="shared" si="0"/>
        <v>0.98561007758018859</v>
      </c>
    </row>
    <row r="10" spans="1:15" x14ac:dyDescent="0.35">
      <c r="A10">
        <f>'[1]M1#1'!B25</f>
        <v>70.450000000011642</v>
      </c>
      <c r="B10">
        <f t="shared" si="1"/>
        <v>24</v>
      </c>
      <c r="C10" t="str">
        <f>'[1]M1#1'!C25</f>
        <v>M1.3d.#1</v>
      </c>
      <c r="D10">
        <f>'[1]M1#1'!D25</f>
        <v>30.282951992584657</v>
      </c>
      <c r="E10">
        <f>'[1]M1#1'!E25</f>
        <v>98.78</v>
      </c>
      <c r="F10">
        <f>'[1]M1#1'!F25</f>
        <v>2.9913499978275127</v>
      </c>
      <c r="G10">
        <f>'[1]M1#1'!G25</f>
        <v>3.6323535687905513</v>
      </c>
      <c r="H10">
        <f>'[1]M1#1'!H25</f>
        <v>5.76</v>
      </c>
      <c r="I10">
        <f>'[1]M1#1'!I25</f>
        <v>630.6169390261374</v>
      </c>
      <c r="K10">
        <f>'[1]M1#1'!K25</f>
        <v>2.9913499978275127</v>
      </c>
      <c r="L10">
        <f>'[1]M1#1'!L25</f>
        <v>18.713315995954222</v>
      </c>
      <c r="M10">
        <f>'[1]M1#1'!M25</f>
        <v>2.4460716954727312E-2</v>
      </c>
      <c r="N10">
        <f>'[1]M1#1'!N25</f>
        <v>0.15302158764231691</v>
      </c>
      <c r="O10" s="18">
        <f t="shared" si="0"/>
        <v>0.65210406896802942</v>
      </c>
    </row>
    <row r="11" spans="1:15" x14ac:dyDescent="0.35">
      <c r="A11">
        <f>'[1]M1#1'!B26</f>
        <v>94.616666666697711</v>
      </c>
      <c r="B11">
        <f t="shared" si="1"/>
        <v>24.166666666686069</v>
      </c>
      <c r="C11" t="str">
        <f>'[1]M1#1'!C26</f>
        <v>M1.4d.#1</v>
      </c>
      <c r="D11">
        <f>'[1]M1#1'!D26</f>
        <v>18.796270939814121</v>
      </c>
      <c r="E11">
        <f>'[1]M1#1'!E26</f>
        <v>100.09</v>
      </c>
      <c r="F11">
        <f>'[1]M1#1'!F26</f>
        <v>1.8813187583659956</v>
      </c>
      <c r="G11">
        <f>'[1]M1#1'!G26</f>
        <v>2.2844584923015661</v>
      </c>
      <c r="H11">
        <f>'[1]M1#1'!H26</f>
        <v>5.8000000000046565</v>
      </c>
      <c r="I11">
        <f>'[1]M1#1'!I26</f>
        <v>393.87215384478134</v>
      </c>
      <c r="K11">
        <f>'[1]M1#1'!K26</f>
        <v>1.8813187583659956</v>
      </c>
      <c r="L11">
        <f>'[1]M1#1'!L26</f>
        <v>20.594634754320218</v>
      </c>
      <c r="M11">
        <f>'[1]M1#1'!M26</f>
        <v>1.5383825257302157E-2</v>
      </c>
      <c r="N11">
        <f>'[1]M1#1'!N26</f>
        <v>0.16840541289961908</v>
      </c>
      <c r="O11" s="18">
        <f t="shared" si="0"/>
        <v>0.40729263405456678</v>
      </c>
    </row>
    <row r="12" spans="1:15" x14ac:dyDescent="0.35">
      <c r="A12">
        <f>'[1]M1#1'!B27</f>
        <v>118.53333333326736</v>
      </c>
      <c r="B12">
        <f t="shared" si="1"/>
        <v>23.916666666569654</v>
      </c>
      <c r="C12" t="str">
        <f>'[1]M1#1'!C27</f>
        <v>M1.5d.#1</v>
      </c>
      <c r="D12">
        <f>'[1]M1#1'!D27</f>
        <v>17.431314743556101</v>
      </c>
      <c r="E12">
        <f>'[1]M1#1'!E27</f>
        <v>99.81</v>
      </c>
      <c r="F12">
        <f>'[1]M1#1'!F27</f>
        <v>1.7398195245543344</v>
      </c>
      <c r="G12">
        <f>'[1]M1#1'!G27</f>
        <v>2.112637994101692</v>
      </c>
      <c r="H12">
        <f>'[1]M1#1'!H27</f>
        <v>5.7399999999767166</v>
      </c>
      <c r="I12">
        <f>'[1]M1#1'!I27</f>
        <v>368.05539967077732</v>
      </c>
      <c r="K12">
        <f>'[1]M1#1'!K27</f>
        <v>1.7398195245543344</v>
      </c>
      <c r="L12">
        <f>'[1]M1#1'!L27</f>
        <v>22.334454278874553</v>
      </c>
      <c r="M12">
        <f>'[1]M1#1'!M27</f>
        <v>1.4226764829705411E-2</v>
      </c>
      <c r="N12">
        <f>'[1]M1#1'!N27</f>
        <v>0.1826321777293245</v>
      </c>
      <c r="O12" s="18">
        <f t="shared" si="0"/>
        <v>0.38059622074474658</v>
      </c>
    </row>
    <row r="13" spans="1:15" x14ac:dyDescent="0.35">
      <c r="A13">
        <f>'[1]M1#1'!B28</f>
        <v>142.45000000001164</v>
      </c>
      <c r="B13">
        <f t="shared" si="1"/>
        <v>23.916666666744277</v>
      </c>
      <c r="C13" t="str">
        <f>'[1]M1#1'!C28</f>
        <v>M1.6d.#1</v>
      </c>
      <c r="D13">
        <f>'[1]M1#1'!D28</f>
        <v>16.307233170167144</v>
      </c>
      <c r="E13">
        <f>'[1]M1#1'!E28</f>
        <v>98.800000000000011</v>
      </c>
      <c r="F13">
        <f>'[1]M1#1'!F28</f>
        <v>1.6111546372125141</v>
      </c>
      <c r="G13">
        <f>'[1]M1#1'!G28</f>
        <v>1.9564020594723386</v>
      </c>
      <c r="H13">
        <f>'[1]M1#1'!H28</f>
        <v>5.7400000000186262</v>
      </c>
      <c r="I13">
        <f>'[1]M1#1'!I28</f>
        <v>340.83659572578222</v>
      </c>
      <c r="K13">
        <f>'[1]M1#1'!K28</f>
        <v>1.6111546372125141</v>
      </c>
      <c r="L13">
        <f>'[1]M1#1'!L28</f>
        <v>23.945608916087068</v>
      </c>
      <c r="M13">
        <f>'[1]M1#1'!M28</f>
        <v>1.3174652775426961E-2</v>
      </c>
      <c r="N13">
        <f>'[1]M1#1'!N28</f>
        <v>0.19580683050475145</v>
      </c>
      <c r="O13" s="18">
        <f t="shared" si="0"/>
        <v>0.35244998535756394</v>
      </c>
    </row>
    <row r="14" spans="1:15" x14ac:dyDescent="0.35">
      <c r="A14">
        <f>'[1]M1#1'!B29</f>
        <v>166.45000000001164</v>
      </c>
      <c r="B14">
        <f t="shared" si="1"/>
        <v>24</v>
      </c>
      <c r="C14" t="str">
        <f>'[1]M1#1'!C29</f>
        <v>M1.7d.#1</v>
      </c>
      <c r="D14">
        <f>'[1]M1#1'!D29</f>
        <v>12.40213191461371</v>
      </c>
      <c r="E14">
        <f>'[1]M1#1'!E29</f>
        <v>99.82</v>
      </c>
      <c r="F14">
        <f>'[1]M1#1'!F29</f>
        <v>1.2379808077167405</v>
      </c>
      <c r="G14">
        <f>'[1]M1#1'!G29</f>
        <v>1.5032624093703277</v>
      </c>
      <c r="H14">
        <f>'[1]M1#1'!H29</f>
        <v>5.76</v>
      </c>
      <c r="I14">
        <f>'[1]M1#1'!I29</f>
        <v>260.9830571823486</v>
      </c>
      <c r="K14">
        <f>'[1]M1#1'!K29</f>
        <v>1.2379808077167405</v>
      </c>
      <c r="L14">
        <f>'[1]M1#1'!L29</f>
        <v>25.183589723803809</v>
      </c>
      <c r="M14">
        <f>'[1]M1#1'!M29</f>
        <v>1.0123154480397249E-2</v>
      </c>
      <c r="N14">
        <f>'[1]M1#1'!N29</f>
        <v>0.20592998498514872</v>
      </c>
      <c r="O14" s="18">
        <f t="shared" si="0"/>
        <v>0.26987558212937818</v>
      </c>
    </row>
    <row r="17" spans="1:15" x14ac:dyDescent="0.35">
      <c r="A17" t="s">
        <v>55</v>
      </c>
    </row>
    <row r="19" spans="1:15" x14ac:dyDescent="0.35">
      <c r="A19" t="str">
        <f>'[1]M1#2'!B17</f>
        <v>Eerste wasfles</v>
      </c>
      <c r="M19" t="str">
        <f>'[1]M1#2'!M17</f>
        <v>N-NH3 vervluchtigd als percentage van N-MIN toegediend met mest</v>
      </c>
    </row>
    <row r="20" spans="1:15" x14ac:dyDescent="0.35">
      <c r="A20" t="str">
        <f>'[1]M1#2'!B18</f>
        <v>Uren na mesttoediening</v>
      </c>
      <c r="C20" t="str">
        <f>'[1]M1#2'!C18</f>
        <v>Monstercode</v>
      </c>
      <c r="D20" t="str">
        <f>'[1]M1#2'!D18</f>
        <v>[N-NH4] (mg/l = ug/ml)</v>
      </c>
      <c r="E20" t="str">
        <f>'[1]M1#2'!E18</f>
        <v>Volume (ml)</v>
      </c>
      <c r="F20" t="str">
        <f>'[1]M1#2'!F18</f>
        <v>mg N-NH4 in buis</v>
      </c>
      <c r="G20" t="str">
        <f>'[1]M1#2'!G18</f>
        <v>mg NH3 geabsorbeerd</v>
      </c>
      <c r="H20" t="str">
        <f>'[1]M1#2'!H18</f>
        <v>m3 lucht bemonsterd</v>
      </c>
      <c r="I20" t="str">
        <f>'[1]M1#2'!I18</f>
        <v>[NH3] in ug/m3</v>
      </c>
      <c r="K20" t="str">
        <f>'[1]M1#2'!K18</f>
        <v>N-NH3 in periode vervluchtigd (mg N)</v>
      </c>
      <c r="L20" t="str">
        <f>'[1]M1#2'!L18</f>
        <v>N-NH3 cumulatief vervluchtigd (mg N)</v>
      </c>
      <c r="M20" t="str">
        <f>'[1]M1#2'!M18</f>
        <v>in deze periode</v>
      </c>
      <c r="N20" t="str">
        <f>'[1]M1#2'!N18</f>
        <v>cumulatief</v>
      </c>
      <c r="O20" t="s">
        <v>60</v>
      </c>
    </row>
    <row r="21" spans="1:15" x14ac:dyDescent="0.35">
      <c r="A21">
        <f>'[1]M1#2'!B19</f>
        <v>0.99999999994179234</v>
      </c>
      <c r="B21">
        <f>A21</f>
        <v>0.99999999994179234</v>
      </c>
      <c r="C21" t="str">
        <f>'[1]M1#2'!C19</f>
        <v>M1.1u.#2</v>
      </c>
      <c r="D21">
        <f>'[1]M1#2'!D19</f>
        <v>5.4926043523029611</v>
      </c>
      <c r="E21">
        <f>'[1]M1#2'!E19</f>
        <v>100.75</v>
      </c>
      <c r="F21">
        <f>'[1]M1#2'!F19</f>
        <v>0.55337988849452335</v>
      </c>
      <c r="G21">
        <f>'[1]M1#2'!G19</f>
        <v>0.67196129317192121</v>
      </c>
      <c r="H21">
        <f>'[1]M1#2'!H19</f>
        <v>0.23999999998603017</v>
      </c>
      <c r="I21">
        <f>'[1]M1#2'!I19</f>
        <v>2799.8387217126437</v>
      </c>
      <c r="K21">
        <f>'[1]M1#2'!K19</f>
        <v>0.55337988849452335</v>
      </c>
      <c r="L21">
        <f>'[1]M1#2'!L19</f>
        <v>0.55337988849452335</v>
      </c>
      <c r="M21">
        <f>'[1]M1#2'!M19</f>
        <v>4.5060573292824849E-3</v>
      </c>
      <c r="N21">
        <f>'[1]M1#2'!N19</f>
        <v>4.5060573292824849E-3</v>
      </c>
      <c r="O21" s="18">
        <f>K21/B21/((0.26/2)^2*PI())*1000/3600</f>
        <v>2.8952381547229376</v>
      </c>
    </row>
    <row r="22" spans="1:15" x14ac:dyDescent="0.35">
      <c r="A22">
        <f>'[1]M1#2'!B20</f>
        <v>3</v>
      </c>
      <c r="B22">
        <f>A22-A21</f>
        <v>2.0000000000582077</v>
      </c>
      <c r="C22" t="str">
        <f>'[1]M1#2'!C20</f>
        <v>M1.3u.#2</v>
      </c>
      <c r="D22">
        <f>'[1]M1#2'!D20</f>
        <v>16.85696748679306</v>
      </c>
      <c r="E22">
        <f>'[1]M1#2'!E20</f>
        <v>98.34</v>
      </c>
      <c r="F22">
        <f>'[1]M1#2'!F20</f>
        <v>1.6577141826512296</v>
      </c>
      <c r="G22">
        <f>'[1]M1#2'!G20</f>
        <v>2.0129386503622073</v>
      </c>
      <c r="H22">
        <f>'[1]M1#2'!H20</f>
        <v>0.48000000001396986</v>
      </c>
      <c r="I22">
        <f>'[1]M1#2'!I20</f>
        <v>4193.6221881325473</v>
      </c>
      <c r="K22">
        <f>'[1]M1#2'!K20</f>
        <v>1.6577141826512296</v>
      </c>
      <c r="L22">
        <f>'[1]M1#2'!L20</f>
        <v>2.211094071145753</v>
      </c>
      <c r="M22">
        <f>'[1]M1#2'!M20</f>
        <v>1.3498421785642872E-2</v>
      </c>
      <c r="N22">
        <f>'[1]M1#2'!N20</f>
        <v>1.8004479114925358E-2</v>
      </c>
      <c r="O22" s="18">
        <f t="shared" ref="O22:O31" si="2">K22/B22/((0.26/2)^2*PI())*1000/3600</f>
        <v>4.3365122681591988</v>
      </c>
    </row>
    <row r="23" spans="1:15" x14ac:dyDescent="0.35">
      <c r="A23">
        <f>'[1]M1#2'!B21</f>
        <v>6</v>
      </c>
      <c r="B23">
        <f t="shared" ref="B23:B31" si="3">A23-A22</f>
        <v>3</v>
      </c>
      <c r="C23" t="str">
        <f>'[1]M1#2'!C21</f>
        <v>M1.7u.#2</v>
      </c>
      <c r="D23">
        <f>'[1]M1#2'!D21</f>
        <v>25.971505709856832</v>
      </c>
      <c r="E23">
        <f>'[1]M1#2'!E21</f>
        <v>98.66</v>
      </c>
      <c r="F23">
        <f>'[1]M1#2'!F21</f>
        <v>2.5623487533344749</v>
      </c>
      <c r="G23">
        <f>'[1]M1#2'!G21</f>
        <v>3.1114234861918626</v>
      </c>
      <c r="H23">
        <f>'[1]M1#2'!H21</f>
        <v>0.72</v>
      </c>
      <c r="I23">
        <f>'[1]M1#2'!I21</f>
        <v>4321.4215085998094</v>
      </c>
      <c r="K23">
        <f>'[1]M1#2'!K21</f>
        <v>2.5623487533344749</v>
      </c>
      <c r="L23">
        <f>'[1]M1#2'!L21</f>
        <v>4.7734428244802274</v>
      </c>
      <c r="M23">
        <f>'[1]M1#2'!M21</f>
        <v>2.0864672931197276E-2</v>
      </c>
      <c r="N23">
        <f>'[1]M1#2'!N21</f>
        <v>3.8869152046122631E-2</v>
      </c>
      <c r="O23" s="18">
        <f t="shared" si="2"/>
        <v>4.4686661189846282</v>
      </c>
    </row>
    <row r="24" spans="1:15" x14ac:dyDescent="0.35">
      <c r="A24">
        <f>'[1]M1#2'!B22</f>
        <v>22.450000000011642</v>
      </c>
      <c r="B24">
        <f t="shared" si="3"/>
        <v>16.450000000011642</v>
      </c>
      <c r="C24" t="str">
        <f>'[1]M1#2'!C22</f>
        <v>M1.1d.#2</v>
      </c>
      <c r="D24">
        <f>'[1]M1#2'!D22</f>
        <v>82.221815403431421</v>
      </c>
      <c r="E24">
        <f>'[1]M1#2'!E22</f>
        <v>99.58</v>
      </c>
      <c r="F24">
        <f>'[1]M1#2'!F22</f>
        <v>8.1876483778737015</v>
      </c>
      <c r="G24">
        <f>'[1]M1#2'!G22</f>
        <v>9.9421444588466379</v>
      </c>
      <c r="H24">
        <f>'[1]M1#2'!H22</f>
        <v>3.9480000000027942</v>
      </c>
      <c r="I24">
        <f>'[1]M1#2'!I22</f>
        <v>2518.2736724517736</v>
      </c>
      <c r="K24">
        <f>'[1]M1#2'!K22</f>
        <v>8.1876483778737015</v>
      </c>
      <c r="L24">
        <f>'[1]M1#2'!L22</f>
        <v>12.961091202353929</v>
      </c>
      <c r="M24">
        <f>'[1]M1#2'!M22</f>
        <v>6.6670317714429869E-2</v>
      </c>
      <c r="N24">
        <f>'[1]M1#2'!N22</f>
        <v>0.10553946976055249</v>
      </c>
      <c r="O24" s="18">
        <f t="shared" si="2"/>
        <v>2.6040792864157432</v>
      </c>
    </row>
    <row r="25" spans="1:15" x14ac:dyDescent="0.35">
      <c r="A25">
        <f>'[1]M1#2'!B23</f>
        <v>30.016666666720994</v>
      </c>
      <c r="B25">
        <f t="shared" si="3"/>
        <v>7.5666666667093523</v>
      </c>
      <c r="C25" t="str">
        <f>'[1]M1#2'!C23</f>
        <v>M1.1,5d.#2</v>
      </c>
      <c r="D25">
        <f>'[1]M1#2'!D23</f>
        <v>20.878601103931494</v>
      </c>
      <c r="E25">
        <f>'[1]M1#2'!E23</f>
        <v>98.893692307692305</v>
      </c>
      <c r="F25">
        <f>'[1]M1#2'!F23</f>
        <v>2.0647619533872463</v>
      </c>
      <c r="G25">
        <f>'[1]M1#2'!G23</f>
        <v>2.5072109433987992</v>
      </c>
      <c r="H25">
        <f>'[1]M1#2'!H23</f>
        <v>1.8160000000102445</v>
      </c>
      <c r="I25">
        <f>'[1]M1#2'!I23</f>
        <v>1380.6227661809778</v>
      </c>
      <c r="K25">
        <f>'[1]M1#2'!K23</f>
        <v>2.0647619533872463</v>
      </c>
      <c r="L25">
        <f>'[1]M1#2'!L23</f>
        <v>15.025853155741174</v>
      </c>
      <c r="M25">
        <f>'[1]M1#2'!M23</f>
        <v>1.6812927117022071E-2</v>
      </c>
      <c r="N25">
        <f>'[1]M1#2'!N23</f>
        <v>0.12235239687757456</v>
      </c>
      <c r="O25" s="18">
        <f t="shared" si="2"/>
        <v>1.4276649861750645</v>
      </c>
    </row>
    <row r="26" spans="1:15" x14ac:dyDescent="0.35">
      <c r="A26">
        <f>'[1]M1#2'!B24</f>
        <v>46.450000000011642</v>
      </c>
      <c r="B26">
        <f t="shared" si="3"/>
        <v>16.433333333290648</v>
      </c>
      <c r="C26" t="str">
        <f>'[1]M1#2'!C24</f>
        <v>M1.2d.#2</v>
      </c>
      <c r="D26">
        <f>'[1]M1#2'!D24</f>
        <v>31.514571685771806</v>
      </c>
      <c r="E26">
        <f>'[1]M1#2'!E24</f>
        <v>98.36</v>
      </c>
      <c r="F26">
        <f>'[1]M1#2'!F24</f>
        <v>3.0997732710125145</v>
      </c>
      <c r="G26">
        <f>'[1]M1#2'!G24</f>
        <v>3.7640104005151964</v>
      </c>
      <c r="H26">
        <f>'[1]M1#2'!H24</f>
        <v>3.9439999999897553</v>
      </c>
      <c r="I26">
        <f>'[1]M1#2'!I24</f>
        <v>954.36369181667692</v>
      </c>
      <c r="K26">
        <f>'[1]M1#2'!K24</f>
        <v>3.0997732710125145</v>
      </c>
      <c r="L26">
        <f>'[1]M1#2'!L24</f>
        <v>18.125626426753691</v>
      </c>
      <c r="M26">
        <f>'[1]M1#2'!M24</f>
        <v>2.5240808994629951E-2</v>
      </c>
      <c r="N26">
        <f>'[1]M1#2'!N24</f>
        <v>0.14759320587220454</v>
      </c>
      <c r="O26" s="18">
        <f t="shared" si="2"/>
        <v>0.98688190594767855</v>
      </c>
    </row>
    <row r="27" spans="1:15" x14ac:dyDescent="0.35">
      <c r="A27">
        <f>'[1]M1#2'!B25</f>
        <v>70.450000000011642</v>
      </c>
      <c r="B27">
        <f t="shared" si="3"/>
        <v>24</v>
      </c>
      <c r="C27" t="str">
        <f>'[1]M1#2'!C25</f>
        <v>M1.3d.#2</v>
      </c>
      <c r="D27">
        <f>'[1]M1#2'!D25</f>
        <v>28.443040545834457</v>
      </c>
      <c r="E27">
        <f>'[1]M1#2'!E25</f>
        <v>99.509999999999991</v>
      </c>
      <c r="F27">
        <f>'[1]M1#2'!F25</f>
        <v>2.8303669647159864</v>
      </c>
      <c r="G27">
        <f>'[1]M1#2'!G25</f>
        <v>3.4368741714408406</v>
      </c>
      <c r="H27">
        <f>'[1]M1#2'!H25</f>
        <v>5.76</v>
      </c>
      <c r="I27">
        <f>'[1]M1#2'!I25</f>
        <v>596.67954365292371</v>
      </c>
      <c r="K27">
        <f>'[1]M1#2'!K25</f>
        <v>2.8303669647159864</v>
      </c>
      <c r="L27">
        <f>'[1]M1#2'!L25</f>
        <v>20.955993391469676</v>
      </c>
      <c r="M27">
        <f>'[1]M1#2'!M25</f>
        <v>2.3047089478828633E-2</v>
      </c>
      <c r="N27">
        <f>'[1]M1#2'!N25</f>
        <v>0.17064029535103314</v>
      </c>
      <c r="O27" s="18">
        <f t="shared" si="2"/>
        <v>0.61701031831929831</v>
      </c>
    </row>
    <row r="28" spans="1:15" x14ac:dyDescent="0.35">
      <c r="A28">
        <f>'[1]M1#2'!B26</f>
        <v>94.616666666697711</v>
      </c>
      <c r="B28">
        <f t="shared" si="3"/>
        <v>24.166666666686069</v>
      </c>
      <c r="C28" t="str">
        <f>'[1]M1#2'!C26</f>
        <v>M1.4d.#2</v>
      </c>
      <c r="D28">
        <f>'[1]M1#2'!D26</f>
        <v>18.153938612163287</v>
      </c>
      <c r="E28">
        <f>'[1]M1#2'!E26</f>
        <v>99.36</v>
      </c>
      <c r="F28">
        <f>'[1]M1#2'!F26</f>
        <v>1.8037753405045442</v>
      </c>
      <c r="G28">
        <f>'[1]M1#2'!G26</f>
        <v>2.1902986277555181</v>
      </c>
      <c r="H28">
        <f>'[1]M1#2'!H26</f>
        <v>5.8000000000046565</v>
      </c>
      <c r="I28">
        <f>'[1]M1#2'!I26</f>
        <v>377.63769444030339</v>
      </c>
      <c r="K28">
        <f>'[1]M1#2'!K26</f>
        <v>1.8037753405045442</v>
      </c>
      <c r="L28">
        <f>'[1]M1#2'!L26</f>
        <v>22.759768731974219</v>
      </c>
      <c r="M28">
        <f>'[1]M1#2'!M26</f>
        <v>1.4687767413397699E-2</v>
      </c>
      <c r="N28">
        <f>'[1]M1#2'!N26</f>
        <v>0.18532806276443084</v>
      </c>
      <c r="O28" s="18">
        <f t="shared" si="2"/>
        <v>0.39050501485184569</v>
      </c>
    </row>
    <row r="29" spans="1:15" x14ac:dyDescent="0.35">
      <c r="A29">
        <f>'[1]M1#2'!B27</f>
        <v>118.53333333326736</v>
      </c>
      <c r="B29">
        <f t="shared" si="3"/>
        <v>23.916666666569654</v>
      </c>
      <c r="C29" t="str">
        <f>'[1]M1#2'!C27</f>
        <v>M1.5d.#2</v>
      </c>
      <c r="D29">
        <f>'[1]M1#2'!D27</f>
        <v>17.270731661643389</v>
      </c>
      <c r="E29">
        <f>'[1]M1#2'!E27</f>
        <v>97.85</v>
      </c>
      <c r="F29">
        <f>'[1]M1#2'!F27</f>
        <v>1.6899410930918055</v>
      </c>
      <c r="G29">
        <f>'[1]M1#2'!G27</f>
        <v>2.0520713273257636</v>
      </c>
      <c r="H29">
        <f>'[1]M1#2'!H27</f>
        <v>5.7399999999767166</v>
      </c>
      <c r="I29">
        <f>'[1]M1#2'!I27</f>
        <v>357.50371556342986</v>
      </c>
      <c r="K29">
        <f>'[1]M1#2'!K27</f>
        <v>1.6899410930918055</v>
      </c>
      <c r="L29">
        <f>'[1]M1#2'!L27</f>
        <v>24.449709825066023</v>
      </c>
      <c r="M29">
        <f>'[1]M1#2'!M27</f>
        <v>1.3760838814179905E-2</v>
      </c>
      <c r="N29">
        <f>'[1]M1#2'!N27</f>
        <v>0.19908890157861073</v>
      </c>
      <c r="O29" s="18">
        <f t="shared" si="2"/>
        <v>0.36968500711402419</v>
      </c>
    </row>
    <row r="30" spans="1:15" x14ac:dyDescent="0.35">
      <c r="A30">
        <f>'[1]M1#2'!B28</f>
        <v>142.45000000001164</v>
      </c>
      <c r="B30">
        <f t="shared" si="3"/>
        <v>23.916666666744277</v>
      </c>
      <c r="C30" t="str">
        <f>'[1]M1#2'!C28</f>
        <v>M1.6d.#2</v>
      </c>
      <c r="D30">
        <f>'[1]M1#2'!D28</f>
        <v>16.467816252079853</v>
      </c>
      <c r="E30">
        <f>'[1]M1#2'!E28</f>
        <v>96.64</v>
      </c>
      <c r="F30">
        <f>'[1]M1#2'!F28</f>
        <v>1.5914497626009969</v>
      </c>
      <c r="G30">
        <f>'[1]M1#2'!G28</f>
        <v>1.932474711729782</v>
      </c>
      <c r="H30">
        <f>'[1]M1#2'!H28</f>
        <v>5.7400000000186262</v>
      </c>
      <c r="I30">
        <f>'[1]M1#2'!I28</f>
        <v>336.66806824451413</v>
      </c>
      <c r="K30">
        <f>'[1]M1#2'!K28</f>
        <v>1.5914497626009969</v>
      </c>
      <c r="L30">
        <f>'[1]M1#2'!L28</f>
        <v>26.041159587667021</v>
      </c>
      <c r="M30">
        <f>'[1]M1#2'!M28</f>
        <v>1.2958844396138666E-2</v>
      </c>
      <c r="N30">
        <f>'[1]M1#2'!N28</f>
        <v>0.2120477459747494</v>
      </c>
      <c r="O30" s="18">
        <f t="shared" si="2"/>
        <v>0.34813942285295069</v>
      </c>
    </row>
    <row r="31" spans="1:15" x14ac:dyDescent="0.35">
      <c r="A31">
        <f>'[1]M1#2'!B29</f>
        <v>166.45000000001164</v>
      </c>
      <c r="B31">
        <f t="shared" si="3"/>
        <v>24</v>
      </c>
      <c r="C31" t="str">
        <f>'[1]M1#2'!C29</f>
        <v>M1.7d.#2</v>
      </c>
      <c r="D31">
        <f>'[1]M1#2'!D29</f>
        <v>12.241441712715666</v>
      </c>
      <c r="E31">
        <f>'[1]M1#2'!E29</f>
        <v>97.67</v>
      </c>
      <c r="F31">
        <f>'[1]M1#2'!F29</f>
        <v>1.1956216120809391</v>
      </c>
      <c r="G31">
        <f>'[1]M1#2'!G29</f>
        <v>1.4518262432411402</v>
      </c>
      <c r="H31">
        <f>'[1]M1#2'!H29</f>
        <v>5.76</v>
      </c>
      <c r="I31">
        <f>'[1]M1#2'!I29</f>
        <v>252.05316722936462</v>
      </c>
      <c r="K31">
        <f>'[1]M1#2'!K29</f>
        <v>1.1956216120809391</v>
      </c>
      <c r="L31">
        <f>'[1]M1#2'!L29</f>
        <v>27.236781199747959</v>
      </c>
      <c r="M31">
        <f>'[1]M1#2'!M29</f>
        <v>9.7356980985028613E-3</v>
      </c>
      <c r="N31">
        <f>'[1]M1#2'!N29</f>
        <v>0.22178344407325226</v>
      </c>
      <c r="O31" s="18">
        <f t="shared" si="2"/>
        <v>0.26064142235122451</v>
      </c>
    </row>
    <row r="33" spans="1:15" x14ac:dyDescent="0.35">
      <c r="A33" t="s">
        <v>56</v>
      </c>
    </row>
    <row r="35" spans="1:15" x14ac:dyDescent="0.35">
      <c r="A35" t="str">
        <f>'[1]M1#3'!B17</f>
        <v>Eerste wasfles</v>
      </c>
      <c r="M35" t="str">
        <f>'[1]M1#3'!M17</f>
        <v>N-NH3 vervluchtigd als percentage van N-MIN toegediend met mest</v>
      </c>
    </row>
    <row r="36" spans="1:15" x14ac:dyDescent="0.35">
      <c r="A36" t="str">
        <f>'[1]M1#3'!B18</f>
        <v>Uren na mesttoediening</v>
      </c>
      <c r="C36" t="str">
        <f>'[1]M1#3'!C18</f>
        <v>Monstercode</v>
      </c>
      <c r="D36" t="str">
        <f>'[1]M1#3'!D18</f>
        <v>[N-NH4] (mg/l = ug/ml)</v>
      </c>
      <c r="E36" t="str">
        <f>'[1]M1#3'!E18</f>
        <v>Volume (ml)</v>
      </c>
      <c r="F36" t="str">
        <f>'[1]M1#3'!F18</f>
        <v>mg N-NH4 in buis</v>
      </c>
      <c r="G36" t="str">
        <f>'[1]M1#3'!G18</f>
        <v>mg NH3 geabsorbeerd</v>
      </c>
      <c r="H36" t="str">
        <f>'[1]M1#3'!H18</f>
        <v>m3 lucht bemonsterd</v>
      </c>
      <c r="I36" t="str">
        <f>'[1]M1#3'!I18</f>
        <v>[NH3] in ug/m3</v>
      </c>
      <c r="K36" t="str">
        <f>'[1]M1#3'!K18</f>
        <v>N-NH3 in periode vervluchtigd (mg N)</v>
      </c>
      <c r="L36" t="str">
        <f>'[1]M1#3'!L18</f>
        <v>N-NH3 cumulatief vervluchtigd (mg N)</v>
      </c>
      <c r="M36" t="str">
        <f>'[1]M1#3'!M18</f>
        <v>in deze periode</v>
      </c>
      <c r="N36" t="str">
        <f>'[1]M1#3'!N18</f>
        <v>cumulatief</v>
      </c>
      <c r="O36" t="s">
        <v>60</v>
      </c>
    </row>
    <row r="37" spans="1:15" x14ac:dyDescent="0.35">
      <c r="A37">
        <f>'[1]M1#3'!B19</f>
        <v>0.99999999994179234</v>
      </c>
      <c r="B37">
        <f>A37</f>
        <v>0.99999999994179234</v>
      </c>
      <c r="C37" t="str">
        <f>'[1]M1#3'!C19</f>
        <v>M1.1u.#3</v>
      </c>
      <c r="D37">
        <f>'[1]M1#3'!D19</f>
        <v>5.0732014456219492</v>
      </c>
      <c r="E37">
        <f>'[1]M1#3'!E19</f>
        <v>99.800000000000011</v>
      </c>
      <c r="F37">
        <f>'[1]M1#3'!F19</f>
        <v>0.50630550427307064</v>
      </c>
      <c r="G37">
        <f>'[1]M1#3'!G19</f>
        <v>0.61479954090301436</v>
      </c>
      <c r="H37">
        <f>'[1]M1#3'!H19</f>
        <v>0.23999999998603017</v>
      </c>
      <c r="I37">
        <f>'[1]M1#3'!I19</f>
        <v>2561.6647539116684</v>
      </c>
      <c r="K37">
        <f>'[1]M1#3'!K19</f>
        <v>0.50630550427307064</v>
      </c>
      <c r="L37">
        <f>'[1]M1#3'!L19</f>
        <v>0.50630550427307064</v>
      </c>
      <c r="M37">
        <f>'[1]M1#3'!M19</f>
        <v>3.9092120222449017E-3</v>
      </c>
      <c r="N37">
        <f>'[1]M1#3'!N19</f>
        <v>3.9092120222449017E-3</v>
      </c>
      <c r="O37" s="18">
        <f>K37/B37/((0.26/2)^2*PI())*1000/3600</f>
        <v>2.6489488403808137</v>
      </c>
    </row>
    <row r="38" spans="1:15" x14ac:dyDescent="0.35">
      <c r="A38">
        <f>'[1]M1#3'!B20</f>
        <v>3</v>
      </c>
      <c r="B38">
        <f>A38-A37</f>
        <v>2.0000000000582077</v>
      </c>
      <c r="C38" t="str">
        <f>'[1]M1#3'!C20</f>
        <v>M1.3u.#3</v>
      </c>
      <c r="D38">
        <f>'[1]M1#3'!D20</f>
        <v>13.993736104643846</v>
      </c>
      <c r="E38">
        <f>'[1]M1#3'!E20</f>
        <v>98.5</v>
      </c>
      <c r="F38">
        <f>'[1]M1#3'!F20</f>
        <v>1.3783830063074187</v>
      </c>
      <c r="G38">
        <f>'[1]M1#3'!G20</f>
        <v>1.6737507933732942</v>
      </c>
      <c r="H38">
        <f>'[1]M1#3'!H20</f>
        <v>0.48000000001396986</v>
      </c>
      <c r="I38">
        <f>'[1]M1#3'!I20</f>
        <v>3486.9808194262118</v>
      </c>
      <c r="K38">
        <f>'[1]M1#3'!K20</f>
        <v>1.3783830063074187</v>
      </c>
      <c r="L38">
        <f>'[1]M1#3'!L20</f>
        <v>1.8846885105804894</v>
      </c>
      <c r="M38">
        <f>'[1]M1#3'!M20</f>
        <v>1.0642569306552231E-2</v>
      </c>
      <c r="N38">
        <f>'[1]M1#3'!N20</f>
        <v>1.4551781328797133E-2</v>
      </c>
      <c r="O38" s="18">
        <f t="shared" ref="O38:O47" si="4">K38/B38/((0.26/2)^2*PI())*1000/3600</f>
        <v>3.6057933747749527</v>
      </c>
    </row>
    <row r="39" spans="1:15" x14ac:dyDescent="0.35">
      <c r="A39">
        <f>'[1]M1#3'!B21</f>
        <v>6</v>
      </c>
      <c r="B39">
        <f t="shared" ref="B39:B47" si="5">A39-A38</f>
        <v>3</v>
      </c>
      <c r="C39" t="str">
        <f>'[1]M1#3'!C21</f>
        <v>M1.7u.#3</v>
      </c>
      <c r="D39">
        <f>'[1]M1#3'!D21</f>
        <v>21.454859022522857</v>
      </c>
      <c r="E39">
        <f>'[1]M1#3'!E21</f>
        <v>98.15</v>
      </c>
      <c r="F39">
        <f>'[1]M1#3'!F21</f>
        <v>2.1057944130606185</v>
      </c>
      <c r="G39">
        <f>'[1]M1#3'!G21</f>
        <v>2.5570360730021799</v>
      </c>
      <c r="H39">
        <f>'[1]M1#3'!H21</f>
        <v>0.72</v>
      </c>
      <c r="I39">
        <f>'[1]M1#3'!I21</f>
        <v>3551.4389902808052</v>
      </c>
      <c r="K39">
        <f>'[1]M1#3'!K21</f>
        <v>2.1057944130606185</v>
      </c>
      <c r="L39">
        <f>'[1]M1#3'!L21</f>
        <v>3.9904829236411077</v>
      </c>
      <c r="M39">
        <f>'[1]M1#3'!M21</f>
        <v>1.6258951890582001E-2</v>
      </c>
      <c r="N39">
        <f>'[1]M1#3'!N21</f>
        <v>3.0810733219379133E-2</v>
      </c>
      <c r="O39" s="18">
        <f t="shared" si="4"/>
        <v>3.672447841046393</v>
      </c>
    </row>
    <row r="40" spans="1:15" x14ac:dyDescent="0.35">
      <c r="A40">
        <f>'[1]M1#3'!B22</f>
        <v>22.450000000011642</v>
      </c>
      <c r="B40">
        <f t="shared" si="5"/>
        <v>16.450000000011642</v>
      </c>
      <c r="C40" t="str">
        <f>'[1]M1#3'!C22</f>
        <v>M1.1d.#3</v>
      </c>
      <c r="D40">
        <f>'[1]M1#3'!D22</f>
        <v>81.737094523820957</v>
      </c>
      <c r="E40">
        <f>'[1]M1#3'!E22</f>
        <v>95.56</v>
      </c>
      <c r="F40">
        <f>'[1]M1#3'!F22</f>
        <v>7.8107967526963309</v>
      </c>
      <c r="G40">
        <f>'[1]M1#3'!G22</f>
        <v>9.484538913988402</v>
      </c>
      <c r="H40">
        <f>'[1]M1#3'!H22</f>
        <v>3.9480000000027942</v>
      </c>
      <c r="I40">
        <f>'[1]M1#3'!I22</f>
        <v>2402.3654797319377</v>
      </c>
      <c r="K40">
        <f>'[1]M1#3'!K22</f>
        <v>7.8107967526963309</v>
      </c>
      <c r="L40">
        <f>'[1]M1#3'!L22</f>
        <v>11.801279676337439</v>
      </c>
      <c r="M40">
        <f>'[1]M1#3'!M22</f>
        <v>6.0307581709567404E-2</v>
      </c>
      <c r="N40">
        <f>'[1]M1#3'!N22</f>
        <v>9.1118314928946537E-2</v>
      </c>
      <c r="O40" s="18">
        <f t="shared" si="4"/>
        <v>2.4842217319769735</v>
      </c>
    </row>
    <row r="41" spans="1:15" x14ac:dyDescent="0.35">
      <c r="A41">
        <f>'[1]M1#3'!B23</f>
        <v>30.016666666720994</v>
      </c>
      <c r="B41">
        <f t="shared" si="5"/>
        <v>7.5666666667093523</v>
      </c>
      <c r="C41" t="str">
        <f>'[1]M1#3'!C23</f>
        <v>M1.1,5d.#3</v>
      </c>
      <c r="D41">
        <f>'[1]M1#3'!D23</f>
        <v>20.959387917199908</v>
      </c>
      <c r="E41">
        <f>'[1]M1#3'!E23</f>
        <v>97.783692307692306</v>
      </c>
      <c r="F41">
        <f>'[1]M1#3'!F23</f>
        <v>2.0494863390530398</v>
      </c>
      <c r="G41">
        <f>'[1]M1#3'!G23</f>
        <v>2.4886619831358341</v>
      </c>
      <c r="H41">
        <f>'[1]M1#3'!H23</f>
        <v>1.8160000000102445</v>
      </c>
      <c r="I41">
        <f>'[1]M1#3'!I23</f>
        <v>1370.4085810142042</v>
      </c>
      <c r="K41">
        <f>'[1]M1#3'!K23</f>
        <v>2.0494863390530398</v>
      </c>
      <c r="L41">
        <f>'[1]M1#3'!L23</f>
        <v>13.850766015390478</v>
      </c>
      <c r="M41">
        <f>'[1]M1#3'!M23</f>
        <v>1.5824194223517093E-2</v>
      </c>
      <c r="N41">
        <f>'[1]M1#3'!N23</f>
        <v>0.10694250915246363</v>
      </c>
      <c r="O41" s="18">
        <f t="shared" si="4"/>
        <v>1.4171027711499939</v>
      </c>
    </row>
    <row r="42" spans="1:15" x14ac:dyDescent="0.35">
      <c r="A42">
        <f>'[1]M1#3'!B24</f>
        <v>46.450000000011642</v>
      </c>
      <c r="B42">
        <f t="shared" si="5"/>
        <v>16.433333333290648</v>
      </c>
      <c r="C42" t="str">
        <f>'[1]M1#3'!C24</f>
        <v>M1.2d.#3</v>
      </c>
      <c r="D42">
        <f>'[1]M1#3'!D24</f>
        <v>32.929806714105922</v>
      </c>
      <c r="E42">
        <f>'[1]M1#3'!E24</f>
        <v>95.31</v>
      </c>
      <c r="F42">
        <f>'[1]M1#3'!F24</f>
        <v>3.1385398779214357</v>
      </c>
      <c r="G42">
        <f>'[1]M1#3'!G24</f>
        <v>3.8110841374760294</v>
      </c>
      <c r="H42">
        <f>'[1]M1#3'!H24</f>
        <v>3.9439999999897553</v>
      </c>
      <c r="I42">
        <f>'[1]M1#3'!I24</f>
        <v>966.29922350048901</v>
      </c>
      <c r="K42">
        <f>'[1]M1#3'!K24</f>
        <v>3.1385398779214357</v>
      </c>
      <c r="L42">
        <f>'[1]M1#3'!L24</f>
        <v>16.989305893311915</v>
      </c>
      <c r="M42">
        <f>'[1]M1#3'!M24</f>
        <v>2.4232835154895424E-2</v>
      </c>
      <c r="N42">
        <f>'[1]M1#3'!N24</f>
        <v>0.13117534430735905</v>
      </c>
      <c r="O42" s="18">
        <f t="shared" si="4"/>
        <v>0.999224119254429</v>
      </c>
    </row>
    <row r="43" spans="1:15" x14ac:dyDescent="0.35">
      <c r="A43">
        <f>'[1]M1#3'!B25</f>
        <v>70.450000000011642</v>
      </c>
      <c r="B43">
        <f t="shared" si="5"/>
        <v>24</v>
      </c>
      <c r="C43" t="str">
        <f>'[1]M1#3'!C25</f>
        <v>M1.3d.#3</v>
      </c>
      <c r="D43">
        <f>'[1]M1#3'!D25</f>
        <v>31.802878839900043</v>
      </c>
      <c r="E43">
        <f>'[1]M1#3'!E25</f>
        <v>93.59</v>
      </c>
      <c r="F43">
        <f>'[1]M1#3'!F25</f>
        <v>2.9764314306262452</v>
      </c>
      <c r="G43">
        <f>'[1]M1#3'!G25</f>
        <v>3.6142381657604403</v>
      </c>
      <c r="H43">
        <f>'[1]M1#3'!H25</f>
        <v>5.76</v>
      </c>
      <c r="I43">
        <f>'[1]M1#3'!I25</f>
        <v>627.47190377785421</v>
      </c>
      <c r="K43">
        <f>'[1]M1#3'!K25</f>
        <v>2.9764314306262452</v>
      </c>
      <c r="L43">
        <f>'[1]M1#3'!L25</f>
        <v>19.965737323938161</v>
      </c>
      <c r="M43">
        <f>'[1]M1#3'!M25</f>
        <v>2.2981187116852323E-2</v>
      </c>
      <c r="N43">
        <f>'[1]M1#3'!N25</f>
        <v>0.15415653142421137</v>
      </c>
      <c r="O43" s="18">
        <f t="shared" si="4"/>
        <v>0.64885187234035802</v>
      </c>
    </row>
    <row r="44" spans="1:15" x14ac:dyDescent="0.35">
      <c r="A44">
        <f>'[1]M1#3'!B26</f>
        <v>94.616666666697711</v>
      </c>
      <c r="B44">
        <f t="shared" si="5"/>
        <v>24.166666666686069</v>
      </c>
      <c r="C44" t="str">
        <f>'[1]M1#3'!C26</f>
        <v>M1.4d.#3</v>
      </c>
      <c r="D44">
        <f>'[1]M1#3'!D26</f>
        <v>19.117437103639539</v>
      </c>
      <c r="E44">
        <f>'[1]M1#3'!E26</f>
        <v>96.39</v>
      </c>
      <c r="F44">
        <f>'[1]M1#3'!F26</f>
        <v>1.8427297624198151</v>
      </c>
      <c r="G44">
        <f>'[1]M1#3'!G26</f>
        <v>2.2376004257954896</v>
      </c>
      <c r="H44">
        <f>'[1]M1#3'!H26</f>
        <v>5.8000000000046565</v>
      </c>
      <c r="I44">
        <f>'[1]M1#3'!I26</f>
        <v>385.79317686098159</v>
      </c>
      <c r="K44">
        <f>'[1]M1#3'!K26</f>
        <v>1.8427297624198151</v>
      </c>
      <c r="L44">
        <f>'[1]M1#3'!L26</f>
        <v>21.808467086357975</v>
      </c>
      <c r="M44">
        <f>'[1]M1#3'!M26</f>
        <v>1.422781557815108E-2</v>
      </c>
      <c r="N44">
        <f>'[1]M1#3'!N26</f>
        <v>0.16838434700236246</v>
      </c>
      <c r="O44" s="18">
        <f t="shared" si="4"/>
        <v>0.39893838056373804</v>
      </c>
    </row>
    <row r="45" spans="1:15" x14ac:dyDescent="0.35">
      <c r="A45">
        <f>'[1]M1#3'!B27</f>
        <v>118.53333333326736</v>
      </c>
      <c r="B45">
        <f t="shared" si="5"/>
        <v>23.916666666569654</v>
      </c>
      <c r="C45" t="str">
        <f>'[1]M1#3'!C27</f>
        <v>M1.5d.#3</v>
      </c>
      <c r="D45">
        <f>'[1]M1#3'!D27</f>
        <v>18.796270939814121</v>
      </c>
      <c r="E45">
        <f>'[1]M1#3'!E27</f>
        <v>95.149999999999991</v>
      </c>
      <c r="F45">
        <f>'[1]M1#3'!F27</f>
        <v>1.7884651799233136</v>
      </c>
      <c r="G45">
        <f>'[1]M1#3'!G27</f>
        <v>2.1717077184783093</v>
      </c>
      <c r="H45">
        <f>'[1]M1#3'!H27</f>
        <v>5.7399999999767166</v>
      </c>
      <c r="I45">
        <f>'[1]M1#3'!I27</f>
        <v>378.34629241935863</v>
      </c>
      <c r="K45">
        <f>'[1]M1#3'!K27</f>
        <v>1.7884651799233136</v>
      </c>
      <c r="L45">
        <f>'[1]M1#3'!L27</f>
        <v>23.596932266281289</v>
      </c>
      <c r="M45">
        <f>'[1]M1#3'!M27</f>
        <v>1.3808835818920548E-2</v>
      </c>
      <c r="N45">
        <f>'[1]M1#3'!N27</f>
        <v>0.18219318282128302</v>
      </c>
      <c r="O45" s="18">
        <f t="shared" si="4"/>
        <v>0.39123775702353231</v>
      </c>
    </row>
    <row r="46" spans="1:15" x14ac:dyDescent="0.35">
      <c r="A46">
        <f>'[1]M1#3'!B28</f>
        <v>142.45000000001164</v>
      </c>
      <c r="B46">
        <f t="shared" si="5"/>
        <v>23.916666666744277</v>
      </c>
      <c r="C46" t="str">
        <f>'[1]M1#3'!C28</f>
        <v>M1.6d.#3</v>
      </c>
      <c r="D46">
        <f>'[1]M1#3'!D28</f>
        <v>16.788982415905267</v>
      </c>
      <c r="E46">
        <f>'[1]M1#3'!E28</f>
        <v>98.38</v>
      </c>
      <c r="F46">
        <f>'[1]M1#3'!F28</f>
        <v>1.65170009007676</v>
      </c>
      <c r="G46">
        <f>'[1]M1#3'!G28</f>
        <v>2.0056358236646372</v>
      </c>
      <c r="H46">
        <f>'[1]M1#3'!H28</f>
        <v>5.7400000000186262</v>
      </c>
      <c r="I46">
        <f>'[1]M1#3'!I28</f>
        <v>349.41390656064965</v>
      </c>
      <c r="K46">
        <f>'[1]M1#3'!K28</f>
        <v>1.65170009007676</v>
      </c>
      <c r="L46">
        <f>'[1]M1#3'!L28</f>
        <v>25.248632356358048</v>
      </c>
      <c r="M46">
        <f>'[1]M1#3'!M28</f>
        <v>1.2752865206435962E-2</v>
      </c>
      <c r="N46">
        <f>'[1]M1#3'!N28</f>
        <v>0.19494604802771898</v>
      </c>
      <c r="O46" s="18">
        <f t="shared" si="4"/>
        <v>0.36131955252278836</v>
      </c>
    </row>
    <row r="47" spans="1:15" x14ac:dyDescent="0.35">
      <c r="A47">
        <f>'[1]M1#3'!B29</f>
        <v>166.45000000001164</v>
      </c>
      <c r="B47">
        <f t="shared" si="5"/>
        <v>24</v>
      </c>
      <c r="C47" t="str">
        <f>'[1]M1#3'!C29</f>
        <v>M1.7d.#3</v>
      </c>
      <c r="D47">
        <f>'[1]M1#3'!D29</f>
        <v>12.88420252030784</v>
      </c>
      <c r="E47">
        <f>'[1]M1#3'!E29</f>
        <v>95.360000000000014</v>
      </c>
      <c r="F47">
        <f>'[1]M1#3'!F29</f>
        <v>1.2286375523365558</v>
      </c>
      <c r="G47">
        <f>'[1]M1#3'!G29</f>
        <v>1.4919170278372462</v>
      </c>
      <c r="H47">
        <f>'[1]M1#3'!H29</f>
        <v>5.76</v>
      </c>
      <c r="I47">
        <f>'[1]M1#3'!I29</f>
        <v>259.0133728884108</v>
      </c>
      <c r="K47">
        <f>'[1]M1#3'!K29</f>
        <v>1.2286375523365558</v>
      </c>
      <c r="L47">
        <f>'[1]M1#3'!L29</f>
        <v>26.477269908694602</v>
      </c>
      <c r="M47">
        <f>'[1]M1#3'!M29</f>
        <v>9.4863766047172237E-3</v>
      </c>
      <c r="N47">
        <f>'[1]M1#3'!N29</f>
        <v>0.20443242463243619</v>
      </c>
      <c r="O47" s="18">
        <f t="shared" si="4"/>
        <v>0.26783878441087289</v>
      </c>
    </row>
    <row r="49" spans="1:15" x14ac:dyDescent="0.35">
      <c r="A49" t="s">
        <v>57</v>
      </c>
    </row>
    <row r="51" spans="1:15" x14ac:dyDescent="0.35">
      <c r="A51" t="str">
        <f>'[1]M1#4'!B17</f>
        <v>Eerste wasfles</v>
      </c>
      <c r="M51" t="str">
        <f>'[1]M1#4'!M17</f>
        <v>N-NH3 vervluchtigd als percentage van N-MIN toegediend met mest</v>
      </c>
    </row>
    <row r="52" spans="1:15" x14ac:dyDescent="0.35">
      <c r="A52" t="str">
        <f>'[1]M1#4'!B18</f>
        <v>Uren na mesttoediening</v>
      </c>
      <c r="C52" t="str">
        <f>'[1]M1#4'!C18</f>
        <v>Monstercode</v>
      </c>
      <c r="D52" t="str">
        <f>'[1]M1#4'!D18</f>
        <v>[N-NH4] (mg/l = ug/ml)</v>
      </c>
      <c r="E52" t="str">
        <f>'[1]M1#4'!E18</f>
        <v>Volume (ml)</v>
      </c>
      <c r="F52" t="str">
        <f>'[1]M1#4'!F18</f>
        <v>mg N-NH4 in buis</v>
      </c>
      <c r="G52" t="str">
        <f>'[1]M1#4'!G18</f>
        <v>mg NH3 geabsorbeerd</v>
      </c>
      <c r="H52" t="str">
        <f>'[1]M1#4'!H18</f>
        <v>m3 lucht bemonsterd</v>
      </c>
      <c r="I52" t="str">
        <f>'[1]M1#4'!I18</f>
        <v>[NH3] in ug/m3</v>
      </c>
      <c r="K52" t="str">
        <f>'[1]M1#4'!K18</f>
        <v>N-NH3 in periode vervluchtigd (mg N)</v>
      </c>
      <c r="L52" t="str">
        <f>'[1]M1#4'!L18</f>
        <v>N-NH3 cumulatief vervluchtigd (mg N)</v>
      </c>
      <c r="M52" t="str">
        <f>'[1]M1#4'!M18</f>
        <v>in deze periode</v>
      </c>
      <c r="N52" t="str">
        <f>'[1]M1#4'!N18</f>
        <v>cumulatief</v>
      </c>
      <c r="O52" t="s">
        <v>60</v>
      </c>
    </row>
    <row r="53" spans="1:15" x14ac:dyDescent="0.35">
      <c r="A53">
        <f>'[1]M1#4'!B19</f>
        <v>0.99999999994179234</v>
      </c>
      <c r="B53">
        <f>A53</f>
        <v>0.99999999994179234</v>
      </c>
      <c r="C53" t="str">
        <f>'[1]M1#4'!C19</f>
        <v>M1.1u.#4</v>
      </c>
      <c r="D53">
        <f>'[1]M1#4'!D19</f>
        <v>11.130386633841658</v>
      </c>
      <c r="E53">
        <f>'[1]M1#4'!E19</f>
        <v>99.59</v>
      </c>
      <c r="F53">
        <f>'[1]M1#4'!F19</f>
        <v>1.1084752048642907</v>
      </c>
      <c r="G53">
        <f>'[1]M1#4'!G19</f>
        <v>1.3460056059066388</v>
      </c>
      <c r="H53">
        <f>'[1]M1#4'!H19</f>
        <v>0.23999999998603017</v>
      </c>
      <c r="I53">
        <f>'[1]M1#4'!I19</f>
        <v>5608.3566916041109</v>
      </c>
      <c r="K53">
        <f>'[1]M1#4'!K19</f>
        <v>1.1084752048642907</v>
      </c>
      <c r="L53">
        <f>'[1]M1#4'!L19</f>
        <v>1.1084752048642907</v>
      </c>
      <c r="M53">
        <f>'[1]M1#4'!M19</f>
        <v>8.7921190778918329E-3</v>
      </c>
      <c r="N53">
        <f>'[1]M1#4'!N19</f>
        <v>8.7921190778918329E-3</v>
      </c>
      <c r="O53" s="18">
        <f>K53/B53/((0.26/2)^2*PI())*1000/3600</f>
        <v>5.7994512872854092</v>
      </c>
    </row>
    <row r="54" spans="1:15" x14ac:dyDescent="0.35">
      <c r="A54">
        <f>'[1]M1#4'!B20</f>
        <v>3</v>
      </c>
      <c r="B54">
        <f>A54-A53</f>
        <v>2.0000000000582077</v>
      </c>
      <c r="C54" t="str">
        <f>'[1]M1#4'!C20</f>
        <v>M1.3u.#4</v>
      </c>
      <c r="D54">
        <f>'[1]M1#4'!D20</f>
        <v>26.414514494812273</v>
      </c>
      <c r="E54">
        <f>'[1]M1#4'!E20</f>
        <v>98.69</v>
      </c>
      <c r="F54">
        <f>'[1]M1#4'!F20</f>
        <v>2.6068484354930233</v>
      </c>
      <c r="G54">
        <f>'[1]M1#4'!G20</f>
        <v>3.1654588145272422</v>
      </c>
      <c r="H54">
        <f>'[1]M1#4'!H20</f>
        <v>0.48000000001396986</v>
      </c>
      <c r="I54">
        <f>'[1]M1#4'!I20</f>
        <v>6594.7058634064897</v>
      </c>
      <c r="K54">
        <f>'[1]M1#4'!K20</f>
        <v>2.6068484354930233</v>
      </c>
      <c r="L54">
        <f>'[1]M1#4'!L20</f>
        <v>3.715323640357314</v>
      </c>
      <c r="M54">
        <f>'[1]M1#4'!M20</f>
        <v>2.0676801575978166E-2</v>
      </c>
      <c r="N54">
        <f>'[1]M1#4'!N20</f>
        <v>2.9468920653869999E-2</v>
      </c>
      <c r="O54" s="18">
        <f t="shared" ref="O54:O63" si="6">K54/B54/((0.26/2)^2*PI())*1000/3600</f>
        <v>6.8194085205130435</v>
      </c>
    </row>
    <row r="55" spans="1:15" x14ac:dyDescent="0.35">
      <c r="A55">
        <f>'[1]M1#4'!B21</f>
        <v>6</v>
      </c>
      <c r="B55">
        <f t="shared" ref="B55:B63" si="7">A55-A54</f>
        <v>3</v>
      </c>
      <c r="C55" t="str">
        <f>'[1]M1#4'!C21</f>
        <v>M1.7u.#4</v>
      </c>
      <c r="D55">
        <f>'[1]M1#4'!D21</f>
        <v>37.263122428191771</v>
      </c>
      <c r="E55">
        <f>'[1]M1#4'!E21</f>
        <v>98.240000000000009</v>
      </c>
      <c r="F55">
        <f>'[1]M1#4'!F21</f>
        <v>3.6607291473455597</v>
      </c>
      <c r="G55">
        <f>'[1]M1#4'!G21</f>
        <v>4.4451711074910367</v>
      </c>
      <c r="H55">
        <f>'[1]M1#4'!H21</f>
        <v>0.72</v>
      </c>
      <c r="I55">
        <f>'[1]M1#4'!I21</f>
        <v>6173.8487604042175</v>
      </c>
      <c r="K55">
        <f>'[1]M1#4'!K21</f>
        <v>3.6607291473455597</v>
      </c>
      <c r="L55">
        <f>'[1]M1#4'!L21</f>
        <v>7.3760527877028732</v>
      </c>
      <c r="M55">
        <f>'[1]M1#4'!M21</f>
        <v>2.9035892218547223E-2</v>
      </c>
      <c r="N55">
        <f>'[1]M1#4'!N21</f>
        <v>5.8504812872417218E-2</v>
      </c>
      <c r="O55" s="18">
        <f t="shared" si="6"/>
        <v>6.3842114740370928</v>
      </c>
    </row>
    <row r="56" spans="1:15" x14ac:dyDescent="0.35">
      <c r="A56">
        <f>'[1]M1#4'!B22</f>
        <v>22.450000000011642</v>
      </c>
      <c r="B56">
        <f t="shared" si="7"/>
        <v>16.450000000011642</v>
      </c>
      <c r="C56" t="str">
        <f>'[1]M1#4'!C22</f>
        <v>M1.1d.#4</v>
      </c>
      <c r="D56">
        <f>'[1]M1#4'!D22</f>
        <v>109.01429665282794</v>
      </c>
      <c r="E56">
        <f>'[1]M1#4'!E22</f>
        <v>98.07</v>
      </c>
      <c r="F56">
        <f>'[1]M1#4'!F22</f>
        <v>10.691032072742836</v>
      </c>
      <c r="G56">
        <f>'[1]M1#4'!G22</f>
        <v>12.981967516902015</v>
      </c>
      <c r="H56">
        <f>'[1]M1#4'!H22</f>
        <v>3.9480000000027942</v>
      </c>
      <c r="I56">
        <f>'[1]M1#4'!I22</f>
        <v>3288.2389860417497</v>
      </c>
      <c r="K56">
        <f>'[1]M1#4'!K22</f>
        <v>10.691032072742836</v>
      </c>
      <c r="L56">
        <f>'[1]M1#4'!L22</f>
        <v>18.067084860445711</v>
      </c>
      <c r="M56">
        <f>'[1]M1#4'!M22</f>
        <v>8.4798312706168E-2</v>
      </c>
      <c r="N56">
        <f>'[1]M1#4'!N22</f>
        <v>0.14330312557858524</v>
      </c>
      <c r="O56" s="18">
        <f t="shared" si="6"/>
        <v>3.4002797734049737</v>
      </c>
    </row>
    <row r="57" spans="1:15" x14ac:dyDescent="0.35">
      <c r="A57">
        <f>'[1]M1#4'!B23</f>
        <v>30.016666666720994</v>
      </c>
      <c r="B57">
        <f t="shared" si="7"/>
        <v>7.5666666667093523</v>
      </c>
      <c r="C57" t="str">
        <f>'[1]M1#4'!C23</f>
        <v>M1.1,5d.#4</v>
      </c>
      <c r="D57">
        <f>'[1]M1#4'!D23</f>
        <v>27.745480231746392</v>
      </c>
      <c r="E57">
        <f>'[1]M1#4'!E23</f>
        <v>98.193692307692316</v>
      </c>
      <c r="F57">
        <f>'[1]M1#4'!F23</f>
        <v>2.724431148805265</v>
      </c>
      <c r="G57">
        <f>'[1]M1#4'!G23</f>
        <v>3.3082378235492507</v>
      </c>
      <c r="H57">
        <f>'[1]M1#4'!H23</f>
        <v>1.8160000000102445</v>
      </c>
      <c r="I57">
        <f>'[1]M1#4'!I23</f>
        <v>1821.7168631776365</v>
      </c>
      <c r="K57">
        <f>'[1]M1#4'!K23</f>
        <v>2.724431148805265</v>
      </c>
      <c r="L57">
        <f>'[1]M1#4'!L23</f>
        <v>20.791516009250977</v>
      </c>
      <c r="M57">
        <f>'[1]M1#4'!M23</f>
        <v>2.1609435172477435E-2</v>
      </c>
      <c r="N57">
        <f>'[1]M1#4'!N23</f>
        <v>0.16491256075106267</v>
      </c>
      <c r="O57" s="18">
        <f t="shared" si="6"/>
        <v>1.8837885655598836</v>
      </c>
    </row>
    <row r="58" spans="1:15" x14ac:dyDescent="0.35">
      <c r="A58">
        <f>'[1]M1#4'!B24</f>
        <v>46.450000000011642</v>
      </c>
      <c r="B58">
        <f t="shared" si="7"/>
        <v>16.433333333290648</v>
      </c>
      <c r="C58" t="str">
        <f>'[1]M1#4'!C24</f>
        <v>M1.2d.#4</v>
      </c>
      <c r="D58">
        <f>'[1]M1#4'!D24</f>
        <v>40.399478363200963</v>
      </c>
      <c r="E58">
        <f>'[1]M1#4'!E24</f>
        <v>97.45</v>
      </c>
      <c r="F58">
        <f>'[1]M1#4'!F24</f>
        <v>3.9369291664939339</v>
      </c>
      <c r="G58">
        <f>'[1]M1#4'!G24</f>
        <v>4.7805568450283484</v>
      </c>
      <c r="H58">
        <f>'[1]M1#4'!H24</f>
        <v>3.9439999999897553</v>
      </c>
      <c r="I58">
        <f>'[1]M1#4'!I24</f>
        <v>1212.1087335296058</v>
      </c>
      <c r="K58">
        <f>'[1]M1#4'!K24</f>
        <v>3.9369291664939339</v>
      </c>
      <c r="L58">
        <f>'[1]M1#4'!L24</f>
        <v>24.728445175744909</v>
      </c>
      <c r="M58">
        <f>'[1]M1#4'!M24</f>
        <v>3.1226634462498286E-2</v>
      </c>
      <c r="N58">
        <f>'[1]M1#4'!N24</f>
        <v>0.19613919521356096</v>
      </c>
      <c r="O58" s="18">
        <f t="shared" si="6"/>
        <v>1.2534091430956316</v>
      </c>
    </row>
    <row r="59" spans="1:15" x14ac:dyDescent="0.35">
      <c r="A59">
        <f>'[1]M1#4'!B25</f>
        <v>70.450000000011642</v>
      </c>
      <c r="B59">
        <f t="shared" si="7"/>
        <v>24</v>
      </c>
      <c r="C59" t="str">
        <f>'[1]M1#4'!C25</f>
        <v>M1.3d.#4</v>
      </c>
      <c r="D59">
        <f>'[1]M1#4'!D25</f>
        <v>35.962678632552667</v>
      </c>
      <c r="E59">
        <f>'[1]M1#4'!E25</f>
        <v>97.08</v>
      </c>
      <c r="F59">
        <f>'[1]M1#4'!F25</f>
        <v>3.4912568416482128</v>
      </c>
      <c r="G59">
        <f>'[1]M1#4'!G25</f>
        <v>4.2393833077156868</v>
      </c>
      <c r="H59">
        <f>'[1]M1#4'!H25</f>
        <v>5.76</v>
      </c>
      <c r="I59">
        <f>'[1]M1#4'!I25</f>
        <v>736.00404647841788</v>
      </c>
      <c r="K59">
        <f>'[1]M1#4'!K25</f>
        <v>3.4912568416482128</v>
      </c>
      <c r="L59">
        <f>'[1]M1#4'!L25</f>
        <v>28.219702017393121</v>
      </c>
      <c r="M59">
        <f>'[1]M1#4'!M25</f>
        <v>2.7691684711191766E-2</v>
      </c>
      <c r="N59">
        <f>'[1]M1#4'!N25</f>
        <v>0.2238308799247527</v>
      </c>
      <c r="O59" s="18">
        <f t="shared" si="6"/>
        <v>0.76108205121590988</v>
      </c>
    </row>
    <row r="60" spans="1:15" x14ac:dyDescent="0.35">
      <c r="A60">
        <f>'[1]M1#4'!B26</f>
        <v>94.616666666697711</v>
      </c>
      <c r="B60">
        <f t="shared" si="7"/>
        <v>24.166666666686069</v>
      </c>
      <c r="C60" t="str">
        <f>'[1]M1#4'!C26</f>
        <v>M1.4d.#4</v>
      </c>
      <c r="D60">
        <f>'[1]M1#4'!D26</f>
        <v>22.730556446675475</v>
      </c>
      <c r="E60">
        <f>'[1]M1#4'!E26</f>
        <v>97.039999999999992</v>
      </c>
      <c r="F60">
        <f>'[1]M1#4'!F26</f>
        <v>2.2057731975853883</v>
      </c>
      <c r="G60">
        <f>'[1]M1#4'!G26</f>
        <v>2.6784388827822569</v>
      </c>
      <c r="H60">
        <f>'[1]M1#4'!H26</f>
        <v>5.8000000000046565</v>
      </c>
      <c r="I60">
        <f>'[1]M1#4'!I26</f>
        <v>461.79980737588039</v>
      </c>
      <c r="K60">
        <f>'[1]M1#4'!K26</f>
        <v>2.2057731975853883</v>
      </c>
      <c r="L60">
        <f>'[1]M1#4'!L26</f>
        <v>30.425475214978508</v>
      </c>
      <c r="M60">
        <f>'[1]M1#4'!M26</f>
        <v>1.7495583597079447E-2</v>
      </c>
      <c r="N60">
        <f>'[1]M1#4'!N26</f>
        <v>0.24132646352183215</v>
      </c>
      <c r="O60" s="18">
        <f t="shared" si="6"/>
        <v>0.47753479934033677</v>
      </c>
    </row>
    <row r="61" spans="1:15" x14ac:dyDescent="0.35">
      <c r="A61">
        <f>'[1]M1#4'!B27</f>
        <v>118.53333333326736</v>
      </c>
      <c r="B61">
        <f t="shared" si="7"/>
        <v>23.916666666569654</v>
      </c>
      <c r="C61" t="str">
        <f>'[1]M1#4'!C27</f>
        <v>M1.5d.#4</v>
      </c>
      <c r="D61">
        <f>'[1]M1#4'!D27</f>
        <v>20.964142545635681</v>
      </c>
      <c r="E61">
        <f>'[1]M1#4'!E27</f>
        <v>97.699999999999989</v>
      </c>
      <c r="F61">
        <f>'[1]M1#4'!F27</f>
        <v>2.0481967267086056</v>
      </c>
      <c r="G61">
        <f>'[1]M1#4'!G27</f>
        <v>2.4870960252890209</v>
      </c>
      <c r="H61">
        <f>'[1]M1#4'!H27</f>
        <v>5.7399999999767166</v>
      </c>
      <c r="I61">
        <f>'[1]M1#4'!I27</f>
        <v>433.29199047022809</v>
      </c>
      <c r="K61">
        <f>'[1]M1#4'!K27</f>
        <v>2.0481967267086056</v>
      </c>
      <c r="L61">
        <f>'[1]M1#4'!L27</f>
        <v>32.473671941687115</v>
      </c>
      <c r="M61">
        <f>'[1]M1#4'!M27</f>
        <v>1.6245730564965623E-2</v>
      </c>
      <c r="N61">
        <f>'[1]M1#4'!N27</f>
        <v>0.25757219408679777</v>
      </c>
      <c r="O61" s="18">
        <f t="shared" si="6"/>
        <v>0.44805563021069028</v>
      </c>
    </row>
    <row r="62" spans="1:15" x14ac:dyDescent="0.35">
      <c r="A62">
        <f>'[1]M1#4'!B28</f>
        <v>142.45000000001164</v>
      </c>
      <c r="B62">
        <f t="shared" si="7"/>
        <v>23.916666666744277</v>
      </c>
      <c r="C62" t="str">
        <f>'[1]M1#4'!C28</f>
        <v>M1.6d.#4</v>
      </c>
      <c r="D62">
        <f>'[1]M1#4'!D28</f>
        <v>18.508359586739342</v>
      </c>
      <c r="E62">
        <f>'[1]M1#4'!E28</f>
        <v>99.649999999999991</v>
      </c>
      <c r="F62">
        <f>'[1]M1#4'!F28</f>
        <v>1.8443580328185754</v>
      </c>
      <c r="G62">
        <f>'[1]M1#4'!G28</f>
        <v>2.2395776112796986</v>
      </c>
      <c r="H62">
        <f>'[1]M1#4'!H28</f>
        <v>5.7400000000186262</v>
      </c>
      <c r="I62">
        <f>'[1]M1#4'!I28</f>
        <v>390.17031555268835</v>
      </c>
      <c r="K62">
        <f>'[1]M1#4'!K28</f>
        <v>1.8443580328185754</v>
      </c>
      <c r="L62">
        <f>'[1]M1#4'!L28</f>
        <v>34.318029974505691</v>
      </c>
      <c r="M62">
        <f>'[1]M1#4'!M28</f>
        <v>1.4628938361135945E-2</v>
      </c>
      <c r="N62">
        <f>'[1]M1#4'!N28</f>
        <v>0.27220113244793376</v>
      </c>
      <c r="O62" s="18">
        <f t="shared" si="6"/>
        <v>0.40346466232792177</v>
      </c>
    </row>
    <row r="63" spans="1:15" x14ac:dyDescent="0.35">
      <c r="A63">
        <f>'[1]M1#4'!B29</f>
        <v>166.45000000001164</v>
      </c>
      <c r="B63">
        <f t="shared" si="7"/>
        <v>24</v>
      </c>
      <c r="C63" t="str">
        <f>'[1]M1#4'!C29</f>
        <v>M1.7d.#4</v>
      </c>
      <c r="D63">
        <f>'[1]M1#4'!D29</f>
        <v>15.133865346880439</v>
      </c>
      <c r="E63">
        <f>'[1]M1#4'!E29</f>
        <v>91.179999999999993</v>
      </c>
      <c r="F63">
        <f>'[1]M1#4'!F29</f>
        <v>1.3799058423285582</v>
      </c>
      <c r="G63">
        <f>'[1]M1#4'!G29</f>
        <v>1.6755999513989634</v>
      </c>
      <c r="H63">
        <f>'[1]M1#4'!H29</f>
        <v>5.76</v>
      </c>
      <c r="I63">
        <f>'[1]M1#4'!I29</f>
        <v>290.90276934009785</v>
      </c>
      <c r="K63">
        <f>'[1]M1#4'!K29</f>
        <v>1.3799058423285582</v>
      </c>
      <c r="L63">
        <f>'[1]M1#4'!L29</f>
        <v>35.697935816834253</v>
      </c>
      <c r="M63">
        <f>'[1]M1#4'!M29</f>
        <v>1.0945031903998844E-2</v>
      </c>
      <c r="N63">
        <f>'[1]M1#4'!N29</f>
        <v>0.28314616435193263</v>
      </c>
      <c r="O63" s="18">
        <f t="shared" si="6"/>
        <v>0.3008147542844285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8768-7D1F-434A-8D46-57CE66F5CE5F}">
  <dimension ref="A1:P92"/>
  <sheetViews>
    <sheetView topLeftCell="F1" workbookViewId="0">
      <selection activeCell="O18" sqref="O18"/>
    </sheetView>
  </sheetViews>
  <sheetFormatPr defaultRowHeight="14.5" x14ac:dyDescent="0.35"/>
  <cols>
    <col min="1" max="1" width="49.54296875" customWidth="1"/>
    <col min="2" max="2" width="27" customWidth="1"/>
    <col min="3" max="3" width="16.453125" customWidth="1"/>
    <col min="4" max="4" width="21.54296875" bestFit="1" customWidth="1"/>
    <col min="5" max="5" width="12.1796875" bestFit="1" customWidth="1"/>
    <col min="6" max="6" width="16.26953125" customWidth="1"/>
    <col min="7" max="7" width="20.1796875" customWidth="1"/>
    <col min="8" max="8" width="19.81640625" bestFit="1" customWidth="1"/>
    <col min="9" max="9" width="13.54296875" bestFit="1" customWidth="1"/>
    <col min="10" max="10" width="14.26953125" bestFit="1" customWidth="1"/>
    <col min="11" max="11" width="34.7265625" customWidth="1"/>
    <col min="12" max="13" width="35.453125" customWidth="1"/>
    <col min="14" max="14" width="34.54296875" customWidth="1"/>
    <col min="15" max="15" width="33.54296875" customWidth="1"/>
    <col min="16" max="16" width="15.54296875" customWidth="1"/>
    <col min="17" max="17" width="20.26953125" customWidth="1"/>
    <col min="18" max="18" width="18.26953125" customWidth="1"/>
    <col min="19" max="19" width="14.81640625" customWidth="1"/>
    <col min="20" max="20" width="3.7265625" customWidth="1"/>
    <col min="21" max="21" width="36.26953125" customWidth="1"/>
    <col min="22" max="22" width="35.7265625" customWidth="1"/>
    <col min="23" max="23" width="34.1796875" customWidth="1"/>
    <col min="24" max="24" width="37.453125" customWidth="1"/>
    <col min="25" max="25" width="30.26953125" customWidth="1"/>
  </cols>
  <sheetData>
    <row r="1" spans="1:16" ht="17.5" x14ac:dyDescent="0.45">
      <c r="A1" s="13" t="s">
        <v>29</v>
      </c>
    </row>
    <row r="2" spans="1:16" ht="15.5" x14ac:dyDescent="0.35">
      <c r="A2" t="s">
        <v>30</v>
      </c>
      <c r="B2" s="14" t="s">
        <v>31</v>
      </c>
      <c r="F2" s="15"/>
    </row>
    <row r="3" spans="1:16" x14ac:dyDescent="0.35">
      <c r="A3" t="s">
        <v>32</v>
      </c>
      <c r="D3" s="16" t="s">
        <v>33</v>
      </c>
      <c r="F3" s="15"/>
    </row>
    <row r="4" spans="1:16" ht="16.5" x14ac:dyDescent="0.35">
      <c r="D4" s="16" t="s">
        <v>34</v>
      </c>
      <c r="F4" s="15"/>
    </row>
    <row r="5" spans="1:16" x14ac:dyDescent="0.35">
      <c r="A5" t="s">
        <v>35</v>
      </c>
      <c r="B5" s="17">
        <v>75.400000000000006</v>
      </c>
      <c r="D5" s="16" t="s">
        <v>36</v>
      </c>
      <c r="F5" s="15"/>
    </row>
    <row r="6" spans="1:16" x14ac:dyDescent="0.35">
      <c r="A6" t="s">
        <v>37</v>
      </c>
      <c r="B6" s="18">
        <v>4.3</v>
      </c>
      <c r="F6" s="15"/>
    </row>
    <row r="7" spans="1:16" ht="16.5" x14ac:dyDescent="0.35">
      <c r="A7" t="s">
        <v>38</v>
      </c>
      <c r="B7">
        <f>B5-B6</f>
        <v>71.100000000000009</v>
      </c>
      <c r="D7" s="19">
        <f>B7/70 * 20</f>
        <v>20.314285714285717</v>
      </c>
      <c r="E7" s="1" t="s">
        <v>39</v>
      </c>
      <c r="F7" s="20"/>
    </row>
    <row r="8" spans="1:16" x14ac:dyDescent="0.35">
      <c r="F8" s="15"/>
    </row>
    <row r="9" spans="1:16" ht="16.5" x14ac:dyDescent="0.35">
      <c r="A9" t="s">
        <v>40</v>
      </c>
      <c r="B9" s="24">
        <f>(0.26/2)^2*PI()</f>
        <v>5.3092915845667513E-2</v>
      </c>
      <c r="C9" s="25"/>
      <c r="D9" t="s">
        <v>58</v>
      </c>
      <c r="E9" s="16" t="s">
        <v>41</v>
      </c>
      <c r="F9" s="15"/>
    </row>
    <row r="10" spans="1:16" x14ac:dyDescent="0.35">
      <c r="A10" t="s">
        <v>42</v>
      </c>
      <c r="B10" s="17">
        <f>B7/B9*100</f>
        <v>133916.17105128706</v>
      </c>
      <c r="C10" s="17"/>
      <c r="D10" t="s">
        <v>43</v>
      </c>
      <c r="E10" s="16" t="s">
        <v>41</v>
      </c>
      <c r="F10" s="15"/>
    </row>
    <row r="11" spans="1:16" x14ac:dyDescent="0.35">
      <c r="A11" s="1" t="s">
        <v>51</v>
      </c>
      <c r="B11" s="21">
        <f>NNH4_mest</f>
        <v>1.72</v>
      </c>
      <c r="D11" t="s">
        <v>44</v>
      </c>
      <c r="F11" s="15"/>
    </row>
    <row r="12" spans="1:16" x14ac:dyDescent="0.35">
      <c r="A12" t="s">
        <v>45</v>
      </c>
      <c r="B12" s="18">
        <f>NTot_mest</f>
        <v>3.48</v>
      </c>
      <c r="D12" t="s">
        <v>44</v>
      </c>
      <c r="F12" s="15"/>
    </row>
    <row r="13" spans="1:16" x14ac:dyDescent="0.35">
      <c r="A13" t="s">
        <v>46</v>
      </c>
      <c r="B13" s="18">
        <f>DS_mest</f>
        <v>67.599999999999994</v>
      </c>
      <c r="D13" t="s">
        <v>44</v>
      </c>
      <c r="F13" s="15"/>
    </row>
    <row r="14" spans="1:16" x14ac:dyDescent="0.35">
      <c r="A14" s="1" t="s">
        <v>52</v>
      </c>
      <c r="B14" s="22">
        <f>B7*B11</f>
        <v>122.29200000000002</v>
      </c>
      <c r="D14" t="s">
        <v>47</v>
      </c>
      <c r="F14" s="15"/>
    </row>
    <row r="15" spans="1:16" x14ac:dyDescent="0.35">
      <c r="A15" t="s">
        <v>48</v>
      </c>
      <c r="B15" s="15">
        <f>B14*17/14</f>
        <v>148.4974285714286</v>
      </c>
      <c r="C15" s="15"/>
      <c r="D15" t="s">
        <v>47</v>
      </c>
      <c r="F15" s="15"/>
    </row>
    <row r="16" spans="1:16" x14ac:dyDescent="0.35">
      <c r="A16" t="s">
        <v>49</v>
      </c>
      <c r="B16">
        <v>4</v>
      </c>
      <c r="D16" t="s">
        <v>0</v>
      </c>
      <c r="O16" s="1" t="s">
        <v>1</v>
      </c>
      <c r="P16" s="1" t="s">
        <v>2</v>
      </c>
    </row>
    <row r="17" spans="1:16" ht="16.5" x14ac:dyDescent="0.45">
      <c r="B17" s="2" t="s">
        <v>3</v>
      </c>
      <c r="D17" s="2"/>
      <c r="E17" s="2"/>
      <c r="F17" s="2"/>
      <c r="G17" s="2"/>
      <c r="H17" s="2"/>
      <c r="I17" s="2"/>
      <c r="L17" s="3" t="s">
        <v>4</v>
      </c>
      <c r="M17" s="3"/>
      <c r="N17" s="3" t="s">
        <v>5</v>
      </c>
      <c r="O17" s="4" t="s">
        <v>6</v>
      </c>
      <c r="P17" s="4"/>
    </row>
    <row r="18" spans="1:16" ht="27" customHeight="1" x14ac:dyDescent="0.45">
      <c r="A18" s="5"/>
      <c r="B18" s="3" t="s">
        <v>50</v>
      </c>
      <c r="D18" s="5" t="s">
        <v>7</v>
      </c>
      <c r="E18" s="5" t="s">
        <v>8</v>
      </c>
      <c r="F18" s="5" t="s">
        <v>9</v>
      </c>
      <c r="G18" s="5" t="s">
        <v>10</v>
      </c>
      <c r="H18" s="5" t="s">
        <v>11</v>
      </c>
      <c r="I18" s="5" t="s">
        <v>12</v>
      </c>
      <c r="J18" s="5" t="s">
        <v>13</v>
      </c>
      <c r="L18" s="3" t="s">
        <v>14</v>
      </c>
      <c r="M18" s="3" t="s">
        <v>53</v>
      </c>
      <c r="N18" s="3" t="s">
        <v>15</v>
      </c>
      <c r="O18" s="3" t="s">
        <v>16</v>
      </c>
      <c r="P18" s="3" t="s">
        <v>17</v>
      </c>
    </row>
    <row r="19" spans="1:16" ht="16" x14ac:dyDescent="0.4">
      <c r="B19" s="6">
        <f>[1]Tijdsduren!D5</f>
        <v>0.99999999994179234</v>
      </c>
      <c r="C19" s="18">
        <f>B19</f>
        <v>0.99999999994179234</v>
      </c>
      <c r="D19" s="7" t="s">
        <v>18</v>
      </c>
      <c r="E19" s="8">
        <f t="shared" ref="E19:E29" si="0">VLOOKUP($D19,analysedata,3,FALSE)</f>
        <v>4.9441543974124063</v>
      </c>
      <c r="F19" s="8">
        <f>VLOOKUP($D19,analysedata,2,FALSE)</f>
        <v>100.16000000000001</v>
      </c>
      <c r="G19" s="9">
        <f>F19*E19/1000</f>
        <v>0.49520650444482667</v>
      </c>
      <c r="H19" s="9">
        <f t="shared" ref="H19:H29" si="1">G19*17/14</f>
        <v>0.60132218396871806</v>
      </c>
      <c r="I19" s="8">
        <f>B19*60*$B$16/1000</f>
        <v>0.23999999998603017</v>
      </c>
      <c r="J19" s="10">
        <f>H19*1000/I19</f>
        <v>2505.5091000154985</v>
      </c>
      <c r="L19" s="11">
        <f t="shared" ref="L19:L29" si="2">G19</f>
        <v>0.49520650444482667</v>
      </c>
      <c r="M19" s="11">
        <f>L19/C19/$B$9*1000/3600</f>
        <v>2.5908797842945566</v>
      </c>
      <c r="N19" s="11">
        <f>L19</f>
        <v>0.49520650444482667</v>
      </c>
      <c r="O19" s="12">
        <f t="shared" ref="O19:O29" si="3">G19/$B$14</f>
        <v>4.0493777552483125E-3</v>
      </c>
      <c r="P19" s="12">
        <f>N19/$B$14</f>
        <v>4.0493777552483125E-3</v>
      </c>
    </row>
    <row r="20" spans="1:16" ht="16" x14ac:dyDescent="0.4">
      <c r="B20" s="6">
        <f>[1]Tijdsduren!D6</f>
        <v>3</v>
      </c>
      <c r="C20" s="18">
        <f>B20-B19</f>
        <v>2.0000000000582077</v>
      </c>
      <c r="D20" s="7" t="s">
        <v>19</v>
      </c>
      <c r="E20" s="8">
        <f t="shared" si="0"/>
        <v>15.001916168780891</v>
      </c>
      <c r="F20" s="8">
        <f t="shared" ref="F20:F26" si="4">VLOOKUP(D20,analysedata,2,FALSE)</f>
        <v>98.99</v>
      </c>
      <c r="G20" s="9">
        <f t="shared" ref="G20:G29" si="5">F20*E20/1000</f>
        <v>1.4850396815476203</v>
      </c>
      <c r="H20" s="9">
        <f t="shared" si="1"/>
        <v>1.8032624704506817</v>
      </c>
      <c r="I20" s="8">
        <f t="shared" ref="I20:I29" si="6">(B20-B19)*60*$B$16/1000</f>
        <v>0.48000000001396986</v>
      </c>
      <c r="J20" s="10">
        <f t="shared" ref="J20:J29" si="7">H20*1000/I20</f>
        <v>3756.7968133295826</v>
      </c>
      <c r="L20" s="11">
        <f t="shared" si="2"/>
        <v>1.4850396815476203</v>
      </c>
      <c r="M20" s="11">
        <f t="shared" ref="M20:M29" si="8">L20/C20/$B$9*1000/3600</f>
        <v>3.884802859944759</v>
      </c>
      <c r="N20" s="11">
        <f>N19+L20</f>
        <v>1.980246185992447</v>
      </c>
      <c r="O20" s="12">
        <f t="shared" si="3"/>
        <v>1.2143391894380828E-2</v>
      </c>
      <c r="P20" s="12">
        <f>N20/$B$14</f>
        <v>1.6192769649629138E-2</v>
      </c>
    </row>
    <row r="21" spans="1:16" ht="16" x14ac:dyDescent="0.4">
      <c r="B21" s="6">
        <f>[1]Tijdsduren!D7</f>
        <v>6</v>
      </c>
      <c r="C21" s="18">
        <f>B21-B20</f>
        <v>3</v>
      </c>
      <c r="D21" s="7" t="s">
        <v>20</v>
      </c>
      <c r="E21" s="8">
        <f t="shared" si="0"/>
        <v>22.584020694356354</v>
      </c>
      <c r="F21" s="8">
        <f t="shared" si="4"/>
        <v>98.72999999999999</v>
      </c>
      <c r="G21" s="9">
        <f t="shared" si="5"/>
        <v>2.229720363153803</v>
      </c>
      <c r="H21" s="9">
        <f t="shared" si="1"/>
        <v>2.7075175838296177</v>
      </c>
      <c r="I21" s="8">
        <f t="shared" si="6"/>
        <v>0.72</v>
      </c>
      <c r="J21" s="10">
        <f t="shared" si="7"/>
        <v>3760.4410886522469</v>
      </c>
      <c r="L21" s="11">
        <f t="shared" si="2"/>
        <v>2.229720363153803</v>
      </c>
      <c r="M21" s="11">
        <f t="shared" si="8"/>
        <v>3.888571307348057</v>
      </c>
      <c r="N21" s="11">
        <f>N20+L21</f>
        <v>4.2099665491462499</v>
      </c>
      <c r="O21" s="12">
        <f t="shared" si="3"/>
        <v>1.8232757360692464E-2</v>
      </c>
      <c r="P21" s="12">
        <f t="shared" ref="P21:P29" si="9">N21/$B$14</f>
        <v>3.4425527010321602E-2</v>
      </c>
    </row>
    <row r="22" spans="1:16" ht="16" x14ac:dyDescent="0.4">
      <c r="B22" s="6">
        <f>[1]Tijdsduren!D8</f>
        <v>22.450000000011642</v>
      </c>
      <c r="C22" s="18">
        <f t="shared" ref="C22:C29" si="10">B22-B21</f>
        <v>16.450000000011642</v>
      </c>
      <c r="D22" s="7" t="s">
        <v>21</v>
      </c>
      <c r="E22" s="8">
        <f t="shared" si="0"/>
        <v>67.680189015117506</v>
      </c>
      <c r="F22" s="8">
        <f t="shared" si="4"/>
        <v>99.039999999999992</v>
      </c>
      <c r="G22" s="9">
        <f t="shared" si="5"/>
        <v>6.703045920057237</v>
      </c>
      <c r="H22" s="9">
        <f t="shared" si="1"/>
        <v>8.1394129029266455</v>
      </c>
      <c r="I22" s="8">
        <f t="shared" si="6"/>
        <v>3.9480000000027942</v>
      </c>
      <c r="J22" s="10">
        <f t="shared" si="7"/>
        <v>2061.6547373153203</v>
      </c>
      <c r="L22" s="11">
        <f t="shared" si="2"/>
        <v>6.703045920057237</v>
      </c>
      <c r="M22" s="11">
        <f t="shared" si="8"/>
        <v>2.1319018881521226</v>
      </c>
      <c r="N22" s="11">
        <f t="shared" ref="N22:N28" si="11">N21+L22</f>
        <v>10.913012469203487</v>
      </c>
      <c r="O22" s="12">
        <f t="shared" si="3"/>
        <v>5.4811810421427701E-2</v>
      </c>
      <c r="P22" s="12">
        <f t="shared" si="9"/>
        <v>8.9237337431749303E-2</v>
      </c>
    </row>
    <row r="23" spans="1:16" ht="16" x14ac:dyDescent="0.4">
      <c r="B23" s="6">
        <f>[1]Tijdsduren!D9</f>
        <v>30.016666666720994</v>
      </c>
      <c r="C23" s="18">
        <f t="shared" si="10"/>
        <v>7.5666666667093523</v>
      </c>
      <c r="D23" s="7" t="s">
        <v>22</v>
      </c>
      <c r="E23" s="8">
        <f t="shared" si="0"/>
        <v>17.243194506853019</v>
      </c>
      <c r="F23" s="8">
        <f t="shared" si="4"/>
        <v>99.353692307692313</v>
      </c>
      <c r="G23" s="9">
        <f t="shared" si="5"/>
        <v>1.7131750414355651</v>
      </c>
      <c r="H23" s="9">
        <f t="shared" si="1"/>
        <v>2.0802839788860434</v>
      </c>
      <c r="I23" s="8">
        <f t="shared" si="6"/>
        <v>1.8160000000102445</v>
      </c>
      <c r="J23" s="10">
        <f t="shared" si="7"/>
        <v>1145.5308253713149</v>
      </c>
      <c r="L23" s="11">
        <f t="shared" si="2"/>
        <v>1.7131750414355651</v>
      </c>
      <c r="M23" s="11">
        <f t="shared" si="8"/>
        <v>1.1845627133114138</v>
      </c>
      <c r="N23" s="11">
        <f>N22+L23</f>
        <v>12.626187510639053</v>
      </c>
      <c r="O23" s="12">
        <f t="shared" si="3"/>
        <v>1.4008888900627717E-2</v>
      </c>
      <c r="P23" s="12">
        <f t="shared" si="9"/>
        <v>0.10324622633237703</v>
      </c>
    </row>
    <row r="24" spans="1:16" ht="16" x14ac:dyDescent="0.4">
      <c r="B24" s="6">
        <f>[1]Tijdsduren!D10</f>
        <v>46.450000000011642</v>
      </c>
      <c r="C24" s="18">
        <f t="shared" si="10"/>
        <v>16.433333333290648</v>
      </c>
      <c r="D24" s="7" t="s">
        <v>23</v>
      </c>
      <c r="E24" s="8">
        <f t="shared" si="0"/>
        <v>31.352830539676475</v>
      </c>
      <c r="F24" s="8">
        <f t="shared" si="4"/>
        <v>98.740000000000009</v>
      </c>
      <c r="G24" s="9">
        <f t="shared" si="5"/>
        <v>3.0957784874876557</v>
      </c>
      <c r="H24" s="9">
        <f t="shared" si="1"/>
        <v>3.7591595919492962</v>
      </c>
      <c r="I24" s="8">
        <f t="shared" si="6"/>
        <v>3.9439999999897553</v>
      </c>
      <c r="J24" s="10">
        <f t="shared" si="7"/>
        <v>953.13377078069493</v>
      </c>
      <c r="L24" s="11">
        <f t="shared" si="2"/>
        <v>3.0957784874876557</v>
      </c>
      <c r="M24" s="11">
        <f t="shared" si="8"/>
        <v>0.98561007758018859</v>
      </c>
      <c r="N24" s="11">
        <f t="shared" si="11"/>
        <v>15.721965998126709</v>
      </c>
      <c r="O24" s="12">
        <f t="shared" si="3"/>
        <v>2.5314644355212568E-2</v>
      </c>
      <c r="P24" s="12">
        <f t="shared" si="9"/>
        <v>0.12856087068758959</v>
      </c>
    </row>
    <row r="25" spans="1:16" ht="16" x14ac:dyDescent="0.4">
      <c r="B25" s="6">
        <f>[1]Tijdsduren!D11</f>
        <v>70.450000000011642</v>
      </c>
      <c r="C25" s="18">
        <f t="shared" si="10"/>
        <v>24</v>
      </c>
      <c r="D25" s="7" t="s">
        <v>24</v>
      </c>
      <c r="E25" s="8">
        <f t="shared" si="0"/>
        <v>30.282951992584657</v>
      </c>
      <c r="F25" s="8">
        <f t="shared" si="4"/>
        <v>98.78</v>
      </c>
      <c r="G25" s="9">
        <f t="shared" si="5"/>
        <v>2.9913499978275127</v>
      </c>
      <c r="H25" s="9">
        <f t="shared" si="1"/>
        <v>3.6323535687905513</v>
      </c>
      <c r="I25" s="8">
        <f t="shared" si="6"/>
        <v>5.76</v>
      </c>
      <c r="J25" s="10">
        <f t="shared" si="7"/>
        <v>630.6169390261374</v>
      </c>
      <c r="L25" s="11">
        <f t="shared" si="2"/>
        <v>2.9913499978275127</v>
      </c>
      <c r="M25" s="11">
        <f t="shared" si="8"/>
        <v>0.65210406896802942</v>
      </c>
      <c r="N25" s="11">
        <f t="shared" si="11"/>
        <v>18.713315995954222</v>
      </c>
      <c r="O25" s="12">
        <f t="shared" si="3"/>
        <v>2.4460716954727312E-2</v>
      </c>
      <c r="P25" s="12">
        <f t="shared" si="9"/>
        <v>0.15302158764231691</v>
      </c>
    </row>
    <row r="26" spans="1:16" ht="16" x14ac:dyDescent="0.4">
      <c r="B26" s="6">
        <f>[1]Tijdsduren!D12</f>
        <v>94.616666666697711</v>
      </c>
      <c r="C26" s="18">
        <f t="shared" si="10"/>
        <v>24.166666666686069</v>
      </c>
      <c r="D26" s="7" t="s">
        <v>25</v>
      </c>
      <c r="E26" s="8">
        <f t="shared" si="0"/>
        <v>18.796270939814121</v>
      </c>
      <c r="F26" s="8">
        <f t="shared" si="4"/>
        <v>100.09</v>
      </c>
      <c r="G26" s="9">
        <f t="shared" si="5"/>
        <v>1.8813187583659956</v>
      </c>
      <c r="H26" s="9">
        <f t="shared" si="1"/>
        <v>2.2844584923015661</v>
      </c>
      <c r="I26" s="8">
        <f t="shared" si="6"/>
        <v>5.8000000000046565</v>
      </c>
      <c r="J26" s="10">
        <f t="shared" si="7"/>
        <v>393.87215384478134</v>
      </c>
      <c r="L26" s="11">
        <f t="shared" si="2"/>
        <v>1.8813187583659956</v>
      </c>
      <c r="M26" s="11">
        <f t="shared" si="8"/>
        <v>0.40729263405456678</v>
      </c>
      <c r="N26" s="11">
        <f t="shared" si="11"/>
        <v>20.594634754320218</v>
      </c>
      <c r="O26" s="12">
        <f t="shared" si="3"/>
        <v>1.5383825257302157E-2</v>
      </c>
      <c r="P26" s="12">
        <f t="shared" si="9"/>
        <v>0.16840541289961908</v>
      </c>
    </row>
    <row r="27" spans="1:16" ht="16" x14ac:dyDescent="0.4">
      <c r="B27" s="6">
        <f>[1]Tijdsduren!D13</f>
        <v>118.53333333326736</v>
      </c>
      <c r="C27" s="18">
        <f t="shared" si="10"/>
        <v>23.916666666569654</v>
      </c>
      <c r="D27" s="7" t="s">
        <v>26</v>
      </c>
      <c r="E27" s="8">
        <f t="shared" si="0"/>
        <v>17.431314743556101</v>
      </c>
      <c r="F27" s="8">
        <f t="shared" ref="F27:F29" si="12">VLOOKUP(D27,analysedata,2,FALSE)</f>
        <v>99.81</v>
      </c>
      <c r="G27" s="9">
        <f t="shared" si="5"/>
        <v>1.7398195245543344</v>
      </c>
      <c r="H27" s="9">
        <f t="shared" si="1"/>
        <v>2.112637994101692</v>
      </c>
      <c r="I27" s="8">
        <f t="shared" si="6"/>
        <v>5.7399999999767166</v>
      </c>
      <c r="J27" s="10">
        <f t="shared" si="7"/>
        <v>368.05539967077732</v>
      </c>
      <c r="L27" s="11">
        <f t="shared" si="2"/>
        <v>1.7398195245543344</v>
      </c>
      <c r="M27" s="11">
        <f t="shared" si="8"/>
        <v>0.38059622074474658</v>
      </c>
      <c r="N27" s="11">
        <f t="shared" si="11"/>
        <v>22.334454278874553</v>
      </c>
      <c r="O27" s="12">
        <f t="shared" si="3"/>
        <v>1.4226764829705411E-2</v>
      </c>
      <c r="P27" s="12">
        <f t="shared" si="9"/>
        <v>0.1826321777293245</v>
      </c>
    </row>
    <row r="28" spans="1:16" ht="16" x14ac:dyDescent="0.4">
      <c r="B28" s="6">
        <f>[1]Tijdsduren!D14</f>
        <v>142.45000000001164</v>
      </c>
      <c r="C28" s="18">
        <f t="shared" si="10"/>
        <v>23.916666666744277</v>
      </c>
      <c r="D28" s="7" t="s">
        <v>27</v>
      </c>
      <c r="E28" s="8">
        <f t="shared" si="0"/>
        <v>16.307233170167144</v>
      </c>
      <c r="F28" s="8">
        <f t="shared" si="12"/>
        <v>98.800000000000011</v>
      </c>
      <c r="G28" s="9">
        <f t="shared" si="5"/>
        <v>1.6111546372125141</v>
      </c>
      <c r="H28" s="9">
        <f t="shared" si="1"/>
        <v>1.9564020594723386</v>
      </c>
      <c r="I28" s="8">
        <f t="shared" si="6"/>
        <v>5.7400000000186262</v>
      </c>
      <c r="J28" s="10">
        <f t="shared" si="7"/>
        <v>340.83659572578222</v>
      </c>
      <c r="L28" s="11">
        <f t="shared" si="2"/>
        <v>1.6111546372125141</v>
      </c>
      <c r="M28" s="11">
        <f t="shared" si="8"/>
        <v>0.35244998535756394</v>
      </c>
      <c r="N28" s="11">
        <f t="shared" si="11"/>
        <v>23.945608916087068</v>
      </c>
      <c r="O28" s="12">
        <f t="shared" si="3"/>
        <v>1.3174652775426961E-2</v>
      </c>
      <c r="P28" s="12">
        <f>N28/$B$14</f>
        <v>0.19580683050475145</v>
      </c>
    </row>
    <row r="29" spans="1:16" ht="16" x14ac:dyDescent="0.4">
      <c r="B29" s="6">
        <f>[1]Tijdsduren!D15</f>
        <v>166.45000000001164</v>
      </c>
      <c r="C29" s="18">
        <f t="shared" si="10"/>
        <v>24</v>
      </c>
      <c r="D29" s="7" t="s">
        <v>28</v>
      </c>
      <c r="E29" s="8">
        <f t="shared" si="0"/>
        <v>12.40213191461371</v>
      </c>
      <c r="F29" s="8">
        <f t="shared" si="12"/>
        <v>99.82</v>
      </c>
      <c r="G29" s="9">
        <f t="shared" si="5"/>
        <v>1.2379808077167405</v>
      </c>
      <c r="H29" s="9">
        <f t="shared" si="1"/>
        <v>1.5032624093703277</v>
      </c>
      <c r="I29" s="8">
        <f t="shared" si="6"/>
        <v>5.76</v>
      </c>
      <c r="J29" s="10">
        <f t="shared" si="7"/>
        <v>260.9830571823486</v>
      </c>
      <c r="L29" s="11">
        <f t="shared" si="2"/>
        <v>1.2379808077167405</v>
      </c>
      <c r="M29" s="11">
        <f t="shared" si="8"/>
        <v>0.26987558212937818</v>
      </c>
      <c r="N29" s="11">
        <f>N28+L29</f>
        <v>25.183589723803809</v>
      </c>
      <c r="O29" s="12">
        <f t="shared" si="3"/>
        <v>1.0123154480397249E-2</v>
      </c>
      <c r="P29" s="12">
        <f t="shared" si="9"/>
        <v>0.20592998498514872</v>
      </c>
    </row>
    <row r="30" spans="1:16" x14ac:dyDescent="0.35">
      <c r="B30" s="1"/>
      <c r="F30" s="23">
        <f>SUM(G19:G29)</f>
        <v>25.183589723803809</v>
      </c>
      <c r="G30" s="9"/>
      <c r="H30" s="9"/>
    </row>
    <row r="79" spans="2:4" x14ac:dyDescent="0.35">
      <c r="B79" s="15"/>
      <c r="C79" s="17"/>
      <c r="D79" s="17"/>
    </row>
    <row r="80" spans="2:4" x14ac:dyDescent="0.35">
      <c r="B80" s="15"/>
      <c r="C80" s="17"/>
      <c r="D80" s="17"/>
    </row>
    <row r="81" spans="2:4" x14ac:dyDescent="0.35">
      <c r="B81" s="15"/>
      <c r="C81" s="17"/>
      <c r="D81" s="17"/>
    </row>
    <row r="82" spans="2:4" x14ac:dyDescent="0.35">
      <c r="B82" s="15"/>
      <c r="C82" s="17"/>
      <c r="D82" s="17"/>
    </row>
    <row r="83" spans="2:4" x14ac:dyDescent="0.35">
      <c r="B83" s="15"/>
      <c r="C83" s="17"/>
      <c r="D83" s="17"/>
    </row>
    <row r="84" spans="2:4" x14ac:dyDescent="0.35">
      <c r="B84" s="15"/>
      <c r="C84" s="17"/>
      <c r="D84" s="17"/>
    </row>
    <row r="85" spans="2:4" x14ac:dyDescent="0.35">
      <c r="B85" s="15"/>
      <c r="C85" s="17"/>
      <c r="D85" s="17"/>
    </row>
    <row r="86" spans="2:4" x14ac:dyDescent="0.35">
      <c r="B86" s="15"/>
      <c r="C86" s="17"/>
      <c r="D86" s="17"/>
    </row>
    <row r="87" spans="2:4" x14ac:dyDescent="0.35">
      <c r="B87" s="15"/>
      <c r="C87" s="17"/>
      <c r="D87" s="17"/>
    </row>
    <row r="88" spans="2:4" x14ac:dyDescent="0.35">
      <c r="B88" s="15"/>
      <c r="C88" s="17"/>
      <c r="D88" s="17"/>
    </row>
    <row r="89" spans="2:4" x14ac:dyDescent="0.35">
      <c r="B89" s="15"/>
      <c r="C89" s="17"/>
      <c r="D89" s="17"/>
    </row>
    <row r="90" spans="2:4" x14ac:dyDescent="0.35">
      <c r="B90" s="15"/>
      <c r="C90" s="17"/>
      <c r="D90" s="17"/>
    </row>
    <row r="91" spans="2:4" x14ac:dyDescent="0.35">
      <c r="B91" s="15"/>
      <c r="C91" s="17"/>
      <c r="D91" s="17"/>
    </row>
    <row r="92" spans="2:4" x14ac:dyDescent="0.35">
      <c r="B92" s="15"/>
      <c r="C92" s="17"/>
      <c r="D92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Plot</vt:lpstr>
      <vt:lpstr>Sheet3</vt:lpstr>
      <vt:lpstr>Sheet2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Nørlem Kamp</dc:creator>
  <cp:lastModifiedBy>Jesper Nørlem Kamp</cp:lastModifiedBy>
  <dcterms:created xsi:type="dcterms:W3CDTF">2023-06-15T16:13:25Z</dcterms:created>
  <dcterms:modified xsi:type="dcterms:W3CDTF">2023-09-09T20:54:14Z</dcterms:modified>
</cp:coreProperties>
</file>