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charts/chart4.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 sheetId="1" state="visible" r:id="rId2"/>
    <sheet name="License" sheetId="2" state="visible" r:id="rId3"/>
    <sheet name="Parameters" sheetId="3" state="visible" r:id="rId4"/>
    <sheet name="Lookup" sheetId="4" state="visible" r:id="rId5"/>
    <sheet name="Calculations" sheetId="5" state="visible" r:id="rId6"/>
    <sheet name="Warnings" sheetId="6" state="visible" r:id="rId7"/>
    <sheet name="ChangeLog" sheetId="7" state="visible" r:id="rId8"/>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<sst xmlns="http://schemas.openxmlformats.org/spreadsheetml/2006/main" count="117" uniqueCount="107">
  <si>
    <t xml:space="preserve">Mass transfer model for ammonia loss from animal slurry storage</t>
  </si>
  <si>
    <t xml:space="preserve">Inputs</t>
  </si>
  <si>
    <t xml:space="preserve">Parameter values</t>
  </si>
  <si>
    <t xml:space="preserve">Model output</t>
  </si>
  <si>
    <t xml:space="preserve">Animal information</t>
  </si>
  <si>
    <t xml:space="preserve">Annual values</t>
  </si>
  <si>
    <t xml:space="preserve">Livestock type</t>
  </si>
  <si>
    <t xml:space="preserve">Cattle</t>
  </si>
  <si>
    <r>
      <rPr>
        <sz val="10"/>
        <rFont val="Century"/>
        <family val="1"/>
        <charset val="1"/>
      </rPr>
      <t xml:space="preserve">Resistance (s m</t>
    </r>
    <r>
      <rPr>
        <vertAlign val="superscript"/>
        <sz val="10"/>
        <rFont val="Century"/>
        <family val="1"/>
        <charset val="1"/>
      </rPr>
      <t xml:space="preserve">-1</t>
    </r>
    <r>
      <rPr>
        <sz val="10"/>
        <rFont val="Century"/>
        <family val="1"/>
        <charset val="1"/>
      </rPr>
      <t xml:space="preserve">)</t>
    </r>
  </si>
  <si>
    <t xml:space="preserve">Annual slurry TAN flow (kg N)</t>
  </si>
  <si>
    <r>
      <rPr>
        <sz val="10"/>
        <rFont val="Century"/>
        <family val="1"/>
        <charset val="1"/>
      </rPr>
      <t xml:space="preserve">Slurry production (m</t>
    </r>
    <r>
      <rPr>
        <vertAlign val="superscript"/>
        <sz val="10"/>
        <rFont val="Century"/>
        <family val="1"/>
        <charset val="1"/>
      </rPr>
      <t xml:space="preserve">3</t>
    </r>
    <r>
      <rPr>
        <sz val="10"/>
        <rFont val="Century"/>
        <family val="1"/>
        <charset val="1"/>
      </rPr>
      <t xml:space="preserve"> d</t>
    </r>
    <r>
      <rPr>
        <vertAlign val="superscript"/>
        <sz val="10"/>
        <rFont val="Century"/>
        <family val="1"/>
        <charset val="1"/>
      </rPr>
      <t xml:space="preserve">-1</t>
    </r>
    <r>
      <rPr>
        <sz val="10"/>
        <rFont val="Century"/>
        <family val="1"/>
        <charset val="1"/>
      </rPr>
      <t xml:space="preserve">)</t>
    </r>
  </si>
  <si>
    <t xml:space="preserve">Cover effect (-)</t>
  </si>
  <si>
    <r>
      <rPr>
        <sz val="10"/>
        <rFont val="Century"/>
        <family val="1"/>
        <charset val="1"/>
      </rPr>
      <t xml:space="preserve">Annual NH</t>
    </r>
    <r>
      <rPr>
        <vertAlign val="subscript"/>
        <sz val="10"/>
        <rFont val="Century"/>
        <family val="1"/>
        <charset val="1"/>
      </rPr>
      <t xml:space="preserve">3</t>
    </r>
    <r>
      <rPr>
        <sz val="10"/>
        <rFont val="Century"/>
        <family val="1"/>
        <charset val="1"/>
      </rPr>
      <t xml:space="preserve"> loss (kg N)</t>
    </r>
  </si>
  <si>
    <r>
      <rPr>
        <sz val="10"/>
        <rFont val="Century"/>
        <family val="1"/>
        <charset val="1"/>
      </rPr>
      <t xml:space="preserve">Relative NH</t>
    </r>
    <r>
      <rPr>
        <vertAlign val="subscript"/>
        <sz val="10"/>
        <rFont val="Century"/>
        <family val="1"/>
        <charset val="1"/>
      </rPr>
      <t xml:space="preserve">3</t>
    </r>
    <r>
      <rPr>
        <sz val="10"/>
        <rFont val="Century"/>
        <family val="1"/>
        <charset val="1"/>
      </rPr>
      <t xml:space="preserve"> loss (%)</t>
    </r>
  </si>
  <si>
    <t xml:space="preserve">Slurry characteristics</t>
  </si>
  <si>
    <r>
      <rPr>
        <sz val="10"/>
        <rFont val="Century"/>
        <family val="1"/>
        <charset val="1"/>
      </rPr>
      <t xml:space="preserve">TAN (kg t</t>
    </r>
    <r>
      <rPr>
        <vertAlign val="superscript"/>
        <sz val="10"/>
        <rFont val="Century"/>
        <family val="1"/>
        <charset val="1"/>
      </rPr>
      <t xml:space="preserve">-1</t>
    </r>
    <r>
      <rPr>
        <sz val="10"/>
        <rFont val="Century"/>
        <family val="1"/>
        <charset val="1"/>
      </rPr>
      <t xml:space="preserve">)</t>
    </r>
  </si>
  <si>
    <t xml:space="preserve">Warnings</t>
  </si>
  <si>
    <r>
      <rPr>
        <i val="true"/>
        <sz val="10"/>
        <rFont val="Century"/>
        <family val="1"/>
        <charset val="1"/>
      </rPr>
      <t xml:space="preserve">Model monthly NH</t>
    </r>
    <r>
      <rPr>
        <i val="true"/>
        <vertAlign val="subscript"/>
        <sz val="10"/>
        <rFont val="Century"/>
        <family val="1"/>
        <charset val="1"/>
      </rPr>
      <t xml:space="preserve">3</t>
    </r>
    <r>
      <rPr>
        <i val="true"/>
        <sz val="10"/>
        <rFont val="Century"/>
        <family val="1"/>
        <charset val="1"/>
      </rPr>
      <t xml:space="preserve"> loss</t>
    </r>
  </si>
  <si>
    <r>
      <rPr>
        <i val="true"/>
        <sz val="10"/>
        <rFont val="Century"/>
        <family val="1"/>
        <charset val="1"/>
      </rPr>
      <t xml:space="preserve">Model average NH</t>
    </r>
    <r>
      <rPr>
        <i val="true"/>
        <vertAlign val="subscript"/>
        <sz val="10"/>
        <rFont val="Century"/>
        <family val="1"/>
        <charset val="1"/>
      </rPr>
      <t xml:space="preserve">3</t>
    </r>
    <r>
      <rPr>
        <i val="true"/>
        <sz val="10"/>
        <rFont val="Century"/>
        <family val="1"/>
        <charset val="1"/>
      </rPr>
      <t xml:space="preserve"> flux</t>
    </r>
  </si>
  <si>
    <t xml:space="preserve">pH</t>
  </si>
  <si>
    <t xml:space="preserve">Storage information</t>
  </si>
  <si>
    <t xml:space="preserve">Type</t>
  </si>
  <si>
    <t xml:space="preserve">Tank</t>
  </si>
  <si>
    <r>
      <rPr>
        <sz val="10"/>
        <rFont val="Century"/>
        <family val="1"/>
        <charset val="1"/>
      </rPr>
      <t xml:space="preserve">Surface area (m</t>
    </r>
    <r>
      <rPr>
        <vertAlign val="superscript"/>
        <sz val="10"/>
        <rFont val="Century"/>
        <family val="1"/>
        <charset val="1"/>
      </rPr>
      <t xml:space="preserve">2</t>
    </r>
    <r>
      <rPr>
        <sz val="10"/>
        <rFont val="Century"/>
        <family val="1"/>
        <charset val="1"/>
      </rPr>
      <t xml:space="preserve">)</t>
    </r>
  </si>
  <si>
    <t xml:space="preserve">Cover</t>
  </si>
  <si>
    <t xml:space="preserve">None</t>
  </si>
  <si>
    <t xml:space="preserve">Slurry temperature (°C)</t>
  </si>
  <si>
    <t xml:space="preserve">January</t>
  </si>
  <si>
    <t xml:space="preserve">Notes</t>
  </si>
  <si>
    <t xml:space="preserve">February</t>
  </si>
  <si>
    <t xml:space="preserve">March</t>
  </si>
  <si>
    <t xml:space="preserve">Enter inputs in cells C5-C30</t>
  </si>
  <si>
    <t xml:space="preserve">April</t>
  </si>
  <si>
    <t xml:space="preserve">Paper:</t>
  </si>
  <si>
    <t xml:space="preserve">May</t>
  </si>
  <si>
    <t xml:space="preserve">Contact us: </t>
  </si>
  <si>
    <t xml:space="preserve">sgs@bce.au.dk</t>
  </si>
  <si>
    <t xml:space="preserve">June</t>
  </si>
  <si>
    <t xml:space="preserve">License:</t>
  </si>
  <si>
    <t xml:space="preserve">MIT</t>
  </si>
  <si>
    <t xml:space="preserve">July</t>
  </si>
  <si>
    <t xml:space="preserve">Version:</t>
  </si>
  <si>
    <t xml:space="preserve">August</t>
  </si>
  <si>
    <t xml:space="preserve">September</t>
  </si>
  <si>
    <t xml:space="preserve">October</t>
  </si>
  <si>
    <t xml:space="preserve">November</t>
  </si>
  <si>
    <t xml:space="preserve">December</t>
  </si>
  <si>
    <t xml:space="preserve">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</si>
  <si>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Uncovered transport resistance (s/m)</t>
  </si>
  <si>
    <t xml:space="preserve">Lagoon</t>
  </si>
  <si>
    <t xml:space="preserve">Pig</t>
  </si>
  <si>
    <t xml:space="preserve">Digestate</t>
  </si>
  <si>
    <t xml:space="preserve">Covers</t>
  </si>
  <si>
    <t xml:space="preserve">Relative emission with cover</t>
  </si>
  <si>
    <t xml:space="preserve">Straw</t>
  </si>
  <si>
    <t xml:space="preserve">Surface crust – natural</t>
  </si>
  <si>
    <t xml:space="preserve">Clay pebbles</t>
  </si>
  <si>
    <t xml:space="preserve">Floating PVC (non porous)</t>
  </si>
  <si>
    <t xml:space="preserve">Biocover (porous sheet)</t>
  </si>
  <si>
    <t xml:space="preserve">Corrugated sheets</t>
  </si>
  <si>
    <t xml:space="preserve">Lid</t>
  </si>
  <si>
    <t xml:space="preserve">Tent</t>
  </si>
  <si>
    <t xml:space="preserve">Oil</t>
  </si>
  <si>
    <t xml:space="preserve">Peat</t>
  </si>
  <si>
    <t xml:space="preserve">Wood chips</t>
  </si>
  <si>
    <t xml:space="preserve">Position</t>
  </si>
  <si>
    <t xml:space="preserve">Slurry type</t>
  </si>
  <si>
    <t xml:space="preserve">Storage type</t>
  </si>
  <si>
    <t xml:space="preserve">Month</t>
  </si>
  <si>
    <t xml:space="preserve">Days in month</t>
  </si>
  <si>
    <r>
      <rPr>
        <sz val="10"/>
        <rFont val="Arial"/>
        <family val="2"/>
        <charset val="1"/>
      </rPr>
      <t xml:space="preserve">Storage temperature (</t>
    </r>
    <r>
      <rPr>
        <sz val="10"/>
        <rFont val="Calibri"/>
        <family val="2"/>
        <charset val="1"/>
      </rPr>
      <t xml:space="preserve">°</t>
    </r>
    <r>
      <rPr>
        <sz val="10"/>
        <rFont val="Arial"/>
        <family val="2"/>
        <charset val="1"/>
      </rPr>
      <t xml:space="preserve">C)</t>
    </r>
  </si>
  <si>
    <t xml:space="preserve">TAN (kg/t)</t>
  </si>
  <si>
    <t xml:space="preserve">Resitance R (s/m)</t>
  </si>
  <si>
    <t xml:space="preserve">Surface area (m2)</t>
  </si>
  <si>
    <t xml:space="preserve">Ka</t>
  </si>
  <si>
    <t xml:space="preserve">KH (mol/L-atm)</t>
  </si>
  <si>
    <t xml:space="preserve">H (aq:g)</t>
  </si>
  <si>
    <t xml:space="preserve">Eq. NH3 (g) (g/L)</t>
  </si>
  <si>
    <t xml:space="preserve">Flux (g/m2-d)</t>
  </si>
  <si>
    <t xml:space="preserve">Monthly NH3 loss (kg)</t>
  </si>
  <si>
    <t xml:space="preserve">Total</t>
  </si>
  <si>
    <t xml:space="preserve">Warning</t>
  </si>
  <si>
    <t xml:space="preserve">Number</t>
  </si>
  <si>
    <t xml:space="preserve">Warning text</t>
  </si>
  <si>
    <t xml:space="preserve">Numbered warning</t>
  </si>
  <si>
    <t xml:space="preserve">Minimum design depth (m)</t>
  </si>
  <si>
    <t xml:space="preserve">Maximum storage period (d)</t>
  </si>
  <si>
    <t xml:space="preserve">Apparent minimum storage period</t>
  </si>
  <si>
    <t xml:space="preserve">Storage period (area)</t>
  </si>
  <si>
    <t xml:space="preserve">Fractional loss</t>
  </si>
  <si>
    <t xml:space="preserve">Combined warning</t>
  </si>
  <si>
    <t xml:space="preserve">Loss limit (%)</t>
  </si>
  <si>
    <t xml:space="preserve">Version</t>
  </si>
  <si>
    <t xml:space="preserve">Date</t>
  </si>
  <si>
    <t xml:space="preserve">File name</t>
  </si>
  <si>
    <t xml:space="preserve">Who</t>
  </si>
  <si>
    <t xml:space="preserve">Description</t>
  </si>
  <si>
    <t xml:space="preserve">Storage_NH3_model.xlsx</t>
  </si>
  <si>
    <t xml:space="preserve">Sasha</t>
  </si>
  <si>
    <t xml:space="preserve">First version</t>
  </si>
  <si>
    <t xml:space="preserve">Storage_NH3_model_0.2.xlsx</t>
  </si>
  <si>
    <t xml:space="preserve">Remove number of animals</t>
  </si>
  <si>
    <t xml:space="preserve">Storage_NH3_model_0.3.xlsx</t>
  </si>
  <si>
    <t xml:space="preserve">Rearranged boxes in Model sheet, add warnings.</t>
  </si>
  <si>
    <t xml:space="preserve">Add MIT license</t>
  </si>
  <si>
    <t xml:space="preserve">Storage_NH3_model_0.4.xlsx</t>
  </si>
  <si>
    <t xml:space="preserve">Fix cover factor, had used it as a *reduction*</t>
  </si>
</sst>
</file>

<file path=xl/styles.xml><?xml version="1.0" encoding="utf-8"?>
<styleSheet xmlns="http://schemas.openxmlformats.org/spreadsheetml/2006/main">
  <numFmts count="5">
    <numFmt numFmtId="164" formatCode="General"/>
    <numFmt numFmtId="165" formatCode="General"/>
    <numFmt numFmtId="166" formatCode="0"/>
    <numFmt numFmtId="167" formatCode="0.0"/>
    <numFmt numFmtId="168" formatCode="d\-mmm\-yy"/>
  </numFmts>
  <fonts count="22">
    <font>
      <sz val="10"/>
      <name val="Arial"/>
      <family val="2"/>
      <charset val="1"/>
    </font>
    <font>
      <sz val="10"/>
      <name val="Arial"/>
      <family val="0"/>
    </font>
    <font>
      <sz val="10"/>
      <name val="Arial"/>
      <family val="0"/>
    </font>
    <font>
      <sz val="10"/>
      <name val="Arial"/>
      <family val="0"/>
    </font>
    <font>
      <sz val="10"/>
      <name val="Century"/>
      <family val="1"/>
      <charset val="1"/>
    </font>
    <font>
      <b val="true"/>
      <sz val="12"/>
      <name val="Century"/>
      <family val="1"/>
      <charset val="1"/>
    </font>
    <font>
      <b val="true"/>
      <sz val="11"/>
      <name val="Century"/>
      <family val="1"/>
      <charset val="1"/>
    </font>
    <font>
      <i val="true"/>
      <sz val="10"/>
      <name val="Century"/>
      <family val="1"/>
      <charset val="1"/>
    </font>
    <font>
      <vertAlign val="superscript"/>
      <sz val="10"/>
      <name val="Century"/>
      <family val="1"/>
      <charset val="1"/>
    </font>
    <font>
      <vertAlign val="subscript"/>
      <sz val="10"/>
      <name val="Century"/>
      <family val="1"/>
      <charset val="1"/>
    </font>
    <font>
      <i val="true"/>
      <vertAlign val="subscript"/>
      <sz val="10"/>
      <name val="Century"/>
      <family val="1"/>
      <charset val="1"/>
    </font>
    <font>
      <sz val="11"/>
      <color rgb="FFFF0000"/>
      <name val="Century"/>
      <family val="1"/>
      <charset val="1"/>
    </font>
    <font>
      <sz val="11"/>
      <name val="Century"/>
      <family val="1"/>
      <charset val="1"/>
    </font>
    <font>
      <u val="single"/>
      <sz val="10"/>
      <color rgb="FF0563C1"/>
      <name val="Arial"/>
      <family val="2"/>
      <charset val="1"/>
    </font>
    <font>
      <sz val="10"/>
      <color rgb="FF70AD47"/>
      <name val="Century"/>
      <family val="1"/>
      <charset val="1"/>
    </font>
    <font>
      <sz val="11"/>
      <color rgb="FF000000"/>
      <name val="Century"/>
      <family val="2"/>
    </font>
    <font>
      <vertAlign val="subscript"/>
      <sz val="11"/>
      <color rgb="FF000000"/>
      <name val="Century"/>
      <family val="2"/>
    </font>
    <font>
      <vertAlign val="superscript"/>
      <sz val="11"/>
      <color rgb="FF000000"/>
      <name val="Century"/>
      <family val="2"/>
    </font>
    <font>
      <sz val="10"/>
      <color rgb="FF0070C0"/>
      <name val="Arial"/>
      <family val="2"/>
      <charset val="1"/>
    </font>
    <font>
      <sz val="10"/>
      <name val="Calibri"/>
      <family val="2"/>
      <charset val="1"/>
    </font>
    <font>
      <sz val="10"/>
      <color rgb="FF70AD47"/>
      <name val="Arial"/>
      <family val="2"/>
      <charset val="1"/>
    </font>
    <font>
      <b val="true"/>
      <sz val="10"/>
      <color rgb="FF0070C0"/>
      <name val="Arial"/>
      <family val="2"/>
      <charset val="1"/>
    </font>
  </fonts>
  <fills count="4">
    <fill>
      <patternFill patternType="none"/>
    </fill>
    <fill>
      <patternFill patternType="gray125"/>
    </fill>
    <fill>
      <patternFill patternType="solid">
        <fgColor rgb="FFD9D9D9"/>
        <bgColor rgb="FFC5E0B4"/>
      </patternFill>
    </fill>
    <fill>
      <patternFill patternType="solid">
        <fgColor rgb="FFF2F2F2"/>
        <bgColor rgb="FFFFFFCC"/>
      </patternFill>
    </fill>
  </fills>
  <borders count="15">
    <border diagonalUp="false" diagonalDown="false">
      <left/>
      <right/>
      <top/>
      <bottom/>
      <diagonal/>
    </border>
    <border diagonalUp="false" diagonalDown="false">
      <left/>
      <right/>
      <top/>
      <bottom style="medium">
        <color rgb="FFA6A6A6"/>
      </bottom>
      <diagonal/>
    </border>
    <border diagonalUp="false" diagonalDown="false">
      <left style="medium">
        <color rgb="FFA6A6A6"/>
      </left>
      <right/>
      <top style="medium">
        <color rgb="FFA6A6A6"/>
      </top>
      <bottom/>
      <diagonal/>
    </border>
    <border diagonalUp="false" diagonalDown="false">
      <left/>
      <right style="medium">
        <color rgb="FFA6A6A6"/>
      </right>
      <top style="medium">
        <color rgb="FFA6A6A6"/>
      </top>
      <bottom/>
      <diagonal/>
    </border>
    <border diagonalUp="false" diagonalDown="false">
      <left/>
      <right/>
      <top style="medium">
        <color rgb="FFA6A6A6"/>
      </top>
      <bottom/>
      <diagonal/>
    </border>
    <border diagonalUp="false" diagonalDown="false">
      <left style="medium">
        <color rgb="FFA6A6A6"/>
      </left>
      <right/>
      <top/>
      <bottom/>
      <diagonal/>
    </border>
    <border diagonalUp="false" diagonalDown="false">
      <left style="thin">
        <color rgb="FFA6A6A6"/>
      </left>
      <right style="thin">
        <color rgb="FFA6A6A6"/>
      </right>
      <top style="thin">
        <color rgb="FFA6A6A6"/>
      </top>
      <bottom/>
      <diagonal/>
    </border>
    <border diagonalUp="false" diagonalDown="false">
      <left/>
      <right style="medium">
        <color rgb="FFA6A6A6"/>
      </right>
      <top/>
      <bottom/>
      <diagonal/>
    </border>
    <border diagonalUp="false" diagonalDown="false">
      <left style="medium">
        <color rgb="FFA6A6A6"/>
      </left>
      <right style="medium">
        <color rgb="FFA6A6A6"/>
      </right>
      <top style="medium">
        <color rgb="FFA6A6A6"/>
      </top>
      <bottom/>
      <diagonal/>
    </border>
    <border diagonalUp="false" diagonalDown="false">
      <left style="thin">
        <color rgb="FFA6A6A6"/>
      </left>
      <right style="thin">
        <color rgb="FFA6A6A6"/>
      </right>
      <top/>
      <bottom style="thin">
        <color rgb="FFA6A6A6"/>
      </bottom>
      <diagonal/>
    </border>
    <border diagonalUp="false" diagonalDown="false">
      <left style="medium">
        <color rgb="FFA6A6A6"/>
      </left>
      <right style="medium">
        <color rgb="FFA6A6A6"/>
      </right>
      <top/>
      <bottom/>
      <diagonal/>
    </border>
    <border diagonalUp="false" diagonalDown="false">
      <left style="medium">
        <color rgb="FFA6A6A6"/>
      </left>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style="thin">
        <color rgb="FFA6A6A6"/>
      </left>
      <right style="thin">
        <color rgb="FFA6A6A6"/>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6" fontId="4" fillId="0" borderId="8"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false" hidden="false"/>
    </xf>
    <xf numFmtId="165" fontId="4" fillId="0" borderId="9" xfId="0" applyFont="true" applyBorder="true" applyAlignment="true" applyProtection="false">
      <alignment horizontal="center" vertical="center" textRotation="0" wrapText="false" indent="0" shrinkToFit="false"/>
      <protection locked="true" hidden="false"/>
    </xf>
    <xf numFmtId="167" fontId="4" fillId="0" borderId="10" xfId="0" applyFont="true" applyBorder="true" applyAlignment="true" applyProtection="false">
      <alignment horizontal="center" vertical="center" textRotation="0" wrapText="false" indent="0" shrinkToFit="false"/>
      <protection locked="true" hidden="false"/>
    </xf>
    <xf numFmtId="164" fontId="4" fillId="3" borderId="1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2" xfId="0" applyFont="true" applyBorder="true" applyAlignment="true" applyProtection="false">
      <alignment horizontal="center" vertical="center" textRotation="0" wrapText="false" indent="0" shrinkToFit="false"/>
      <protection locked="true" hidden="false"/>
    </xf>
    <xf numFmtId="167" fontId="4" fillId="0" borderId="13"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8"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12" fillId="3" borderId="1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false" hidden="false"/>
    </xf>
    <xf numFmtId="164" fontId="13" fillId="3" borderId="0" xfId="20" applyFont="true" applyBorder="true" applyAlignment="true" applyProtection="true">
      <alignment horizontal="left" vertical="center" textRotation="0" wrapText="false" indent="0" shrinkToFit="false"/>
      <protection locked="false" hidden="false"/>
    </xf>
    <xf numFmtId="164" fontId="4" fillId="3" borderId="11" xfId="0" applyFont="true" applyBorder="true" applyAlignment="true" applyProtection="false">
      <alignment horizontal="general" vertical="center" textRotation="0" wrapText="false" indent="0" shrinkToFit="false"/>
      <protection locked="true" hidden="false"/>
    </xf>
    <xf numFmtId="167" fontId="14" fillId="3"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20" fillId="0" borderId="0" xfId="0" applyFont="true" applyBorder="false" applyAlignment="true" applyProtection="false">
      <alignment horizontal="center" vertical="bottom" textRotation="0" wrapText="false" indent="0" shrinkToFit="false"/>
      <protection locked="true" hidden="false"/>
    </xf>
    <xf numFmtId="165" fontId="18" fillId="0" borderId="0" xfId="0" applyFont="true" applyBorder="false" applyAlignment="true" applyProtection="false">
      <alignment horizontal="center" vertical="bottom" textRotation="0" wrapText="false" indent="0" shrinkToFit="false"/>
      <protection locked="true" hidden="false"/>
    </xf>
    <xf numFmtId="165" fontId="21"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DCBF1"/>
      <rgbColor rgb="FFFF99CC"/>
      <rgbColor rgb="FFCC99FF"/>
      <rgbColor rgb="FFFFCC99"/>
      <rgbColor rgb="FF3366FF"/>
      <rgbColor rgb="FF33CCCC"/>
      <rgbColor rgb="FF99CC00"/>
      <rgbColor rgb="FFFFCC00"/>
      <rgbColor rgb="FFFF9900"/>
      <rgbColor rgb="FFFF6600"/>
      <rgbColor rgb="FF666699"/>
      <rgbColor rgb="FFA6A6A6"/>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9dcbf1"/>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Calculations!$N$3:$N$14</c:f>
              <c:numCache>
                <c:formatCode>General</c:formatCode>
                <c:ptCount val="12"/>
                <c:pt idx="0">
                  <c:v>33.1516892723709</c:v>
                </c:pt>
                <c:pt idx="1">
                  <c:v>18.4479996444657</c:v>
                </c:pt>
                <c:pt idx="2">
                  <c:v>20.6702658452959</c:v>
                </c:pt>
                <c:pt idx="3">
                  <c:v>29.9207906573876</c:v>
                </c:pt>
                <c:pt idx="4">
                  <c:v>63.2670442287186</c:v>
                </c:pt>
                <c:pt idx="5">
                  <c:v>106.195925463313</c:v>
                </c:pt>
                <c:pt idx="6">
                  <c:v>158.851252896562</c:v>
                </c:pt>
                <c:pt idx="7">
                  <c:v>191.890619949339</c:v>
                </c:pt>
                <c:pt idx="8">
                  <c:v>182.988602616806</c:v>
                </c:pt>
                <c:pt idx="9">
                  <c:v>156.68162810496</c:v>
                </c:pt>
                <c:pt idx="10">
                  <c:v>109.611560192607</c:v>
                </c:pt>
                <c:pt idx="11">
                  <c:v>78.0624097828973</c:v>
                </c:pt>
              </c:numCache>
            </c:numRef>
          </c:val>
        </c:ser>
        <c:gapWidth val="90"/>
        <c:overlap val="59"/>
        <c:axId val="63235614"/>
        <c:axId val="34787483"/>
      </c:barChart>
      <c:catAx>
        <c:axId val="63235614"/>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34787483"/>
        <c:crosses val="autoZero"/>
        <c:auto val="1"/>
        <c:lblAlgn val="ctr"/>
        <c:lblOffset val="100"/>
        <c:noMultiLvlLbl val="0"/>
      </c:catAx>
      <c:valAx>
        <c:axId val="34787483"/>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loss (kg N)</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63235614"/>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c5e0b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Calculations!$M$3:$M$14</c:f>
              <c:numCache>
                <c:formatCode>General</c:formatCode>
                <c:ptCount val="12"/>
                <c:pt idx="0">
                  <c:v>1.05050032550767</c:v>
                </c:pt>
                <c:pt idx="1">
                  <c:v>0.641479897924637</c:v>
                </c:pt>
                <c:pt idx="2">
                  <c:v>0.654992897056084</c:v>
                </c:pt>
                <c:pt idx="3">
                  <c:v>0.979724644970125</c:v>
                </c:pt>
                <c:pt idx="4">
                  <c:v>2.00478624211669</c:v>
                </c:pt>
                <c:pt idx="5">
                  <c:v>3.47727326336978</c:v>
                </c:pt>
                <c:pt idx="6">
                  <c:v>5.03362864872812</c:v>
                </c:pt>
                <c:pt idx="7">
                  <c:v>6.08056974299191</c:v>
                </c:pt>
                <c:pt idx="8">
                  <c:v>5.99176825857257</c:v>
                </c:pt>
                <c:pt idx="9">
                  <c:v>4.9648782592357</c:v>
                </c:pt>
                <c:pt idx="10">
                  <c:v>3.589114610105</c:v>
                </c:pt>
                <c:pt idx="11">
                  <c:v>2.47361714249627</c:v>
                </c:pt>
              </c:numCache>
            </c:numRef>
          </c:val>
        </c:ser>
        <c:gapWidth val="90"/>
        <c:overlap val="59"/>
        <c:axId val="16799010"/>
        <c:axId val="87787357"/>
      </c:barChart>
      <c:catAx>
        <c:axId val="16799010"/>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87787357"/>
        <c:crosses val="autoZero"/>
        <c:auto val="1"/>
        <c:lblAlgn val="ctr"/>
        <c:lblOffset val="100"/>
        <c:noMultiLvlLbl val="0"/>
      </c:catAx>
      <c:valAx>
        <c:axId val="87787357"/>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flux (g N m-2 d-1)</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16799010"/>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329040</xdr:colOff>
      <xdr:row>10</xdr:row>
      <xdr:rowOff>25920</xdr:rowOff>
    </xdr:from>
    <xdr:to>
      <xdr:col>11</xdr:col>
      <xdr:colOff>1142640</xdr:colOff>
      <xdr:row>25</xdr:row>
      <xdr:rowOff>112320</xdr:rowOff>
    </xdr:to>
    <xdr:graphicFrame>
      <xdr:nvGraphicFramePr>
        <xdr:cNvPr id="0" name="Chart 1"/>
        <xdr:cNvGraphicFramePr/>
      </xdr:nvGraphicFramePr>
      <xdr:xfrm>
        <a:off x="6879600" y="1950120"/>
        <a:ext cx="3868200" cy="266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25920</xdr:colOff>
      <xdr:row>10</xdr:row>
      <xdr:rowOff>17280</xdr:rowOff>
    </xdr:from>
    <xdr:to>
      <xdr:col>15</xdr:col>
      <xdr:colOff>406440</xdr:colOff>
      <xdr:row>25</xdr:row>
      <xdr:rowOff>120960</xdr:rowOff>
    </xdr:to>
    <xdr:graphicFrame>
      <xdr:nvGraphicFramePr>
        <xdr:cNvPr id="1" name="Chart 2"/>
        <xdr:cNvGraphicFramePr/>
      </xdr:nvGraphicFramePr>
      <xdr:xfrm>
        <a:off x="11082600" y="1941480"/>
        <a:ext cx="3766320" cy="2684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sgs@bce.au.dk"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4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11" activeCellId="0" sqref="C11"/>
    </sheetView>
  </sheetViews>
  <sheetFormatPr defaultColWidth="11.58984375" defaultRowHeight="12.75" zeroHeight="false" outlineLevelRow="0" outlineLevelCol="0"/>
  <cols>
    <col collapsed="false" customWidth="true" hidden="false" outlineLevel="0" max="1" min="1" style="1" width="5.43"/>
    <col collapsed="false" customWidth="true" hidden="false" outlineLevel="0" max="2" min="2" style="1" width="24.86"/>
    <col collapsed="false" customWidth="true" hidden="false" outlineLevel="0" max="3" min="3" style="1" width="12.57"/>
    <col collapsed="false" customWidth="true" hidden="false" outlineLevel="0" max="4" min="4" style="1" width="3.71"/>
    <col collapsed="false" customWidth="true" hidden="false" outlineLevel="0" max="5" min="5" style="1" width="4.86"/>
    <col collapsed="false" customWidth="true" hidden="false" outlineLevel="0" max="6" min="6" style="1" width="18.42"/>
    <col collapsed="false" customWidth="true" hidden="false" outlineLevel="0" max="8" min="7" style="1" width="9.14"/>
    <col collapsed="false" customWidth="true" hidden="false" outlineLevel="0" max="9" min="9" style="1" width="4.71"/>
    <col collapsed="false" customWidth="true" hidden="false" outlineLevel="0" max="10" min="10" style="1" width="14.15"/>
    <col collapsed="false" customWidth="true" hidden="false" outlineLevel="0" max="11" min="11" style="1" width="29.14"/>
    <col collapsed="false" customWidth="true" hidden="false" outlineLevel="0" max="12" min="12" style="1" width="20.57"/>
    <col collapsed="false" customWidth="true" hidden="false" outlineLevel="0" max="13" min="13" style="1" width="14.7"/>
    <col collapsed="false" customWidth="false" hidden="false" outlineLevel="0" max="14" min="14" style="1" width="11.57"/>
    <col collapsed="false" customWidth="true" hidden="false" outlineLevel="0" max="15" min="15" style="1" width="21.71"/>
    <col collapsed="false" customWidth="false" hidden="false" outlineLevel="0" max="1024" min="16" style="1" width="11.57"/>
  </cols>
  <sheetData>
    <row r="2" customFormat="false" ht="15.75" hidden="false" customHeight="false" outlineLevel="0" collapsed="false">
      <c r="B2" s="2" t="s">
        <v>0</v>
      </c>
      <c r="C2" s="2"/>
      <c r="D2" s="2"/>
      <c r="E2" s="2"/>
      <c r="F2" s="2"/>
      <c r="G2" s="2"/>
      <c r="H2" s="2"/>
      <c r="I2" s="2"/>
      <c r="J2" s="2"/>
      <c r="K2" s="2"/>
    </row>
    <row r="3" customFormat="false" ht="15.75" hidden="false" customHeight="false" outlineLevel="0" collapsed="false">
      <c r="B3" s="3"/>
      <c r="C3" s="3"/>
      <c r="D3" s="3"/>
      <c r="E3" s="3"/>
      <c r="F3" s="3"/>
      <c r="G3" s="3"/>
      <c r="H3" s="3"/>
      <c r="I3" s="3"/>
      <c r="J3" s="3"/>
      <c r="K3" s="3"/>
    </row>
    <row r="4" customFormat="false" ht="15" hidden="false" customHeight="false" outlineLevel="0" collapsed="false">
      <c r="B4" s="4" t="s">
        <v>1</v>
      </c>
      <c r="C4" s="4"/>
      <c r="D4" s="4"/>
      <c r="F4" s="4" t="s">
        <v>2</v>
      </c>
      <c r="G4" s="4"/>
      <c r="H4" s="4"/>
      <c r="K4" s="5" t="s">
        <v>3</v>
      </c>
      <c r="L4" s="5"/>
    </row>
    <row r="5" customFormat="false" ht="15" hidden="false" customHeight="false" outlineLevel="0" collapsed="false">
      <c r="B5" s="6" t="s">
        <v>4</v>
      </c>
      <c r="C5" s="6"/>
      <c r="D5" s="7"/>
      <c r="F5" s="8"/>
      <c r="G5" s="9"/>
      <c r="H5" s="7"/>
      <c r="J5" s="10"/>
      <c r="K5" s="11" t="s">
        <v>5</v>
      </c>
      <c r="L5" s="11"/>
      <c r="M5" s="12"/>
      <c r="N5" s="12"/>
      <c r="O5" s="12"/>
      <c r="P5" s="7"/>
    </row>
    <row r="6" customFormat="false" ht="15.75" hidden="false" customHeight="false" outlineLevel="0" collapsed="false">
      <c r="B6" s="13" t="s">
        <v>6</v>
      </c>
      <c r="C6" s="14" t="s">
        <v>7</v>
      </c>
      <c r="D6" s="15"/>
      <c r="F6" s="13" t="s">
        <v>8</v>
      </c>
      <c r="G6" s="16" t="n">
        <f aca="false">INDEX(Parameters!B3:C5,Lookup!C2,Lookup!C3)</f>
        <v>131</v>
      </c>
      <c r="H6" s="15"/>
      <c r="J6" s="13"/>
      <c r="K6" s="17" t="s">
        <v>9</v>
      </c>
      <c r="L6" s="18" t="n">
        <f aca="false">C7*C10*365.25</f>
        <v>15340.5</v>
      </c>
      <c r="M6" s="17"/>
      <c r="N6" s="17"/>
      <c r="O6" s="17"/>
      <c r="P6" s="15"/>
    </row>
    <row r="7" customFormat="false" ht="15.75" hidden="false" customHeight="false" outlineLevel="0" collapsed="false">
      <c r="B7" s="19" t="s">
        <v>10</v>
      </c>
      <c r="C7" s="20" t="n">
        <v>20</v>
      </c>
      <c r="D7" s="15"/>
      <c r="F7" s="13" t="s">
        <v>11</v>
      </c>
      <c r="G7" s="21" t="n">
        <f aca="false">VLOOKUP(C16,Parameters!A8:C21,3,FALSE())</f>
        <v>1</v>
      </c>
      <c r="H7" s="15"/>
      <c r="J7" s="13"/>
      <c r="K7" s="17" t="s">
        <v>12</v>
      </c>
      <c r="L7" s="22" t="n">
        <f aca="false">Calculations!N15</f>
        <v>1149.73978865472</v>
      </c>
      <c r="M7" s="17"/>
      <c r="N7" s="17"/>
      <c r="O7" s="17"/>
      <c r="P7" s="15"/>
    </row>
    <row r="8" customFormat="false" ht="16.5" hidden="false" customHeight="false" outlineLevel="0" collapsed="false">
      <c r="B8" s="13"/>
      <c r="C8" s="17"/>
      <c r="D8" s="15"/>
      <c r="F8" s="23"/>
      <c r="G8" s="24"/>
      <c r="H8" s="25"/>
      <c r="J8" s="13"/>
      <c r="K8" s="17" t="s">
        <v>13</v>
      </c>
      <c r="L8" s="26" t="n">
        <f aca="false">100*L7/L6</f>
        <v>7.49479996515578</v>
      </c>
      <c r="M8" s="17"/>
      <c r="N8" s="17"/>
      <c r="O8" s="17"/>
      <c r="P8" s="15"/>
    </row>
    <row r="9" customFormat="false" ht="12.75" hidden="false" customHeight="false" outlineLevel="0" collapsed="false">
      <c r="B9" s="27" t="s">
        <v>14</v>
      </c>
      <c r="C9" s="27"/>
      <c r="D9" s="15"/>
      <c r="J9" s="13"/>
      <c r="K9" s="17"/>
      <c r="L9" s="17"/>
      <c r="M9" s="17"/>
      <c r="N9" s="17"/>
      <c r="O9" s="17"/>
      <c r="P9" s="15"/>
    </row>
    <row r="10" customFormat="false" ht="16.5" hidden="false" customHeight="false" outlineLevel="0" collapsed="false">
      <c r="B10" s="13" t="s">
        <v>15</v>
      </c>
      <c r="C10" s="14" t="n">
        <v>2.1</v>
      </c>
      <c r="D10" s="15"/>
      <c r="F10" s="4" t="s">
        <v>16</v>
      </c>
      <c r="G10" s="4"/>
      <c r="H10" s="4"/>
      <c r="J10" s="27" t="s">
        <v>17</v>
      </c>
      <c r="K10" s="27"/>
      <c r="L10" s="27"/>
      <c r="M10" s="28" t="s">
        <v>18</v>
      </c>
      <c r="N10" s="28"/>
      <c r="O10" s="28"/>
      <c r="P10" s="15"/>
    </row>
    <row r="11" customFormat="false" ht="16.5" hidden="false" customHeight="true" outlineLevel="0" collapsed="false">
      <c r="B11" s="13" t="s">
        <v>19</v>
      </c>
      <c r="C11" s="20" t="n">
        <v>7</v>
      </c>
      <c r="D11" s="15"/>
      <c r="F11" s="29" t="str">
        <f aca="false">Warnings!D4</f>
        <v> </v>
      </c>
      <c r="G11" s="29"/>
      <c r="H11" s="29"/>
      <c r="J11" s="13"/>
      <c r="K11" s="17"/>
      <c r="L11" s="17"/>
      <c r="M11" s="17"/>
      <c r="N11" s="17"/>
      <c r="O11" s="17"/>
      <c r="P11" s="15"/>
    </row>
    <row r="12" customFormat="false" ht="12.75" hidden="false" customHeight="true" outlineLevel="0" collapsed="false">
      <c r="B12" s="13"/>
      <c r="C12" s="17"/>
      <c r="D12" s="15"/>
      <c r="F12" s="29"/>
      <c r="G12" s="29"/>
      <c r="H12" s="29"/>
      <c r="J12" s="13"/>
      <c r="K12" s="17"/>
      <c r="L12" s="17"/>
      <c r="M12" s="17"/>
      <c r="N12" s="17"/>
      <c r="O12" s="17"/>
      <c r="P12" s="15"/>
    </row>
    <row r="13" customFormat="false" ht="12.75" hidden="false" customHeight="true" outlineLevel="0" collapsed="false">
      <c r="B13" s="27" t="s">
        <v>20</v>
      </c>
      <c r="C13" s="27"/>
      <c r="D13" s="15"/>
      <c r="F13" s="29"/>
      <c r="G13" s="29"/>
      <c r="H13" s="29"/>
      <c r="J13" s="13"/>
      <c r="K13" s="17"/>
      <c r="L13" s="17"/>
      <c r="M13" s="17"/>
      <c r="N13" s="17"/>
      <c r="O13" s="17"/>
      <c r="P13" s="15"/>
    </row>
    <row r="14" customFormat="false" ht="12.75" hidden="false" customHeight="true" outlineLevel="0" collapsed="false">
      <c r="B14" s="13" t="s">
        <v>21</v>
      </c>
      <c r="C14" s="14" t="s">
        <v>22</v>
      </c>
      <c r="D14" s="15"/>
      <c r="F14" s="29"/>
      <c r="G14" s="29"/>
      <c r="H14" s="29"/>
      <c r="J14" s="13"/>
      <c r="K14" s="17"/>
      <c r="L14" s="17"/>
      <c r="M14" s="17"/>
      <c r="N14" s="17"/>
      <c r="O14" s="17"/>
      <c r="P14" s="15"/>
    </row>
    <row r="15" customFormat="false" ht="15.75" hidden="false" customHeight="false" outlineLevel="0" collapsed="false">
      <c r="B15" s="13" t="s">
        <v>23</v>
      </c>
      <c r="C15" s="30" t="n">
        <v>1018</v>
      </c>
      <c r="D15" s="15"/>
      <c r="F15" s="29"/>
      <c r="G15" s="29"/>
      <c r="H15" s="29"/>
      <c r="J15" s="13"/>
      <c r="K15" s="17"/>
      <c r="L15" s="17"/>
      <c r="M15" s="17"/>
      <c r="N15" s="17"/>
      <c r="O15" s="17"/>
      <c r="P15" s="15"/>
    </row>
    <row r="16" customFormat="false" ht="13.5" hidden="false" customHeight="true" outlineLevel="0" collapsed="false">
      <c r="B16" s="13" t="s">
        <v>24</v>
      </c>
      <c r="C16" s="20" t="s">
        <v>25</v>
      </c>
      <c r="D16" s="15"/>
      <c r="F16" s="31" t="str">
        <f aca="false">IF(LEN(F11)&gt;1,"","No warnings.")</f>
        <v>No warnings.</v>
      </c>
      <c r="G16" s="31"/>
      <c r="H16" s="31"/>
      <c r="J16" s="13"/>
      <c r="K16" s="17"/>
      <c r="L16" s="17"/>
      <c r="M16" s="17"/>
      <c r="N16" s="17"/>
      <c r="O16" s="17"/>
      <c r="P16" s="15"/>
    </row>
    <row r="17" customFormat="false" ht="12.75" hidden="false" customHeight="false" outlineLevel="0" collapsed="false">
      <c r="B17" s="13"/>
      <c r="C17" s="17"/>
      <c r="D17" s="15"/>
      <c r="J17" s="13"/>
      <c r="K17" s="17"/>
      <c r="L17" s="17"/>
      <c r="M17" s="17"/>
      <c r="N17" s="17"/>
      <c r="O17" s="17"/>
      <c r="P17" s="15"/>
    </row>
    <row r="18" customFormat="false" ht="12.75" hidden="false" customHeight="false" outlineLevel="0" collapsed="false">
      <c r="B18" s="27" t="s">
        <v>26</v>
      </c>
      <c r="C18" s="27"/>
      <c r="D18" s="15"/>
      <c r="J18" s="13"/>
      <c r="K18" s="17"/>
      <c r="L18" s="17"/>
      <c r="M18" s="17"/>
      <c r="N18" s="17"/>
      <c r="O18" s="17"/>
      <c r="P18" s="15"/>
    </row>
    <row r="19" customFormat="false" ht="15" hidden="false" customHeight="false" outlineLevel="0" collapsed="false">
      <c r="B19" s="13" t="s">
        <v>27</v>
      </c>
      <c r="C19" s="14" t="n">
        <v>11.55</v>
      </c>
      <c r="D19" s="15"/>
      <c r="F19" s="4" t="s">
        <v>28</v>
      </c>
      <c r="G19" s="4"/>
      <c r="H19" s="4"/>
      <c r="J19" s="13"/>
      <c r="K19" s="17"/>
      <c r="L19" s="17"/>
      <c r="M19" s="17"/>
      <c r="N19" s="17"/>
      <c r="O19" s="17"/>
      <c r="P19" s="15"/>
    </row>
    <row r="20" customFormat="false" ht="14.25" hidden="false" customHeight="false" outlineLevel="0" collapsed="false">
      <c r="B20" s="13" t="s">
        <v>29</v>
      </c>
      <c r="C20" s="30" t="n">
        <v>7.71</v>
      </c>
      <c r="D20" s="15"/>
      <c r="F20" s="8"/>
      <c r="G20" s="12"/>
      <c r="H20" s="7"/>
      <c r="J20" s="13"/>
      <c r="K20" s="17"/>
      <c r="L20" s="17"/>
      <c r="M20" s="17"/>
      <c r="N20" s="17"/>
      <c r="O20" s="17"/>
      <c r="P20" s="15"/>
    </row>
    <row r="21" customFormat="false" ht="12.75" hidden="false" customHeight="false" outlineLevel="0" collapsed="false">
      <c r="B21" s="13" t="s">
        <v>30</v>
      </c>
      <c r="C21" s="30" t="n">
        <v>7.87</v>
      </c>
      <c r="D21" s="15"/>
      <c r="F21" s="32" t="s">
        <v>31</v>
      </c>
      <c r="G21" s="17"/>
      <c r="H21" s="15"/>
      <c r="J21" s="13"/>
      <c r="K21" s="17"/>
      <c r="L21" s="17"/>
      <c r="M21" s="17"/>
      <c r="N21" s="17"/>
      <c r="O21" s="17"/>
      <c r="P21" s="15"/>
    </row>
    <row r="22" customFormat="false" ht="12.75" hidden="false" customHeight="false" outlineLevel="0" collapsed="false">
      <c r="B22" s="13" t="s">
        <v>32</v>
      </c>
      <c r="C22" s="30" t="n">
        <v>11</v>
      </c>
      <c r="D22" s="15"/>
      <c r="F22" s="32" t="s">
        <v>33</v>
      </c>
      <c r="G22" s="33"/>
      <c r="H22" s="15"/>
      <c r="J22" s="13"/>
      <c r="K22" s="17"/>
      <c r="L22" s="17"/>
      <c r="M22" s="17"/>
      <c r="N22" s="17"/>
      <c r="O22" s="17"/>
      <c r="P22" s="15"/>
    </row>
    <row r="23" customFormat="false" ht="12.75" hidden="false" customHeight="false" outlineLevel="0" collapsed="false">
      <c r="B23" s="13" t="s">
        <v>34</v>
      </c>
      <c r="C23" s="30" t="n">
        <v>16.76</v>
      </c>
      <c r="D23" s="15"/>
      <c r="F23" s="32" t="s">
        <v>35</v>
      </c>
      <c r="G23" s="34" t="s">
        <v>36</v>
      </c>
      <c r="H23" s="15"/>
      <c r="J23" s="13"/>
      <c r="K23" s="17"/>
      <c r="L23" s="17"/>
      <c r="M23" s="17"/>
      <c r="N23" s="17"/>
      <c r="O23" s="17"/>
      <c r="P23" s="15"/>
    </row>
    <row r="24" customFormat="false" ht="12.75" hidden="false" customHeight="false" outlineLevel="0" collapsed="false">
      <c r="B24" s="13" t="s">
        <v>37</v>
      </c>
      <c r="C24" s="30" t="n">
        <v>21.37</v>
      </c>
      <c r="D24" s="15"/>
      <c r="F24" s="32" t="s">
        <v>38</v>
      </c>
      <c r="G24" s="17" t="s">
        <v>39</v>
      </c>
      <c r="H24" s="15"/>
      <c r="J24" s="13"/>
      <c r="K24" s="17"/>
      <c r="L24" s="17"/>
      <c r="M24" s="17"/>
      <c r="N24" s="17"/>
      <c r="O24" s="17"/>
      <c r="P24" s="15"/>
    </row>
    <row r="25" customFormat="false" ht="13.5" hidden="false" customHeight="false" outlineLevel="0" collapsed="false">
      <c r="B25" s="13" t="s">
        <v>40</v>
      </c>
      <c r="C25" s="30" t="n">
        <v>24.56</v>
      </c>
      <c r="D25" s="15"/>
      <c r="F25" s="35" t="s">
        <v>41</v>
      </c>
      <c r="G25" s="36" t="n">
        <f aca="false">MAX(ChangeLog!A2:A1009)</f>
        <v>0.4</v>
      </c>
      <c r="H25" s="25"/>
      <c r="J25" s="13"/>
      <c r="K25" s="17"/>
      <c r="L25" s="17"/>
      <c r="M25" s="17"/>
      <c r="N25" s="17"/>
      <c r="O25" s="17"/>
      <c r="P25" s="15"/>
    </row>
    <row r="26" customFormat="false" ht="12.75" hidden="false" customHeight="false" outlineLevel="0" collapsed="false">
      <c r="B26" s="13" t="s">
        <v>42</v>
      </c>
      <c r="C26" s="30" t="n">
        <v>26.22</v>
      </c>
      <c r="D26" s="15"/>
      <c r="J26" s="13"/>
      <c r="K26" s="17"/>
      <c r="L26" s="17"/>
      <c r="M26" s="17"/>
      <c r="N26" s="17"/>
      <c r="O26" s="17"/>
      <c r="P26" s="15"/>
    </row>
    <row r="27" customFormat="false" ht="13.5" hidden="false" customHeight="false" outlineLevel="0" collapsed="false">
      <c r="B27" s="13" t="s">
        <v>43</v>
      </c>
      <c r="C27" s="30" t="n">
        <v>26.09</v>
      </c>
      <c r="D27" s="15"/>
      <c r="J27" s="23"/>
      <c r="K27" s="24"/>
      <c r="L27" s="24"/>
      <c r="M27" s="24"/>
      <c r="N27" s="24"/>
      <c r="O27" s="24"/>
      <c r="P27" s="25"/>
    </row>
    <row r="28" customFormat="false" ht="12.75" hidden="false" customHeight="false" outlineLevel="0" collapsed="false">
      <c r="B28" s="13" t="s">
        <v>44</v>
      </c>
      <c r="C28" s="30" t="n">
        <v>24.44</v>
      </c>
      <c r="D28" s="15"/>
      <c r="J28" s="37"/>
      <c r="K28" s="38"/>
      <c r="L28" s="38"/>
      <c r="M28" s="37"/>
      <c r="N28" s="37"/>
      <c r="O28" s="37"/>
      <c r="P28" s="37"/>
    </row>
    <row r="29" customFormat="false" ht="12.75" hidden="false" customHeight="false" outlineLevel="0" collapsed="false">
      <c r="B29" s="13" t="s">
        <v>45</v>
      </c>
      <c r="C29" s="30" t="n">
        <v>21.64</v>
      </c>
      <c r="D29" s="15"/>
      <c r="J29" s="37"/>
      <c r="K29" s="37"/>
      <c r="L29" s="37"/>
      <c r="M29" s="37"/>
      <c r="N29" s="37"/>
      <c r="O29" s="37"/>
      <c r="P29" s="37"/>
    </row>
    <row r="30" customFormat="false" ht="12.75" hidden="false" customHeight="false" outlineLevel="0" collapsed="false">
      <c r="B30" s="13" t="s">
        <v>46</v>
      </c>
      <c r="C30" s="20" t="n">
        <v>18.5</v>
      </c>
      <c r="D30" s="15"/>
      <c r="J30" s="37"/>
      <c r="K30" s="37"/>
      <c r="L30" s="37"/>
      <c r="M30" s="37"/>
      <c r="N30" s="37"/>
      <c r="O30" s="37"/>
      <c r="P30" s="37"/>
    </row>
    <row r="31" customFormat="false" ht="13.5" hidden="false" customHeight="false" outlineLevel="0" collapsed="false">
      <c r="B31" s="23"/>
      <c r="C31" s="24"/>
      <c r="D31" s="25"/>
      <c r="J31" s="37"/>
      <c r="K31" s="37"/>
      <c r="L31" s="37"/>
      <c r="M31" s="37"/>
      <c r="N31" s="37"/>
      <c r="O31" s="37"/>
      <c r="P31" s="37"/>
    </row>
    <row r="32" customFormat="false" ht="12.75" hidden="false" customHeight="false" outlineLevel="0" collapsed="false">
      <c r="J32" s="37"/>
      <c r="K32" s="37"/>
      <c r="L32" s="37"/>
      <c r="M32" s="37"/>
      <c r="N32" s="37"/>
      <c r="O32" s="37"/>
      <c r="P32" s="37"/>
    </row>
    <row r="33" customFormat="false" ht="12.75" hidden="false" customHeight="false" outlineLevel="0" collapsed="false">
      <c r="J33" s="37"/>
      <c r="K33" s="37"/>
      <c r="L33" s="37"/>
      <c r="M33" s="37"/>
      <c r="N33" s="37"/>
      <c r="O33" s="37"/>
      <c r="P33" s="37"/>
    </row>
    <row r="34" customFormat="false" ht="12.75" hidden="false" customHeight="false" outlineLevel="0" collapsed="false">
      <c r="J34" s="37"/>
      <c r="K34" s="37"/>
      <c r="L34" s="37"/>
      <c r="M34" s="37"/>
      <c r="N34" s="37"/>
      <c r="O34" s="37"/>
      <c r="P34" s="37"/>
    </row>
    <row r="35" customFormat="false" ht="12.75" hidden="false" customHeight="false" outlineLevel="0" collapsed="false">
      <c r="J35" s="37"/>
      <c r="K35" s="37"/>
      <c r="L35" s="37"/>
      <c r="M35" s="37"/>
      <c r="N35" s="37"/>
      <c r="O35" s="37"/>
      <c r="P35" s="37"/>
    </row>
    <row r="36" customFormat="false" ht="12.75" hidden="false" customHeight="false" outlineLevel="0" collapsed="false">
      <c r="J36" s="37"/>
      <c r="K36" s="37"/>
      <c r="L36" s="37"/>
      <c r="M36" s="37"/>
      <c r="N36" s="37"/>
      <c r="O36" s="37"/>
      <c r="P36" s="37"/>
    </row>
    <row r="37" customFormat="false" ht="12.75" hidden="false" customHeight="false" outlineLevel="0" collapsed="false">
      <c r="J37" s="37"/>
      <c r="K37" s="37"/>
      <c r="L37" s="37"/>
      <c r="M37" s="37"/>
      <c r="N37" s="37"/>
      <c r="O37" s="37"/>
      <c r="P37" s="37"/>
    </row>
    <row r="38" customFormat="false" ht="7.5" hidden="false" customHeight="true" outlineLevel="0" collapsed="false">
      <c r="J38" s="37"/>
      <c r="K38" s="37"/>
      <c r="L38" s="37"/>
      <c r="M38" s="37"/>
      <c r="N38" s="37"/>
      <c r="O38" s="37"/>
      <c r="P38" s="37"/>
    </row>
    <row r="39" customFormat="false" ht="12.75" hidden="false" customHeight="false" outlineLevel="0" collapsed="false">
      <c r="J39" s="37"/>
      <c r="K39" s="37"/>
      <c r="L39" s="37"/>
      <c r="M39" s="37"/>
      <c r="N39" s="37"/>
      <c r="O39" s="37"/>
      <c r="P39" s="37"/>
    </row>
    <row r="40" customFormat="false" ht="12.75" hidden="false" customHeight="false" outlineLevel="0" collapsed="false">
      <c r="J40" s="37"/>
      <c r="K40" s="37"/>
      <c r="L40" s="37"/>
      <c r="M40" s="37"/>
      <c r="N40" s="37"/>
      <c r="O40" s="37"/>
      <c r="P40" s="37"/>
    </row>
    <row r="41" customFormat="false" ht="12.75" hidden="false" customHeight="false" outlineLevel="0" collapsed="false">
      <c r="J41" s="37"/>
      <c r="K41" s="37"/>
      <c r="L41" s="37"/>
      <c r="M41" s="37"/>
      <c r="N41" s="37"/>
      <c r="O41" s="37"/>
      <c r="P41" s="37"/>
    </row>
    <row r="42" customFormat="false" ht="12.75" hidden="false" customHeight="false" outlineLevel="0" collapsed="false">
      <c r="J42" s="37"/>
      <c r="K42" s="37"/>
      <c r="L42" s="37"/>
      <c r="M42" s="37"/>
      <c r="N42" s="37"/>
      <c r="O42" s="37"/>
      <c r="P42" s="37"/>
    </row>
    <row r="43" customFormat="false" ht="12.75" hidden="false" customHeight="false" outlineLevel="0" collapsed="false">
      <c r="J43" s="37"/>
      <c r="K43" s="37"/>
      <c r="L43" s="37"/>
      <c r="M43" s="37"/>
      <c r="N43" s="37"/>
      <c r="O43" s="37"/>
      <c r="P43" s="37"/>
    </row>
    <row r="44" customFormat="false" ht="12.75" hidden="false" customHeight="false" outlineLevel="0" collapsed="false">
      <c r="J44" s="37"/>
      <c r="K44" s="37"/>
      <c r="L44" s="37"/>
      <c r="M44" s="37"/>
      <c r="N44" s="37"/>
      <c r="O44" s="37"/>
      <c r="P44" s="37"/>
    </row>
    <row r="45" customFormat="false" ht="12.75" hidden="false" customHeight="false" outlineLevel="0" collapsed="false">
      <c r="J45" s="37"/>
      <c r="K45" s="37"/>
      <c r="L45" s="37"/>
      <c r="M45" s="37"/>
      <c r="N45" s="37"/>
      <c r="O45" s="37"/>
      <c r="P45" s="37"/>
    </row>
    <row r="46" customFormat="false" ht="12.75" hidden="false" customHeight="false" outlineLevel="0" collapsed="false">
      <c r="J46" s="37"/>
      <c r="K46" s="37"/>
      <c r="L46" s="37"/>
      <c r="M46" s="37"/>
      <c r="N46" s="37"/>
      <c r="O46" s="37"/>
      <c r="P46" s="37"/>
    </row>
  </sheetData>
  <sheetProtection sheet="true" selectLockedCells="true"/>
  <mergeCells count="16">
    <mergeCell ref="B2:K2"/>
    <mergeCell ref="B4:D4"/>
    <mergeCell ref="F4:H4"/>
    <mergeCell ref="K4:L4"/>
    <mergeCell ref="B5:C5"/>
    <mergeCell ref="K5:L5"/>
    <mergeCell ref="B9:C9"/>
    <mergeCell ref="F10:H10"/>
    <mergeCell ref="J10:L10"/>
    <mergeCell ref="M10:O10"/>
    <mergeCell ref="F11:H15"/>
    <mergeCell ref="B13:C13"/>
    <mergeCell ref="F16:H16"/>
    <mergeCell ref="B18:C18"/>
    <mergeCell ref="F19:H19"/>
    <mergeCell ref="K28:L28"/>
  </mergeCells>
  <dataValidations count="3">
    <dataValidation allowBlank="true" errorStyle="stop" operator="between" showDropDown="false" showErrorMessage="true" showInputMessage="true" sqref="C6" type="list">
      <formula1>Parameters!$A$3:$A$5</formula1>
      <formula2>0</formula2>
    </dataValidation>
    <dataValidation allowBlank="true" errorStyle="stop" operator="between" showDropDown="false" showErrorMessage="true" showInputMessage="true" sqref="C14" type="list">
      <formula1>Parameters!$B$2:$C$2</formula1>
      <formula2>0</formula2>
    </dataValidation>
    <dataValidation allowBlank="true" errorStyle="stop" operator="between" showDropDown="false" showErrorMessage="true" showInputMessage="true" sqref="C16" type="list">
      <formula1>Parameters!$A$8:$A$21</formula1>
      <formula2>0</formula2>
    </dataValidation>
  </dataValidations>
  <hyperlinks>
    <hyperlink ref="G23" r:id="rId1" display="sgs@bce.au.dk"/>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85.14"/>
  </cols>
  <sheetData>
    <row r="1" customFormat="false" ht="293.25" hidden="false" customHeight="false" outlineLevel="0" collapsed="false">
      <c r="A1" s="39" t="s">
        <v>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58984375" defaultRowHeight="12.75" zeroHeight="false" outlineLevelRow="0" outlineLevelCol="0"/>
  <cols>
    <col collapsed="false" customWidth="true" hidden="false" outlineLevel="0" max="1" min="1" style="40" width="23.28"/>
    <col collapsed="false" customWidth="true" hidden="false" outlineLevel="0" max="2" min="2" style="40" width="21.71"/>
    <col collapsed="false" customWidth="true" hidden="false" outlineLevel="0" max="3" min="3" style="40" width="18.42"/>
    <col collapsed="false" customWidth="false" hidden="false" outlineLevel="0" max="1024" min="4" style="40" width="11.57"/>
  </cols>
  <sheetData>
    <row r="1" customFormat="false" ht="12.75" hidden="false" customHeight="false" outlineLevel="0" collapsed="false">
      <c r="B1" s="41" t="s">
        <v>48</v>
      </c>
      <c r="C1" s="41"/>
    </row>
    <row r="2" customFormat="false" ht="12.75" hidden="false" customHeight="false" outlineLevel="0" collapsed="false">
      <c r="B2" s="40" t="s">
        <v>49</v>
      </c>
      <c r="C2" s="40" t="s">
        <v>22</v>
      </c>
    </row>
    <row r="3" customFormat="false" ht="12.75" hidden="false" customHeight="false" outlineLevel="0" collapsed="false">
      <c r="A3" s="40" t="s">
        <v>7</v>
      </c>
      <c r="B3" s="40" t="n">
        <v>118</v>
      </c>
      <c r="C3" s="40" t="n">
        <v>131</v>
      </c>
    </row>
    <row r="4" customFormat="false" ht="12.75" hidden="false" customHeight="false" outlineLevel="0" collapsed="false">
      <c r="A4" s="40" t="s">
        <v>50</v>
      </c>
      <c r="B4" s="40" t="n">
        <v>303</v>
      </c>
      <c r="C4" s="40" t="n">
        <v>262</v>
      </c>
    </row>
    <row r="5" customFormat="false" ht="12.75" hidden="false" customHeight="false" outlineLevel="0" collapsed="false">
      <c r="A5" s="40" t="s">
        <v>51</v>
      </c>
      <c r="B5" s="40" t="n">
        <v>100</v>
      </c>
      <c r="C5" s="40" t="n">
        <v>156</v>
      </c>
    </row>
    <row r="7" customFormat="false" ht="12.75" hidden="false" customHeight="false" outlineLevel="0" collapsed="false">
      <c r="A7" s="40" t="s">
        <v>52</v>
      </c>
      <c r="B7" s="41" t="s">
        <v>53</v>
      </c>
      <c r="C7" s="41"/>
    </row>
    <row r="8" customFormat="false" ht="12.75" hidden="false" customHeight="false" outlineLevel="0" collapsed="false">
      <c r="A8" s="40" t="s">
        <v>54</v>
      </c>
      <c r="B8" s="40" t="n">
        <v>33</v>
      </c>
      <c r="C8" s="40" t="n">
        <v>0.33</v>
      </c>
    </row>
    <row r="9" customFormat="false" ht="12.75" hidden="false" customHeight="false" outlineLevel="0" collapsed="false">
      <c r="A9" s="40" t="s">
        <v>55</v>
      </c>
      <c r="B9" s="40" t="n">
        <v>45</v>
      </c>
      <c r="C9" s="40" t="n">
        <v>0.45</v>
      </c>
    </row>
    <row r="10" customFormat="false" ht="12.75" hidden="false" customHeight="false" outlineLevel="0" collapsed="false">
      <c r="A10" s="40" t="s">
        <v>56</v>
      </c>
      <c r="B10" s="40" t="n">
        <v>41</v>
      </c>
      <c r="C10" s="40" t="n">
        <v>0.41</v>
      </c>
    </row>
    <row r="11" customFormat="false" ht="12.75" hidden="false" customHeight="false" outlineLevel="0" collapsed="false">
      <c r="A11" s="40" t="s">
        <v>57</v>
      </c>
      <c r="B11" s="40" t="n">
        <v>16</v>
      </c>
      <c r="C11" s="40" t="n">
        <v>0.16</v>
      </c>
    </row>
    <row r="12" customFormat="false" ht="12.75" hidden="false" customHeight="false" outlineLevel="0" collapsed="false">
      <c r="A12" s="40" t="s">
        <v>58</v>
      </c>
      <c r="B12" s="40" t="n">
        <v>66</v>
      </c>
      <c r="C12" s="40" t="n">
        <v>0.66</v>
      </c>
    </row>
    <row r="13" customFormat="false" ht="12.75" hidden="false" customHeight="false" outlineLevel="0" collapsed="false">
      <c r="A13" s="40" t="s">
        <v>59</v>
      </c>
      <c r="B13" s="40" t="n">
        <v>46</v>
      </c>
      <c r="C13" s="40" t="n">
        <v>0.46</v>
      </c>
    </row>
    <row r="14" customFormat="false" ht="12.75" hidden="false" customHeight="false" outlineLevel="0" collapsed="false">
      <c r="A14" s="40" t="s">
        <v>60</v>
      </c>
      <c r="B14" s="40" t="n">
        <v>6</v>
      </c>
      <c r="C14" s="40" t="n">
        <v>0.06</v>
      </c>
    </row>
    <row r="15" customFormat="false" ht="12.75" hidden="false" customHeight="false" outlineLevel="0" collapsed="false">
      <c r="A15" s="40" t="s">
        <v>61</v>
      </c>
      <c r="B15" s="40" t="n">
        <v>17</v>
      </c>
      <c r="C15" s="40" t="n">
        <v>0.17</v>
      </c>
    </row>
    <row r="16" customFormat="false" ht="12.75" hidden="false" customHeight="false" outlineLevel="0" collapsed="false">
      <c r="A16" s="40" t="s">
        <v>62</v>
      </c>
      <c r="B16" s="40" t="n">
        <v>14</v>
      </c>
      <c r="C16" s="40" t="n">
        <v>0.14</v>
      </c>
    </row>
    <row r="17" customFormat="false" ht="12.75" hidden="false" customHeight="false" outlineLevel="0" collapsed="false">
      <c r="A17" s="40" t="s">
        <v>63</v>
      </c>
      <c r="B17" s="40" t="n">
        <v>24</v>
      </c>
      <c r="C17" s="40" t="n">
        <v>0.24</v>
      </c>
    </row>
    <row r="18" customFormat="false" ht="12.75" hidden="false" customHeight="false" outlineLevel="0" collapsed="false">
      <c r="A18" s="40" t="s">
        <v>64</v>
      </c>
      <c r="B18" s="40" t="n">
        <v>53</v>
      </c>
      <c r="C18" s="40" t="n">
        <v>0.53</v>
      </c>
    </row>
    <row r="19" customFormat="false" ht="12.75" hidden="false" customHeight="false" outlineLevel="0" collapsed="false">
      <c r="A19" s="40" t="s">
        <v>25</v>
      </c>
      <c r="B19" s="40" t="n">
        <v>100</v>
      </c>
      <c r="C19" s="40" t="n">
        <v>1</v>
      </c>
    </row>
    <row r="20" customFormat="false" ht="12.75" hidden="false" customHeight="false" outlineLevel="0" collapsed="false">
      <c r="B20" s="40" t="n">
        <v>100</v>
      </c>
      <c r="C20" s="40" t="n">
        <v>1</v>
      </c>
    </row>
  </sheetData>
  <mergeCells count="2">
    <mergeCell ref="B1:C1"/>
    <mergeCell ref="B7:C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875" defaultRowHeight="12.75" zeroHeight="false" outlineLevelRow="0" outlineLevelCol="0"/>
  <cols>
    <col collapsed="false" customWidth="true" hidden="false" outlineLevel="0" max="1" min="1" style="0" width="11.57"/>
  </cols>
  <sheetData>
    <row r="1" customFormat="false" ht="12.75" hidden="false" customHeight="false" outlineLevel="0" collapsed="false">
      <c r="C1" s="0" t="s">
        <v>65</v>
      </c>
    </row>
    <row r="2" customFormat="false" ht="12.75" hidden="false" customHeight="false" outlineLevel="0" collapsed="false">
      <c r="A2" s="0" t="s">
        <v>66</v>
      </c>
      <c r="B2" s="0" t="str">
        <f aca="false">Model!C6</f>
        <v>Cattle</v>
      </c>
      <c r="C2" s="42" t="n">
        <f aca="false">MATCH(B2,Parameters!A3:A5)</f>
        <v>1</v>
      </c>
    </row>
    <row r="3" customFormat="false" ht="12.75" hidden="false" customHeight="false" outlineLevel="0" collapsed="false">
      <c r="A3" s="0" t="s">
        <v>67</v>
      </c>
      <c r="B3" s="0" t="str">
        <f aca="false">Model!C14</f>
        <v>Tank</v>
      </c>
      <c r="C3" s="42" t="n">
        <f aca="false">MATCH(B3,Parameters!B2:C2)</f>
        <v>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N15"/>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2" activeCellId="0" sqref="D2"/>
    </sheetView>
  </sheetViews>
  <sheetFormatPr defaultColWidth="11.58984375" defaultRowHeight="12.75" zeroHeight="false" outlineLevelRow="0" outlineLevelCol="0"/>
  <cols>
    <col collapsed="false" customWidth="true" hidden="false" outlineLevel="0" max="1" min="1" style="40" width="11.71"/>
    <col collapsed="false" customWidth="true" hidden="false" outlineLevel="0" max="2" min="2" style="40" width="7.86"/>
    <col collapsed="false" customWidth="true" hidden="false" outlineLevel="0" max="3" min="3" style="40" width="14.57"/>
    <col collapsed="false" customWidth="true" hidden="false" outlineLevel="0" max="4" min="4" style="40" width="5.7"/>
    <col collapsed="false" customWidth="true" hidden="false" outlineLevel="0" max="5" min="5" style="40" width="5.86"/>
    <col collapsed="false" customWidth="true" hidden="false" outlineLevel="0" max="6" min="6" style="40" width="9.14"/>
    <col collapsed="false" customWidth="true" hidden="false" outlineLevel="0" max="7" min="7" style="40" width="10.85"/>
    <col collapsed="false" customWidth="true" hidden="false" outlineLevel="0" max="8" min="8" style="40" width="8.86"/>
    <col collapsed="false" customWidth="true" hidden="false" outlineLevel="0" max="9" min="9" style="40" width="12.42"/>
    <col collapsed="false" customWidth="true" hidden="false" outlineLevel="0" max="11" min="10" style="40" width="11.71"/>
    <col collapsed="false" customWidth="true" hidden="false" outlineLevel="0" max="13" min="12" style="40" width="13.01"/>
    <col collapsed="false" customWidth="true" hidden="false" outlineLevel="0" max="14" min="14" style="40" width="14.7"/>
    <col collapsed="false" customWidth="true" hidden="false" outlineLevel="0" max="15" min="15" style="40" width="16.42"/>
    <col collapsed="false" customWidth="false" hidden="false" outlineLevel="0" max="1024" min="16" style="40" width="11.57"/>
  </cols>
  <sheetData>
    <row r="2" s="43" customFormat="true" ht="26.25" hidden="false" customHeight="true" outlineLevel="0" collapsed="false">
      <c r="A2" s="43" t="s">
        <v>68</v>
      </c>
      <c r="B2" s="43" t="s">
        <v>69</v>
      </c>
      <c r="C2" s="43" t="s">
        <v>70</v>
      </c>
      <c r="D2" s="43" t="s">
        <v>71</v>
      </c>
      <c r="E2" s="43" t="s">
        <v>19</v>
      </c>
      <c r="F2" s="43" t="s">
        <v>72</v>
      </c>
      <c r="G2" s="43" t="s">
        <v>11</v>
      </c>
      <c r="H2" s="43" t="s">
        <v>73</v>
      </c>
      <c r="I2" s="43" t="s">
        <v>74</v>
      </c>
      <c r="J2" s="43" t="s">
        <v>75</v>
      </c>
      <c r="K2" s="43" t="s">
        <v>76</v>
      </c>
      <c r="L2" s="43" t="s">
        <v>77</v>
      </c>
      <c r="M2" s="43" t="s">
        <v>78</v>
      </c>
      <c r="N2" s="43" t="s">
        <v>79</v>
      </c>
    </row>
    <row r="3" customFormat="false" ht="12.75" hidden="false" customHeight="false" outlineLevel="0" collapsed="false">
      <c r="A3" s="40" t="n">
        <v>1</v>
      </c>
      <c r="B3" s="40" t="n">
        <v>31</v>
      </c>
      <c r="C3" s="44" t="n">
        <f aca="false">Model!C19</f>
        <v>11.55</v>
      </c>
      <c r="D3" s="44" t="n">
        <f aca="false">Model!C$10</f>
        <v>2.1</v>
      </c>
      <c r="E3" s="44" t="n">
        <f aca="false">Model!C$11</f>
        <v>7</v>
      </c>
      <c r="F3" s="44" t="n">
        <f aca="false">Model!G$6</f>
        <v>131</v>
      </c>
      <c r="G3" s="44" t="n">
        <f aca="false">Model!G$7</f>
        <v>1</v>
      </c>
      <c r="H3" s="44" t="n">
        <f aca="false">Model!C$15</f>
        <v>1018</v>
      </c>
      <c r="I3" s="45" t="n">
        <f aca="false">EXP((14.01708-(10294.83/(C3+273.15))-0.039282*(C3+273.15))-(191.97-8451/(C3+273.15)-31.4335*LN(C3+273.15)+0.0152123*(C3+273.15)))</f>
        <v>2.06766683706361E-010</v>
      </c>
      <c r="J3" s="45" t="n">
        <f aca="false">EXP(-(160.559-(8621.06/(273.15+C3))-(25.6767*LN(273.15+C3))+(0.035388*(273.15+C3))))</f>
        <v>116.451081537764</v>
      </c>
      <c r="K3" s="45" t="n">
        <f aca="false">J3*0.08205746*(273.15+C3)</f>
        <v>2720.50208610435</v>
      </c>
      <c r="L3" s="45" t="n">
        <f aca="false">($D3/(1+(10^-E3)/$I3))*1/$K3</f>
        <v>1.59277248427667E-006</v>
      </c>
      <c r="M3" s="45" t="n">
        <f aca="false">1000*L3/F3*G3*86400</f>
        <v>1.05050032550767</v>
      </c>
      <c r="N3" s="45" t="n">
        <f aca="false">M3*B3*H3/1000</f>
        <v>33.1516892723709</v>
      </c>
    </row>
    <row r="4" customFormat="false" ht="12.75" hidden="false" customHeight="false" outlineLevel="0" collapsed="false">
      <c r="A4" s="40" t="n">
        <v>2</v>
      </c>
      <c r="B4" s="40" t="n">
        <v>28.25</v>
      </c>
      <c r="C4" s="44" t="n">
        <f aca="false">Model!C20</f>
        <v>7.71</v>
      </c>
      <c r="D4" s="44" t="n">
        <f aca="false">Model!C$10</f>
        <v>2.1</v>
      </c>
      <c r="E4" s="44" t="n">
        <f aca="false">Model!C$11</f>
        <v>7</v>
      </c>
      <c r="F4" s="44" t="n">
        <f aca="false">Model!G$6</f>
        <v>131</v>
      </c>
      <c r="G4" s="44" t="n">
        <f aca="false">Model!G$7</f>
        <v>1</v>
      </c>
      <c r="H4" s="44" t="n">
        <f aca="false">Model!C$15</f>
        <v>1018</v>
      </c>
      <c r="I4" s="45" t="n">
        <f aca="false">EXP((14.01708-(10294.83/(C4+273.15))-0.039282*(C4+273.15))-(191.97-8451/(C4+273.15)-31.4335*LN(C4+273.15)+0.0152123*(C4+273.15)))</f>
        <v>1.52238048935856E-010</v>
      </c>
      <c r="J4" s="45" t="n">
        <f aca="false">EXP(-(160.559-(8621.06/(273.15+C4))-(25.6767*LN(273.15+C4))+(0.035388*(273.15+C4))))</f>
        <v>142.407636837516</v>
      </c>
      <c r="K4" s="45" t="n">
        <f aca="false">J4*0.08205746*(273.15+C4)</f>
        <v>3282.02013348553</v>
      </c>
      <c r="L4" s="45" t="n">
        <f aca="false">($D4/(1+(10^-E4)/$I4))*1/$K4</f>
        <v>9.72614197084808E-007</v>
      </c>
      <c r="M4" s="45" t="n">
        <f aca="false">1000*L4/F4*G4*86400</f>
        <v>0.641479897924637</v>
      </c>
      <c r="N4" s="45" t="n">
        <f aca="false">M4*B4*H4/1000</f>
        <v>18.4479996444657</v>
      </c>
    </row>
    <row r="5" customFormat="false" ht="12.75" hidden="false" customHeight="false" outlineLevel="0" collapsed="false">
      <c r="A5" s="40" t="n">
        <v>3</v>
      </c>
      <c r="B5" s="40" t="n">
        <v>31</v>
      </c>
      <c r="C5" s="44" t="n">
        <f aca="false">Model!C21</f>
        <v>7.87</v>
      </c>
      <c r="D5" s="44" t="n">
        <f aca="false">Model!C$10</f>
        <v>2.1</v>
      </c>
      <c r="E5" s="44" t="n">
        <f aca="false">Model!C$11</f>
        <v>7</v>
      </c>
      <c r="F5" s="44" t="n">
        <f aca="false">Model!G$6</f>
        <v>131</v>
      </c>
      <c r="G5" s="44" t="n">
        <f aca="false">Model!G$7</f>
        <v>1</v>
      </c>
      <c r="H5" s="44" t="n">
        <f aca="false">Model!C$15</f>
        <v>1018</v>
      </c>
      <c r="I5" s="45" t="n">
        <f aca="false">EXP((14.01708-(10294.83/(C5+273.15))-0.039282*(C5+273.15))-(191.97-8451/(C5+273.15)-31.4335*LN(C5+273.15)+0.0152123*(C5+273.15)))</f>
        <v>1.54217817194318E-010</v>
      </c>
      <c r="J5" s="45" t="n">
        <f aca="false">EXP(-(160.559-(8621.06/(273.15+C5))-(25.6767*LN(273.15+C5))+(0.035388*(273.15+C5))))</f>
        <v>141.200150706144</v>
      </c>
      <c r="K5" s="45" t="n">
        <f aca="false">J5*0.08205746*(273.15+C5)</f>
        <v>3256.04545743069</v>
      </c>
      <c r="L5" s="45" t="n">
        <f aca="false">($D5/(1+(10^-E5)/$I5))*1/$K5</f>
        <v>9.93102656416054E-007</v>
      </c>
      <c r="M5" s="45" t="n">
        <f aca="false">1000*L5/F5*G5*86400</f>
        <v>0.654992897056084</v>
      </c>
      <c r="N5" s="45" t="n">
        <f aca="false">M5*B5*H5/1000</f>
        <v>20.6702658452959</v>
      </c>
    </row>
    <row r="6" customFormat="false" ht="12.75" hidden="false" customHeight="false" outlineLevel="0" collapsed="false">
      <c r="A6" s="40" t="n">
        <v>4</v>
      </c>
      <c r="B6" s="40" t="n">
        <v>30</v>
      </c>
      <c r="C6" s="44" t="n">
        <f aca="false">Model!C22</f>
        <v>11</v>
      </c>
      <c r="D6" s="44" t="n">
        <f aca="false">Model!C$10</f>
        <v>2.1</v>
      </c>
      <c r="E6" s="44" t="n">
        <f aca="false">Model!C$11</f>
        <v>7</v>
      </c>
      <c r="F6" s="44" t="n">
        <f aca="false">Model!G$6</f>
        <v>131</v>
      </c>
      <c r="G6" s="44" t="n">
        <f aca="false">Model!G$7</f>
        <v>1</v>
      </c>
      <c r="H6" s="44" t="n">
        <f aca="false">Model!C$15</f>
        <v>1018</v>
      </c>
      <c r="I6" s="45" t="n">
        <f aca="false">EXP((14.01708-(10294.83/(C6+273.15))-0.039282*(C6+273.15))-(191.97-8451/(C6+273.15)-31.4335*LN(C6+273.15)+0.0152123*(C6+273.15)))</f>
        <v>1.97995321547602E-010</v>
      </c>
      <c r="J6" s="45" t="n">
        <f aca="false">EXP(-(160.559-(8621.06/(273.15+C6))-(25.6767*LN(273.15+C6))+(0.035388*(273.15+C6))))</f>
        <v>119.808567181684</v>
      </c>
      <c r="K6" s="45" t="n">
        <f aca="false">J6*0.08205746*(273.15+C6)</f>
        <v>2793.53170341019</v>
      </c>
      <c r="L6" s="45" t="n">
        <f aca="false">($D6/(1+(10^-E6)/$I6))*1/$K6</f>
        <v>1.4854621353135E-006</v>
      </c>
      <c r="M6" s="45" t="n">
        <f aca="false">1000*L6/F6*G6*86400</f>
        <v>0.979724644970125</v>
      </c>
      <c r="N6" s="45" t="n">
        <f aca="false">M6*B6*H6/1000</f>
        <v>29.9207906573876</v>
      </c>
    </row>
    <row r="7" customFormat="false" ht="12.75" hidden="false" customHeight="false" outlineLevel="0" collapsed="false">
      <c r="A7" s="40" t="n">
        <v>5</v>
      </c>
      <c r="B7" s="40" t="n">
        <v>31</v>
      </c>
      <c r="C7" s="44" t="n">
        <f aca="false">Model!C23</f>
        <v>16.76</v>
      </c>
      <c r="D7" s="44" t="n">
        <f aca="false">Model!C$10</f>
        <v>2.1</v>
      </c>
      <c r="E7" s="44" t="n">
        <f aca="false">Model!C$11</f>
        <v>7</v>
      </c>
      <c r="F7" s="44" t="n">
        <f aca="false">Model!G$6</f>
        <v>131</v>
      </c>
      <c r="G7" s="44" t="n">
        <f aca="false">Model!G$7</f>
        <v>1</v>
      </c>
      <c r="H7" s="44" t="n">
        <f aca="false">Model!C$15</f>
        <v>1018</v>
      </c>
      <c r="I7" s="45" t="n">
        <f aca="false">EXP((14.01708-(10294.83/(C7+273.15))-0.039282*(C7+273.15))-(191.97-8451/(C7+273.15)-31.4335*LN(C7+273.15)+0.0152123*(C7+273.15)))</f>
        <v>3.09233167219872E-010</v>
      </c>
      <c r="J7" s="45" t="n">
        <f aca="false">EXP(-(160.559-(8621.06/(273.15+C7))-(25.6767*LN(273.15+C7))+(0.035388*(273.15+C7))))</f>
        <v>89.5277274895824</v>
      </c>
      <c r="K7" s="45" t="n">
        <f aca="false">J7*0.08205746*(273.15+C7)</f>
        <v>2129.80001842396</v>
      </c>
      <c r="L7" s="45" t="n">
        <f aca="false">($D7/(1+(10^-E7)/$I7))*1/$K7</f>
        <v>3.03966432543156E-006</v>
      </c>
      <c r="M7" s="45" t="n">
        <f aca="false">1000*L7/F7*G7*86400</f>
        <v>2.00478624211669</v>
      </c>
      <c r="N7" s="45" t="n">
        <f aca="false">M7*B7*H7/1000</f>
        <v>63.2670442287186</v>
      </c>
    </row>
    <row r="8" customFormat="false" ht="12.75" hidden="false" customHeight="false" outlineLevel="0" collapsed="false">
      <c r="A8" s="40" t="n">
        <v>6</v>
      </c>
      <c r="B8" s="40" t="n">
        <v>30</v>
      </c>
      <c r="C8" s="44" t="n">
        <f aca="false">Model!C24</f>
        <v>21.37</v>
      </c>
      <c r="D8" s="44" t="n">
        <f aca="false">Model!C$10</f>
        <v>2.1</v>
      </c>
      <c r="E8" s="44" t="n">
        <f aca="false">Model!C$11</f>
        <v>7</v>
      </c>
      <c r="F8" s="44" t="n">
        <f aca="false">Model!G$6</f>
        <v>131</v>
      </c>
      <c r="G8" s="44" t="n">
        <f aca="false">Model!G$7</f>
        <v>1</v>
      </c>
      <c r="H8" s="44" t="n">
        <f aca="false">Model!C$15</f>
        <v>1018</v>
      </c>
      <c r="I8" s="45" t="n">
        <f aca="false">EXP((14.01708-(10294.83/(C8+273.15))-0.039282*(C8+273.15))-(191.97-8451/(C8+273.15)-31.4335*LN(C8+273.15)+0.0152123*(C8+273.15)))</f>
        <v>4.36301867371994E-010</v>
      </c>
      <c r="J8" s="45" t="n">
        <f aca="false">EXP(-(160.559-(8621.06/(273.15+C8))-(25.6767*LN(273.15+C8))+(0.035388*(273.15+C8))))</f>
        <v>71.5956138799896</v>
      </c>
      <c r="K8" s="45" t="n">
        <f aca="false">J8*0.08205746*(273.15+C8)</f>
        <v>1730.29151750252</v>
      </c>
      <c r="L8" s="45" t="n">
        <f aca="false">($D8/(1+(10^-E8)/$I8))*1/$K8</f>
        <v>5.27225460071112E-006</v>
      </c>
      <c r="M8" s="45" t="n">
        <f aca="false">1000*L8/F8*G8*86400</f>
        <v>3.47727326336978</v>
      </c>
      <c r="N8" s="45" t="n">
        <f aca="false">M8*B8*H8/1000</f>
        <v>106.195925463313</v>
      </c>
    </row>
    <row r="9" customFormat="false" ht="12.75" hidden="false" customHeight="false" outlineLevel="0" collapsed="false">
      <c r="A9" s="40" t="n">
        <v>7</v>
      </c>
      <c r="B9" s="40" t="n">
        <v>31</v>
      </c>
      <c r="C9" s="44" t="n">
        <f aca="false">Model!C25</f>
        <v>24.56</v>
      </c>
      <c r="D9" s="44" t="n">
        <f aca="false">Model!C$10</f>
        <v>2.1</v>
      </c>
      <c r="E9" s="44" t="n">
        <f aca="false">Model!C$11</f>
        <v>7</v>
      </c>
      <c r="F9" s="44" t="n">
        <f aca="false">Model!G$6</f>
        <v>131</v>
      </c>
      <c r="G9" s="44" t="n">
        <f aca="false">Model!G$7</f>
        <v>1</v>
      </c>
      <c r="H9" s="44" t="n">
        <f aca="false">Model!C$15</f>
        <v>1018</v>
      </c>
      <c r="I9" s="45" t="n">
        <f aca="false">EXP((14.01708-(10294.83/(C9+273.15))-0.039282*(C9+273.15))-(191.97-8451/(C9+273.15)-31.4335*LN(C9+273.15)+0.0152123*(C9+273.15)))</f>
        <v>5.50160759322025E-010</v>
      </c>
      <c r="J9" s="45" t="n">
        <f aca="false">EXP(-(160.559-(8621.06/(273.15+C9))-(25.6767*LN(273.15+C9))+(0.035388*(273.15+C9))))</f>
        <v>61.6276940486414</v>
      </c>
      <c r="K9" s="45" t="n">
        <f aca="false">J9*0.08205746*(273.15+C9)</f>
        <v>1505.52305421662</v>
      </c>
      <c r="L9" s="45" t="n">
        <f aca="false">($D9/(1+(10^-E9)/$I9))*1/$K9</f>
        <v>7.63200640027064E-006</v>
      </c>
      <c r="M9" s="45" t="n">
        <f aca="false">1000*L9/F9*G9*86400</f>
        <v>5.03362864872812</v>
      </c>
      <c r="N9" s="45" t="n">
        <f aca="false">M9*B9*H9/1000</f>
        <v>158.851252896562</v>
      </c>
    </row>
    <row r="10" customFormat="false" ht="12.75" hidden="false" customHeight="false" outlineLevel="0" collapsed="false">
      <c r="A10" s="40" t="n">
        <v>8</v>
      </c>
      <c r="B10" s="40" t="n">
        <v>31</v>
      </c>
      <c r="C10" s="44" t="n">
        <f aca="false">Model!C26</f>
        <v>26.22</v>
      </c>
      <c r="D10" s="44" t="n">
        <f aca="false">Model!C$10</f>
        <v>2.1</v>
      </c>
      <c r="E10" s="44" t="n">
        <f aca="false">Model!C$11</f>
        <v>7</v>
      </c>
      <c r="F10" s="44" t="n">
        <f aca="false">Model!G$6</f>
        <v>131</v>
      </c>
      <c r="G10" s="44" t="n">
        <f aca="false">Model!G$7</f>
        <v>1</v>
      </c>
      <c r="H10" s="44" t="n">
        <f aca="false">Model!C$15</f>
        <v>1018</v>
      </c>
      <c r="I10" s="45" t="n">
        <f aca="false">EXP((14.01708-(10294.83/(C10+273.15))-0.039282*(C10+273.15))-(191.97-8451/(C10+273.15)-31.4335*LN(C10+273.15)+0.0152123*(C10+273.15)))</f>
        <v>6.19476776352576E-010</v>
      </c>
      <c r="J10" s="45" t="n">
        <f aca="false">EXP(-(160.559-(8621.06/(273.15+C10))-(25.6767*LN(273.15+C10))+(0.035388*(273.15+C10))))</f>
        <v>57.0865891717557</v>
      </c>
      <c r="K10" s="45" t="n">
        <f aca="false">J10*0.08205746*(273.15+C10)</f>
        <v>1402.36299252961</v>
      </c>
      <c r="L10" s="45" t="n">
        <f aca="false">($D10/(1+(10^-E10)/$I10))*1/$K10</f>
        <v>9.219382364953E-006</v>
      </c>
      <c r="M10" s="45" t="n">
        <f aca="false">1000*L10/F10*G10*86400</f>
        <v>6.08056974299191</v>
      </c>
      <c r="N10" s="45" t="n">
        <f aca="false">M10*B10*H10/1000</f>
        <v>191.890619949339</v>
      </c>
    </row>
    <row r="11" customFormat="false" ht="12.75" hidden="false" customHeight="false" outlineLevel="0" collapsed="false">
      <c r="A11" s="40" t="n">
        <v>9</v>
      </c>
      <c r="B11" s="40" t="n">
        <v>30</v>
      </c>
      <c r="C11" s="44" t="n">
        <f aca="false">Model!C27</f>
        <v>26.09</v>
      </c>
      <c r="D11" s="44" t="n">
        <f aca="false">Model!C$10</f>
        <v>2.1</v>
      </c>
      <c r="E11" s="44" t="n">
        <f aca="false">Model!C$11</f>
        <v>7</v>
      </c>
      <c r="F11" s="44" t="n">
        <f aca="false">Model!G$6</f>
        <v>131</v>
      </c>
      <c r="G11" s="44" t="n">
        <f aca="false">Model!G$7</f>
        <v>1</v>
      </c>
      <c r="H11" s="44" t="n">
        <f aca="false">Model!C$15</f>
        <v>1018</v>
      </c>
      <c r="I11" s="45" t="n">
        <f aca="false">EXP((14.01708-(10294.83/(C11+273.15))-0.039282*(C11+273.15))-(191.97-8451/(C11+273.15)-31.4335*LN(C11+273.15)+0.0152123*(C11+273.15)))</f>
        <v>6.13776567862702E-010</v>
      </c>
      <c r="J11" s="45" t="n">
        <f aca="false">EXP(-(160.559-(8621.06/(273.15+C11))-(25.6767*LN(273.15+C11))+(0.035388*(273.15+C11))))</f>
        <v>57.4277593058493</v>
      </c>
      <c r="K11" s="45" t="n">
        <f aca="false">J11*0.08205746*(273.15+C11)</f>
        <v>1410.13141283159</v>
      </c>
      <c r="L11" s="45" t="n">
        <f aca="false">($D11/(1+(10^-E11)/$I11))*1/$K11</f>
        <v>9.08474122538202E-006</v>
      </c>
      <c r="M11" s="45" t="n">
        <f aca="false">1000*L11/F11*G11*86400</f>
        <v>5.99176825857257</v>
      </c>
      <c r="N11" s="45" t="n">
        <f aca="false">M11*B11*H11/1000</f>
        <v>182.988602616806</v>
      </c>
    </row>
    <row r="12" customFormat="false" ht="12.75" hidden="false" customHeight="false" outlineLevel="0" collapsed="false">
      <c r="A12" s="40" t="n">
        <v>10</v>
      </c>
      <c r="B12" s="40" t="n">
        <v>31</v>
      </c>
      <c r="C12" s="44" t="n">
        <f aca="false">Model!C28</f>
        <v>24.44</v>
      </c>
      <c r="D12" s="44" t="n">
        <f aca="false">Model!C$10</f>
        <v>2.1</v>
      </c>
      <c r="E12" s="44" t="n">
        <f aca="false">Model!C$11</f>
        <v>7</v>
      </c>
      <c r="F12" s="44" t="n">
        <f aca="false">Model!G$6</f>
        <v>131</v>
      </c>
      <c r="G12" s="44" t="n">
        <f aca="false">Model!G$7</f>
        <v>1</v>
      </c>
      <c r="H12" s="44" t="n">
        <f aca="false">Model!C$15</f>
        <v>1018</v>
      </c>
      <c r="I12" s="45" t="n">
        <f aca="false">EXP((14.01708-(10294.83/(C12+273.15))-0.039282*(C12+273.15))-(191.97-8451/(C12+273.15)-31.4335*LN(C12+273.15)+0.0152123*(C12+273.15)))</f>
        <v>5.45432882271661E-010</v>
      </c>
      <c r="J12" s="45" t="n">
        <f aca="false">EXP(-(160.559-(8621.06/(273.15+C12))-(25.6767*LN(273.15+C12))+(0.035388*(273.15+C12))))</f>
        <v>61.9720271999092</v>
      </c>
      <c r="K12" s="45" t="n">
        <f aca="false">J12*0.08205746*(273.15+C12)</f>
        <v>1513.32464910783</v>
      </c>
      <c r="L12" s="45" t="n">
        <f aca="false">($D12/(1+(10^-E12)/$I12))*1/$K12</f>
        <v>7.52776680509117E-006</v>
      </c>
      <c r="M12" s="45" t="n">
        <f aca="false">1000*L12/F12*G12*86400</f>
        <v>4.9648782592357</v>
      </c>
      <c r="N12" s="45" t="n">
        <f aca="false">M12*B12*H12/1000</f>
        <v>156.68162810496</v>
      </c>
    </row>
    <row r="13" customFormat="false" ht="12.75" hidden="false" customHeight="false" outlineLevel="0" collapsed="false">
      <c r="A13" s="40" t="n">
        <v>11</v>
      </c>
      <c r="B13" s="40" t="n">
        <v>30</v>
      </c>
      <c r="C13" s="44" t="n">
        <f aca="false">Model!C29</f>
        <v>21.64</v>
      </c>
      <c r="D13" s="44" t="n">
        <f aca="false">Model!C$10</f>
        <v>2.1</v>
      </c>
      <c r="E13" s="44" t="n">
        <f aca="false">Model!C$11</f>
        <v>7</v>
      </c>
      <c r="F13" s="44" t="n">
        <f aca="false">Model!G$6</f>
        <v>131</v>
      </c>
      <c r="G13" s="44" t="n">
        <f aca="false">Model!G$7</f>
        <v>1</v>
      </c>
      <c r="H13" s="44" t="n">
        <f aca="false">Model!C$15</f>
        <v>1018</v>
      </c>
      <c r="I13" s="45" t="n">
        <f aca="false">EXP((14.01708-(10294.83/(C13+273.15))-0.039282*(C13+273.15))-(191.97-8451/(C13+273.15)-31.4335*LN(C13+273.15)+0.0152123*(C13+273.15)))</f>
        <v>4.45037355117839E-010</v>
      </c>
      <c r="J13" s="45" t="n">
        <f aca="false">EXP(-(160.559-(8621.06/(273.15+C13))-(25.6767*LN(273.15+C13))+(0.035388*(273.15+C13))))</f>
        <v>70.682447499004</v>
      </c>
      <c r="K13" s="45" t="n">
        <f aca="false">J13*0.08205746*(273.15+C13)</f>
        <v>1709.78851732097</v>
      </c>
      <c r="L13" s="45" t="n">
        <f aca="false">($D13/(1+(10^-E13)/$I13))*1/$K13</f>
        <v>5.44182886485827E-006</v>
      </c>
      <c r="M13" s="45" t="n">
        <f aca="false">1000*L13/F13*G13*86400</f>
        <v>3.589114610105</v>
      </c>
      <c r="N13" s="45" t="n">
        <f aca="false">M13*B13*H13/1000</f>
        <v>109.611560192607</v>
      </c>
    </row>
    <row r="14" customFormat="false" ht="12.75" hidden="false" customHeight="false" outlineLevel="0" collapsed="false">
      <c r="A14" s="40" t="n">
        <v>12</v>
      </c>
      <c r="B14" s="40" t="n">
        <v>31</v>
      </c>
      <c r="C14" s="44" t="n">
        <f aca="false">Model!C30</f>
        <v>18.5</v>
      </c>
      <c r="D14" s="44" t="n">
        <f aca="false">Model!C$10</f>
        <v>2.1</v>
      </c>
      <c r="E14" s="44" t="n">
        <f aca="false">Model!C$11</f>
        <v>7</v>
      </c>
      <c r="F14" s="44" t="n">
        <f aca="false">Model!G$6</f>
        <v>131</v>
      </c>
      <c r="G14" s="44" t="n">
        <f aca="false">Model!G$7</f>
        <v>1</v>
      </c>
      <c r="H14" s="44" t="n">
        <f aca="false">Model!C$15</f>
        <v>1018</v>
      </c>
      <c r="I14" s="45" t="n">
        <f aca="false">EXP((14.01708-(10294.83/(C14+273.15))-0.039282*(C14+273.15))-(191.97-8451/(C14+273.15)-31.4335*LN(C14+273.15)+0.0152123*(C14+273.15)))</f>
        <v>3.52593313944524E-010</v>
      </c>
      <c r="J14" s="45" t="n">
        <f aca="false">EXP(-(160.559-(8621.06/(273.15+C14))-(25.6767*LN(273.15+C14))+(0.035388*(273.15+C14))))</f>
        <v>82.2043276915986</v>
      </c>
      <c r="K14" s="45" t="n">
        <f aca="false">J14*0.08205746*(273.15+C14)</f>
        <v>1967.31875534705</v>
      </c>
      <c r="L14" s="45" t="n">
        <f aca="false">($D14/(1+(10^-E14)/$I14))*1/$K14</f>
        <v>3.75050747299782E-006</v>
      </c>
      <c r="M14" s="45" t="n">
        <f aca="false">1000*L14/F14*G14*86400</f>
        <v>2.47361714249627</v>
      </c>
      <c r="N14" s="45" t="n">
        <f aca="false">M14*B14*H14/1000</f>
        <v>78.0624097828973</v>
      </c>
    </row>
    <row r="15" customFormat="false" ht="12.75" hidden="false" customHeight="false" outlineLevel="0" collapsed="false">
      <c r="A15" s="40" t="s">
        <v>80</v>
      </c>
      <c r="B15" s="46" t="n">
        <f aca="false">SUM(B3:B14)</f>
        <v>365.25</v>
      </c>
      <c r="C15" s="45"/>
      <c r="D15" s="45"/>
      <c r="E15" s="45"/>
      <c r="F15" s="45"/>
      <c r="G15" s="45"/>
      <c r="H15" s="45"/>
      <c r="I15" s="45"/>
      <c r="J15" s="45"/>
      <c r="K15" s="45"/>
      <c r="L15" s="45"/>
      <c r="M15" s="45"/>
      <c r="N15" s="46" t="n">
        <f aca="false">SUM(N3:N14)</f>
        <v>1149.73978865472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5625" defaultRowHeight="12.75" zeroHeight="false" outlineLevelRow="0" outlineLevelCol="0"/>
  <cols>
    <col collapsed="false" customWidth="true" hidden="false" outlineLevel="0" max="2" min="1" style="40" width="18.58"/>
    <col collapsed="false" customWidth="true" hidden="false" outlineLevel="0" max="3" min="3" style="40" width="14.57"/>
    <col collapsed="false" customWidth="true" hidden="false" outlineLevel="0" max="4" min="4" style="40" width="50.57"/>
    <col collapsed="false" customWidth="false" hidden="false" outlineLevel="0" max="5" min="5" style="40" width="9.14"/>
    <col collapsed="false" customWidth="true" hidden="false" outlineLevel="0" max="6" min="6" style="40" width="12.86"/>
    <col collapsed="false" customWidth="true" hidden="false" outlineLevel="0" max="7" min="7" style="40" width="12.42"/>
    <col collapsed="false" customWidth="false" hidden="false" outlineLevel="0" max="8" min="8" style="40" width="9.14"/>
    <col collapsed="false" customWidth="true" hidden="false" outlineLevel="0" max="9" min="9" style="40" width="11.99"/>
    <col collapsed="false" customWidth="false" hidden="false" outlineLevel="0" max="1024" min="10" style="40" width="9.14"/>
  </cols>
  <sheetData>
    <row r="1" customFormat="false" ht="51" hidden="false" customHeight="false" outlineLevel="0" collapsed="false">
      <c r="A1" s="40" t="s">
        <v>81</v>
      </c>
      <c r="B1" s="40" t="s">
        <v>82</v>
      </c>
      <c r="C1" s="43" t="s">
        <v>83</v>
      </c>
      <c r="D1" s="40" t="s">
        <v>84</v>
      </c>
      <c r="G1" s="43" t="s">
        <v>85</v>
      </c>
      <c r="H1" s="43" t="s">
        <v>86</v>
      </c>
      <c r="I1" s="43" t="s">
        <v>87</v>
      </c>
    </row>
    <row r="2" customFormat="false" ht="12.75" hidden="false" customHeight="false" outlineLevel="0" collapsed="false">
      <c r="A2" s="40" t="s">
        <v>88</v>
      </c>
      <c r="B2" s="45" t="n">
        <f aca="false">IF(LEN(C2)&gt;1,1,0)</f>
        <v>0</v>
      </c>
      <c r="C2" s="45" t="str">
        <f aca="false">IF(I2&gt;H2,CONCATENATE("Check inputs. Values imply a long storage period of &gt; ",ROUND(I2,0)," days."),"")</f>
        <v/>
      </c>
      <c r="D2" s="45" t="str">
        <f aca="false">IF(LEN(C2)&gt;1,CONCATENATE(B2,". ",C2),"")</f>
        <v/>
      </c>
      <c r="G2" s="40" t="n">
        <v>1</v>
      </c>
      <c r="H2" s="40" t="n">
        <v>365</v>
      </c>
      <c r="I2" s="45" t="n">
        <f aca="false">Model!C15*Warnings!G2/Model!C7</f>
        <v>50.9</v>
      </c>
    </row>
    <row r="3" customFormat="false" ht="12.75" hidden="false" customHeight="false" outlineLevel="0" collapsed="false">
      <c r="A3" s="40" t="s">
        <v>89</v>
      </c>
      <c r="B3" s="45" t="n">
        <f aca="false">IF(LEN(C3)&gt;1,B2+1,B2)</f>
        <v>0</v>
      </c>
      <c r="C3" s="45" t="str">
        <f aca="false">IF(Model!L8&gt;Warnings!G5,CONCATENATE("Model assumes constant emission rate and is less accurate for high losses. Calculated loss is ",ROUND(Model!L8,0),"% of TAN flow."),"")</f>
        <v/>
      </c>
      <c r="D3" s="45" t="str">
        <f aca="false">IF(LEN(C3)&gt;1,CONCATENATE(B3,". ",C3),"")</f>
        <v/>
      </c>
    </row>
    <row r="4" customFormat="false" ht="36" hidden="false" customHeight="true" outlineLevel="0" collapsed="false">
      <c r="A4" s="40" t="s">
        <v>90</v>
      </c>
      <c r="B4" s="45"/>
      <c r="C4" s="47"/>
      <c r="D4" s="47" t="str">
        <f aca="false">CONCATENATE(D2, " ", D3)</f>
        <v> </v>
      </c>
      <c r="G4" s="40" t="s">
        <v>91</v>
      </c>
    </row>
    <row r="5" customFormat="false" ht="12.75" hidden="false" customHeight="false" outlineLevel="0" collapsed="false">
      <c r="G5" s="40" t="n">
        <v>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6875" defaultRowHeight="12.75" zeroHeight="false" outlineLevelRow="0" outlineLevelCol="0"/>
  <cols>
    <col collapsed="false" customWidth="true" hidden="false" outlineLevel="0" max="2" min="2" style="0" width="11.86"/>
    <col collapsed="false" customWidth="true" hidden="false" outlineLevel="0" max="3" min="3" style="0" width="26.14"/>
    <col collapsed="false" customWidth="true" hidden="false" outlineLevel="0" max="5" min="5" style="0" width="49"/>
  </cols>
  <sheetData>
    <row r="1" customFormat="false" ht="12.75" hidden="false" customHeight="false" outlineLevel="0" collapsed="false">
      <c r="A1" s="0" t="s">
        <v>92</v>
      </c>
      <c r="B1" s="0" t="s">
        <v>93</v>
      </c>
      <c r="C1" s="0" t="s">
        <v>94</v>
      </c>
      <c r="D1" s="0" t="s">
        <v>95</v>
      </c>
      <c r="E1" s="0" t="s">
        <v>96</v>
      </c>
    </row>
    <row r="2" customFormat="false" ht="12.75" hidden="false" customHeight="false" outlineLevel="0" collapsed="false">
      <c r="A2" s="0" t="n">
        <v>0.1</v>
      </c>
      <c r="B2" s="48" t="n">
        <v>44583</v>
      </c>
      <c r="C2" s="0" t="s">
        <v>97</v>
      </c>
      <c r="D2" s="0" t="s">
        <v>98</v>
      </c>
      <c r="E2" s="0" t="s">
        <v>99</v>
      </c>
    </row>
    <row r="3" customFormat="false" ht="12.75" hidden="false" customHeight="false" outlineLevel="0" collapsed="false">
      <c r="A3" s="0" t="n">
        <v>0.2</v>
      </c>
      <c r="B3" s="48" t="n">
        <v>44586</v>
      </c>
      <c r="C3" s="0" t="s">
        <v>100</v>
      </c>
      <c r="D3" s="0" t="s">
        <v>98</v>
      </c>
      <c r="E3" s="0" t="s">
        <v>101</v>
      </c>
    </row>
    <row r="4" customFormat="false" ht="12.75" hidden="false" customHeight="false" outlineLevel="0" collapsed="false">
      <c r="A4" s="0" t="n">
        <v>0.3</v>
      </c>
      <c r="B4" s="48" t="n">
        <v>44586</v>
      </c>
      <c r="C4" s="0" t="s">
        <v>102</v>
      </c>
      <c r="D4" s="0" t="s">
        <v>98</v>
      </c>
      <c r="E4" s="0" t="s">
        <v>103</v>
      </c>
    </row>
    <row r="5" customFormat="false" ht="12.75" hidden="false" customHeight="false" outlineLevel="0" collapsed="false">
      <c r="A5" s="0" t="n">
        <v>0.3</v>
      </c>
      <c r="B5" s="48" t="n">
        <v>44586</v>
      </c>
      <c r="C5" s="0" t="s">
        <v>102</v>
      </c>
      <c r="D5" s="0" t="s">
        <v>98</v>
      </c>
      <c r="E5" s="0" t="s">
        <v>104</v>
      </c>
    </row>
    <row r="6" customFormat="false" ht="12.75" hidden="false" customHeight="false" outlineLevel="0" collapsed="false">
      <c r="A6" s="0" t="n">
        <v>0.4</v>
      </c>
      <c r="B6" s="48" t="n">
        <v>44587</v>
      </c>
      <c r="C6" s="0" t="s">
        <v>105</v>
      </c>
      <c r="D6" s="0" t="s">
        <v>98</v>
      </c>
      <c r="E6" s="0" t="s">
        <v>106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2022-01-20T19:24:52Z</dcterms:created>
  <dc:creator>Sasha Hafner</dc:creator>
  <dc:description/>
  <dc:language>en-US</dc:language>
  <cp:lastModifiedBy>Sasha Hafner</cp:lastModifiedBy>
  <dcterms:modified xsi:type="dcterms:W3CDTF">2022-08-19T11:39:49Z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