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charts/chart4.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hidden" r:id="rId4"/>
    <sheet name="Lookup" sheetId="4" state="hidden" r:id="rId5"/>
    <sheet name="Calculations" sheetId="5" state="hidden" r:id="rId6"/>
    <sheet name="Warnings" sheetId="6" state="hidden" r:id="rId7"/>
    <sheet name="ChangeLog" sheetId="7" state="hidden"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<sst xmlns="http://schemas.openxmlformats.org/spreadsheetml/2006/main" count="126" uniqueCount="113">
  <si>
    <r>
      <rPr>
        <b val="true"/>
        <sz val="12"/>
        <rFont val="Century"/>
        <family val="1"/>
        <charset val="1"/>
      </rPr>
      <t xml:space="preserve">AMOSTO: </t>
    </r>
    <r>
      <rPr>
        <sz val="12"/>
        <rFont val="Century"/>
        <family val="1"/>
        <charset val="1"/>
      </rPr>
      <t xml:space="preserve">Mass transfer model for </t>
    </r>
    <r>
      <rPr>
        <b val="true"/>
        <i val="true"/>
        <sz val="12"/>
        <rFont val="Century"/>
        <family val="1"/>
        <charset val="1"/>
      </rPr>
      <t xml:space="preserve">am</t>
    </r>
    <r>
      <rPr>
        <sz val="12"/>
        <rFont val="Century"/>
        <family val="1"/>
        <charset val="1"/>
      </rPr>
      <t xml:space="preserve">m</t>
    </r>
    <r>
      <rPr>
        <b val="true"/>
        <i val="true"/>
        <sz val="12"/>
        <rFont val="Century"/>
        <family val="1"/>
        <charset val="1"/>
      </rPr>
      <t xml:space="preserve">o</t>
    </r>
    <r>
      <rPr>
        <sz val="12"/>
        <rFont val="Century"/>
        <family val="1"/>
        <charset val="1"/>
      </rPr>
      <t xml:space="preserve">nia loss from animal slurry </t>
    </r>
    <r>
      <rPr>
        <b val="true"/>
        <i val="true"/>
        <sz val="12"/>
        <rFont val="Century"/>
        <family val="1"/>
        <charset val="1"/>
      </rPr>
      <t xml:space="preserve">sto</t>
    </r>
    <r>
      <rPr>
        <sz val="12"/>
        <rFont val="Century"/>
        <family val="1"/>
        <charset val="1"/>
      </rPr>
      <t xml:space="preserve">rage</t>
    </r>
  </si>
  <si>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</si>
  <si>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</si>
  <si>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</si>
  <si>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</si>
  <si>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</si>
  <si>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</si>
  <si>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</si>
  <si>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</si>
  <si>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</si>
  <si>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</si>
  <si>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</si>
  <si>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</si>
  <si>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</si>
  <si>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</si>
  <si>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</si>
  <si>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</si>
  <si>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</si>
  <si>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</si>
  <si>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</si>
  <si>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</si>
  <si>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</si>
  <si>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</si>
  <si>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</si>
  <si>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</si>
  <si>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</si>
  <si>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</si>
  <si>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</si>
  <si>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</si>
  <si>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</si>
  <si>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</si>
  <si>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</si>
  <si>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</si>
  <si>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Latest version and more information:</t>
  </si>
  <si>
    <t xml:space="preserve">https://github.com/sashahafner/AMOSTO</t>
  </si>
  <si>
    <t xml:space="preserve">May</t>
  </si>
  <si>
    <t xml:space="preserve">June</t>
  </si>
  <si>
    <t xml:space="preserve">Paper:</t>
  </si>
  <si>
    <t xml:space="preserve">Download</t>
  </si>
  <si>
    <t xml:space="preserve">July</t>
  </si>
  <si>
    <t xml:space="preserve">Contact us: </t>
  </si>
  <si>
    <t xml:space="preserve">sgs@bce.au.dk</t>
  </si>
  <si>
    <t xml:space="preserve">August</t>
  </si>
  <si>
    <t xml:space="preserve">License:</t>
  </si>
  <si>
    <t xml:space="preserve">MIT</t>
  </si>
  <si>
    <t xml:space="preserve">September</t>
  </si>
  <si>
    <t xml:space="preserve">Version:</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</si>
  <si>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</si>
  <si>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</si>
  <si>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</si>
  <si>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</si>
  <si>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</si>
  <si>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</si>
  <si>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</si>
  <si>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</si>
  <si>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</si>
  <si>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</si>
  <si>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</si>
  <si>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</si>
  <si>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</si>
  <si>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</si>
  <si>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</si>
  <si>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</si>
  <si>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</si>
  <si>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</si>
  <si>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</si>
  <si>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</si>
  <si>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</si>
  <si>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</si>
  <si>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</si>
  <si>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</si>
  <si>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</si>
  <si>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</si>
  <si>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</si>
  <si>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</si>
  <si>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</si>
  <si>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</si>
  <si>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</si>
  <si>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</si>
  <si>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</si>
  <si>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</si>
  <si>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</si>
  <si>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</si>
  <si>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</si>
  <si>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</si>
  <si>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</si>
  <si>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</si>
  <si>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</si>
  <si>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</si>
  <si>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</si>
  <si>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</si>
  <si>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</si>
  <si>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</si>
  <si>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</si>
  <si>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</si>
  <si>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</si>
  <si>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</si>
  <si>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</si>
  <si>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</si>
  <si>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</si>
  <si>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</si>
  <si>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</si>
  <si>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</si>
  <si>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</si>
  <si>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</si>
  <si>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</si>
  <si>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</si>
  <si>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</si>
  <si>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</si>
  <si>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</si>
  <si>
    <t xml:space="preserve">AMOSTO.xlsx</t>
  </si>
  <si>
    <t xml:space="preserve">Change file name, add AMOSTO to Model sheet, hiding this ChangeLog and other sheets except Model and License, add GitHub info to Model sheet</t>
  </si>
  <si>
    <t xml:space="preserve">Add download link, reformat notes a bit.</t>
  </si>
</sst>
</file>

<file path=xl/styles.xml><?xml version="1.0" encoding="utf-8"?>
<styleSheet xmlns="http://schemas.openxmlformats.org/spreadsheetml/2006/main">
  <numFmts count="5">
    <numFmt numFmtId="164" formatCode="General"/>
    <numFmt numFmtId="165" formatCode="General"/>
    <numFmt numFmtId="166" formatCode="0"/>
    <numFmt numFmtId="167" formatCode="0.0"/>
    <numFmt numFmtId="168" formatCode="d\-mmm\-yy"/>
  </numFmts>
  <fonts count="24">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sz val="12"/>
      <name val="Century"/>
      <family val="1"/>
      <charset val="1"/>
    </font>
    <font>
      <b val="true"/>
      <i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b val="true"/>
      <sz val="10"/>
      <color rgb="FF548235"/>
      <name val="Century"/>
      <family val="1"/>
      <charset val="1"/>
    </font>
    <font>
      <sz val="11"/>
      <color rgb="FF000000"/>
      <name val="Century"/>
      <family val="2"/>
    </font>
    <font>
      <vertAlign val="subscript"/>
      <sz val="11"/>
      <color rgb="FF000000"/>
      <name val="Century"/>
      <family val="2"/>
    </font>
    <font>
      <vertAlign val="superscrip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8" fillId="3" borderId="2"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3"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14"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5" xfId="0" applyFont="true" applyBorder="true" applyAlignment="true" applyProtection="false">
      <alignment horizontal="left" vertical="center" textRotation="0" wrapText="true" indent="0" shrinkToFit="false"/>
      <protection locked="true" hidden="false"/>
    </xf>
    <xf numFmtId="164" fontId="15" fillId="3" borderId="7" xfId="20" applyFont="true" applyBorder="true" applyAlignment="true" applyProtection="true">
      <alignment horizontal="left" vertical="center" textRotation="0" wrapText="true" indent="0" shrinkToFit="false"/>
      <protection locked="false" hidden="false"/>
    </xf>
    <xf numFmtId="164" fontId="4" fillId="3" borderId="5" xfId="0" applyFont="true" applyBorder="true" applyAlignment="true" applyProtection="false">
      <alignment horizontal="right" vertical="center" textRotation="0" wrapText="false" indent="0" shrinkToFit="false"/>
      <protection locked="true" hidden="false"/>
    </xf>
    <xf numFmtId="164" fontId="15" fillId="3" borderId="0" xfId="20" applyFont="true" applyBorder="true" applyAlignment="true" applyProtection="true">
      <alignment horizontal="left" vertical="center" textRotation="0" wrapText="false" indent="0" shrinkToFit="false"/>
      <protection locked="fals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11" xfId="0" applyFont="true" applyBorder="true" applyAlignment="true" applyProtection="false">
      <alignment horizontal="right" vertical="center" textRotation="0" wrapText="false" indent="0" shrinkToFit="false"/>
      <protection locked="true" hidden="false"/>
    </xf>
    <xf numFmtId="167" fontId="16" fillId="3" borderId="1"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548235"/>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10.685008527463</c:v>
                </c:pt>
                <c:pt idx="1">
                  <c:v>7.01447590384332</c:v>
                </c:pt>
                <c:pt idx="2">
                  <c:v>7.18328518744658</c:v>
                </c:pt>
                <c:pt idx="3">
                  <c:v>8.2584639614227</c:v>
                </c:pt>
                <c:pt idx="4">
                  <c:v>17.5054070972826</c:v>
                </c:pt>
                <c:pt idx="5">
                  <c:v>31.2798587990964</c:v>
                </c:pt>
                <c:pt idx="6">
                  <c:v>49.3347292077467</c:v>
                </c:pt>
                <c:pt idx="7">
                  <c:v>60.5540136871235</c:v>
                </c:pt>
                <c:pt idx="8">
                  <c:v>55.8073272155877</c:v>
                </c:pt>
                <c:pt idx="9">
                  <c:v>44.1284321962748</c:v>
                </c:pt>
                <c:pt idx="10">
                  <c:v>27.4373677461802</c:v>
                </c:pt>
                <c:pt idx="11">
                  <c:v>17.2085380332465</c:v>
                </c:pt>
              </c:numCache>
            </c:numRef>
          </c:val>
        </c:ser>
        <c:gapWidth val="90"/>
        <c:overlap val="59"/>
        <c:axId val="85006636"/>
        <c:axId val="30795551"/>
      </c:barChart>
      <c:catAx>
        <c:axId val="85006636"/>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30795551"/>
        <c:crosses val="autoZero"/>
        <c:auto val="1"/>
        <c:lblAlgn val="ctr"/>
        <c:lblOffset val="100"/>
        <c:noMultiLvlLbl val="0"/>
      </c:catAx>
      <c:valAx>
        <c:axId val="30795551"/>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85006636"/>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0.338583196890265</c:v>
                </c:pt>
                <c:pt idx="1">
                  <c:v>0.243909658147793</c:v>
                </c:pt>
                <c:pt idx="2">
                  <c:v>0.227621686654623</c:v>
                </c:pt>
                <c:pt idx="3">
                  <c:v>0.270414668023009</c:v>
                </c:pt>
                <c:pt idx="4">
                  <c:v>0.554705846291988</c:v>
                </c:pt>
                <c:pt idx="5">
                  <c:v>1.02422589388004</c:v>
                </c:pt>
                <c:pt idx="6">
                  <c:v>1.56330341617804</c:v>
                </c:pt>
                <c:pt idx="7">
                  <c:v>1.91881658175814</c:v>
                </c:pt>
                <c:pt idx="8">
                  <c:v>1.82735190620785</c:v>
                </c:pt>
                <c:pt idx="9">
                  <c:v>1.39832791039593</c:v>
                </c:pt>
                <c:pt idx="10">
                  <c:v>0.89840758828357</c:v>
                </c:pt>
                <c:pt idx="11">
                  <c:v>0.545298752558671</c:v>
                </c:pt>
              </c:numCache>
            </c:numRef>
          </c:val>
        </c:ser>
        <c:gapWidth val="90"/>
        <c:overlap val="59"/>
        <c:axId val="6234574"/>
        <c:axId val="93997437"/>
      </c:barChart>
      <c:catAx>
        <c:axId val="6234574"/>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93997437"/>
        <c:crosses val="autoZero"/>
        <c:auto val="1"/>
        <c:lblAlgn val="ctr"/>
        <c:lblOffset val="100"/>
        <c:noMultiLvlLbl val="0"/>
      </c:catAx>
      <c:valAx>
        <c:axId val="93997437"/>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6234574"/>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1142640</xdr:colOff>
      <xdr:row>25</xdr:row>
      <xdr:rowOff>160200</xdr:rowOff>
    </xdr:to>
    <xdr:graphicFrame>
      <xdr:nvGraphicFramePr>
        <xdr:cNvPr id="0" name="Chart 1"/>
        <xdr:cNvGraphicFramePr/>
      </xdr:nvGraphicFramePr>
      <xdr:xfrm>
        <a:off x="6980760" y="1859760"/>
        <a:ext cx="3867840" cy="265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406440</xdr:colOff>
      <xdr:row>26</xdr:row>
      <xdr:rowOff>6480</xdr:rowOff>
    </xdr:to>
    <xdr:graphicFrame>
      <xdr:nvGraphicFramePr>
        <xdr:cNvPr id="1" name="Chart 2"/>
        <xdr:cNvGraphicFramePr/>
      </xdr:nvGraphicFramePr>
      <xdr:xfrm>
        <a:off x="11183400" y="1851120"/>
        <a:ext cx="3766320" cy="267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sashahafner/AMOSTO" TargetMode="External"/><Relationship Id="rId2" Type="http://schemas.openxmlformats.org/officeDocument/2006/relationships/hyperlink" Target="https://drive.google.com/file/d/1PTC_YO8lJKsK_OPswhBvWFYOUVEzKVFc/view?usp=sharing"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9" activeCellId="0" sqref="C19"/>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6"/>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7" min="7" style="1" width="10.58"/>
    <col collapsed="false" customWidth="true" hidden="false" outlineLevel="0" max="8" min="8" style="1" width="9.14"/>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7"/>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3.5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3.55" hidden="false" customHeight="false" outlineLevel="0" collapsed="false">
      <c r="B7" s="19" t="s">
        <v>10</v>
      </c>
      <c r="C7" s="20" t="n">
        <v>20</v>
      </c>
      <c r="D7" s="15"/>
      <c r="F7" s="13" t="s">
        <v>11</v>
      </c>
      <c r="G7" s="21" t="n">
        <f aca="false">VLOOKUP(C16,Parameters!A8:C21,3,FALSE())</f>
        <v>1</v>
      </c>
      <c r="H7" s="15"/>
      <c r="J7" s="13"/>
      <c r="K7" s="17" t="s">
        <v>12</v>
      </c>
      <c r="L7" s="22" t="n">
        <f aca="false">Calculations!N15</f>
        <v>336.396907562714</v>
      </c>
      <c r="M7" s="17"/>
      <c r="N7" s="17"/>
      <c r="O7" s="17"/>
      <c r="P7" s="15"/>
    </row>
    <row r="8" customFormat="false" ht="16.5" hidden="false" customHeight="false" outlineLevel="0" collapsed="false">
      <c r="B8" s="13"/>
      <c r="C8" s="17"/>
      <c r="D8" s="15"/>
      <c r="F8" s="23"/>
      <c r="G8" s="24"/>
      <c r="H8" s="25"/>
      <c r="J8" s="13"/>
      <c r="K8" s="17" t="s">
        <v>13</v>
      </c>
      <c r="L8" s="26" t="n">
        <f aca="false">100*L7/L6</f>
        <v>2.19286794799853</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3.8"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3.5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3.8" hidden="false" customHeight="false" outlineLevel="0" collapsed="false">
      <c r="B19" s="13" t="s">
        <v>27</v>
      </c>
      <c r="C19" s="14" t="n">
        <v>2.9</v>
      </c>
      <c r="D19" s="15"/>
      <c r="F19" s="4" t="s">
        <v>28</v>
      </c>
      <c r="G19" s="4"/>
      <c r="H19" s="4"/>
      <c r="J19" s="13"/>
      <c r="K19" s="17"/>
      <c r="L19" s="17"/>
      <c r="M19" s="17"/>
      <c r="N19" s="17"/>
      <c r="O19" s="17"/>
      <c r="P19" s="15"/>
    </row>
    <row r="20" customFormat="false" ht="13.8" hidden="false" customHeight="false" outlineLevel="0" collapsed="false">
      <c r="B20" s="13" t="s">
        <v>29</v>
      </c>
      <c r="C20" s="30" t="n">
        <v>0.5</v>
      </c>
      <c r="D20" s="15"/>
      <c r="F20" s="8"/>
      <c r="G20" s="12"/>
      <c r="H20" s="7"/>
      <c r="J20" s="13"/>
      <c r="K20" s="17"/>
      <c r="L20" s="17"/>
      <c r="M20" s="17"/>
      <c r="N20" s="17"/>
      <c r="O20" s="17"/>
      <c r="P20" s="15"/>
    </row>
    <row r="21" customFormat="false" ht="12.75" hidden="false" customHeight="false" outlineLevel="0" collapsed="false">
      <c r="B21" s="13" t="s">
        <v>30</v>
      </c>
      <c r="C21" s="30" t="n">
        <v>0</v>
      </c>
      <c r="D21" s="15"/>
      <c r="F21" s="32" t="s">
        <v>31</v>
      </c>
      <c r="G21" s="17"/>
      <c r="H21" s="15"/>
      <c r="J21" s="13"/>
      <c r="K21" s="17"/>
      <c r="L21" s="17"/>
      <c r="M21" s="17"/>
      <c r="N21" s="17"/>
      <c r="O21" s="17"/>
      <c r="P21" s="15"/>
    </row>
    <row r="22" customFormat="false" ht="12.75" hidden="false" customHeight="true" outlineLevel="0" collapsed="false">
      <c r="B22" s="13" t="s">
        <v>32</v>
      </c>
      <c r="C22" s="30" t="n">
        <v>1.25</v>
      </c>
      <c r="D22" s="15"/>
      <c r="F22" s="33" t="s">
        <v>33</v>
      </c>
      <c r="G22" s="34" t="s">
        <v>34</v>
      </c>
      <c r="H22" s="34"/>
      <c r="J22" s="13"/>
      <c r="K22" s="17"/>
      <c r="L22" s="17"/>
      <c r="M22" s="17"/>
      <c r="N22" s="17"/>
      <c r="O22" s="17"/>
      <c r="P22" s="15"/>
    </row>
    <row r="23" customFormat="false" ht="12.75" hidden="false" customHeight="false" outlineLevel="0" collapsed="false">
      <c r="B23" s="13" t="s">
        <v>35</v>
      </c>
      <c r="C23" s="30" t="n">
        <v>6.6</v>
      </c>
      <c r="D23" s="15"/>
      <c r="F23" s="33"/>
      <c r="G23" s="34"/>
      <c r="H23" s="34"/>
      <c r="J23" s="13"/>
      <c r="K23" s="17"/>
      <c r="L23" s="17"/>
      <c r="M23" s="17"/>
      <c r="N23" s="17"/>
      <c r="O23" s="17"/>
      <c r="P23" s="15"/>
    </row>
    <row r="24" customFormat="false" ht="12.75" hidden="false" customHeight="false" outlineLevel="0" collapsed="false">
      <c r="B24" s="13" t="s">
        <v>36</v>
      </c>
      <c r="C24" s="30" t="n">
        <v>11.35</v>
      </c>
      <c r="D24" s="15"/>
      <c r="F24" s="35" t="s">
        <v>37</v>
      </c>
      <c r="G24" s="36" t="s">
        <v>38</v>
      </c>
      <c r="H24" s="15"/>
      <c r="J24" s="13"/>
      <c r="K24" s="17"/>
      <c r="L24" s="17"/>
      <c r="M24" s="17"/>
      <c r="N24" s="17"/>
      <c r="O24" s="17"/>
      <c r="P24" s="15"/>
    </row>
    <row r="25" customFormat="false" ht="12.8" hidden="false" customHeight="false" outlineLevel="0" collapsed="false">
      <c r="B25" s="13" t="s">
        <v>39</v>
      </c>
      <c r="C25" s="30" t="n">
        <v>14.73</v>
      </c>
      <c r="D25" s="15"/>
      <c r="F25" s="35" t="s">
        <v>40</v>
      </c>
      <c r="G25" s="36" t="s">
        <v>41</v>
      </c>
      <c r="H25" s="15"/>
      <c r="J25" s="13"/>
      <c r="K25" s="17"/>
      <c r="L25" s="17"/>
      <c r="M25" s="17"/>
      <c r="N25" s="17"/>
      <c r="O25" s="17"/>
      <c r="P25" s="15"/>
    </row>
    <row r="26" customFormat="false" ht="12.8" hidden="false" customHeight="false" outlineLevel="0" collapsed="false">
      <c r="B26" s="13" t="s">
        <v>42</v>
      </c>
      <c r="C26" s="30" t="n">
        <v>16.4</v>
      </c>
      <c r="D26" s="15"/>
      <c r="F26" s="35" t="s">
        <v>43</v>
      </c>
      <c r="G26" s="37" t="s">
        <v>44</v>
      </c>
      <c r="H26" s="15"/>
      <c r="J26" s="13"/>
      <c r="K26" s="17"/>
      <c r="L26" s="17"/>
      <c r="M26" s="17"/>
      <c r="N26" s="17"/>
      <c r="O26" s="17"/>
      <c r="P26" s="15"/>
    </row>
    <row r="27" customFormat="false" ht="12.8" hidden="false" customHeight="false" outlineLevel="0" collapsed="false">
      <c r="B27" s="13" t="s">
        <v>45</v>
      </c>
      <c r="C27" s="30" t="n">
        <v>16</v>
      </c>
      <c r="D27" s="15"/>
      <c r="F27" s="38" t="s">
        <v>46</v>
      </c>
      <c r="G27" s="39" t="n">
        <f aca="false">MAX(ChangeLog!A4:A1011)</f>
        <v>1</v>
      </c>
      <c r="H27" s="25"/>
      <c r="J27" s="23"/>
      <c r="K27" s="24"/>
      <c r="L27" s="24"/>
      <c r="M27" s="24"/>
      <c r="N27" s="24"/>
      <c r="O27" s="24"/>
      <c r="P27" s="25"/>
    </row>
    <row r="28" customFormat="false" ht="12.8" hidden="false" customHeight="false" outlineLevel="0" collapsed="false">
      <c r="B28" s="13" t="s">
        <v>47</v>
      </c>
      <c r="C28" s="30" t="n">
        <v>13.83</v>
      </c>
      <c r="D28" s="15"/>
      <c r="K28" s="40"/>
      <c r="L28" s="40"/>
    </row>
    <row r="29" customFormat="false" ht="12.8" hidden="false" customHeight="false" outlineLevel="0" collapsed="false">
      <c r="B29" s="13" t="s">
        <v>48</v>
      </c>
      <c r="C29" s="30" t="n">
        <v>10.32</v>
      </c>
      <c r="D29" s="15"/>
    </row>
    <row r="30" customFormat="false" ht="12.8" hidden="false" customHeight="false" outlineLevel="0" collapsed="false">
      <c r="B30" s="13" t="s">
        <v>49</v>
      </c>
      <c r="C30" s="20" t="n">
        <v>6.47</v>
      </c>
      <c r="D30" s="15"/>
    </row>
    <row r="31" customFormat="false" ht="13.5" hidden="false" customHeight="false" outlineLevel="0" collapsed="false">
      <c r="B31" s="23"/>
      <c r="C31" s="24"/>
      <c r="D31" s="25"/>
    </row>
    <row r="38" customFormat="false" ht="7.5" hidden="false" customHeight="true" outlineLevel="0" collapsed="false"/>
  </sheetData>
  <sheetProtection sheet="true" objects="true" scenarios="true" selectLockedCells="true"/>
  <mergeCells count="18">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F22:F23"/>
    <mergeCell ref="G22:H23"/>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2" r:id="rId1" display="https://github.com/sashahafner/AMOSTO"/>
    <hyperlink ref="G24" r:id="rId2" display="Download"/>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75" zeroHeight="false" outlineLevelRow="0" outlineLevelCol="0"/>
  <cols>
    <col collapsed="false" customWidth="true" hidden="false" outlineLevel="0" max="1" min="1" style="0" width="85.14"/>
  </cols>
  <sheetData>
    <row r="1" customFormat="false" ht="293.25" hidden="false" customHeight="false" outlineLevel="0" collapsed="false">
      <c r="A1" s="41" t="s">
        <v>50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2" width="23.28"/>
    <col collapsed="false" customWidth="true" hidden="false" outlineLevel="0" max="2" min="2" style="42" width="21.71"/>
    <col collapsed="false" customWidth="true" hidden="false" outlineLevel="0" max="3" min="3" style="42" width="18.42"/>
    <col collapsed="false" customWidth="false" hidden="false" outlineLevel="0" max="1024" min="4" style="42" width="11.57"/>
  </cols>
  <sheetData>
    <row r="1" customFormat="false" ht="12.75" hidden="false" customHeight="false" outlineLevel="0" collapsed="false">
      <c r="B1" s="43" t="s">
        <v>51</v>
      </c>
      <c r="C1" s="43"/>
    </row>
    <row r="2" customFormat="false" ht="12.75" hidden="false" customHeight="false" outlineLevel="0" collapsed="false">
      <c r="B2" s="42" t="s">
        <v>52</v>
      </c>
      <c r="C2" s="42" t="s">
        <v>22</v>
      </c>
    </row>
    <row r="3" customFormat="false" ht="12.75" hidden="false" customHeight="false" outlineLevel="0" collapsed="false">
      <c r="A3" s="42" t="s">
        <v>7</v>
      </c>
      <c r="B3" s="42" t="n">
        <v>118</v>
      </c>
      <c r="C3" s="42" t="n">
        <v>131</v>
      </c>
    </row>
    <row r="4" customFormat="false" ht="12.75" hidden="false" customHeight="false" outlineLevel="0" collapsed="false">
      <c r="A4" s="42" t="s">
        <v>53</v>
      </c>
      <c r="B4" s="42" t="n">
        <v>303</v>
      </c>
      <c r="C4" s="42" t="n">
        <v>262</v>
      </c>
    </row>
    <row r="5" customFormat="false" ht="12.75" hidden="false" customHeight="false" outlineLevel="0" collapsed="false">
      <c r="A5" s="42" t="s">
        <v>54</v>
      </c>
      <c r="B5" s="42" t="n">
        <v>100</v>
      </c>
      <c r="C5" s="42" t="n">
        <v>156</v>
      </c>
    </row>
    <row r="7" customFormat="false" ht="12.75" hidden="false" customHeight="false" outlineLevel="0" collapsed="false">
      <c r="A7" s="42" t="s">
        <v>55</v>
      </c>
      <c r="B7" s="43" t="s">
        <v>56</v>
      </c>
      <c r="C7" s="43"/>
    </row>
    <row r="8" customFormat="false" ht="12.75" hidden="false" customHeight="false" outlineLevel="0" collapsed="false">
      <c r="A8" s="42" t="s">
        <v>57</v>
      </c>
      <c r="B8" s="42" t="n">
        <v>33</v>
      </c>
      <c r="C8" s="42" t="n">
        <v>0.33</v>
      </c>
    </row>
    <row r="9" customFormat="false" ht="12.75" hidden="false" customHeight="false" outlineLevel="0" collapsed="false">
      <c r="A9" s="42" t="s">
        <v>58</v>
      </c>
      <c r="B9" s="42" t="n">
        <v>45</v>
      </c>
      <c r="C9" s="42" t="n">
        <v>0.45</v>
      </c>
    </row>
    <row r="10" customFormat="false" ht="12.75" hidden="false" customHeight="false" outlineLevel="0" collapsed="false">
      <c r="A10" s="42" t="s">
        <v>59</v>
      </c>
      <c r="B10" s="42" t="n">
        <v>41</v>
      </c>
      <c r="C10" s="42" t="n">
        <v>0.41</v>
      </c>
    </row>
    <row r="11" customFormat="false" ht="12.75" hidden="false" customHeight="false" outlineLevel="0" collapsed="false">
      <c r="A11" s="42" t="s">
        <v>60</v>
      </c>
      <c r="B11" s="42" t="n">
        <v>16</v>
      </c>
      <c r="C11" s="42" t="n">
        <v>0.16</v>
      </c>
    </row>
    <row r="12" customFormat="false" ht="12.75" hidden="false" customHeight="false" outlineLevel="0" collapsed="false">
      <c r="A12" s="42" t="s">
        <v>61</v>
      </c>
      <c r="B12" s="42" t="n">
        <v>66</v>
      </c>
      <c r="C12" s="42" t="n">
        <v>0.66</v>
      </c>
    </row>
    <row r="13" customFormat="false" ht="12.75" hidden="false" customHeight="false" outlineLevel="0" collapsed="false">
      <c r="A13" s="42" t="s">
        <v>62</v>
      </c>
      <c r="B13" s="42" t="n">
        <v>46</v>
      </c>
      <c r="C13" s="42" t="n">
        <v>0.46</v>
      </c>
    </row>
    <row r="14" customFormat="false" ht="12.75" hidden="false" customHeight="false" outlineLevel="0" collapsed="false">
      <c r="A14" s="42" t="s">
        <v>63</v>
      </c>
      <c r="B14" s="42" t="n">
        <v>6</v>
      </c>
      <c r="C14" s="42" t="n">
        <v>0.06</v>
      </c>
    </row>
    <row r="15" customFormat="false" ht="12.75" hidden="false" customHeight="false" outlineLevel="0" collapsed="false">
      <c r="A15" s="42" t="s">
        <v>64</v>
      </c>
      <c r="B15" s="42" t="n">
        <v>17</v>
      </c>
      <c r="C15" s="42" t="n">
        <v>0.17</v>
      </c>
    </row>
    <row r="16" customFormat="false" ht="12.75" hidden="false" customHeight="false" outlineLevel="0" collapsed="false">
      <c r="A16" s="42" t="s">
        <v>65</v>
      </c>
      <c r="B16" s="42" t="n">
        <v>14</v>
      </c>
      <c r="C16" s="42" t="n">
        <v>0.14</v>
      </c>
    </row>
    <row r="17" customFormat="false" ht="12.75" hidden="false" customHeight="false" outlineLevel="0" collapsed="false">
      <c r="A17" s="42" t="s">
        <v>66</v>
      </c>
      <c r="B17" s="42" t="n">
        <v>24</v>
      </c>
      <c r="C17" s="42" t="n">
        <v>0.24</v>
      </c>
    </row>
    <row r="18" customFormat="false" ht="12.75" hidden="false" customHeight="false" outlineLevel="0" collapsed="false">
      <c r="A18" s="42" t="s">
        <v>67</v>
      </c>
      <c r="B18" s="42" t="n">
        <v>53</v>
      </c>
      <c r="C18" s="42" t="n">
        <v>0.53</v>
      </c>
    </row>
    <row r="19" customFormat="false" ht="12.75" hidden="false" customHeight="false" outlineLevel="0" collapsed="false">
      <c r="A19" s="42" t="s">
        <v>25</v>
      </c>
      <c r="B19" s="42" t="n">
        <v>100</v>
      </c>
      <c r="C19" s="42" t="n">
        <v>1</v>
      </c>
    </row>
    <row r="20" customFormat="false" ht="12.75" hidden="false" customHeight="false" outlineLevel="0" collapsed="false">
      <c r="B20" s="42" t="n">
        <v>100</v>
      </c>
      <c r="C20" s="42"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87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68</v>
      </c>
    </row>
    <row r="2" customFormat="false" ht="12.75" hidden="false" customHeight="false" outlineLevel="0" collapsed="false">
      <c r="A2" s="0" t="s">
        <v>69</v>
      </c>
      <c r="B2" s="0" t="str">
        <f aca="false">Model!C6</f>
        <v>Cattle</v>
      </c>
      <c r="C2" s="44" t="n">
        <f aca="false">MATCH(B2,Parameters!A3:A5)</f>
        <v>1</v>
      </c>
    </row>
    <row r="3" customFormat="false" ht="12.75" hidden="false" customHeight="false" outlineLevel="0" collapsed="false">
      <c r="A3" s="0" t="s">
        <v>70</v>
      </c>
      <c r="B3" s="0" t="str">
        <f aca="false">Model!C14</f>
        <v>Tank</v>
      </c>
      <c r="C3" s="44"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1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ColWidth="11.58984375" defaultRowHeight="12.75" zeroHeight="false" outlineLevelRow="0" outlineLevelCol="0"/>
  <cols>
    <col collapsed="false" customWidth="true" hidden="false" outlineLevel="0" max="1" min="1" style="42" width="11.71"/>
    <col collapsed="false" customWidth="true" hidden="false" outlineLevel="0" max="2" min="2" style="42" width="7.86"/>
    <col collapsed="false" customWidth="true" hidden="false" outlineLevel="0" max="3" min="3" style="42" width="14.57"/>
    <col collapsed="false" customWidth="true" hidden="false" outlineLevel="0" max="4" min="4" style="42" width="5.7"/>
    <col collapsed="false" customWidth="true" hidden="false" outlineLevel="0" max="5" min="5" style="42" width="5.86"/>
    <col collapsed="false" customWidth="true" hidden="false" outlineLevel="0" max="6" min="6" style="42" width="9.14"/>
    <col collapsed="false" customWidth="true" hidden="false" outlineLevel="0" max="7" min="7" style="42" width="10.85"/>
    <col collapsed="false" customWidth="true" hidden="false" outlineLevel="0" max="8" min="8" style="42" width="8.86"/>
    <col collapsed="false" customWidth="true" hidden="false" outlineLevel="0" max="9" min="9" style="42" width="12.42"/>
    <col collapsed="false" customWidth="true" hidden="false" outlineLevel="0" max="11" min="10" style="42" width="11.71"/>
    <col collapsed="false" customWidth="true" hidden="false" outlineLevel="0" max="13" min="12" style="42" width="13.01"/>
    <col collapsed="false" customWidth="true" hidden="false" outlineLevel="0" max="14" min="14" style="42" width="14.7"/>
    <col collapsed="false" customWidth="true" hidden="false" outlineLevel="0" max="15" min="15" style="42" width="16.42"/>
    <col collapsed="false" customWidth="false" hidden="false" outlineLevel="0" max="1024" min="16" style="42" width="11.57"/>
  </cols>
  <sheetData>
    <row r="2" s="45" customFormat="true" ht="26.25" hidden="false" customHeight="true" outlineLevel="0" collapsed="false">
      <c r="A2" s="45" t="s">
        <v>71</v>
      </c>
      <c r="B2" s="45" t="s">
        <v>72</v>
      </c>
      <c r="C2" s="45" t="s">
        <v>73</v>
      </c>
      <c r="D2" s="45" t="s">
        <v>74</v>
      </c>
      <c r="E2" s="45" t="s">
        <v>19</v>
      </c>
      <c r="F2" s="45" t="s">
        <v>75</v>
      </c>
      <c r="G2" s="45" t="s">
        <v>11</v>
      </c>
      <c r="H2" s="45" t="s">
        <v>76</v>
      </c>
      <c r="I2" s="45" t="s">
        <v>77</v>
      </c>
      <c r="J2" s="45" t="s">
        <v>78</v>
      </c>
      <c r="K2" s="45" t="s">
        <v>79</v>
      </c>
      <c r="L2" s="45" t="s">
        <v>80</v>
      </c>
      <c r="M2" s="45" t="s">
        <v>81</v>
      </c>
      <c r="N2" s="45" t="s">
        <v>82</v>
      </c>
    </row>
    <row r="3" customFormat="false" ht="12.75" hidden="false" customHeight="false" outlineLevel="0" collapsed="false">
      <c r="A3" s="42" t="n">
        <v>1</v>
      </c>
      <c r="B3" s="42" t="n">
        <v>31</v>
      </c>
      <c r="C3" s="46" t="n">
        <f aca="false">Model!C19</f>
        <v>2.9</v>
      </c>
      <c r="D3" s="46" t="n">
        <f aca="false">Model!C$10</f>
        <v>2.1</v>
      </c>
      <c r="E3" s="46" t="n">
        <f aca="false">Model!C$11</f>
        <v>7</v>
      </c>
      <c r="F3" s="46" t="n">
        <f aca="false">Model!G$6</f>
        <v>131</v>
      </c>
      <c r="G3" s="46" t="n">
        <f aca="false">Model!G$7</f>
        <v>1</v>
      </c>
      <c r="H3" s="46" t="n">
        <f aca="false">Model!C$15</f>
        <v>1018</v>
      </c>
      <c r="I3" s="47" t="n">
        <f aca="false">EXP((14.01708-(10294.83/(C3+273.15))-0.039282*(C3+273.15))-(191.97-8451/(C3+273.15)-31.4335*LN(C3+273.15)+0.0152123*(C3+273.15)))</f>
        <v>1.02532591947923E-010</v>
      </c>
      <c r="J3" s="47" t="n">
        <f aca="false">EXP(-(160.559-(8621.06/(273.15+C3))-(25.6767*LN(273.15+C3))+(0.035388*(273.15+C3))))</f>
        <v>184.972595265186</v>
      </c>
      <c r="K3" s="47" t="n">
        <f aca="false">J3*0.08205746*(273.15+C3)</f>
        <v>4189.99216809795</v>
      </c>
      <c r="L3" s="47" t="n">
        <f aca="false">($D3/(1+(10^-E3)/$I3))*1/$K3</f>
        <v>5.13361097136861E-007</v>
      </c>
      <c r="M3" s="47" t="n">
        <f aca="false">1000*L3/F3*G3*86400</f>
        <v>0.338583196890265</v>
      </c>
      <c r="N3" s="47" t="n">
        <f aca="false">M3*B3*H3/1000</f>
        <v>10.685008527463</v>
      </c>
    </row>
    <row r="4" customFormat="false" ht="12.75" hidden="false" customHeight="false" outlineLevel="0" collapsed="false">
      <c r="A4" s="42" t="n">
        <v>2</v>
      </c>
      <c r="B4" s="42" t="n">
        <v>28.25</v>
      </c>
      <c r="C4" s="46" t="n">
        <f aca="false">Model!C20</f>
        <v>0.5</v>
      </c>
      <c r="D4" s="46" t="n">
        <f aca="false">Model!C$10</f>
        <v>2.1</v>
      </c>
      <c r="E4" s="46" t="n">
        <f aca="false">Model!C$11</f>
        <v>7</v>
      </c>
      <c r="F4" s="46" t="n">
        <f aca="false">Model!G$6</f>
        <v>131</v>
      </c>
      <c r="G4" s="46" t="n">
        <f aca="false">Model!G$7</f>
        <v>1</v>
      </c>
      <c r="H4" s="46" t="n">
        <f aca="false">Model!C$15</f>
        <v>1018</v>
      </c>
      <c r="I4" s="47" t="n">
        <f aca="false">EXP((14.01708-(10294.83/(C4+273.15))-0.039282*(C4+273.15))-(191.97-8451/(C4+273.15)-31.4335*LN(C4+273.15)+0.0152123*(C4+273.15)))</f>
        <v>8.37559248324732E-011</v>
      </c>
      <c r="J4" s="47" t="n">
        <f aca="false">EXP(-(160.559-(8621.06/(273.15+C4))-(25.6767*LN(273.15+C4))+(0.035388*(273.15+C4))))</f>
        <v>211.627043718995</v>
      </c>
      <c r="K4" s="47" t="n">
        <f aca="false">J4*0.08205746*(273.15+C4)</f>
        <v>4752.09033073356</v>
      </c>
      <c r="L4" s="47" t="n">
        <f aca="false">($D4/(1+(10^-E4)/$I4))*1/$K4</f>
        <v>3.69816727052789E-007</v>
      </c>
      <c r="M4" s="47" t="n">
        <f aca="false">1000*L4/F4*G4*86400</f>
        <v>0.243909658147793</v>
      </c>
      <c r="N4" s="47" t="n">
        <f aca="false">M4*B4*H4/1000</f>
        <v>7.01447590384332</v>
      </c>
    </row>
    <row r="5" customFormat="false" ht="12.75" hidden="false" customHeight="false" outlineLevel="0" collapsed="false">
      <c r="A5" s="42" t="n">
        <v>3</v>
      </c>
      <c r="B5" s="42" t="n">
        <v>31</v>
      </c>
      <c r="C5" s="46" t="n">
        <f aca="false">Model!C21</f>
        <v>0</v>
      </c>
      <c r="D5" s="46" t="n">
        <f aca="false">Model!C$10</f>
        <v>2.1</v>
      </c>
      <c r="E5" s="46" t="n">
        <f aca="false">Model!C$11</f>
        <v>7</v>
      </c>
      <c r="F5" s="46" t="n">
        <f aca="false">Model!G$6</f>
        <v>131</v>
      </c>
      <c r="G5" s="46" t="n">
        <f aca="false">Model!G$7</f>
        <v>1</v>
      </c>
      <c r="H5" s="46" t="n">
        <f aca="false">Model!C$15</f>
        <v>1018</v>
      </c>
      <c r="I5" s="47" t="n">
        <f aca="false">EXP((14.01708-(10294.83/(C5+273.15))-0.039282*(C5+273.15))-(191.97-8451/(C5+273.15)-31.4335*LN(C5+273.15)+0.0152123*(C5+273.15)))</f>
        <v>8.02650303591075E-011</v>
      </c>
      <c r="J5" s="47" t="n">
        <f aca="false">EXP(-(160.559-(8621.06/(273.15+C5))-(25.6767*LN(273.15+C5))+(0.035388*(273.15+C5))))</f>
        <v>217.724227041309</v>
      </c>
      <c r="K5" s="47" t="n">
        <f aca="false">J5*0.08205746*(273.15+C5)</f>
        <v>4880.06977960988</v>
      </c>
      <c r="L5" s="47" t="n">
        <f aca="false">($D5/(1+(10^-E5)/$I5))*1/$K5</f>
        <v>3.45120844349023E-007</v>
      </c>
      <c r="M5" s="47" t="n">
        <f aca="false">1000*L5/F5*G5*86400</f>
        <v>0.227621686654623</v>
      </c>
      <c r="N5" s="47" t="n">
        <f aca="false">M5*B5*H5/1000</f>
        <v>7.18328518744658</v>
      </c>
    </row>
    <row r="6" customFormat="false" ht="12.75" hidden="false" customHeight="false" outlineLevel="0" collapsed="false">
      <c r="A6" s="42" t="n">
        <v>4</v>
      </c>
      <c r="B6" s="42" t="n">
        <v>30</v>
      </c>
      <c r="C6" s="46" t="n">
        <f aca="false">Model!C22</f>
        <v>1.25</v>
      </c>
      <c r="D6" s="46" t="n">
        <f aca="false">Model!C$10</f>
        <v>2.1</v>
      </c>
      <c r="E6" s="46" t="n">
        <f aca="false">Model!C$11</f>
        <v>7</v>
      </c>
      <c r="F6" s="46" t="n">
        <f aca="false">Model!G$6</f>
        <v>131</v>
      </c>
      <c r="G6" s="46" t="n">
        <f aca="false">Model!G$7</f>
        <v>1</v>
      </c>
      <c r="H6" s="46" t="n">
        <f aca="false">Model!C$15</f>
        <v>1018</v>
      </c>
      <c r="I6" s="47" t="n">
        <f aca="false">EXP((14.01708-(10294.83/(C6+273.15))-0.039282*(C6+273.15))-(191.97-8451/(C6+273.15)-31.4335*LN(C6+273.15)+0.0152123*(C6+273.15)))</f>
        <v>8.92539165076675E-011</v>
      </c>
      <c r="J6" s="47" t="n">
        <f aca="false">EXP(-(160.559-(8621.06/(273.15+C6))-(25.6767*LN(273.15+C6))+(0.035388*(273.15+C6))))</f>
        <v>202.847261933111</v>
      </c>
      <c r="K6" s="47" t="n">
        <f aca="false">J6*0.08205746*(273.15+C6)</f>
        <v>4567.42396895179</v>
      </c>
      <c r="L6" s="47" t="n">
        <f aca="false">($D6/(1+(10^-E6)/$I6))*1/$K6</f>
        <v>4.10003721192294E-007</v>
      </c>
      <c r="M6" s="47" t="n">
        <f aca="false">1000*L6/F6*G6*86400</f>
        <v>0.270414668023009</v>
      </c>
      <c r="N6" s="47" t="n">
        <f aca="false">M6*B6*H6/1000</f>
        <v>8.2584639614227</v>
      </c>
    </row>
    <row r="7" customFormat="false" ht="12.75" hidden="false" customHeight="false" outlineLevel="0" collapsed="false">
      <c r="A7" s="42" t="n">
        <v>5</v>
      </c>
      <c r="B7" s="42" t="n">
        <v>31</v>
      </c>
      <c r="C7" s="46" t="n">
        <f aca="false">Model!C23</f>
        <v>6.6</v>
      </c>
      <c r="D7" s="46" t="n">
        <f aca="false">Model!C$10</f>
        <v>2.1</v>
      </c>
      <c r="E7" s="46" t="n">
        <f aca="false">Model!C$11</f>
        <v>7</v>
      </c>
      <c r="F7" s="46" t="n">
        <f aca="false">Model!G$6</f>
        <v>131</v>
      </c>
      <c r="G7" s="46" t="n">
        <f aca="false">Model!G$7</f>
        <v>1</v>
      </c>
      <c r="H7" s="46" t="n">
        <f aca="false">Model!C$15</f>
        <v>1018</v>
      </c>
      <c r="I7" s="47" t="n">
        <f aca="false">EXP((14.01708-(10294.83/(C7+273.15))-0.039282*(C7+273.15))-(191.97-8451/(C7+273.15)-31.4335*LN(C7+273.15)+0.0152123*(C7+273.15)))</f>
        <v>1.39130113450962E-010</v>
      </c>
      <c r="J7" s="47" t="n">
        <f aca="false">EXP(-(160.559-(8621.06/(273.15+C7))-(25.6767*LN(273.15+C7))+(0.035388*(273.15+C7))))</f>
        <v>151.122162072427</v>
      </c>
      <c r="K7" s="47" t="n">
        <f aca="false">J7*0.08205746*(273.15+C7)</f>
        <v>3469.09604023172</v>
      </c>
      <c r="L7" s="47" t="n">
        <f aca="false">($D7/(1+(10^-E7)/$I7))*1/$K7</f>
        <v>8.4104705861401E-007</v>
      </c>
      <c r="M7" s="47" t="n">
        <f aca="false">1000*L7/F7*G7*86400</f>
        <v>0.554705846291988</v>
      </c>
      <c r="N7" s="47" t="n">
        <f aca="false">M7*B7*H7/1000</f>
        <v>17.5054070972826</v>
      </c>
    </row>
    <row r="8" customFormat="false" ht="12.75" hidden="false" customHeight="false" outlineLevel="0" collapsed="false">
      <c r="A8" s="42" t="n">
        <v>6</v>
      </c>
      <c r="B8" s="42" t="n">
        <v>30</v>
      </c>
      <c r="C8" s="46" t="n">
        <f aca="false">Model!C24</f>
        <v>11.35</v>
      </c>
      <c r="D8" s="46" t="n">
        <f aca="false">Model!C$10</f>
        <v>2.1</v>
      </c>
      <c r="E8" s="46" t="n">
        <f aca="false">Model!C$11</f>
        <v>7</v>
      </c>
      <c r="F8" s="46" t="n">
        <f aca="false">Model!G$6</f>
        <v>131</v>
      </c>
      <c r="G8" s="46" t="n">
        <f aca="false">Model!G$7</f>
        <v>1</v>
      </c>
      <c r="H8" s="46" t="n">
        <f aca="false">Model!C$15</f>
        <v>1018</v>
      </c>
      <c r="I8" s="47" t="n">
        <f aca="false">EXP((14.01708-(10294.83/(C8+273.15))-0.039282*(C8+273.15))-(191.97-8451/(C8+273.15)-31.4335*LN(C8+273.15)+0.0152123*(C8+273.15)))</f>
        <v>2.0353692916467E-010</v>
      </c>
      <c r="J8" s="47" t="n">
        <f aca="false">EXP(-(160.559-(8621.06/(273.15+C8))-(25.6767*LN(273.15+C8))+(0.035388*(273.15+C8))))</f>
        <v>117.659179764241</v>
      </c>
      <c r="K8" s="47" t="n">
        <f aca="false">J8*0.08205746*(273.15+C8)</f>
        <v>2746.79442286549</v>
      </c>
      <c r="L8" s="47" t="n">
        <f aca="false">($D8/(1+(10^-E8)/$I8))*1/$K8</f>
        <v>1.55293509373015E-006</v>
      </c>
      <c r="M8" s="47" t="n">
        <f aca="false">1000*L8/F8*G8*86400</f>
        <v>1.02422589388004</v>
      </c>
      <c r="N8" s="47" t="n">
        <f aca="false">M8*B8*H8/1000</f>
        <v>31.2798587990964</v>
      </c>
    </row>
    <row r="9" customFormat="false" ht="12.75" hidden="false" customHeight="false" outlineLevel="0" collapsed="false">
      <c r="A9" s="42" t="n">
        <v>7</v>
      </c>
      <c r="B9" s="42" t="n">
        <v>31</v>
      </c>
      <c r="C9" s="46" t="n">
        <f aca="false">Model!C25</f>
        <v>14.73</v>
      </c>
      <c r="D9" s="46" t="n">
        <f aca="false">Model!C$10</f>
        <v>2.1</v>
      </c>
      <c r="E9" s="46" t="n">
        <f aca="false">Model!C$11</f>
        <v>7</v>
      </c>
      <c r="F9" s="46" t="n">
        <f aca="false">Model!G$6</f>
        <v>131</v>
      </c>
      <c r="G9" s="46" t="n">
        <f aca="false">Model!G$7</f>
        <v>1</v>
      </c>
      <c r="H9" s="46" t="n">
        <f aca="false">Model!C$15</f>
        <v>1018</v>
      </c>
      <c r="I9" s="47" t="n">
        <f aca="false">EXP((14.01708-(10294.83/(C9+273.15))-0.039282*(C9+273.15))-(191.97-8451/(C9+273.15)-31.4335*LN(C9+273.15)+0.0152123*(C9+273.15)))</f>
        <v>2.64805097214042E-010</v>
      </c>
      <c r="J9" s="47" t="n">
        <f aca="false">EXP(-(160.559-(8621.06/(273.15+C9))-(25.6767*LN(273.15+C9))+(0.035388*(273.15+C9))))</f>
        <v>99.0527933717699</v>
      </c>
      <c r="K9" s="47" t="n">
        <f aca="false">J9*0.08205746*(273.15+C9)</f>
        <v>2339.89457896217</v>
      </c>
      <c r="L9" s="47" t="n">
        <f aca="false">($D9/(1+(10^-E9)/$I9))*1/$K9</f>
        <v>2.3702864296218E-006</v>
      </c>
      <c r="M9" s="47" t="n">
        <f aca="false">1000*L9/F9*G9*86400</f>
        <v>1.56330341617804</v>
      </c>
      <c r="N9" s="47" t="n">
        <f aca="false">M9*B9*H9/1000</f>
        <v>49.3347292077467</v>
      </c>
    </row>
    <row r="10" customFormat="false" ht="12.75" hidden="false" customHeight="false" outlineLevel="0" collapsed="false">
      <c r="A10" s="42" t="n">
        <v>8</v>
      </c>
      <c r="B10" s="42" t="n">
        <v>31</v>
      </c>
      <c r="C10" s="46" t="n">
        <f aca="false">Model!C26</f>
        <v>16.4</v>
      </c>
      <c r="D10" s="46" t="n">
        <f aca="false">Model!C$10</f>
        <v>2.1</v>
      </c>
      <c r="E10" s="46" t="n">
        <f aca="false">Model!C$11</f>
        <v>7</v>
      </c>
      <c r="F10" s="46" t="n">
        <f aca="false">Model!G$6</f>
        <v>131</v>
      </c>
      <c r="G10" s="46" t="n">
        <f aca="false">Model!G$7</f>
        <v>1</v>
      </c>
      <c r="H10" s="46" t="n">
        <f aca="false">Model!C$15</f>
        <v>1018</v>
      </c>
      <c r="I10" s="47" t="n">
        <f aca="false">EXP((14.01708-(10294.83/(C10+273.15))-0.039282*(C10+273.15))-(191.97-8451/(C10+273.15)-31.4335*LN(C10+273.15)+0.0152123*(C10+273.15)))</f>
        <v>3.00891221390967E-010</v>
      </c>
      <c r="J10" s="47" t="n">
        <f aca="false">EXP(-(160.559-(8621.06/(273.15+C10))-(25.6767*LN(273.15+C10))+(0.035388*(273.15+C10))))</f>
        <v>91.1362941495526</v>
      </c>
      <c r="K10" s="47" t="n">
        <f aca="false">J10*0.08205746*(273.15+C10)</f>
        <v>2165.37442963502</v>
      </c>
      <c r="L10" s="47" t="n">
        <f aca="false">($D10/(1+(10^-E10)/$I10))*1/$K10</f>
        <v>2.90931680798978E-006</v>
      </c>
      <c r="M10" s="47" t="n">
        <f aca="false">1000*L10/F10*G10*86400</f>
        <v>1.91881658175814</v>
      </c>
      <c r="N10" s="47" t="n">
        <f aca="false">M10*B10*H10/1000</f>
        <v>60.5540136871235</v>
      </c>
    </row>
    <row r="11" customFormat="false" ht="12.75" hidden="false" customHeight="false" outlineLevel="0" collapsed="false">
      <c r="A11" s="42" t="n">
        <v>9</v>
      </c>
      <c r="B11" s="42" t="n">
        <v>30</v>
      </c>
      <c r="C11" s="46" t="n">
        <f aca="false">Model!C27</f>
        <v>16</v>
      </c>
      <c r="D11" s="46" t="n">
        <f aca="false">Model!C$10</f>
        <v>2.1</v>
      </c>
      <c r="E11" s="46" t="n">
        <f aca="false">Model!C$11</f>
        <v>7</v>
      </c>
      <c r="F11" s="46" t="n">
        <f aca="false">Model!G$6</f>
        <v>131</v>
      </c>
      <c r="G11" s="46" t="n">
        <f aca="false">Model!G$7</f>
        <v>1</v>
      </c>
      <c r="H11" s="46" t="n">
        <f aca="false">Model!C$15</f>
        <v>1018</v>
      </c>
      <c r="I11" s="47" t="n">
        <f aca="false">EXP((14.01708-(10294.83/(C11+273.15))-0.039282*(C11+273.15))-(191.97-8451/(C11+273.15)-31.4335*LN(C11+273.15)+0.0152123*(C11+273.15)))</f>
        <v>2.9186268105793E-010</v>
      </c>
      <c r="J11" s="47" t="n">
        <f aca="false">EXP(-(160.559-(8621.06/(273.15+C11))-(25.6767*LN(273.15+C11))+(0.035388*(273.15+C11))))</f>
        <v>92.9632192947343</v>
      </c>
      <c r="K11" s="47" t="n">
        <f aca="false">J11*0.08205746*(273.15+C11)</f>
        <v>2205.73036133574</v>
      </c>
      <c r="L11" s="47" t="n">
        <f aca="false">($D11/(1+(10^-E11)/$I11))*1/$K11</f>
        <v>2.77063772816237E-006</v>
      </c>
      <c r="M11" s="47" t="n">
        <f aca="false">1000*L11/F11*G11*86400</f>
        <v>1.82735190620785</v>
      </c>
      <c r="N11" s="47" t="n">
        <f aca="false">M11*B11*H11/1000</f>
        <v>55.8073272155877</v>
      </c>
    </row>
    <row r="12" customFormat="false" ht="12.75" hidden="false" customHeight="false" outlineLevel="0" collapsed="false">
      <c r="A12" s="42" t="n">
        <v>10</v>
      </c>
      <c r="B12" s="42" t="n">
        <v>31</v>
      </c>
      <c r="C12" s="46" t="n">
        <f aca="false">Model!C28</f>
        <v>13.83</v>
      </c>
      <c r="D12" s="46" t="n">
        <f aca="false">Model!C$10</f>
        <v>2.1</v>
      </c>
      <c r="E12" s="46" t="n">
        <f aca="false">Model!C$11</f>
        <v>7</v>
      </c>
      <c r="F12" s="46" t="n">
        <f aca="false">Model!G$6</f>
        <v>131</v>
      </c>
      <c r="G12" s="46" t="n">
        <f aca="false">Model!G$7</f>
        <v>1</v>
      </c>
      <c r="H12" s="46" t="n">
        <f aca="false">Model!C$15</f>
        <v>1018</v>
      </c>
      <c r="I12" s="47" t="n">
        <f aca="false">EXP((14.01708-(10294.83/(C12+273.15))-0.039282*(C12+273.15))-(191.97-8451/(C12+273.15)-31.4335*LN(C12+273.15)+0.0152123*(C12+273.15)))</f>
        <v>2.47034514620702E-010</v>
      </c>
      <c r="J12" s="47" t="n">
        <f aca="false">EXP(-(160.559-(8621.06/(273.15+C12))-(25.6767*LN(273.15+C12))+(0.035388*(273.15+C12))))</f>
        <v>103.649954409714</v>
      </c>
      <c r="K12" s="47" t="n">
        <f aca="false">J12*0.08205746*(273.15+C12)</f>
        <v>2440.83721550963</v>
      </c>
      <c r="L12" s="47" t="n">
        <f aca="false">($D12/(1+(10^-E12)/$I12))*1/$K12</f>
        <v>2.12014995673457E-006</v>
      </c>
      <c r="M12" s="47" t="n">
        <f aca="false">1000*L12/F12*G12*86400</f>
        <v>1.39832791039593</v>
      </c>
      <c r="N12" s="47" t="n">
        <f aca="false">M12*B12*H12/1000</f>
        <v>44.1284321962748</v>
      </c>
    </row>
    <row r="13" customFormat="false" ht="12.75" hidden="false" customHeight="false" outlineLevel="0" collapsed="false">
      <c r="A13" s="42" t="n">
        <v>11</v>
      </c>
      <c r="B13" s="42" t="n">
        <v>30</v>
      </c>
      <c r="C13" s="46" t="n">
        <f aca="false">Model!C29</f>
        <v>10.32</v>
      </c>
      <c r="D13" s="46" t="n">
        <f aca="false">Model!C$10</f>
        <v>2.1</v>
      </c>
      <c r="E13" s="46" t="n">
        <f aca="false">Model!C$11</f>
        <v>7</v>
      </c>
      <c r="F13" s="46" t="n">
        <f aca="false">Model!G$6</f>
        <v>131</v>
      </c>
      <c r="G13" s="46" t="n">
        <f aca="false">Model!G$7</f>
        <v>1</v>
      </c>
      <c r="H13" s="46" t="n">
        <f aca="false">Model!C$15</f>
        <v>1018</v>
      </c>
      <c r="I13" s="47" t="n">
        <f aca="false">EXP((14.01708-(10294.83/(C13+273.15))-0.039282*(C13+273.15))-(191.97-8451/(C13+273.15)-31.4335*LN(C13+273.15)+0.0152123*(C13+273.15)))</f>
        <v>1.87620229846742E-010</v>
      </c>
      <c r="J13" s="47" t="n">
        <f aca="false">EXP(-(160.559-(8621.06/(273.15+C13))-(25.6767*LN(273.15+C13))+(0.035388*(273.15+C13))))</f>
        <v>124.116282560179</v>
      </c>
      <c r="K13" s="47" t="n">
        <f aca="false">J13*0.08205746*(273.15+C13)</f>
        <v>2887.04752374217</v>
      </c>
      <c r="L13" s="47" t="n">
        <f aca="false">($D13/(1+(10^-E13)/$I13))*1/$K13</f>
        <v>1.36216891279106E-006</v>
      </c>
      <c r="M13" s="47" t="n">
        <f aca="false">1000*L13/F13*G13*86400</f>
        <v>0.89840758828357</v>
      </c>
      <c r="N13" s="47" t="n">
        <f aca="false">M13*B13*H13/1000</f>
        <v>27.4373677461802</v>
      </c>
    </row>
    <row r="14" customFormat="false" ht="12.75" hidden="false" customHeight="false" outlineLevel="0" collapsed="false">
      <c r="A14" s="42" t="n">
        <v>12</v>
      </c>
      <c r="B14" s="42" t="n">
        <v>31</v>
      </c>
      <c r="C14" s="46" t="n">
        <f aca="false">Model!C30</f>
        <v>6.47</v>
      </c>
      <c r="D14" s="46" t="n">
        <f aca="false">Model!C$10</f>
        <v>2.1</v>
      </c>
      <c r="E14" s="46" t="n">
        <f aca="false">Model!C$11</f>
        <v>7</v>
      </c>
      <c r="F14" s="46" t="n">
        <f aca="false">Model!G$6</f>
        <v>131</v>
      </c>
      <c r="G14" s="46" t="n">
        <f aca="false">Model!G$7</f>
        <v>1</v>
      </c>
      <c r="H14" s="46" t="n">
        <f aca="false">Model!C$15</f>
        <v>1018</v>
      </c>
      <c r="I14" s="47" t="n">
        <f aca="false">EXP((14.01708-(10294.83/(C14+273.15))-0.039282*(C14+273.15))-(191.97-8451/(C14+273.15)-31.4335*LN(C14+273.15)+0.0152123*(C14+273.15)))</f>
        <v>1.37664421864316E-010</v>
      </c>
      <c r="J14" s="47" t="n">
        <f aca="false">EXP(-(160.559-(8621.06/(273.15+C14))-(25.6767*LN(273.15+C14))+(0.035388*(273.15+C14))))</f>
        <v>152.182667995391</v>
      </c>
      <c r="K14" s="47" t="n">
        <f aca="false">J14*0.08205746*(273.15+C14)</f>
        <v>3491.81715887016</v>
      </c>
      <c r="L14" s="47" t="n">
        <f aca="false">($D14/(1+(10^-E14)/$I14))*1/$K14</f>
        <v>8.26783988254466E-007</v>
      </c>
      <c r="M14" s="47" t="n">
        <f aca="false">1000*L14/F14*G14*86400</f>
        <v>0.545298752558671</v>
      </c>
      <c r="N14" s="47" t="n">
        <f aca="false">M14*B14*H14/1000</f>
        <v>17.2085380332465</v>
      </c>
    </row>
    <row r="15" customFormat="false" ht="12.75" hidden="false" customHeight="false" outlineLevel="0" collapsed="false">
      <c r="A15" s="42" t="s">
        <v>83</v>
      </c>
      <c r="B15" s="48" t="n">
        <f aca="false">SUM(B3:B14)</f>
        <v>365.25</v>
      </c>
      <c r="C15" s="47"/>
      <c r="D15" s="47"/>
      <c r="E15" s="47"/>
      <c r="F15" s="47"/>
      <c r="G15" s="47"/>
      <c r="H15" s="47"/>
      <c r="I15" s="47"/>
      <c r="J15" s="47"/>
      <c r="K15" s="47"/>
      <c r="L15" s="47"/>
      <c r="M15" s="47"/>
      <c r="N15" s="48" t="n">
        <f aca="false">SUM(N3:N14)</f>
        <v>336.396907562714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5625" defaultRowHeight="12.75" zeroHeight="false" outlineLevelRow="0" outlineLevelCol="0"/>
  <cols>
    <col collapsed="false" customWidth="true" hidden="false" outlineLevel="0" max="2" min="1" style="42" width="18.58"/>
    <col collapsed="false" customWidth="true" hidden="false" outlineLevel="0" max="3" min="3" style="42" width="14.57"/>
    <col collapsed="false" customWidth="true" hidden="false" outlineLevel="0" max="4" min="4" style="42" width="50.57"/>
    <col collapsed="false" customWidth="false" hidden="false" outlineLevel="0" max="5" min="5" style="42" width="9.14"/>
    <col collapsed="false" customWidth="true" hidden="false" outlineLevel="0" max="6" min="6" style="42" width="12.86"/>
    <col collapsed="false" customWidth="true" hidden="false" outlineLevel="0" max="7" min="7" style="42" width="12.42"/>
    <col collapsed="false" customWidth="false" hidden="false" outlineLevel="0" max="8" min="8" style="42" width="9.14"/>
    <col collapsed="false" customWidth="true" hidden="false" outlineLevel="0" max="9" min="9" style="42" width="11.99"/>
    <col collapsed="false" customWidth="false" hidden="false" outlineLevel="0" max="1024" min="10" style="42" width="9.14"/>
  </cols>
  <sheetData>
    <row r="1" customFormat="false" ht="51" hidden="false" customHeight="false" outlineLevel="0" collapsed="false">
      <c r="A1" s="42" t="s">
        <v>84</v>
      </c>
      <c r="B1" s="42" t="s">
        <v>85</v>
      </c>
      <c r="C1" s="45" t="s">
        <v>86</v>
      </c>
      <c r="D1" s="42" t="s">
        <v>87</v>
      </c>
      <c r="G1" s="45" t="s">
        <v>88</v>
      </c>
      <c r="H1" s="45" t="s">
        <v>89</v>
      </c>
      <c r="I1" s="45" t="s">
        <v>90</v>
      </c>
    </row>
    <row r="2" customFormat="false" ht="12.75" hidden="false" customHeight="false" outlineLevel="0" collapsed="false">
      <c r="A2" s="42" t="s">
        <v>91</v>
      </c>
      <c r="B2" s="47" t="n">
        <f aca="false">IF(LEN(C2)&gt;1,1,0)</f>
        <v>0</v>
      </c>
      <c r="C2" s="47" t="str">
        <f aca="false">IF(I2&gt;H2,CONCATENATE("Check inputs. Values imply a long storage period of &gt; ",ROUND(I2,0)," days."),"")</f>
        <v/>
      </c>
      <c r="D2" s="47" t="str">
        <f aca="false">IF(LEN(C2)&gt;1,CONCATENATE(B2,". ",C2),"")</f>
        <v/>
      </c>
      <c r="G2" s="42" t="n">
        <v>1</v>
      </c>
      <c r="H2" s="42" t="n">
        <v>365</v>
      </c>
      <c r="I2" s="47" t="n">
        <f aca="false">Model!C15*Warnings!G2/Model!C7</f>
        <v>50.9</v>
      </c>
    </row>
    <row r="3" customFormat="false" ht="12.75" hidden="false" customHeight="false" outlineLevel="0" collapsed="false">
      <c r="A3" s="42" t="s">
        <v>92</v>
      </c>
      <c r="B3" s="47" t="n">
        <f aca="false">IF(LEN(C3)&gt;1,B2+1,B2)</f>
        <v>0</v>
      </c>
      <c r="C3" s="47" t="str">
        <f aca="false">IF(Model!L8&gt;Warnings!G5,CONCATENATE("Model assumes constant emission rate and is less accurate for high losses. Calculated loss is ",ROUND(Model!L8,0),"% of TAN flow."),"")</f>
        <v/>
      </c>
      <c r="D3" s="47" t="str">
        <f aca="false">IF(LEN(C3)&gt;1,CONCATENATE(B3,". ",C3),"")</f>
        <v/>
      </c>
    </row>
    <row r="4" customFormat="false" ht="36" hidden="false" customHeight="true" outlineLevel="0" collapsed="false">
      <c r="A4" s="42" t="s">
        <v>93</v>
      </c>
      <c r="B4" s="47"/>
      <c r="C4" s="49"/>
      <c r="D4" s="49" t="str">
        <f aca="false">CONCATENATE(D2, " ", D3)</f>
        <v> </v>
      </c>
      <c r="G4" s="42" t="s">
        <v>94</v>
      </c>
    </row>
    <row r="5" customFormat="false" ht="12.75" hidden="false" customHeight="false" outlineLevel="0" collapsed="false">
      <c r="G5" s="42"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6875" defaultRowHeight="12.75" zeroHeight="false" outlineLevelRow="0" outlineLevelCol="0"/>
  <cols>
    <col collapsed="false" customWidth="true" hidden="false" outlineLevel="0" max="2" min="2" style="0" width="11.86"/>
    <col collapsed="false" customWidth="true" hidden="false" outlineLevel="0" max="3" min="3" style="0" width="26.14"/>
    <col collapsed="false" customWidth="true" hidden="false" outlineLevel="0" max="5" min="5" style="0" width="49"/>
  </cols>
  <sheetData>
    <row r="1" customFormat="false" ht="12.75" hidden="false" customHeight="false" outlineLevel="0" collapsed="false">
      <c r="A1" s="0" t="s">
        <v>95</v>
      </c>
      <c r="B1" s="0" t="s">
        <v>96</v>
      </c>
      <c r="C1" s="0" t="s">
        <v>97</v>
      </c>
      <c r="D1" s="0" t="s">
        <v>98</v>
      </c>
      <c r="E1" s="0" t="s">
        <v>99</v>
      </c>
    </row>
    <row r="2" customFormat="false" ht="12.75" hidden="false" customHeight="false" outlineLevel="0" collapsed="false">
      <c r="A2" s="0" t="n">
        <v>0.1</v>
      </c>
      <c r="B2" s="50" t="n">
        <v>44583</v>
      </c>
      <c r="C2" s="0" t="s">
        <v>100</v>
      </c>
      <c r="D2" s="0" t="s">
        <v>101</v>
      </c>
      <c r="E2" s="0" t="s">
        <v>102</v>
      </c>
    </row>
    <row r="3" customFormat="false" ht="12.75" hidden="false" customHeight="false" outlineLevel="0" collapsed="false">
      <c r="A3" s="0" t="n">
        <v>0.2</v>
      </c>
      <c r="B3" s="50" t="n">
        <v>44586</v>
      </c>
      <c r="C3" s="0" t="s">
        <v>103</v>
      </c>
      <c r="D3" s="0" t="s">
        <v>101</v>
      </c>
      <c r="E3" s="0" t="s">
        <v>104</v>
      </c>
    </row>
    <row r="4" customFormat="false" ht="12.75" hidden="false" customHeight="false" outlineLevel="0" collapsed="false">
      <c r="A4" s="0" t="n">
        <v>0.3</v>
      </c>
      <c r="B4" s="50" t="n">
        <v>44586</v>
      </c>
      <c r="C4" s="0" t="s">
        <v>105</v>
      </c>
      <c r="D4" s="0" t="s">
        <v>101</v>
      </c>
      <c r="E4" s="0" t="s">
        <v>106</v>
      </c>
    </row>
    <row r="5" customFormat="false" ht="12.75" hidden="false" customHeight="false" outlineLevel="0" collapsed="false">
      <c r="A5" s="0" t="n">
        <v>0.3</v>
      </c>
      <c r="B5" s="50" t="n">
        <v>44586</v>
      </c>
      <c r="C5" s="0" t="s">
        <v>105</v>
      </c>
      <c r="D5" s="0" t="s">
        <v>101</v>
      </c>
      <c r="E5" s="0" t="s">
        <v>107</v>
      </c>
    </row>
    <row r="6" customFormat="false" ht="12.75" hidden="false" customHeight="false" outlineLevel="0" collapsed="false">
      <c r="A6" s="0" t="n">
        <v>0.4</v>
      </c>
      <c r="B6" s="50" t="n">
        <v>44587</v>
      </c>
      <c r="C6" s="0" t="s">
        <v>108</v>
      </c>
      <c r="D6" s="0" t="s">
        <v>101</v>
      </c>
      <c r="E6" s="0" t="s">
        <v>109</v>
      </c>
    </row>
    <row r="7" customFormat="false" ht="12.75" hidden="false" customHeight="false" outlineLevel="0" collapsed="false">
      <c r="A7" s="0" t="n">
        <v>0.5</v>
      </c>
      <c r="B7" s="50" t="n">
        <v>44799</v>
      </c>
      <c r="C7" s="0" t="s">
        <v>110</v>
      </c>
      <c r="D7" s="0" t="s">
        <v>101</v>
      </c>
      <c r="E7" s="0" t="s">
        <v>111</v>
      </c>
    </row>
    <row r="8" customFormat="false" ht="12.75" hidden="false" customHeight="false" outlineLevel="0" collapsed="false">
      <c r="A8" s="0" t="n">
        <v>1</v>
      </c>
      <c r="B8" s="50" t="n">
        <v>44819</v>
      </c>
      <c r="C8" s="0" t="s">
        <v>110</v>
      </c>
      <c r="D8" s="0" t="s">
        <v>101</v>
      </c>
      <c r="E8" s="0" t="s">
        <v>112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2022-10-11T12:09:27Z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