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zabeth/Desktop/raman-spectra-decomp-analysis/examples/"/>
    </mc:Choice>
  </mc:AlternateContent>
  <xr:revisionPtr revIDLastSave="0" documentId="13_ncr:1_{0A34FDDD-E901-794A-881D-F7116A37411E}" xr6:coauthVersionLast="43" xr6:coauthVersionMax="43" xr10:uidLastSave="{00000000-0000-0000-0000-000000000000}"/>
  <bookViews>
    <workbookView xWindow="0" yWindow="0" windowWidth="28800" windowHeight="18000" activeTab="1" xr2:uid="{D0FCA52B-77E2-4C39-A757-D8910A3D5158}"/>
  </bookViews>
  <sheets>
    <sheet name="Sheet1" sheetId="1" r:id="rId1"/>
    <sheet name="EGR Edi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8" i="2" l="1"/>
  <c r="F7" i="2"/>
  <c r="F6" i="2"/>
  <c r="H6" i="2" s="1"/>
  <c r="G29" i="2"/>
  <c r="G23" i="2"/>
  <c r="G17" i="2"/>
  <c r="G11" i="2"/>
  <c r="G5" i="2"/>
  <c r="G25" i="2"/>
  <c r="G26" i="2"/>
  <c r="G27" i="2"/>
  <c r="G24" i="2"/>
  <c r="G18" i="2"/>
  <c r="F18" i="2"/>
  <c r="I30" i="2"/>
  <c r="I31" i="2"/>
  <c r="I32" i="2"/>
  <c r="I29" i="2"/>
  <c r="I24" i="2"/>
  <c r="I25" i="2"/>
  <c r="I26" i="2"/>
  <c r="I27" i="2"/>
  <c r="I23" i="2"/>
  <c r="I18" i="2"/>
  <c r="I19" i="2"/>
  <c r="I20" i="2"/>
  <c r="I21" i="2"/>
  <c r="I17" i="2"/>
  <c r="I12" i="2"/>
  <c r="I13" i="2"/>
  <c r="I14" i="2"/>
  <c r="I15" i="2"/>
  <c r="I11" i="2"/>
  <c r="I6" i="2"/>
  <c r="I7" i="2"/>
  <c r="I8" i="2"/>
  <c r="I9" i="2"/>
  <c r="I5" i="2"/>
  <c r="G19" i="2"/>
  <c r="G20" i="2"/>
  <c r="G21" i="2"/>
  <c r="G13" i="2"/>
  <c r="G14" i="2"/>
  <c r="G15" i="2"/>
  <c r="G12" i="2"/>
  <c r="E18" i="2"/>
  <c r="E15" i="2"/>
  <c r="E14" i="2"/>
  <c r="E13" i="2"/>
  <c r="E12" i="2"/>
  <c r="E11" i="2"/>
  <c r="E8" i="2"/>
  <c r="E40" i="2"/>
  <c r="E38" i="2"/>
  <c r="E37" i="2"/>
  <c r="E35" i="2"/>
  <c r="E34" i="2"/>
  <c r="E30" i="2"/>
  <c r="E31" i="2"/>
  <c r="E32" i="2"/>
  <c r="G32" i="2" s="1"/>
  <c r="E29" i="2"/>
  <c r="E24" i="2"/>
  <c r="E25" i="2"/>
  <c r="E26" i="2"/>
  <c r="E27" i="2"/>
  <c r="E23" i="2"/>
  <c r="E19" i="2"/>
  <c r="E20" i="2"/>
  <c r="E21" i="2"/>
  <c r="E17" i="2"/>
  <c r="E6" i="2"/>
  <c r="E7" i="2"/>
  <c r="E9" i="2"/>
  <c r="E5" i="2"/>
  <c r="F31" i="2"/>
  <c r="F13" i="2"/>
  <c r="F9" i="2"/>
  <c r="F12" i="2"/>
  <c r="F14" i="2"/>
  <c r="F15" i="2"/>
  <c r="F19" i="2"/>
  <c r="F20" i="2"/>
  <c r="F21" i="2"/>
  <c r="F24" i="2"/>
  <c r="H24" i="2" s="1"/>
  <c r="F25" i="2"/>
  <c r="F26" i="2"/>
  <c r="F27" i="2"/>
  <c r="F30" i="2"/>
  <c r="F32" i="2"/>
  <c r="G31" i="2" l="1"/>
  <c r="H19" i="2"/>
  <c r="H21" i="2"/>
  <c r="H13" i="2"/>
  <c r="H18" i="2"/>
  <c r="H14" i="2"/>
  <c r="G30" i="2"/>
  <c r="H30" i="2" s="1"/>
  <c r="H8" i="2"/>
  <c r="H9" i="2"/>
  <c r="H32" i="2"/>
  <c r="H31" i="2"/>
  <c r="H15" i="2"/>
  <c r="H20" i="2"/>
  <c r="H7" i="2"/>
  <c r="H25" i="2"/>
  <c r="H12" i="2"/>
  <c r="H27" i="2"/>
  <c r="H26" i="2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2" i="1"/>
  <c r="AM59" i="1" l="1"/>
  <c r="AG76" i="1"/>
  <c r="AG77" i="1"/>
  <c r="AG75" i="1"/>
  <c r="AG74" i="1"/>
  <c r="AG73" i="1"/>
  <c r="AG72" i="1"/>
  <c r="AG69" i="1"/>
  <c r="AG68" i="1"/>
  <c r="AG67" i="1"/>
  <c r="AG66" i="1"/>
  <c r="AG63" i="1"/>
  <c r="AG62" i="1"/>
  <c r="AG61" i="1"/>
  <c r="AG60" i="1"/>
  <c r="AG59" i="1"/>
  <c r="AG58" i="1"/>
  <c r="AG55" i="1"/>
  <c r="AG54" i="1"/>
  <c r="AG53" i="1"/>
  <c r="AG52" i="1"/>
  <c r="AJ73" i="1" a="1"/>
  <c r="AK77" i="1" s="1"/>
  <c r="AJ66" i="1" a="1"/>
  <c r="AJ70" i="1" s="1"/>
  <c r="AJ59" i="1" a="1"/>
  <c r="AK63" i="1" s="1"/>
  <c r="AJ52" i="1" a="1"/>
  <c r="AJ56" i="1" s="1"/>
  <c r="AK74" i="1" l="1"/>
  <c r="AK76" i="1"/>
  <c r="AK66" i="1"/>
  <c r="AK68" i="1"/>
  <c r="AK70" i="1"/>
  <c r="AJ74" i="1"/>
  <c r="AJ76" i="1"/>
  <c r="AJ67" i="1"/>
  <c r="AJ69" i="1"/>
  <c r="AK67" i="1"/>
  <c r="AK69" i="1"/>
  <c r="AJ73" i="1"/>
  <c r="AJ75" i="1"/>
  <c r="AJ77" i="1"/>
  <c r="AJ66" i="1"/>
  <c r="AJ68" i="1"/>
  <c r="AK73" i="1"/>
  <c r="AK75" i="1"/>
  <c r="AK60" i="1"/>
  <c r="AK62" i="1"/>
  <c r="AK52" i="1"/>
  <c r="AK54" i="1"/>
  <c r="AK56" i="1"/>
  <c r="AJ60" i="1"/>
  <c r="AJ62" i="1"/>
  <c r="AJ53" i="1"/>
  <c r="AJ55" i="1"/>
  <c r="AK53" i="1"/>
  <c r="AK55" i="1"/>
  <c r="AJ59" i="1"/>
  <c r="AJ61" i="1"/>
  <c r="AJ63" i="1"/>
  <c r="AJ52" i="1"/>
  <c r="AJ54" i="1"/>
  <c r="AK59" i="1"/>
  <c r="AK61" i="1"/>
  <c r="AF30" i="1"/>
  <c r="AF26" i="1"/>
  <c r="J3" i="1" l="1"/>
  <c r="K4" i="1"/>
  <c r="L5" i="1"/>
  <c r="M6" i="1"/>
  <c r="M7" i="1"/>
  <c r="H8" i="1"/>
  <c r="L8" i="1" s="1"/>
  <c r="M9" i="1"/>
  <c r="K10" i="1"/>
  <c r="K11" i="1"/>
  <c r="I12" i="1"/>
  <c r="L13" i="1"/>
  <c r="H14" i="1"/>
  <c r="M14" i="1" s="1"/>
  <c r="L15" i="1"/>
  <c r="I16" i="1"/>
  <c r="J17" i="1"/>
  <c r="I18" i="1"/>
  <c r="L19" i="1"/>
  <c r="H20" i="1"/>
  <c r="J20" i="1" s="1"/>
  <c r="K21" i="1"/>
  <c r="K22" i="1"/>
  <c r="K23" i="1"/>
  <c r="K24" i="1"/>
  <c r="K25" i="1"/>
  <c r="H26" i="1"/>
  <c r="L26" i="1" s="1"/>
  <c r="J27" i="1"/>
  <c r="L28" i="1"/>
  <c r="L29" i="1"/>
  <c r="J30" i="1"/>
  <c r="M31" i="1"/>
  <c r="H32" i="1"/>
  <c r="M32" i="1" s="1"/>
  <c r="L33" i="1"/>
  <c r="L34" i="1"/>
  <c r="J35" i="1"/>
  <c r="K36" i="1"/>
  <c r="I37" i="1"/>
  <c r="H38" i="1"/>
  <c r="I38" i="1" s="1"/>
  <c r="J39" i="1"/>
  <c r="M40" i="1"/>
  <c r="I41" i="1"/>
  <c r="L42" i="1"/>
  <c r="J43" i="1"/>
  <c r="H44" i="1"/>
  <c r="K44" i="1" s="1"/>
  <c r="M45" i="1"/>
  <c r="I46" i="1"/>
  <c r="L47" i="1"/>
  <c r="I48" i="1"/>
  <c r="M49" i="1"/>
  <c r="H50" i="1"/>
  <c r="L50" i="1" s="1"/>
  <c r="I51" i="1"/>
  <c r="L52" i="1"/>
  <c r="J53" i="1"/>
  <c r="M54" i="1"/>
  <c r="I55" i="1"/>
  <c r="H56" i="1"/>
  <c r="M56" i="1" s="1"/>
  <c r="L57" i="1"/>
  <c r="J58" i="1"/>
  <c r="M59" i="1"/>
  <c r="I60" i="1"/>
  <c r="L61" i="1"/>
  <c r="H2" i="1"/>
  <c r="I2" i="1" s="1"/>
  <c r="I20" i="1" l="1"/>
  <c r="J14" i="1"/>
  <c r="M8" i="1"/>
  <c r="K20" i="1"/>
  <c r="N20" i="1" s="1"/>
  <c r="I14" i="1"/>
  <c r="J8" i="1"/>
  <c r="L20" i="1"/>
  <c r="K14" i="1"/>
  <c r="N14" i="1" s="1"/>
  <c r="I8" i="1"/>
  <c r="M20" i="1"/>
  <c r="L14" i="1"/>
  <c r="K8" i="1"/>
  <c r="L7" i="1"/>
  <c r="K7" i="1"/>
  <c r="J7" i="1"/>
  <c r="L4" i="1"/>
  <c r="L3" i="1"/>
  <c r="M3" i="1"/>
  <c r="K3" i="1"/>
  <c r="K61" i="1"/>
  <c r="J61" i="1"/>
  <c r="I61" i="1"/>
  <c r="M61" i="1"/>
  <c r="M60" i="1"/>
  <c r="K60" i="1"/>
  <c r="L60" i="1"/>
  <c r="J60" i="1"/>
  <c r="L59" i="1"/>
  <c r="K59" i="1"/>
  <c r="J59" i="1"/>
  <c r="I59" i="1"/>
  <c r="M58" i="1"/>
  <c r="K58" i="1"/>
  <c r="L58" i="1"/>
  <c r="I58" i="1"/>
  <c r="J57" i="1"/>
  <c r="K57" i="1"/>
  <c r="I57" i="1"/>
  <c r="M57" i="1"/>
  <c r="J55" i="1"/>
  <c r="M55" i="1"/>
  <c r="K55" i="1"/>
  <c r="L55" i="1"/>
  <c r="L54" i="1"/>
  <c r="K54" i="1"/>
  <c r="J54" i="1"/>
  <c r="I54" i="1"/>
  <c r="K53" i="1"/>
  <c r="M53" i="1"/>
  <c r="L53" i="1"/>
  <c r="I53" i="1"/>
  <c r="J52" i="1"/>
  <c r="K52" i="1"/>
  <c r="I52" i="1"/>
  <c r="M52" i="1"/>
  <c r="J51" i="1"/>
  <c r="M51" i="1"/>
  <c r="K51" i="1"/>
  <c r="L51" i="1"/>
  <c r="J47" i="1"/>
  <c r="J49" i="1"/>
  <c r="L49" i="1"/>
  <c r="K49" i="1"/>
  <c r="I49" i="1"/>
  <c r="L48" i="1"/>
  <c r="M48" i="1"/>
  <c r="K48" i="1"/>
  <c r="J48" i="1"/>
  <c r="K47" i="1"/>
  <c r="I47" i="1"/>
  <c r="M47" i="1"/>
  <c r="J46" i="1"/>
  <c r="M46" i="1"/>
  <c r="K46" i="1"/>
  <c r="L46" i="1"/>
  <c r="L45" i="1"/>
  <c r="K45" i="1"/>
  <c r="J45" i="1"/>
  <c r="I45" i="1"/>
  <c r="L43" i="1"/>
  <c r="J41" i="1"/>
  <c r="M43" i="1"/>
  <c r="K43" i="1"/>
  <c r="I43" i="1"/>
  <c r="K42" i="1"/>
  <c r="I42" i="1"/>
  <c r="J42" i="1"/>
  <c r="M42" i="1"/>
  <c r="K41" i="1"/>
  <c r="M41" i="1"/>
  <c r="L41" i="1"/>
  <c r="L40" i="1"/>
  <c r="K40" i="1"/>
  <c r="J40" i="1"/>
  <c r="I40" i="1"/>
  <c r="L39" i="1"/>
  <c r="K39" i="1"/>
  <c r="I39" i="1"/>
  <c r="M39" i="1"/>
  <c r="I6" i="1"/>
  <c r="I5" i="1"/>
  <c r="J6" i="1"/>
  <c r="M5" i="1"/>
  <c r="K6" i="1"/>
  <c r="I4" i="1"/>
  <c r="J5" i="1"/>
  <c r="M4" i="1"/>
  <c r="L6" i="1"/>
  <c r="K5" i="1"/>
  <c r="I7" i="1"/>
  <c r="I3" i="1"/>
  <c r="J4" i="1"/>
  <c r="I36" i="1"/>
  <c r="M36" i="1"/>
  <c r="L36" i="1"/>
  <c r="I35" i="1"/>
  <c r="L35" i="1"/>
  <c r="M34" i="1"/>
  <c r="L37" i="1"/>
  <c r="M37" i="1"/>
  <c r="K37" i="1"/>
  <c r="J37" i="1"/>
  <c r="J36" i="1"/>
  <c r="M35" i="1"/>
  <c r="K35" i="1"/>
  <c r="I34" i="1"/>
  <c r="J34" i="1"/>
  <c r="K34" i="1"/>
  <c r="I33" i="1"/>
  <c r="K33" i="1"/>
  <c r="J33" i="1"/>
  <c r="M33" i="1"/>
  <c r="I28" i="1"/>
  <c r="J29" i="1"/>
  <c r="M27" i="1"/>
  <c r="J31" i="1"/>
  <c r="L31" i="1"/>
  <c r="I31" i="1"/>
  <c r="K31" i="1"/>
  <c r="M30" i="1"/>
  <c r="K30" i="1"/>
  <c r="L30" i="1"/>
  <c r="I30" i="1"/>
  <c r="K29" i="1"/>
  <c r="I29" i="1"/>
  <c r="M29" i="1"/>
  <c r="J28" i="1"/>
  <c r="M28" i="1"/>
  <c r="K28" i="1"/>
  <c r="I27" i="1"/>
  <c r="L27" i="1"/>
  <c r="K27" i="1"/>
  <c r="J22" i="1"/>
  <c r="J25" i="1"/>
  <c r="I25" i="1"/>
  <c r="L25" i="1"/>
  <c r="M25" i="1"/>
  <c r="I24" i="1"/>
  <c r="M24" i="1"/>
  <c r="J24" i="1"/>
  <c r="L24" i="1"/>
  <c r="I23" i="1"/>
  <c r="J23" i="1"/>
  <c r="M23" i="1"/>
  <c r="L23" i="1"/>
  <c r="M22" i="1"/>
  <c r="I22" i="1"/>
  <c r="L22" i="1"/>
  <c r="J21" i="1"/>
  <c r="L21" i="1"/>
  <c r="I21" i="1"/>
  <c r="M21" i="1"/>
  <c r="I56" i="1"/>
  <c r="J56" i="1"/>
  <c r="K56" i="1"/>
  <c r="L56" i="1"/>
  <c r="N56" i="1" s="1"/>
  <c r="I50" i="1"/>
  <c r="J50" i="1"/>
  <c r="M50" i="1"/>
  <c r="K50" i="1"/>
  <c r="N50" i="1" s="1"/>
  <c r="J44" i="1"/>
  <c r="M44" i="1"/>
  <c r="I44" i="1"/>
  <c r="L44" i="1"/>
  <c r="N44" i="1" s="1"/>
  <c r="L38" i="1"/>
  <c r="M38" i="1"/>
  <c r="K38" i="1"/>
  <c r="J38" i="1"/>
  <c r="I32" i="1"/>
  <c r="J32" i="1"/>
  <c r="K32" i="1"/>
  <c r="L32" i="1"/>
  <c r="N32" i="1" s="1"/>
  <c r="I26" i="1"/>
  <c r="J26" i="1"/>
  <c r="M26" i="1"/>
  <c r="K26" i="1"/>
  <c r="N26" i="1" s="1"/>
  <c r="J19" i="1"/>
  <c r="M19" i="1"/>
  <c r="K19" i="1"/>
  <c r="I19" i="1"/>
  <c r="M18" i="1"/>
  <c r="L18" i="1"/>
  <c r="K18" i="1"/>
  <c r="J18" i="1"/>
  <c r="K17" i="1"/>
  <c r="L17" i="1"/>
  <c r="M17" i="1"/>
  <c r="I17" i="1"/>
  <c r="K16" i="1"/>
  <c r="M16" i="1"/>
  <c r="J16" i="1"/>
  <c r="L16" i="1"/>
  <c r="K15" i="1"/>
  <c r="J15" i="1"/>
  <c r="M15" i="1"/>
  <c r="I15" i="1"/>
  <c r="L11" i="1"/>
  <c r="J11" i="1"/>
  <c r="I11" i="1"/>
  <c r="I10" i="1"/>
  <c r="M10" i="1"/>
  <c r="J9" i="1"/>
  <c r="J13" i="1"/>
  <c r="M13" i="1"/>
  <c r="K13" i="1"/>
  <c r="I13" i="1"/>
  <c r="J12" i="1"/>
  <c r="M12" i="1"/>
  <c r="L12" i="1"/>
  <c r="K12" i="1"/>
  <c r="M11" i="1"/>
  <c r="L10" i="1"/>
  <c r="J10" i="1"/>
  <c r="L9" i="1"/>
  <c r="I9" i="1"/>
  <c r="K9" i="1"/>
  <c r="N8" i="1"/>
  <c r="N2" i="1"/>
  <c r="N49" i="1" l="1"/>
  <c r="N45" i="1"/>
  <c r="N28" i="1"/>
  <c r="N42" i="1"/>
  <c r="N38" i="1"/>
  <c r="N47" i="1"/>
  <c r="N48" i="1"/>
  <c r="N52" i="1"/>
  <c r="N57" i="1"/>
  <c r="N3" i="1"/>
  <c r="N7" i="1"/>
  <c r="N10" i="1"/>
  <c r="N15" i="1"/>
  <c r="N18" i="1"/>
  <c r="N11" i="1"/>
  <c r="N55" i="1"/>
  <c r="N54" i="1"/>
  <c r="N60" i="1"/>
  <c r="N61" i="1"/>
  <c r="N59" i="1"/>
  <c r="N51" i="1"/>
  <c r="N53" i="1"/>
  <c r="N43" i="1"/>
  <c r="N40" i="1"/>
  <c r="N36" i="1"/>
  <c r="N34" i="1"/>
  <c r="N6" i="1"/>
  <c r="N4" i="1"/>
  <c r="N5" i="1"/>
  <c r="N58" i="1"/>
  <c r="N46" i="1"/>
  <c r="N41" i="1"/>
  <c r="N39" i="1"/>
  <c r="N37" i="1"/>
  <c r="N27" i="1"/>
  <c r="N29" i="1"/>
  <c r="N22" i="1"/>
  <c r="N16" i="1"/>
  <c r="N35" i="1"/>
  <c r="N33" i="1"/>
  <c r="N31" i="1"/>
  <c r="N30" i="1"/>
  <c r="N25" i="1"/>
  <c r="N24" i="1"/>
  <c r="N23" i="1"/>
  <c r="N21" i="1"/>
  <c r="N17" i="1"/>
  <c r="N19" i="1"/>
  <c r="N13" i="1"/>
  <c r="N12" i="1"/>
  <c r="N9" i="1"/>
  <c r="AJ45" i="1" a="1"/>
  <c r="AJ45" i="1" s="1"/>
  <c r="AJ38" i="1" a="1"/>
  <c r="AK38" i="1" s="1"/>
  <c r="AK46" i="1" l="1"/>
  <c r="AJ48" i="1"/>
  <c r="AJ46" i="1"/>
  <c r="AK49" i="1"/>
  <c r="AK47" i="1"/>
  <c r="AK45" i="1"/>
  <c r="AK48" i="1"/>
  <c r="AJ49" i="1"/>
  <c r="AJ47" i="1"/>
  <c r="AJ41" i="1"/>
  <c r="AJ39" i="1"/>
  <c r="AJ42" i="1"/>
  <c r="AJ40" i="1"/>
  <c r="AJ38" i="1"/>
  <c r="AK41" i="1"/>
  <c r="AK39" i="1"/>
  <c r="AK42" i="1"/>
  <c r="AK40" i="1"/>
  <c r="AH30" i="1" l="1"/>
  <c r="R44" i="1" l="1"/>
  <c r="Q44" i="1"/>
  <c r="O46" i="1" l="1"/>
  <c r="O49" i="1"/>
  <c r="O45" i="1"/>
  <c r="O48" i="1"/>
  <c r="O44" i="1"/>
  <c r="O47" i="1"/>
  <c r="R56" i="1"/>
  <c r="Q56" i="1"/>
  <c r="O56" i="1"/>
  <c r="O60" i="1"/>
  <c r="O57" i="1"/>
  <c r="O61" i="1"/>
  <c r="R32" i="1"/>
  <c r="Q32" i="1"/>
  <c r="O33" i="1"/>
  <c r="O37" i="1"/>
  <c r="O36" i="1" l="1"/>
  <c r="O35" i="1"/>
  <c r="O59" i="1"/>
  <c r="O34" i="1"/>
  <c r="O32" i="1"/>
  <c r="O58" i="1"/>
  <c r="Q50" i="1"/>
  <c r="Q38" i="1"/>
  <c r="Q8" i="1" l="1"/>
  <c r="Q14" i="1"/>
  <c r="Q20" i="1"/>
  <c r="Q26" i="1"/>
  <c r="Q2" i="1"/>
  <c r="R50" i="1" l="1"/>
  <c r="R38" i="1"/>
  <c r="R26" i="1"/>
  <c r="R20" i="1"/>
  <c r="R14" i="1"/>
  <c r="R8" i="1"/>
  <c r="R2" i="1"/>
  <c r="O5" i="1" l="1"/>
  <c r="O6" i="1"/>
  <c r="O23" i="1" l="1"/>
  <c r="O11" i="1"/>
  <c r="O3" i="1"/>
  <c r="O30" i="1"/>
  <c r="O28" i="1"/>
  <c r="O26" i="1"/>
  <c r="O17" i="1"/>
  <c r="O38" i="1"/>
  <c r="O16" i="1"/>
  <c r="O9" i="1"/>
  <c r="O7" i="1"/>
  <c r="O50" i="1"/>
  <c r="O18" i="1"/>
  <c r="O15" i="1"/>
  <c r="O19" i="1"/>
  <c r="O53" i="1"/>
  <c r="O52" i="1"/>
  <c r="O51" i="1"/>
  <c r="O43" i="1"/>
  <c r="O39" i="1"/>
  <c r="O31" i="1"/>
  <c r="O29" i="1"/>
  <c r="O27" i="1"/>
  <c r="O25" i="1"/>
  <c r="O22" i="1"/>
  <c r="O20" i="1"/>
  <c r="O14" i="1"/>
  <c r="O13" i="1"/>
  <c r="O24" i="1"/>
  <c r="O21" i="1"/>
  <c r="O8" i="1"/>
  <c r="O4" i="1"/>
  <c r="AG35" i="1"/>
  <c r="O12" i="1" l="1"/>
  <c r="O10" i="1"/>
  <c r="O55" i="1"/>
  <c r="O54" i="1"/>
  <c r="O42" i="1"/>
  <c r="O41" i="1"/>
  <c r="O40" i="1"/>
  <c r="AH26" i="1"/>
  <c r="O2" i="1" l="1"/>
</calcChain>
</file>

<file path=xl/sharedStrings.xml><?xml version="1.0" encoding="utf-8"?>
<sst xmlns="http://schemas.openxmlformats.org/spreadsheetml/2006/main" count="75" uniqueCount="67">
  <si>
    <t>X_FA Initial</t>
  </si>
  <si>
    <t>X_FA Final</t>
  </si>
  <si>
    <t>X_Gas Final</t>
  </si>
  <si>
    <t>Gasification Efficiency (GE)</t>
  </si>
  <si>
    <r>
      <t>First Order k (s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</si>
  <si>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t>ln(k)</t>
  </si>
  <si>
    <t>1/T</t>
  </si>
  <si>
    <t>R (kcal/mol-K)</t>
  </si>
  <si>
    <r>
      <t>E</t>
    </r>
    <r>
      <rPr>
        <b/>
        <vertAlign val="subscript"/>
        <sz val="11"/>
        <color theme="1"/>
        <rFont val="Calibri"/>
        <family val="2"/>
        <scheme val="minor"/>
      </rPr>
      <t>A</t>
    </r>
  </si>
  <si>
    <r>
      <t>E</t>
    </r>
    <r>
      <rPr>
        <b/>
        <vertAlign val="subscript"/>
        <sz val="11"/>
        <color theme="1"/>
        <rFont val="Calibri"/>
        <family val="2"/>
        <scheme val="minor"/>
      </rPr>
      <t>A</t>
    </r>
    <r>
      <rPr>
        <b/>
        <sz val="11"/>
        <color theme="1"/>
        <rFont val="Calibri"/>
        <family val="2"/>
        <scheme val="minor"/>
      </rPr>
      <t>/R</t>
    </r>
  </si>
  <si>
    <t>Savage et al.</t>
  </si>
  <si>
    <r>
      <t>E</t>
    </r>
    <r>
      <rPr>
        <b/>
        <vertAlign val="subscript"/>
        <sz val="11"/>
        <color theme="1"/>
        <rFont val="Calibri"/>
        <family val="2"/>
        <scheme val="minor"/>
      </rPr>
      <t>A</t>
    </r>
    <r>
      <rPr>
        <b/>
        <sz val="11"/>
        <color theme="1"/>
        <rFont val="Calibri"/>
        <family val="2"/>
        <scheme val="minor"/>
      </rPr>
      <t xml:space="preserve"> (kcal/mol)</t>
    </r>
  </si>
  <si>
    <t>log(A)</t>
  </si>
  <si>
    <r>
      <t>log(A) (s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>)</t>
    </r>
  </si>
  <si>
    <t>Subcritical Rate Constants</t>
  </si>
  <si>
    <t>Supercritical Rate Constants</t>
  </si>
  <si>
    <t>Sub Fit + Error</t>
  </si>
  <si>
    <t>Sup Fit + Error</t>
  </si>
  <si>
    <t>X_CO2 Final</t>
  </si>
  <si>
    <t>X_CO Final</t>
  </si>
  <si>
    <t>X_H2 Final</t>
  </si>
  <si>
    <t>X_H2O Final</t>
  </si>
  <si>
    <t>Y_FA Final</t>
  </si>
  <si>
    <t>Y_CO2 Final</t>
  </si>
  <si>
    <t>Y_CO Final</t>
  </si>
  <si>
    <t>Y_H2 Final</t>
  </si>
  <si>
    <r>
      <t>Temp (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C)</t>
    </r>
  </si>
  <si>
    <t>Res. Time (s)</t>
  </si>
  <si>
    <t>Y_H2O Final</t>
  </si>
  <si>
    <t>k1</t>
  </si>
  <si>
    <t>k2</t>
  </si>
  <si>
    <t>X_H2O THEOR</t>
  </si>
  <si>
    <t>H2O Error</t>
  </si>
  <si>
    <t>raman noodles</t>
  </si>
  <si>
    <t>300C/25s</t>
  </si>
  <si>
    <t>320C/25s</t>
  </si>
  <si>
    <t>320C/30s</t>
  </si>
  <si>
    <t>320C/40s</t>
  </si>
  <si>
    <t>320C/50s</t>
  </si>
  <si>
    <t>320C/60s</t>
  </si>
  <si>
    <t>340C/20s</t>
  </si>
  <si>
    <t>340C/30s</t>
  </si>
  <si>
    <t>340C/40s</t>
  </si>
  <si>
    <t>340C/50s</t>
  </si>
  <si>
    <t>340C/60s</t>
  </si>
  <si>
    <t>360C/20s</t>
  </si>
  <si>
    <t>360C/30s</t>
  </si>
  <si>
    <t>360C/40s</t>
  </si>
  <si>
    <t>360C/50s</t>
  </si>
  <si>
    <t>360C/60s</t>
  </si>
  <si>
    <t>380C/15s</t>
  </si>
  <si>
    <t>380C/25s</t>
  </si>
  <si>
    <t>380C/35s</t>
  </si>
  <si>
    <t>380C/45s</t>
  </si>
  <si>
    <t>390C/10s</t>
  </si>
  <si>
    <t>390C/15s</t>
  </si>
  <si>
    <t>400C/5s</t>
  </si>
  <si>
    <t>400C/75s</t>
  </si>
  <si>
    <t>410C/5s</t>
  </si>
  <si>
    <t>ratio raman</t>
  </si>
  <si>
    <t>percent error</t>
  </si>
  <si>
    <t>pexact software</t>
  </si>
  <si>
    <t>ratio pexact software</t>
  </si>
  <si>
    <t>raman base</t>
  </si>
  <si>
    <t>pexact base</t>
  </si>
  <si>
    <t>pexact div</t>
  </si>
  <si>
    <t>ratio percent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</si>
</sst>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00000"/>
    <numFmt numFmtId="166" formatCode="0.0000"/>
    <numFmt numFmtId="167" formatCode="0.000E+00"/>
    <numFmt numFmtId="168" formatCode="0.00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Helvetica Neue"/>
      <family val="2"/>
    </font>
    <font>
      <b/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0" fontId="0" fillId="0" borderId="0" xfId="1" applyNumberFormat="1" applyFon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/>
    <xf numFmtId="0" fontId="8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Formic Acid Decomposition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3783273425132707E-2"/>
          <c:y val="0.10015372790161416"/>
          <c:w val="0.86108993442957438"/>
          <c:h val="0.83782977358422051"/>
        </c:manualLayout>
      </c:layout>
      <c:scatterChart>
        <c:scatterStyle val="lineMarker"/>
        <c:varyColors val="0"/>
        <c:ser>
          <c:idx val="0"/>
          <c:order val="0"/>
          <c:tx>
            <c:v>300 C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6.3219195657079966E-2"/>
                  <c:y val="-4.512306826107782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Sheet1!$B$2:$B$7</c:f>
              <c:numCache>
                <c:formatCode>General</c:formatCode>
                <c:ptCount val="6"/>
                <c:pt idx="0">
                  <c:v>0</c:v>
                </c:pt>
                <c:pt idx="1">
                  <c:v>25</c:v>
                </c:pt>
                <c:pt idx="2">
                  <c:v>35</c:v>
                </c:pt>
                <c:pt idx="3">
                  <c:v>45</c:v>
                </c:pt>
                <c:pt idx="4">
                  <c:v>55</c:v>
                </c:pt>
                <c:pt idx="5">
                  <c:v>65</c:v>
                </c:pt>
              </c:numCache>
            </c:numRef>
          </c:xVal>
          <c:yVal>
            <c:numRef>
              <c:f>Sheet1!$J$2:$J$7</c:f>
              <c:numCache>
                <c:formatCode>0.00000</c:formatCode>
                <c:ptCount val="6"/>
                <c:pt idx="0">
                  <c:v>3.5999999999999997E-2</c:v>
                </c:pt>
                <c:pt idx="1">
                  <c:v>2.1773026843606668E-2</c:v>
                </c:pt>
                <c:pt idx="2">
                  <c:v>2.2425123513342447E-2</c:v>
                </c:pt>
                <c:pt idx="3">
                  <c:v>2.173724834276012E-2</c:v>
                </c:pt>
                <c:pt idx="4">
                  <c:v>2.1520966361156253E-2</c:v>
                </c:pt>
                <c:pt idx="5">
                  <c:v>2.1065095613470718E-2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25-41C7-AA1D-647D30F3DCD7}"/>
            </c:ext>
          </c:extLst>
        </c:ser>
        <c:ser>
          <c:idx val="1"/>
          <c:order val="1"/>
          <c:tx>
            <c:v>320 C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0.1462412163143918"/>
                  <c:y val="-1.501805337299753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Sheet1!$B$8:$B$13</c:f>
              <c:numCache>
                <c:formatCode>General</c:formatCode>
                <c:ptCount val="6"/>
                <c:pt idx="0">
                  <c:v>0</c:v>
                </c:pt>
                <c:pt idx="1">
                  <c:v>25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</c:numCache>
            </c:numRef>
          </c:xVal>
          <c:yVal>
            <c:numRef>
              <c:f>Sheet1!$J$8:$J$13</c:f>
              <c:numCache>
                <c:formatCode>0.00000</c:formatCode>
                <c:ptCount val="6"/>
                <c:pt idx="0">
                  <c:v>3.6368740107894232E-2</c:v>
                </c:pt>
                <c:pt idx="1">
                  <c:v>2.107001989938392E-2</c:v>
                </c:pt>
                <c:pt idx="2">
                  <c:v>2.1340315119993462E-2</c:v>
                </c:pt>
                <c:pt idx="3">
                  <c:v>2.0613461828237787E-2</c:v>
                </c:pt>
                <c:pt idx="4">
                  <c:v>1.9142099111620205E-2</c:v>
                </c:pt>
                <c:pt idx="5">
                  <c:v>1.7970327176579759E-2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525-41C7-AA1D-647D30F3DCD7}"/>
            </c:ext>
          </c:extLst>
        </c:ser>
        <c:ser>
          <c:idx val="2"/>
          <c:order val="2"/>
          <c:tx>
            <c:v>340 C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0.15024592773959791"/>
                  <c:y val="2.6927397148995649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Sheet1!$B$14:$B$19</c:f>
              <c:numCache>
                <c:formatCode>General</c:formatCode>
                <c:ptCount val="6"/>
                <c:pt idx="0">
                  <c:v>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</c:numCache>
            </c:numRef>
          </c:xVal>
          <c:yVal>
            <c:numRef>
              <c:f>Sheet1!$J$14:$J$19</c:f>
              <c:numCache>
                <c:formatCode>0.00000</c:formatCode>
                <c:ptCount val="6"/>
                <c:pt idx="0">
                  <c:v>3.6368740107894232E-2</c:v>
                </c:pt>
                <c:pt idx="1">
                  <c:v>1.9628977874332699E-2</c:v>
                </c:pt>
                <c:pt idx="2">
                  <c:v>1.985782699369245E-2</c:v>
                </c:pt>
                <c:pt idx="3">
                  <c:v>1.776272381611288E-2</c:v>
                </c:pt>
                <c:pt idx="4">
                  <c:v>1.6356611835576493E-2</c:v>
                </c:pt>
                <c:pt idx="5">
                  <c:v>1.531334749464755E-2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525-41C7-AA1D-647D30F3DCD7}"/>
            </c:ext>
          </c:extLst>
        </c:ser>
        <c:ser>
          <c:idx val="3"/>
          <c:order val="3"/>
          <c:tx>
            <c:v>360 C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0.14820431015027716"/>
                  <c:y val="1.000064426311705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Sheet1!$B$20:$B$25</c:f>
              <c:numCache>
                <c:formatCode>General</c:formatCode>
                <c:ptCount val="6"/>
                <c:pt idx="0">
                  <c:v>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</c:numCache>
            </c:numRef>
          </c:xVal>
          <c:yVal>
            <c:numRef>
              <c:f>Sheet1!$J$20:$J$25</c:f>
              <c:numCache>
                <c:formatCode>0.00000</c:formatCode>
                <c:ptCount val="6"/>
                <c:pt idx="0">
                  <c:v>3.6368740107894232E-2</c:v>
                </c:pt>
                <c:pt idx="1">
                  <c:v>1.8748858264224576E-2</c:v>
                </c:pt>
                <c:pt idx="2">
                  <c:v>1.7493179728398544E-2</c:v>
                </c:pt>
                <c:pt idx="3">
                  <c:v>1.5343937316266081E-2</c:v>
                </c:pt>
                <c:pt idx="4">
                  <c:v>1.3337186681464181E-2</c:v>
                </c:pt>
                <c:pt idx="5">
                  <c:v>1.2572144571594007E-2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742-4425-86EE-8E95A48B4C27}"/>
            </c:ext>
          </c:extLst>
        </c:ser>
        <c:ser>
          <c:idx val="4"/>
          <c:order val="4"/>
          <c:tx>
            <c:v>380 C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0.16071184564826924"/>
                  <c:y val="4.4154432670302553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Sheet1!$B$26:$B$31</c:f>
              <c:numCache>
                <c:formatCode>General</c:formatCode>
                <c:ptCount val="6"/>
                <c:pt idx="0">
                  <c:v>0</c:v>
                </c:pt>
                <c:pt idx="1">
                  <c:v>15</c:v>
                </c:pt>
                <c:pt idx="2">
                  <c:v>25</c:v>
                </c:pt>
                <c:pt idx="3">
                  <c:v>35</c:v>
                </c:pt>
                <c:pt idx="4">
                  <c:v>45</c:v>
                </c:pt>
                <c:pt idx="5">
                  <c:v>55</c:v>
                </c:pt>
              </c:numCache>
            </c:numRef>
          </c:xVal>
          <c:yVal>
            <c:numRef>
              <c:f>Sheet1!$J$26:$J$31</c:f>
              <c:numCache>
                <c:formatCode>0.00000</c:formatCode>
                <c:ptCount val="6"/>
                <c:pt idx="0">
                  <c:v>3.6368740107894232E-2</c:v>
                </c:pt>
                <c:pt idx="1">
                  <c:v>1.8083011893971122E-2</c:v>
                </c:pt>
                <c:pt idx="2">
                  <c:v>1.6619262515580154E-2</c:v>
                </c:pt>
                <c:pt idx="3">
                  <c:v>1.2788316116726647E-2</c:v>
                </c:pt>
                <c:pt idx="4">
                  <c:v>1.130493941027165E-2</c:v>
                </c:pt>
                <c:pt idx="5">
                  <c:v>9.8112956331994974E-3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2742-4425-86EE-8E95A48B4C27}"/>
            </c:ext>
          </c:extLst>
        </c:ser>
        <c:ser>
          <c:idx val="5"/>
          <c:order val="5"/>
          <c:tx>
            <c:v>400 C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0.13144412602134981"/>
                  <c:y val="5.578282170438406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Sheet1!$B$38:$B$43</c:f>
              <c:numCache>
                <c:formatCode>General</c:formatCode>
                <c:ptCount val="6"/>
                <c:pt idx="0">
                  <c:v>0</c:v>
                </c:pt>
                <c:pt idx="1">
                  <c:v>5</c:v>
                </c:pt>
                <c:pt idx="2">
                  <c:v>7.5</c:v>
                </c:pt>
                <c:pt idx="3">
                  <c:v>10</c:v>
                </c:pt>
                <c:pt idx="4">
                  <c:v>12.5</c:v>
                </c:pt>
                <c:pt idx="5">
                  <c:v>15</c:v>
                </c:pt>
              </c:numCache>
            </c:numRef>
          </c:xVal>
          <c:yVal>
            <c:numRef>
              <c:f>Sheet1!$J$38:$J$43</c:f>
              <c:numCache>
                <c:formatCode>0.00000</c:formatCode>
                <c:ptCount val="6"/>
                <c:pt idx="0">
                  <c:v>3.6368740107894232E-2</c:v>
                </c:pt>
                <c:pt idx="1">
                  <c:v>1.7310600918949835E-2</c:v>
                </c:pt>
                <c:pt idx="2">
                  <c:v>1.4924350969240366E-2</c:v>
                </c:pt>
                <c:pt idx="3">
                  <c:v>7.0610920283656342E-3</c:v>
                </c:pt>
                <c:pt idx="4">
                  <c:v>9.110522528849134E-3</c:v>
                </c:pt>
                <c:pt idx="5">
                  <c:v>6.2184341608432425E-3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B81-49FE-BA79-BDD3CBD79396}"/>
            </c:ext>
          </c:extLst>
        </c:ser>
        <c:ser>
          <c:idx val="6"/>
          <c:order val="6"/>
          <c:tx>
            <c:strRef>
              <c:f>Sheet1!$B$50:$B$54</c:f>
              <c:strCache>
                <c:ptCount val="5"/>
                <c:pt idx="0">
                  <c:v>0</c:v>
                </c:pt>
                <c:pt idx="1">
                  <c:v>5</c:v>
                </c:pt>
                <c:pt idx="2">
                  <c:v>6.25</c:v>
                </c:pt>
                <c:pt idx="3">
                  <c:v>7.5</c:v>
                </c:pt>
                <c:pt idx="4">
                  <c:v>8.25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0.1017176298192408"/>
                  <c:y val="0.1174144320540508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Sheet1!$B$50:$B$54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6.25</c:v>
                </c:pt>
                <c:pt idx="3">
                  <c:v>7.5</c:v>
                </c:pt>
                <c:pt idx="4">
                  <c:v>8.25</c:v>
                </c:pt>
              </c:numCache>
            </c:numRef>
          </c:xVal>
          <c:yVal>
            <c:numRef>
              <c:f>Sheet1!$J$50:$J$54</c:f>
              <c:numCache>
                <c:formatCode>0.00000</c:formatCode>
                <c:ptCount val="5"/>
                <c:pt idx="0">
                  <c:v>3.6368740107894232E-2</c:v>
                </c:pt>
                <c:pt idx="1">
                  <c:v>1.1458216099848687E-2</c:v>
                </c:pt>
                <c:pt idx="2">
                  <c:v>7.467521094168335E-3</c:v>
                </c:pt>
                <c:pt idx="3">
                  <c:v>7.1151008635816854E-3</c:v>
                </c:pt>
                <c:pt idx="4">
                  <c:v>5.0750217381453182E-3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6B81-49FE-BA79-BDD3CBD79396}"/>
            </c:ext>
          </c:extLst>
        </c:ser>
        <c:ser>
          <c:idx val="7"/>
          <c:order val="7"/>
          <c:tx>
            <c:v>390 C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0.12752937684909527"/>
                  <c:y val="4.602475651055891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Sheet1!$B$32:$B$37</c:f>
              <c:numCache>
                <c:formatCode>General</c:formatCode>
                <c:ptCount val="6"/>
                <c:pt idx="0">
                  <c:v>0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xVal>
          <c:yVal>
            <c:numRef>
              <c:f>Sheet1!$J$32:$J$37</c:f>
              <c:numCache>
                <c:formatCode>0.00000</c:formatCode>
                <c:ptCount val="6"/>
                <c:pt idx="0">
                  <c:v>3.6368740107894232E-2</c:v>
                </c:pt>
                <c:pt idx="1">
                  <c:v>1.921826755077876E-2</c:v>
                </c:pt>
                <c:pt idx="2">
                  <c:v>1.6398670994879253E-2</c:v>
                </c:pt>
                <c:pt idx="3">
                  <c:v>1.224554009426726E-2</c:v>
                </c:pt>
                <c:pt idx="4">
                  <c:v>6.1281855334431572E-3</c:v>
                </c:pt>
                <c:pt idx="5">
                  <c:v>5.8982992614729423E-3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2480-4A8D-805C-56BEB8023969}"/>
            </c:ext>
          </c:extLst>
        </c:ser>
        <c:ser>
          <c:idx val="8"/>
          <c:order val="8"/>
          <c:tx>
            <c:v>410 C</c:v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>
                    <a:lumMod val="60000"/>
                  </a:schemeClr>
                </a:solidFill>
                <a:prstDash val="sysDot"/>
              </a:ln>
              <a:effectLst/>
            </c:spPr>
            <c:trendlineType val="exp"/>
            <c:intercept val="3.5000000000000003E-2"/>
            <c:dispRSqr val="0"/>
            <c:dispEq val="1"/>
            <c:trendlineLbl>
              <c:layout>
                <c:manualLayout>
                  <c:x val="5.8809654093591658E-2"/>
                  <c:y val="7.96348428698280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Sheet1!$B$44:$B$49</c:f>
              <c:numCache>
                <c:formatCode>General</c:formatCode>
                <c:ptCount val="6"/>
                <c:pt idx="0">
                  <c:v>0</c:v>
                </c:pt>
                <c:pt idx="1">
                  <c:v>5</c:v>
                </c:pt>
                <c:pt idx="2">
                  <c:v>7.5</c:v>
                </c:pt>
                <c:pt idx="3">
                  <c:v>10</c:v>
                </c:pt>
                <c:pt idx="4">
                  <c:v>12.5</c:v>
                </c:pt>
                <c:pt idx="5">
                  <c:v>15</c:v>
                </c:pt>
              </c:numCache>
            </c:numRef>
          </c:xVal>
          <c:yVal>
            <c:numRef>
              <c:f>Sheet1!$J$44:$J$49</c:f>
              <c:numCache>
                <c:formatCode>0.00000</c:formatCode>
                <c:ptCount val="6"/>
                <c:pt idx="0">
                  <c:v>3.6368740107894232E-2</c:v>
                </c:pt>
                <c:pt idx="1">
                  <c:v>1.3327305620793714E-2</c:v>
                </c:pt>
                <c:pt idx="2">
                  <c:v>9.2453106912503413E-3</c:v>
                </c:pt>
                <c:pt idx="3">
                  <c:v>5.1604748946014866E-3</c:v>
                </c:pt>
                <c:pt idx="4">
                  <c:v>2.4851972221005664E-3</c:v>
                </c:pt>
                <c:pt idx="5">
                  <c:v>2.0068839290804108E-3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BBF5-4EE1-9E24-5C7B724C71E1}"/>
            </c:ext>
          </c:extLst>
        </c:ser>
        <c:ser>
          <c:idx val="9"/>
          <c:order val="9"/>
          <c:tx>
            <c:v>430 C</c:v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Sheet1!$B$56:$B$60</c:f>
              <c:numCache>
                <c:formatCode>General</c:formatCode>
                <c:ptCount val="5"/>
                <c:pt idx="0">
                  <c:v>0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xVal>
          <c:yVal>
            <c:numRef>
              <c:f>Sheet1!$J$56:$J$60</c:f>
              <c:numCache>
                <c:formatCode>0.00000</c:formatCode>
                <c:ptCount val="5"/>
                <c:pt idx="0">
                  <c:v>3.6368740107894232E-2</c:v>
                </c:pt>
                <c:pt idx="1">
                  <c:v>9.7933100559120072E-3</c:v>
                </c:pt>
                <c:pt idx="2">
                  <c:v>7.356688258685796E-3</c:v>
                </c:pt>
                <c:pt idx="3">
                  <c:v>5.0232689847093705E-3</c:v>
                </c:pt>
                <c:pt idx="4">
                  <c:v>4.6408271117631839E-3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BBF5-4EE1-9E24-5C7B724C71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4966512"/>
        <c:axId val="494964872"/>
      </c:scatterChart>
      <c:valAx>
        <c:axId val="494966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Residence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964872"/>
        <c:crosses val="autoZero"/>
        <c:crossBetween val="midCat"/>
      </c:valAx>
      <c:valAx>
        <c:axId val="494964872"/>
        <c:scaling>
          <c:logBase val="10"/>
          <c:orientation val="minMax"/>
          <c:max val="4.0000000000000008E-2"/>
          <c:min val="1.0000000000000002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Formic Acid Final %wt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966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Arrhenius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Subcritical Kinetic Rates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3.1908927563961048E-2"/>
                  <c:y val="-0.1556032552355156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Sheet1!$R$2:$R$23</c:f>
              <c:numCache>
                <c:formatCode>General</c:formatCode>
                <c:ptCount val="22"/>
                <c:pt idx="0">
                  <c:v>1.7447439588240427E-3</c:v>
                </c:pt>
                <c:pt idx="6">
                  <c:v>1.6859141869678834E-3</c:v>
                </c:pt>
                <c:pt idx="12">
                  <c:v>1.6309222865530458E-3</c:v>
                </c:pt>
                <c:pt idx="18">
                  <c:v>1.5794045644791914E-3</c:v>
                </c:pt>
              </c:numCache>
            </c:numRef>
          </c:xVal>
          <c:yVal>
            <c:numRef>
              <c:f>Sheet1!$Q$2:$Q$23</c:f>
              <c:numCache>
                <c:formatCode>General</c:formatCode>
                <c:ptCount val="22"/>
                <c:pt idx="0">
                  <c:v>-4.699480865459333</c:v>
                </c:pt>
                <c:pt idx="6">
                  <c:v>-4.3528562573741016</c:v>
                </c:pt>
                <c:pt idx="12">
                  <c:v>-4.1376696869604741</c:v>
                </c:pt>
                <c:pt idx="18">
                  <c:v>-3.8922203781319662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FF-4767-9CFE-A03B5B351217}"/>
            </c:ext>
          </c:extLst>
        </c:ser>
        <c:ser>
          <c:idx val="1"/>
          <c:order val="1"/>
          <c:tx>
            <c:v>Supercritical Kinetic Rates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5.8428385704123433E-2"/>
                  <c:y val="-5.000704789535570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Sheet1!$R$26:$R$61</c:f>
              <c:numCache>
                <c:formatCode>General</c:formatCode>
                <c:ptCount val="36"/>
                <c:pt idx="0">
                  <c:v>1.5310418739952539E-3</c:v>
                </c:pt>
                <c:pt idx="6">
                  <c:v>1.5079544597753148E-3</c:v>
                </c:pt>
                <c:pt idx="12">
                  <c:v>1.4855529971031717E-3</c:v>
                </c:pt>
                <c:pt idx="18">
                  <c:v>1.4638073629510357E-3</c:v>
                </c:pt>
                <c:pt idx="24">
                  <c:v>1.4426891726177595E-3</c:v>
                </c:pt>
                <c:pt idx="30">
                  <c:v>1.4221716561188937E-3</c:v>
                </c:pt>
              </c:numCache>
            </c:numRef>
          </c:xVal>
          <c:yVal>
            <c:numRef>
              <c:f>Sheet1!$Q$26:$Q$61</c:f>
              <c:numCache>
                <c:formatCode>General</c:formatCode>
                <c:ptCount val="36"/>
                <c:pt idx="0">
                  <c:v>-3.5888531400468118</c:v>
                </c:pt>
                <c:pt idx="6">
                  <c:v>-2.8268337370921772</c:v>
                </c:pt>
                <c:pt idx="12">
                  <c:v>-2.0494944653118838</c:v>
                </c:pt>
                <c:pt idx="18">
                  <c:v>-1.6419611041396605</c:v>
                </c:pt>
                <c:pt idx="24">
                  <c:v>-1.6707815426751524</c:v>
                </c:pt>
                <c:pt idx="30">
                  <c:v>-1.1708604528757338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2AF-43B8-92E8-0B8C77DE7C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4688888"/>
        <c:axId val="494689216"/>
      </c:scatterChart>
      <c:valAx>
        <c:axId val="494688888"/>
        <c:scaling>
          <c:orientation val="minMax"/>
          <c:min val="1.4000000000000004E-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1/T (K</a:t>
                </a:r>
                <a:r>
                  <a:rPr lang="en-US" baseline="30000"/>
                  <a:t>-1</a:t>
                </a:r>
                <a:r>
                  <a:rPr lang="en-US" baseline="0"/>
                  <a:t>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689216"/>
        <c:crosses val="autoZero"/>
        <c:crossBetween val="midCat"/>
      </c:valAx>
      <c:valAx>
        <c:axId val="494689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ln(k)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688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Comparison between our Raman</a:t>
            </a:r>
            <a:r>
              <a:rPr lang="en-US" baseline="0"/>
              <a:t> Noodle's </a:t>
            </a:r>
            <a:r>
              <a:rPr lang="en-US"/>
              <a:t>software</a:t>
            </a:r>
            <a:r>
              <a:rPr lang="en-US" baseline="0"/>
              <a:t> and </a:t>
            </a:r>
            <a:r>
              <a:rPr lang="en-US" sz="1400" b="0" i="0" u="none" strike="noStrike" baseline="0">
                <a:effectLst/>
              </a:rPr>
              <a:t>comercial softare </a:t>
            </a:r>
            <a:r>
              <a:rPr lang="en-US" baseline="0"/>
              <a:t>PEXACT at 300C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Raman Noodles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'EGR Edits'!$B$6:$B$9</c:f>
              <c:numCache>
                <c:formatCode>General</c:formatCode>
                <c:ptCount val="4"/>
                <c:pt idx="0">
                  <c:v>35</c:v>
                </c:pt>
                <c:pt idx="1">
                  <c:v>45</c:v>
                </c:pt>
                <c:pt idx="2">
                  <c:v>55</c:v>
                </c:pt>
                <c:pt idx="3">
                  <c:v>65</c:v>
                </c:pt>
              </c:numCache>
            </c:numRef>
          </c:xVal>
          <c:yVal>
            <c:numRef>
              <c:f>'EGR Edits'!$F$6:$F$9</c:f>
              <c:numCache>
                <c:formatCode>General</c:formatCode>
                <c:ptCount val="4"/>
                <c:pt idx="0">
                  <c:v>0.98844465035959106</c:v>
                </c:pt>
                <c:pt idx="1">
                  <c:v>0.98149034763975485</c:v>
                </c:pt>
                <c:pt idx="2">
                  <c:v>0.97092716699113246</c:v>
                </c:pt>
                <c:pt idx="3">
                  <c:v>0.96869391326084231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37-E74C-A919-F8553EB06FFD}"/>
            </c:ext>
          </c:extLst>
        </c:ser>
        <c:ser>
          <c:idx val="1"/>
          <c:order val="1"/>
          <c:tx>
            <c:v>PEXACT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'EGR Edits'!$B$6:$B$9</c:f>
              <c:numCache>
                <c:formatCode>General</c:formatCode>
                <c:ptCount val="4"/>
                <c:pt idx="0">
                  <c:v>35</c:v>
                </c:pt>
                <c:pt idx="1">
                  <c:v>45</c:v>
                </c:pt>
                <c:pt idx="2">
                  <c:v>55</c:v>
                </c:pt>
                <c:pt idx="3">
                  <c:v>65</c:v>
                </c:pt>
              </c:numCache>
            </c:numRef>
          </c:xVal>
          <c:yVal>
            <c:numRef>
              <c:f>'EGR Edits'!$G$6:$G$9</c:f>
              <c:numCache>
                <c:formatCode>General</c:formatCode>
                <c:ptCount val="4"/>
                <c:pt idx="0">
                  <c:v>0.97994974811815183</c:v>
                </c:pt>
                <c:pt idx="1">
                  <c:v>0.97932569088535648</c:v>
                </c:pt>
                <c:pt idx="2">
                  <c:v>0.97005016742719863</c:v>
                </c:pt>
                <c:pt idx="3">
                  <c:v>0.96881736628201098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337-E74C-A919-F8553EB06F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820735"/>
        <c:axId val="54210559"/>
      </c:scatterChart>
      <c:valAx>
        <c:axId val="53820735"/>
        <c:scaling>
          <c:orientation val="minMax"/>
          <c:max val="65"/>
          <c:min val="35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u="none" strike="noStrike" baseline="0">
                    <a:effectLst/>
                  </a:rPr>
                  <a:t>Residence time,  s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10559"/>
        <c:crosses val="autoZero"/>
        <c:crossBetween val="midCat"/>
        <c:majorUnit val="10"/>
      </c:valAx>
      <c:valAx>
        <c:axId val="54210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Normalized</a:t>
                </a:r>
                <a:r>
                  <a:rPr lang="en-US" sz="1200" baseline="0"/>
                  <a:t> </a:t>
                </a:r>
                <a:r>
                  <a:rPr lang="en-US" sz="1200"/>
                  <a:t>Molar</a:t>
                </a:r>
                <a:r>
                  <a:rPr lang="en-US" sz="1200" baseline="0"/>
                  <a:t> Decomposition Formic Acid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2.1459227467811159E-2"/>
              <c:y val="0.1298110897902468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20735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'EGR Edits'!$B$12:$B$15</c:f>
              <c:strCache>
                <c:ptCount val="4"/>
                <c:pt idx="0">
                  <c:v>320C/30s</c:v>
                </c:pt>
                <c:pt idx="1">
                  <c:v>320C/40s</c:v>
                </c:pt>
                <c:pt idx="2">
                  <c:v>320C/50s</c:v>
                </c:pt>
                <c:pt idx="3">
                  <c:v>320C/60s</c:v>
                </c:pt>
              </c:strCache>
            </c:strRef>
          </c:xVal>
          <c:yVal>
            <c:numRef>
              <c:f>'EGR Edits'!$F$12:$F$15</c:f>
              <c:numCache>
                <c:formatCode>General</c:formatCode>
                <c:ptCount val="4"/>
                <c:pt idx="0">
                  <c:v>0.86857841804838276</c:v>
                </c:pt>
                <c:pt idx="1">
                  <c:v>1.1223595681427008</c:v>
                </c:pt>
                <c:pt idx="2">
                  <c:v>0.8420898291966521</c:v>
                </c:pt>
                <c:pt idx="3">
                  <c:v>0.8943534529511501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15-2A49-9667-EA1497E4D81A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'EGR Edits'!$B$12:$B$15</c:f>
              <c:strCache>
                <c:ptCount val="4"/>
                <c:pt idx="0">
                  <c:v>320C/30s</c:v>
                </c:pt>
                <c:pt idx="1">
                  <c:v>320C/40s</c:v>
                </c:pt>
                <c:pt idx="2">
                  <c:v>320C/50s</c:v>
                </c:pt>
                <c:pt idx="3">
                  <c:v>320C/60s</c:v>
                </c:pt>
              </c:strCache>
            </c:strRef>
          </c:xVal>
          <c:yVal>
            <c:numRef>
              <c:f>'EGR Edits'!$G$12:$G$15</c:f>
              <c:numCache>
                <c:formatCode>General</c:formatCode>
                <c:ptCount val="4"/>
                <c:pt idx="0">
                  <c:v>1.012828427400652</c:v>
                </c:pt>
                <c:pt idx="1">
                  <c:v>0.96593989884082376</c:v>
                </c:pt>
                <c:pt idx="2">
                  <c:v>0.92862127046501208</c:v>
                </c:pt>
                <c:pt idx="3">
                  <c:v>0.93878560923712262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915-2A49-9667-EA1497E4D8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820735"/>
        <c:axId val="54210559"/>
      </c:scatterChart>
      <c:valAx>
        <c:axId val="538207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10559"/>
        <c:crosses val="autoZero"/>
        <c:crossBetween val="midCat"/>
      </c:valAx>
      <c:valAx>
        <c:axId val="54210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207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243840</xdr:colOff>
      <xdr:row>0</xdr:row>
      <xdr:rowOff>201930</xdr:rowOff>
    </xdr:from>
    <xdr:to>
      <xdr:col>31</xdr:col>
      <xdr:colOff>7620</xdr:colOff>
      <xdr:row>20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9E8783-939B-422E-9DC0-0B554C895B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167640</xdr:colOff>
      <xdr:row>21</xdr:row>
      <xdr:rowOff>171450</xdr:rowOff>
    </xdr:from>
    <xdr:to>
      <xdr:col>30</xdr:col>
      <xdr:colOff>594360</xdr:colOff>
      <xdr:row>52</xdr:row>
      <xdr:rowOff>60960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BE84039-47D8-4F68-AD29-F91BFDF042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558800</xdr:colOff>
      <xdr:row>4</xdr:row>
      <xdr:rowOff>165100</xdr:rowOff>
    </xdr:from>
    <xdr:to>
      <xdr:col>17</xdr:col>
      <xdr:colOff>698500</xdr:colOff>
      <xdr:row>19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8D4A7C-EA9F-EB43-9666-F2AE2709E2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0</xdr:colOff>
      <xdr:row>21</xdr:row>
      <xdr:rowOff>0</xdr:rowOff>
    </xdr:from>
    <xdr:to>
      <xdr:col>22</xdr:col>
      <xdr:colOff>444500</xdr:colOff>
      <xdr:row>34</xdr:row>
      <xdr:rowOff>101600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D830F05-826C-F249-9AB8-3780E9F4DB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C0879-0131-4E7F-9633-F3319EC338C5}">
  <dimension ref="A1:AM77"/>
  <sheetViews>
    <sheetView topLeftCell="O1" zoomScaleNormal="100" workbookViewId="0">
      <selection activeCell="J15" sqref="J15:J19"/>
    </sheetView>
  </sheetViews>
  <sheetFormatPr baseColWidth="10" defaultColWidth="8.83203125" defaultRowHeight="15" x14ac:dyDescent="0.2"/>
  <cols>
    <col min="1" max="1" width="9.5" style="1" customWidth="1"/>
    <col min="2" max="2" width="11.33203125" style="1" customWidth="1"/>
    <col min="3" max="3" width="11.83203125" style="1" customWidth="1"/>
    <col min="4" max="4" width="14.5" style="9" customWidth="1"/>
    <col min="5" max="7" width="12.1640625" style="9" customWidth="1"/>
    <col min="8" max="8" width="11.83203125" style="9" customWidth="1"/>
    <col min="9" max="9" width="14.5" style="1" customWidth="1"/>
    <col min="10" max="10" width="12.1640625" style="1" customWidth="1"/>
    <col min="11" max="13" width="12.1640625" style="8" customWidth="1"/>
    <col min="14" max="14" width="12.33203125" style="1" customWidth="1"/>
    <col min="15" max="15" width="22.83203125" style="1" customWidth="1"/>
    <col min="16" max="16" width="14.5" style="1" customWidth="1"/>
    <col min="17" max="18" width="8.83203125" style="1"/>
    <col min="19" max="20" width="13.6640625" style="17" customWidth="1"/>
    <col min="21" max="29" width="8.83203125" style="1"/>
    <col min="30" max="30" width="12" style="1" bestFit="1" customWidth="1"/>
    <col min="31" max="31" width="8.83203125" style="1"/>
    <col min="32" max="32" width="13.1640625" style="1" customWidth="1"/>
    <col min="33" max="33" width="8.83203125" style="1"/>
    <col min="34" max="34" width="12.83203125" style="1" customWidth="1"/>
    <col min="35" max="35" width="12.83203125" style="6" customWidth="1"/>
    <col min="36" max="36" width="12" style="1" bestFit="1" customWidth="1"/>
    <col min="37" max="37" width="8.83203125" style="1"/>
    <col min="38" max="38" width="12" style="1" bestFit="1" customWidth="1"/>
    <col min="39" max="39" width="11.1640625" style="1" customWidth="1"/>
    <col min="40" max="40" width="17.5" style="1" customWidth="1"/>
    <col min="41" max="16384" width="8.83203125" style="1"/>
  </cols>
  <sheetData>
    <row r="1" spans="1:20" ht="17" x14ac:dyDescent="0.2">
      <c r="A1" s="1" t="s">
        <v>26</v>
      </c>
      <c r="B1" s="1" t="s">
        <v>27</v>
      </c>
      <c r="C1" s="1" t="s">
        <v>0</v>
      </c>
      <c r="D1" s="9" t="s">
        <v>22</v>
      </c>
      <c r="E1" s="9" t="s">
        <v>23</v>
      </c>
      <c r="F1" s="9" t="s">
        <v>24</v>
      </c>
      <c r="G1" s="9" t="s">
        <v>25</v>
      </c>
      <c r="H1" s="9" t="s">
        <v>28</v>
      </c>
      <c r="I1" s="1" t="s">
        <v>21</v>
      </c>
      <c r="J1" s="1" t="s">
        <v>1</v>
      </c>
      <c r="K1" s="8" t="s">
        <v>18</v>
      </c>
      <c r="L1" s="8" t="s">
        <v>19</v>
      </c>
      <c r="M1" s="8" t="s">
        <v>20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7" t="s">
        <v>31</v>
      </c>
      <c r="T1" s="17" t="s">
        <v>32</v>
      </c>
    </row>
    <row r="2" spans="1:20" x14ac:dyDescent="0.2">
      <c r="A2" s="1">
        <v>300</v>
      </c>
      <c r="B2" s="1">
        <v>0</v>
      </c>
      <c r="C2" s="1">
        <v>3.5999999999999997E-2</v>
      </c>
      <c r="D2" s="12">
        <v>1.456E-2</v>
      </c>
      <c r="E2" s="9">
        <v>0</v>
      </c>
      <c r="F2" s="9">
        <v>0</v>
      </c>
      <c r="G2" s="9">
        <v>0</v>
      </c>
      <c r="H2" s="9">
        <f t="shared" ref="H2:H32" si="0">1-SUM(D2:G2)</f>
        <v>0.98543999999999998</v>
      </c>
      <c r="I2" s="13">
        <f>18.02*H2/(18.02*H2 + 28.01*F2+44.01*E2+2.02*G2+46.03*D2)</f>
        <v>0.96363125989210585</v>
      </c>
      <c r="J2" s="15">
        <v>3.5999999999999997E-2</v>
      </c>
      <c r="K2" s="8">
        <v>0</v>
      </c>
      <c r="L2" s="8">
        <v>0</v>
      </c>
      <c r="M2" s="8">
        <v>0</v>
      </c>
      <c r="N2" s="1">
        <f t="shared" ref="N2:N33" si="1">K2+L2+M2</f>
        <v>0</v>
      </c>
      <c r="O2" s="1">
        <f t="shared" ref="O2:O33" si="2">N2/C2</f>
        <v>0</v>
      </c>
      <c r="P2" s="20">
        <v>9.1000000000000004E-3</v>
      </c>
      <c r="Q2" s="20">
        <f>LN(P2)</f>
        <v>-4.699480865459333</v>
      </c>
      <c r="R2" s="20">
        <f>1/(A2+273.15)</f>
        <v>1.7447439588240427E-3</v>
      </c>
      <c r="S2" s="19">
        <f>0.9636 + 0.6432*L2</f>
        <v>0.96360000000000001</v>
      </c>
      <c r="T2" s="18">
        <f>ABS((S2-I2))/S2</f>
        <v>3.2440734854544777E-5</v>
      </c>
    </row>
    <row r="3" spans="1:20" x14ac:dyDescent="0.2">
      <c r="A3" s="1">
        <v>300</v>
      </c>
      <c r="B3" s="1">
        <v>25</v>
      </c>
      <c r="C3" s="6">
        <v>3.5999999999999997E-2</v>
      </c>
      <c r="D3" s="12">
        <v>9.9661200000000002E-3</v>
      </c>
      <c r="E3" s="9">
        <v>5.0000000000000001E-4</v>
      </c>
      <c r="F3" s="10">
        <v>1.4336100000000001E-3</v>
      </c>
      <c r="G3" s="9">
        <v>4.0851400000000001E-4</v>
      </c>
      <c r="H3" s="10">
        <v>1.1402600000000001</v>
      </c>
      <c r="I3" s="13">
        <f>18.02*H3/(18.02*H3 + 28.01*F3+44.01*E3+2.02*G3+46.03*D3)</f>
        <v>0.97523751078737475</v>
      </c>
      <c r="J3" s="15">
        <f>46.03*D3/(18.02*H3 + 28.01*F3+44.01*E3+2.02*G3+46.03*D3)</f>
        <v>2.1773026843606668E-2</v>
      </c>
      <c r="K3" s="12">
        <f>44.01*E3/(18.02*H3 + 28.01*F3+44.01*E3+2.02*G3+46.03*D3)</f>
        <v>1.0444149839259249E-3</v>
      </c>
      <c r="L3" s="12">
        <f>28.01*F3/(18.02*H3 + 28.01*F3+44.01*E3+2.02*G3+46.03*D3)</f>
        <v>1.9058813115482996E-3</v>
      </c>
      <c r="M3" s="14">
        <f>2.02*G3/(18.02*H3 + 28.01*F3+44.01*E3+2.02*G3+46.03*D3)</f>
        <v>3.9166073544280885E-5</v>
      </c>
      <c r="N3" s="8">
        <f t="shared" si="1"/>
        <v>2.9894623690185054E-3</v>
      </c>
      <c r="O3" s="1">
        <f t="shared" si="2"/>
        <v>8.3040621361625155E-2</v>
      </c>
      <c r="P3" s="20"/>
      <c r="Q3" s="20"/>
      <c r="R3" s="20"/>
      <c r="S3" s="19">
        <f t="shared" ref="S3:S61" si="3">0.9636 + 0.6432*L3</f>
        <v>0.96482586285958782</v>
      </c>
      <c r="T3" s="18">
        <f t="shared" ref="T3:T61" si="4">ABS((S3-I3))/S3</f>
        <v>1.0791219771958108E-2</v>
      </c>
    </row>
    <row r="4" spans="1:20" x14ac:dyDescent="0.2">
      <c r="A4" s="1">
        <v>300</v>
      </c>
      <c r="B4" s="1">
        <v>35</v>
      </c>
      <c r="C4" s="6">
        <v>3.5999999999999997E-2</v>
      </c>
      <c r="D4" s="12">
        <v>1.05678E-2</v>
      </c>
      <c r="E4" s="10">
        <v>5.3359700000000002E-4</v>
      </c>
      <c r="F4" s="10">
        <v>2.4209600000000002E-3</v>
      </c>
      <c r="G4" s="10">
        <v>4.3227000000000001E-4</v>
      </c>
      <c r="H4" s="10">
        <v>1.17164</v>
      </c>
      <c r="I4" s="13">
        <f t="shared" ref="I4:I61" si="5">18.02*H4/(18.02*H4 + 28.01*F4+44.01*E4+2.02*G4+46.03*D4)</f>
        <v>0.9733258554947849</v>
      </c>
      <c r="J4" s="15">
        <f t="shared" ref="J4:J61" si="6">46.03*D4/(18.02*H4 + 28.01*F4+44.01*E4+2.02*G4+46.03*D4)</f>
        <v>2.2425123513342447E-2</v>
      </c>
      <c r="K4" s="12">
        <f t="shared" ref="K4:K61" si="7">44.01*E4/(18.02*H4 + 28.01*F4+44.01*E4+2.02*G4+46.03*D4)</f>
        <v>1.0826149776738466E-3</v>
      </c>
      <c r="L4" s="12">
        <f t="shared" ref="L4:L61" si="8">28.01*F4/(18.02*H4 + 28.01*F4+44.01*E4+2.02*G4+46.03*D4)</f>
        <v>3.1261513925685248E-3</v>
      </c>
      <c r="M4" s="14">
        <f t="shared" ref="M4:M61" si="9">2.02*G4/(18.02*H4 + 28.01*F4+44.01*E4+2.02*G4+46.03*D4)</f>
        <v>4.0254621630213468E-5</v>
      </c>
      <c r="N4" s="8">
        <f t="shared" si="1"/>
        <v>4.249020991872585E-3</v>
      </c>
      <c r="O4" s="1">
        <f t="shared" si="2"/>
        <v>0.1180283608853496</v>
      </c>
      <c r="P4" s="20"/>
      <c r="Q4" s="20"/>
      <c r="R4" s="20"/>
      <c r="S4" s="19">
        <f t="shared" si="3"/>
        <v>0.96561074057570007</v>
      </c>
      <c r="T4" s="18">
        <f t="shared" si="4"/>
        <v>7.9898810099036967E-3</v>
      </c>
    </row>
    <row r="5" spans="1:20" x14ac:dyDescent="0.2">
      <c r="A5" s="1">
        <v>300</v>
      </c>
      <c r="B5" s="1">
        <v>45</v>
      </c>
      <c r="C5" s="6">
        <v>3.5999999999999997E-2</v>
      </c>
      <c r="D5" s="12">
        <v>1.0279099999999999E-2</v>
      </c>
      <c r="E5" s="10">
        <v>8.1860500000000003E-4</v>
      </c>
      <c r="F5" s="10">
        <v>3.7288600000000001E-3</v>
      </c>
      <c r="G5" s="10">
        <v>3.0172499999999997E-4</v>
      </c>
      <c r="H5" s="10">
        <v>1.1738299999999999</v>
      </c>
      <c r="I5" s="13">
        <f t="shared" si="5"/>
        <v>0.97178119891241832</v>
      </c>
      <c r="J5" s="15">
        <f t="shared" si="6"/>
        <v>2.173724834276012E-2</v>
      </c>
      <c r="K5" s="12">
        <f t="shared" si="7"/>
        <v>1.6551382018570005E-3</v>
      </c>
      <c r="L5" s="12">
        <f t="shared" si="8"/>
        <v>4.7984136960954838E-3</v>
      </c>
      <c r="M5" s="14">
        <f t="shared" si="9"/>
        <v>2.8000846869124912E-5</v>
      </c>
      <c r="N5" s="8">
        <f t="shared" si="1"/>
        <v>6.4815527448216087E-3</v>
      </c>
      <c r="O5" s="1">
        <f t="shared" si="2"/>
        <v>0.18004313180060025</v>
      </c>
      <c r="P5" s="20"/>
      <c r="Q5" s="20"/>
      <c r="R5" s="20"/>
      <c r="S5" s="19">
        <f t="shared" si="3"/>
        <v>0.9666863396893286</v>
      </c>
      <c r="T5" s="18">
        <f t="shared" si="4"/>
        <v>5.2704367631046635E-3</v>
      </c>
    </row>
    <row r="6" spans="1:20" x14ac:dyDescent="0.2">
      <c r="A6" s="1">
        <v>300</v>
      </c>
      <c r="B6" s="1">
        <v>55</v>
      </c>
      <c r="C6" s="6">
        <v>3.5999999999999997E-2</v>
      </c>
      <c r="D6" s="12">
        <v>1.0095E-2</v>
      </c>
      <c r="E6" s="10">
        <v>7.6851600000000001E-4</v>
      </c>
      <c r="F6" s="10">
        <v>3.8887399999999999E-3</v>
      </c>
      <c r="G6" s="10">
        <v>4.0946999999999999E-4</v>
      </c>
      <c r="H6" s="10">
        <v>1.16445</v>
      </c>
      <c r="I6" s="13">
        <f t="shared" si="5"/>
        <v>0.97182955451788522</v>
      </c>
      <c r="J6" s="15">
        <f t="shared" si="6"/>
        <v>2.1520966361156253E-2</v>
      </c>
      <c r="K6" s="12">
        <f t="shared" si="7"/>
        <v>1.5664579916091416E-3</v>
      </c>
      <c r="L6" s="12">
        <f t="shared" si="8"/>
        <v>5.0447132660993432E-3</v>
      </c>
      <c r="M6" s="14">
        <f t="shared" si="9"/>
        <v>3.8307863249861396E-5</v>
      </c>
      <c r="N6" s="8">
        <f t="shared" si="1"/>
        <v>6.6494791209583464E-3</v>
      </c>
      <c r="O6" s="1">
        <f t="shared" si="2"/>
        <v>0.18470775335995407</v>
      </c>
      <c r="P6" s="20"/>
      <c r="Q6" s="20"/>
      <c r="R6" s="20"/>
      <c r="S6" s="19">
        <f t="shared" si="3"/>
        <v>0.96684475957275506</v>
      </c>
      <c r="T6" s="18">
        <f t="shared" si="4"/>
        <v>5.1557345641847583E-3</v>
      </c>
    </row>
    <row r="7" spans="1:20" x14ac:dyDescent="0.2">
      <c r="A7" s="1">
        <v>300</v>
      </c>
      <c r="B7" s="1">
        <v>65</v>
      </c>
      <c r="C7" s="6">
        <v>3.5999999999999997E-2</v>
      </c>
      <c r="D7" s="12">
        <v>9.9140900000000004E-3</v>
      </c>
      <c r="E7" s="10">
        <v>1.2462899999999999E-3</v>
      </c>
      <c r="F7" s="10">
        <v>5.0195400000000003E-3</v>
      </c>
      <c r="G7" s="10">
        <v>3.2504000000000002E-4</v>
      </c>
      <c r="H7" s="10">
        <v>1.1659900000000001</v>
      </c>
      <c r="I7" s="13">
        <f t="shared" si="5"/>
        <v>0.96988270515071229</v>
      </c>
      <c r="J7" s="15">
        <f t="shared" si="6"/>
        <v>2.1065095613470718E-2</v>
      </c>
      <c r="K7" s="12">
        <f t="shared" si="7"/>
        <v>2.5318622972403614E-3</v>
      </c>
      <c r="L7" s="12">
        <f t="shared" si="8"/>
        <v>6.490028903480995E-3</v>
      </c>
      <c r="M7" s="14">
        <f t="shared" si="9"/>
        <v>3.0308035095460116E-5</v>
      </c>
      <c r="N7" s="8">
        <f t="shared" si="1"/>
        <v>9.0521992358168178E-3</v>
      </c>
      <c r="O7" s="1">
        <f t="shared" si="2"/>
        <v>0.25144997877268938</v>
      </c>
      <c r="P7" s="20"/>
      <c r="Q7" s="20"/>
      <c r="R7" s="20"/>
      <c r="S7" s="19">
        <f t="shared" si="3"/>
        <v>0.96777438659071902</v>
      </c>
      <c r="T7" s="18">
        <f t="shared" si="4"/>
        <v>2.178522793334579E-3</v>
      </c>
    </row>
    <row r="8" spans="1:20" x14ac:dyDescent="0.2">
      <c r="A8" s="1">
        <v>320</v>
      </c>
      <c r="B8" s="1">
        <v>0</v>
      </c>
      <c r="C8" s="6">
        <v>3.5999999999999997E-2</v>
      </c>
      <c r="D8" s="12">
        <v>1.456E-2</v>
      </c>
      <c r="E8" s="10">
        <v>0</v>
      </c>
      <c r="F8" s="10">
        <v>0</v>
      </c>
      <c r="G8" s="10">
        <v>0</v>
      </c>
      <c r="H8" s="10">
        <f t="shared" si="0"/>
        <v>0.98543999999999998</v>
      </c>
      <c r="I8" s="13">
        <f t="shared" si="5"/>
        <v>0.96363125989210585</v>
      </c>
      <c r="J8" s="15">
        <f t="shared" si="6"/>
        <v>3.6368740107894232E-2</v>
      </c>
      <c r="K8" s="12">
        <f t="shared" si="7"/>
        <v>0</v>
      </c>
      <c r="L8" s="12">
        <f t="shared" si="8"/>
        <v>0</v>
      </c>
      <c r="M8" s="14">
        <f t="shared" si="9"/>
        <v>0</v>
      </c>
      <c r="N8" s="8">
        <f t="shared" si="1"/>
        <v>0</v>
      </c>
      <c r="O8" s="1">
        <f t="shared" si="2"/>
        <v>0</v>
      </c>
      <c r="P8" s="20">
        <v>1.2869999999999999E-2</v>
      </c>
      <c r="Q8" s="20">
        <f t="shared" ref="Q8" si="10">LN(P8)</f>
        <v>-4.3528562573741016</v>
      </c>
      <c r="R8" s="20">
        <f>1/(A8+273.15)</f>
        <v>1.6859141869678834E-3</v>
      </c>
      <c r="S8" s="19">
        <f t="shared" si="3"/>
        <v>0.96360000000000001</v>
      </c>
      <c r="T8" s="18">
        <f t="shared" si="4"/>
        <v>3.2440734854544777E-5</v>
      </c>
    </row>
    <row r="9" spans="1:20" x14ac:dyDescent="0.2">
      <c r="A9" s="1">
        <v>320</v>
      </c>
      <c r="B9" s="1">
        <v>25</v>
      </c>
      <c r="C9" s="6">
        <v>3.5999999999999997E-2</v>
      </c>
      <c r="D9" s="12">
        <v>9.6982800000000001E-3</v>
      </c>
      <c r="E9" s="10">
        <v>6.1688699999999999E-4</v>
      </c>
      <c r="F9" s="10">
        <v>2.7312299999999999E-3</v>
      </c>
      <c r="G9" s="10">
        <v>4.2382100000000001E-4</v>
      </c>
      <c r="H9" s="10">
        <v>1.1451800000000001</v>
      </c>
      <c r="I9" s="13">
        <f t="shared" si="5"/>
        <v>0.97399739128091645</v>
      </c>
      <c r="J9" s="15">
        <f t="shared" si="6"/>
        <v>2.107001989938392E-2</v>
      </c>
      <c r="K9" s="12">
        <f t="shared" si="7"/>
        <v>1.2814044832849497E-3</v>
      </c>
      <c r="L9" s="12">
        <f t="shared" si="8"/>
        <v>3.6107767329463074E-3</v>
      </c>
      <c r="M9" s="14">
        <f t="shared" si="9"/>
        <v>4.0407603468486236E-5</v>
      </c>
      <c r="N9" s="8">
        <f t="shared" si="1"/>
        <v>4.9325888196997437E-3</v>
      </c>
      <c r="O9" s="1">
        <f t="shared" si="2"/>
        <v>0.13701635610277066</v>
      </c>
      <c r="P9" s="20"/>
      <c r="Q9" s="20"/>
      <c r="R9" s="20"/>
      <c r="S9" s="19">
        <f t="shared" si="3"/>
        <v>0.96592245159463108</v>
      </c>
      <c r="T9" s="18">
        <f t="shared" si="4"/>
        <v>8.3598219225099624E-3</v>
      </c>
    </row>
    <row r="10" spans="1:20" x14ac:dyDescent="0.2">
      <c r="A10" s="1">
        <v>320</v>
      </c>
      <c r="B10" s="1">
        <v>30</v>
      </c>
      <c r="C10" s="6">
        <v>3.5999999999999997E-2</v>
      </c>
      <c r="D10" s="12">
        <v>9.6328100000000003E-3</v>
      </c>
      <c r="E10" s="10">
        <v>8.4620799999999999E-4</v>
      </c>
      <c r="F10" s="10">
        <v>3.3171099999999999E-3</v>
      </c>
      <c r="G10" s="10">
        <v>3.15602E-4</v>
      </c>
      <c r="H10" s="10">
        <v>1.1211599999999999</v>
      </c>
      <c r="I10" s="13">
        <f t="shared" si="5"/>
        <v>0.97236482619237152</v>
      </c>
      <c r="J10" s="15">
        <f t="shared" si="6"/>
        <v>2.1340315119993462E-2</v>
      </c>
      <c r="K10" s="12">
        <f t="shared" si="7"/>
        <v>1.7924017297341051E-3</v>
      </c>
      <c r="L10" s="12">
        <f t="shared" si="8"/>
        <v>4.4717739469451456E-3</v>
      </c>
      <c r="M10" s="14">
        <f t="shared" si="9"/>
        <v>3.0683010955824746E-5</v>
      </c>
      <c r="N10" s="8">
        <f t="shared" si="1"/>
        <v>6.294858687635076E-3</v>
      </c>
      <c r="O10" s="1">
        <f t="shared" si="2"/>
        <v>0.174857185767641</v>
      </c>
      <c r="P10" s="20"/>
      <c r="Q10" s="20"/>
      <c r="R10" s="20"/>
      <c r="S10" s="19">
        <f t="shared" si="3"/>
        <v>0.96647624500267515</v>
      </c>
      <c r="T10" s="18">
        <f t="shared" si="4"/>
        <v>6.0928359286058541E-3</v>
      </c>
    </row>
    <row r="11" spans="1:20" x14ac:dyDescent="0.2">
      <c r="A11" s="1">
        <v>320</v>
      </c>
      <c r="B11" s="1">
        <v>40</v>
      </c>
      <c r="C11" s="6">
        <v>3.5999999999999997E-2</v>
      </c>
      <c r="D11" s="12">
        <v>9.2132700000000008E-3</v>
      </c>
      <c r="E11" s="10">
        <v>1.26914E-3</v>
      </c>
      <c r="F11" s="10">
        <v>4.8065900000000003E-3</v>
      </c>
      <c r="G11" s="10">
        <v>3.31243E-4</v>
      </c>
      <c r="H11" s="10">
        <v>1.10755</v>
      </c>
      <c r="I11" s="13">
        <f t="shared" si="5"/>
        <v>0.97009504869239649</v>
      </c>
      <c r="J11" s="15">
        <f t="shared" si="6"/>
        <v>2.0613461828237787E-2</v>
      </c>
      <c r="K11" s="12">
        <f t="shared" si="7"/>
        <v>2.714920148695359E-3</v>
      </c>
      <c r="L11" s="12">
        <f t="shared" si="8"/>
        <v>6.5440460581167852E-3</v>
      </c>
      <c r="M11" s="14">
        <f t="shared" si="9"/>
        <v>3.252327255363318E-5</v>
      </c>
      <c r="N11" s="8">
        <f t="shared" si="1"/>
        <v>9.291489479365778E-3</v>
      </c>
      <c r="O11" s="1">
        <f t="shared" si="2"/>
        <v>0.25809692998238276</v>
      </c>
      <c r="P11" s="20"/>
      <c r="Q11" s="20"/>
      <c r="R11" s="20"/>
      <c r="S11" s="19">
        <f t="shared" si="3"/>
        <v>0.96780913042458072</v>
      </c>
      <c r="T11" s="18">
        <f t="shared" si="4"/>
        <v>2.3619515418426859E-3</v>
      </c>
    </row>
    <row r="12" spans="1:20" x14ac:dyDescent="0.2">
      <c r="A12" s="1">
        <v>320</v>
      </c>
      <c r="B12" s="1">
        <v>50</v>
      </c>
      <c r="C12" s="6">
        <v>3.5999999999999997E-2</v>
      </c>
      <c r="D12" s="12">
        <v>8.7494500000000006E-3</v>
      </c>
      <c r="E12" s="10">
        <v>2.0260299999999998E-3</v>
      </c>
      <c r="F12" s="10">
        <v>5.6285500000000004E-3</v>
      </c>
      <c r="G12" s="10">
        <v>4.3320099999999997E-4</v>
      </c>
      <c r="H12" s="10">
        <v>1.1314599999999999</v>
      </c>
      <c r="I12" s="13">
        <f t="shared" si="5"/>
        <v>0.96908489375733287</v>
      </c>
      <c r="J12" s="15">
        <f t="shared" si="6"/>
        <v>1.9142099111620205E-2</v>
      </c>
      <c r="K12" s="12">
        <f t="shared" si="7"/>
        <v>4.2380402043203196E-3</v>
      </c>
      <c r="L12" s="12">
        <f t="shared" si="8"/>
        <v>7.4933750371013975E-3</v>
      </c>
      <c r="M12" s="14">
        <f t="shared" si="9"/>
        <v>4.1591889625088537E-5</v>
      </c>
      <c r="N12" s="8">
        <f t="shared" si="1"/>
        <v>1.1773007131046806E-2</v>
      </c>
      <c r="O12" s="1">
        <f t="shared" si="2"/>
        <v>0.32702797586241128</v>
      </c>
      <c r="P12" s="20"/>
      <c r="Q12" s="20"/>
      <c r="R12" s="20"/>
      <c r="S12" s="19">
        <f t="shared" si="3"/>
        <v>0.96841973882386367</v>
      </c>
      <c r="T12" s="18">
        <f t="shared" si="4"/>
        <v>6.8684570006494921E-4</v>
      </c>
    </row>
    <row r="13" spans="1:20" x14ac:dyDescent="0.2">
      <c r="A13" s="1">
        <v>320</v>
      </c>
      <c r="B13" s="1">
        <v>60</v>
      </c>
      <c r="C13" s="6">
        <v>3.5999999999999997E-2</v>
      </c>
      <c r="D13" s="12">
        <v>8.2139699999999993E-3</v>
      </c>
      <c r="E13" s="10">
        <v>2.4924399999999998E-3</v>
      </c>
      <c r="F13" s="10">
        <v>5.8146700000000001E-3</v>
      </c>
      <c r="G13" s="10">
        <v>8.3792600000000001E-4</v>
      </c>
      <c r="H13" s="10">
        <v>1.13137</v>
      </c>
      <c r="I13" s="13">
        <f t="shared" si="5"/>
        <v>0.96899456724018551</v>
      </c>
      <c r="J13" s="15">
        <f t="shared" si="6"/>
        <v>1.7970327176579759E-2</v>
      </c>
      <c r="K13" s="12">
        <f t="shared" si="7"/>
        <v>5.2136032404078124E-3</v>
      </c>
      <c r="L13" s="12">
        <f t="shared" si="8"/>
        <v>7.7410536609519064E-3</v>
      </c>
      <c r="M13" s="14">
        <f t="shared" si="9"/>
        <v>8.0448681874842532E-5</v>
      </c>
      <c r="N13" s="8">
        <f t="shared" si="1"/>
        <v>1.3035105583234561E-2</v>
      </c>
      <c r="O13" s="1">
        <f t="shared" si="2"/>
        <v>0.36208626620096007</v>
      </c>
      <c r="P13" s="20"/>
      <c r="Q13" s="20"/>
      <c r="R13" s="20"/>
      <c r="S13" s="19">
        <f t="shared" si="3"/>
        <v>0.96857904571472431</v>
      </c>
      <c r="T13" s="18">
        <f t="shared" si="4"/>
        <v>4.2900115101559606E-4</v>
      </c>
    </row>
    <row r="14" spans="1:20" x14ac:dyDescent="0.2">
      <c r="A14" s="1">
        <v>340</v>
      </c>
      <c r="B14" s="1">
        <v>0</v>
      </c>
      <c r="C14" s="6">
        <v>3.5999999999999997E-2</v>
      </c>
      <c r="D14" s="12">
        <v>1.456E-2</v>
      </c>
      <c r="E14" s="10">
        <v>0</v>
      </c>
      <c r="F14" s="10">
        <v>0</v>
      </c>
      <c r="G14" s="10">
        <v>0</v>
      </c>
      <c r="H14" s="10">
        <f t="shared" si="0"/>
        <v>0.98543999999999998</v>
      </c>
      <c r="I14" s="13">
        <f t="shared" si="5"/>
        <v>0.96363125989210585</v>
      </c>
      <c r="J14" s="15">
        <f t="shared" si="6"/>
        <v>3.6368740107894232E-2</v>
      </c>
      <c r="K14" s="12">
        <f t="shared" si="7"/>
        <v>0</v>
      </c>
      <c r="L14" s="12">
        <f t="shared" si="8"/>
        <v>0</v>
      </c>
      <c r="M14" s="14">
        <f t="shared" si="9"/>
        <v>0</v>
      </c>
      <c r="N14" s="8">
        <f t="shared" si="1"/>
        <v>0</v>
      </c>
      <c r="O14" s="1">
        <f t="shared" si="2"/>
        <v>0</v>
      </c>
      <c r="P14" s="20">
        <v>1.5959999999999998E-2</v>
      </c>
      <c r="Q14" s="20">
        <f t="shared" ref="Q14" si="11">LN(P14)</f>
        <v>-4.1376696869604741</v>
      </c>
      <c r="R14" s="20">
        <f>1/(A14+273.15)</f>
        <v>1.6309222865530458E-3</v>
      </c>
      <c r="S14" s="19">
        <f t="shared" si="3"/>
        <v>0.96360000000000001</v>
      </c>
      <c r="T14" s="18">
        <f t="shared" si="4"/>
        <v>3.2440734854544777E-5</v>
      </c>
    </row>
    <row r="15" spans="1:20" x14ac:dyDescent="0.2">
      <c r="A15" s="1">
        <v>340</v>
      </c>
      <c r="B15" s="1">
        <v>20</v>
      </c>
      <c r="C15" s="6">
        <v>3.5999999999999997E-2</v>
      </c>
      <c r="D15" s="12">
        <v>8.6209400000000005E-3</v>
      </c>
      <c r="E15" s="10">
        <v>1.06773E-3</v>
      </c>
      <c r="F15" s="10">
        <v>3.1026000000000001E-3</v>
      </c>
      <c r="G15" s="10">
        <v>0</v>
      </c>
      <c r="H15" s="10">
        <v>1.0924199999999999</v>
      </c>
      <c r="I15" s="13">
        <f t="shared" si="5"/>
        <v>0.9737478624440461</v>
      </c>
      <c r="J15" s="15">
        <f t="shared" si="6"/>
        <v>1.9628977874332699E-2</v>
      </c>
      <c r="K15" s="12">
        <f t="shared" si="7"/>
        <v>2.3244215967303198E-3</v>
      </c>
      <c r="L15" s="12">
        <f t="shared" si="8"/>
        <v>4.2987380848908026E-3</v>
      </c>
      <c r="M15" s="14">
        <f t="shared" si="9"/>
        <v>0</v>
      </c>
      <c r="N15" s="8">
        <f t="shared" si="1"/>
        <v>6.6231596816211224E-3</v>
      </c>
      <c r="O15" s="1">
        <f t="shared" si="2"/>
        <v>0.18397665782280898</v>
      </c>
      <c r="P15" s="20"/>
      <c r="Q15" s="20"/>
      <c r="R15" s="20"/>
      <c r="S15" s="19">
        <f t="shared" si="3"/>
        <v>0.96636494833620179</v>
      </c>
      <c r="T15" s="18">
        <f t="shared" si="4"/>
        <v>7.6398819313092106E-3</v>
      </c>
    </row>
    <row r="16" spans="1:20" x14ac:dyDescent="0.2">
      <c r="A16" s="1">
        <v>340</v>
      </c>
      <c r="B16" s="1">
        <v>30</v>
      </c>
      <c r="C16" s="6">
        <v>3.5999999999999997E-2</v>
      </c>
      <c r="D16" s="12">
        <v>8.84156E-3</v>
      </c>
      <c r="E16" s="10">
        <v>1.77838E-3</v>
      </c>
      <c r="F16" s="10">
        <v>5.3210200000000001E-3</v>
      </c>
      <c r="G16" s="10">
        <v>3.8216299999999998E-4</v>
      </c>
      <c r="H16" s="10">
        <v>1.1020799999999999</v>
      </c>
      <c r="I16" s="13">
        <f t="shared" si="5"/>
        <v>0.96901334278823559</v>
      </c>
      <c r="J16" s="15">
        <f t="shared" si="6"/>
        <v>1.985782699369245E-2</v>
      </c>
      <c r="K16" s="12">
        <f t="shared" si="7"/>
        <v>3.8188955786029252E-3</v>
      </c>
      <c r="L16" s="12">
        <f t="shared" si="8"/>
        <v>7.2722675679801254E-3</v>
      </c>
      <c r="M16" s="14">
        <f t="shared" si="9"/>
        <v>3.7667071489034267E-5</v>
      </c>
      <c r="N16" s="8">
        <f t="shared" si="1"/>
        <v>1.1128830218072086E-2</v>
      </c>
      <c r="O16" s="1">
        <f t="shared" si="2"/>
        <v>0.30913417272422461</v>
      </c>
      <c r="P16" s="20"/>
      <c r="Q16" s="20"/>
      <c r="R16" s="20"/>
      <c r="S16" s="19">
        <f t="shared" si="3"/>
        <v>0.96827752249972487</v>
      </c>
      <c r="T16" s="18">
        <f t="shared" si="4"/>
        <v>7.5992705749391445E-4</v>
      </c>
    </row>
    <row r="17" spans="1:39" x14ac:dyDescent="0.2">
      <c r="A17" s="1">
        <v>340</v>
      </c>
      <c r="B17" s="1">
        <v>40</v>
      </c>
      <c r="C17" s="6">
        <v>3.5999999999999997E-2</v>
      </c>
      <c r="D17" s="12">
        <v>7.9298200000000006E-3</v>
      </c>
      <c r="E17" s="10">
        <v>2.67001E-3</v>
      </c>
      <c r="F17" s="10">
        <v>5.6628399999999997E-3</v>
      </c>
      <c r="G17" s="10">
        <v>1.12162E-3</v>
      </c>
      <c r="H17" s="10">
        <v>1.1046499999999999</v>
      </c>
      <c r="I17" s="13">
        <f t="shared" si="5"/>
        <v>0.96868983516280516</v>
      </c>
      <c r="J17" s="15">
        <f t="shared" si="6"/>
        <v>1.776272381611288E-2</v>
      </c>
      <c r="K17" s="12">
        <f t="shared" si="7"/>
        <v>5.7183339630790721E-3</v>
      </c>
      <c r="L17" s="12">
        <f t="shared" si="8"/>
        <v>7.7188510223006454E-3</v>
      </c>
      <c r="M17" s="14">
        <f t="shared" si="9"/>
        <v>1.102560357022158E-4</v>
      </c>
      <c r="N17" s="8">
        <f t="shared" si="1"/>
        <v>1.3547441021081932E-2</v>
      </c>
      <c r="O17" s="1">
        <f t="shared" si="2"/>
        <v>0.37631780614116478</v>
      </c>
      <c r="P17" s="20"/>
      <c r="Q17" s="20"/>
      <c r="R17" s="20"/>
      <c r="S17" s="19">
        <f t="shared" si="3"/>
        <v>0.96856476497754374</v>
      </c>
      <c r="T17" s="18">
        <f t="shared" si="4"/>
        <v>1.2912939824351547E-4</v>
      </c>
    </row>
    <row r="18" spans="1:39" x14ac:dyDescent="0.2">
      <c r="A18" s="1">
        <v>340</v>
      </c>
      <c r="B18" s="1">
        <v>50</v>
      </c>
      <c r="C18" s="6">
        <v>3.5999999999999997E-2</v>
      </c>
      <c r="D18" s="12">
        <v>7.3369000000000004E-3</v>
      </c>
      <c r="E18" s="10">
        <v>3.3230400000000002E-3</v>
      </c>
      <c r="F18" s="10">
        <v>6.2297899999999998E-3</v>
      </c>
      <c r="G18" s="10">
        <v>1.7621099999999999E-3</v>
      </c>
      <c r="H18" s="10">
        <v>1.1090530000000001</v>
      </c>
      <c r="I18" s="13">
        <f t="shared" si="5"/>
        <v>0.96793648502797547</v>
      </c>
      <c r="J18" s="15">
        <f t="shared" si="6"/>
        <v>1.6356611835576493E-2</v>
      </c>
      <c r="K18" s="12">
        <f t="shared" si="7"/>
        <v>7.0831544249616929E-3</v>
      </c>
      <c r="L18" s="12">
        <f t="shared" si="8"/>
        <v>8.4513539130467458E-3</v>
      </c>
      <c r="M18" s="14">
        <f t="shared" si="9"/>
        <v>1.723947984396531E-4</v>
      </c>
      <c r="N18" s="8">
        <f t="shared" si="1"/>
        <v>1.5706903136448094E-2</v>
      </c>
      <c r="O18" s="1">
        <f t="shared" si="2"/>
        <v>0.43630286490133596</v>
      </c>
      <c r="P18" s="20"/>
      <c r="Q18" s="20"/>
      <c r="R18" s="20"/>
      <c r="S18" s="19">
        <f t="shared" si="3"/>
        <v>0.96903591083687168</v>
      </c>
      <c r="T18" s="18">
        <f t="shared" si="4"/>
        <v>1.1345563116920373E-3</v>
      </c>
    </row>
    <row r="19" spans="1:39" x14ac:dyDescent="0.2">
      <c r="A19" s="1">
        <v>340</v>
      </c>
      <c r="B19" s="1">
        <v>60</v>
      </c>
      <c r="C19" s="6">
        <v>3.5999999999999997E-2</v>
      </c>
      <c r="D19" s="12">
        <v>6.6712300000000002E-3</v>
      </c>
      <c r="E19" s="10">
        <v>3.8945300000000002E-3</v>
      </c>
      <c r="F19" s="10">
        <v>6.2323999999999999E-3</v>
      </c>
      <c r="G19" s="10">
        <v>2.0735200000000001E-3</v>
      </c>
      <c r="H19" s="10">
        <v>1.0763400000000001</v>
      </c>
      <c r="I19" s="13">
        <f t="shared" si="5"/>
        <v>0.96722500595371186</v>
      </c>
      <c r="J19" s="15">
        <f t="shared" si="6"/>
        <v>1.531334749464755E-2</v>
      </c>
      <c r="K19" s="12">
        <f t="shared" si="7"/>
        <v>8.547314244516371E-3</v>
      </c>
      <c r="L19" s="12">
        <f t="shared" si="8"/>
        <v>8.7054590461111431E-3</v>
      </c>
      <c r="M19" s="14">
        <f t="shared" si="9"/>
        <v>2.0887326101324882E-4</v>
      </c>
      <c r="N19" s="8">
        <f t="shared" si="1"/>
        <v>1.7461646551640762E-2</v>
      </c>
      <c r="O19" s="1">
        <f t="shared" si="2"/>
        <v>0.48504573754557673</v>
      </c>
      <c r="P19" s="20"/>
      <c r="Q19" s="20"/>
      <c r="R19" s="20"/>
      <c r="S19" s="19">
        <f t="shared" si="3"/>
        <v>0.96919935125845869</v>
      </c>
      <c r="T19" s="18">
        <f t="shared" si="4"/>
        <v>2.0370889664579686E-3</v>
      </c>
      <c r="AL19" s="11"/>
    </row>
    <row r="20" spans="1:39" x14ac:dyDescent="0.2">
      <c r="A20" s="1">
        <v>360</v>
      </c>
      <c r="B20" s="1">
        <v>0</v>
      </c>
      <c r="C20" s="6">
        <v>3.5999999999999997E-2</v>
      </c>
      <c r="D20" s="12">
        <v>1.456E-2</v>
      </c>
      <c r="E20" s="10">
        <v>0</v>
      </c>
      <c r="F20" s="10">
        <v>0</v>
      </c>
      <c r="G20" s="10">
        <v>0</v>
      </c>
      <c r="H20" s="10">
        <f t="shared" si="0"/>
        <v>0.98543999999999998</v>
      </c>
      <c r="I20" s="13">
        <f t="shared" si="5"/>
        <v>0.96363125989210585</v>
      </c>
      <c r="J20" s="15">
        <f t="shared" si="6"/>
        <v>3.6368740107894232E-2</v>
      </c>
      <c r="K20" s="12">
        <f t="shared" si="7"/>
        <v>0</v>
      </c>
      <c r="L20" s="12">
        <f t="shared" si="8"/>
        <v>0</v>
      </c>
      <c r="M20" s="14">
        <f t="shared" si="9"/>
        <v>0</v>
      </c>
      <c r="N20" s="8">
        <f t="shared" si="1"/>
        <v>0</v>
      </c>
      <c r="O20" s="1">
        <f t="shared" si="2"/>
        <v>0</v>
      </c>
      <c r="P20" s="20">
        <v>2.0400000000000001E-2</v>
      </c>
      <c r="Q20" s="20">
        <f t="shared" ref="Q20" si="12">LN(P20)</f>
        <v>-3.8922203781319662</v>
      </c>
      <c r="R20" s="20">
        <f>1/(360+273.15)</f>
        <v>1.5794045644791914E-3</v>
      </c>
      <c r="S20" s="19">
        <f t="shared" si="3"/>
        <v>0.96360000000000001</v>
      </c>
      <c r="T20" s="18">
        <f t="shared" si="4"/>
        <v>3.2440734854544777E-5</v>
      </c>
      <c r="AL20" s="11"/>
    </row>
    <row r="21" spans="1:39" x14ac:dyDescent="0.2">
      <c r="A21" s="1">
        <v>360</v>
      </c>
      <c r="B21" s="1">
        <v>20</v>
      </c>
      <c r="C21" s="6">
        <v>3.5999999999999997E-2</v>
      </c>
      <c r="D21" s="12">
        <v>8.5272799999999999E-3</v>
      </c>
      <c r="E21" s="10">
        <v>1.91746E-3</v>
      </c>
      <c r="F21" s="10">
        <v>4.6328200000000002E-3</v>
      </c>
      <c r="G21" s="10">
        <v>3.4351999999999999E-4</v>
      </c>
      <c r="H21" s="10">
        <v>1.1280699999999999</v>
      </c>
      <c r="I21" s="13">
        <f t="shared" si="5"/>
        <v>0.97098867318178339</v>
      </c>
      <c r="J21" s="15">
        <f t="shared" si="6"/>
        <v>1.8748858264224576E-2</v>
      </c>
      <c r="K21" s="12">
        <f t="shared" si="7"/>
        <v>4.0308905771719861E-3</v>
      </c>
      <c r="L21" s="12">
        <f t="shared" si="8"/>
        <v>6.1984323127892973E-3</v>
      </c>
      <c r="M21" s="14">
        <f t="shared" si="9"/>
        <v>3.3145664030826278E-5</v>
      </c>
      <c r="N21" s="8">
        <f t="shared" si="1"/>
        <v>1.0262468553992111E-2</v>
      </c>
      <c r="O21" s="1">
        <f t="shared" si="2"/>
        <v>0.28506857094422533</v>
      </c>
      <c r="P21" s="20"/>
      <c r="Q21" s="20"/>
      <c r="R21" s="20"/>
      <c r="S21" s="19">
        <f t="shared" si="3"/>
        <v>0.96758683166358606</v>
      </c>
      <c r="T21" s="18">
        <f t="shared" si="4"/>
        <v>3.5157997265718257E-3</v>
      </c>
      <c r="AL21" s="11"/>
    </row>
    <row r="22" spans="1:39" x14ac:dyDescent="0.2">
      <c r="A22" s="1">
        <v>360</v>
      </c>
      <c r="B22" s="1">
        <v>30</v>
      </c>
      <c r="C22" s="6">
        <v>3.5999999999999997E-2</v>
      </c>
      <c r="D22" s="12">
        <v>7.6322899999999999E-3</v>
      </c>
      <c r="E22" s="10">
        <v>3.0323500000000001E-3</v>
      </c>
      <c r="F22" s="10">
        <v>5.1020800000000002E-3</v>
      </c>
      <c r="G22" s="10">
        <v>1.13989E-3</v>
      </c>
      <c r="H22" s="10">
        <v>1.07952</v>
      </c>
      <c r="I22" s="13">
        <f t="shared" si="5"/>
        <v>0.96863107811931348</v>
      </c>
      <c r="J22" s="15">
        <f t="shared" si="6"/>
        <v>1.7493179728398544E-2</v>
      </c>
      <c r="K22" s="12">
        <f t="shared" si="7"/>
        <v>6.6451320450003192E-3</v>
      </c>
      <c r="L22" s="12">
        <f t="shared" si="8"/>
        <v>7.1159566294857861E-3</v>
      </c>
      <c r="M22" s="14">
        <f t="shared" si="9"/>
        <v>1.146534778018864E-4</v>
      </c>
      <c r="N22" s="8">
        <f t="shared" si="1"/>
        <v>1.3875742152287991E-2</v>
      </c>
      <c r="O22" s="1">
        <f t="shared" si="2"/>
        <v>0.38543728200799976</v>
      </c>
      <c r="P22" s="20"/>
      <c r="Q22" s="20"/>
      <c r="R22" s="20"/>
      <c r="S22" s="19">
        <f t="shared" si="3"/>
        <v>0.9681769833040853</v>
      </c>
      <c r="T22" s="18">
        <f t="shared" si="4"/>
        <v>4.6902046119552969E-4</v>
      </c>
      <c r="AF22" s="2" t="s">
        <v>7</v>
      </c>
      <c r="AG22" s="1">
        <v>1.9870000000000001E-3</v>
      </c>
      <c r="AL22" s="11"/>
    </row>
    <row r="23" spans="1:39" x14ac:dyDescent="0.2">
      <c r="A23" s="1">
        <v>360</v>
      </c>
      <c r="B23" s="1">
        <v>40</v>
      </c>
      <c r="C23" s="6">
        <v>3.5999999999999997E-2</v>
      </c>
      <c r="D23" s="12">
        <v>6.6219199999999999E-3</v>
      </c>
      <c r="E23" s="10">
        <v>3.7150999999999998E-3</v>
      </c>
      <c r="F23" s="10">
        <v>5.5310899999999998E-3</v>
      </c>
      <c r="G23" s="10">
        <v>1.8672599999999999E-3</v>
      </c>
      <c r="H23" s="10">
        <v>1.06759</v>
      </c>
      <c r="I23" s="13">
        <f t="shared" si="5"/>
        <v>0.96843660114195018</v>
      </c>
      <c r="J23" s="15">
        <f t="shared" si="6"/>
        <v>1.5343937316266081E-2</v>
      </c>
      <c r="K23" s="12">
        <f t="shared" si="7"/>
        <v>8.2306434367409361E-3</v>
      </c>
      <c r="L23" s="12">
        <f t="shared" si="8"/>
        <v>7.7989429793159657E-3</v>
      </c>
      <c r="M23" s="14">
        <f t="shared" si="9"/>
        <v>1.8987512572679838E-4</v>
      </c>
      <c r="N23" s="8">
        <f t="shared" si="1"/>
        <v>1.6219461541783702E-2</v>
      </c>
      <c r="O23" s="1">
        <f t="shared" si="2"/>
        <v>0.45054059838288063</v>
      </c>
      <c r="P23" s="20"/>
      <c r="Q23" s="20"/>
      <c r="R23" s="20"/>
      <c r="S23" s="19">
        <f t="shared" si="3"/>
        <v>0.96861628012429601</v>
      </c>
      <c r="T23" s="18">
        <f t="shared" si="4"/>
        <v>1.8550068384435501E-4</v>
      </c>
      <c r="AL23" s="11"/>
    </row>
    <row r="24" spans="1:39" x14ac:dyDescent="0.2">
      <c r="A24" s="1">
        <v>360</v>
      </c>
      <c r="B24" s="1">
        <v>50</v>
      </c>
      <c r="C24" s="6">
        <v>3.5999999999999997E-2</v>
      </c>
      <c r="D24" s="12">
        <v>5.65651E-3</v>
      </c>
      <c r="E24" s="10">
        <v>4.06734E-3</v>
      </c>
      <c r="F24" s="10">
        <v>5.5948999999999999E-3</v>
      </c>
      <c r="G24" s="10">
        <v>2.4548600000000001E-3</v>
      </c>
      <c r="H24" s="10">
        <v>1.05</v>
      </c>
      <c r="I24" s="13">
        <f t="shared" si="5"/>
        <v>0.96921199790052004</v>
      </c>
      <c r="J24" s="15">
        <f t="shared" si="6"/>
        <v>1.3337186681464181E-2</v>
      </c>
      <c r="K24" s="12">
        <f t="shared" si="7"/>
        <v>9.1693076031428723E-3</v>
      </c>
      <c r="L24" s="12">
        <f t="shared" si="8"/>
        <v>8.0274966566022884E-3</v>
      </c>
      <c r="M24" s="14">
        <f t="shared" si="9"/>
        <v>2.5401115827046472E-4</v>
      </c>
      <c r="N24" s="8">
        <f t="shared" si="1"/>
        <v>1.7450815418015624E-2</v>
      </c>
      <c r="O24" s="1">
        <f t="shared" si="2"/>
        <v>0.48474487272265626</v>
      </c>
      <c r="P24" s="20"/>
      <c r="Q24" s="20"/>
      <c r="R24" s="20"/>
      <c r="S24" s="19">
        <f t="shared" si="3"/>
        <v>0.96876328584952665</v>
      </c>
      <c r="T24" s="18">
        <f t="shared" si="4"/>
        <v>4.631802810321305E-4</v>
      </c>
      <c r="AF24" s="21" t="s">
        <v>14</v>
      </c>
      <c r="AG24" s="21"/>
      <c r="AH24" s="21"/>
      <c r="AI24" s="5"/>
      <c r="AL24" s="11"/>
    </row>
    <row r="25" spans="1:39" ht="18" x14ac:dyDescent="0.25">
      <c r="A25" s="1">
        <v>360</v>
      </c>
      <c r="B25" s="1">
        <v>60</v>
      </c>
      <c r="C25" s="6">
        <v>3.5999999999999997E-2</v>
      </c>
      <c r="D25" s="12">
        <v>5.0339199999999999E-3</v>
      </c>
      <c r="E25" s="10">
        <v>4.8588800000000003E-3</v>
      </c>
      <c r="F25" s="10">
        <v>5.4237599999999997E-3</v>
      </c>
      <c r="G25" s="10">
        <v>3.41829E-3</v>
      </c>
      <c r="H25" s="10">
        <v>0.98924299999999998</v>
      </c>
      <c r="I25" s="13">
        <f t="shared" si="5"/>
        <v>0.96720794357937112</v>
      </c>
      <c r="J25" s="15">
        <f t="shared" si="6"/>
        <v>1.2572144571594007E-2</v>
      </c>
      <c r="K25" s="12">
        <f t="shared" si="7"/>
        <v>1.160244782654664E-2</v>
      </c>
      <c r="L25" s="12">
        <f t="shared" si="8"/>
        <v>8.2428169389412737E-3</v>
      </c>
      <c r="M25" s="14">
        <f t="shared" si="9"/>
        <v>3.7464708354702811E-4</v>
      </c>
      <c r="N25" s="8">
        <f t="shared" si="1"/>
        <v>2.0219911849034943E-2</v>
      </c>
      <c r="O25" s="1">
        <f t="shared" si="2"/>
        <v>0.56166421802874844</v>
      </c>
      <c r="P25" s="20"/>
      <c r="Q25" s="20"/>
      <c r="R25" s="20"/>
      <c r="S25" s="19">
        <f t="shared" si="3"/>
        <v>0.96890177985512704</v>
      </c>
      <c r="T25" s="18">
        <f t="shared" si="4"/>
        <v>1.7482022543184816E-3</v>
      </c>
      <c r="AF25" s="2" t="s">
        <v>13</v>
      </c>
      <c r="AG25" s="2" t="s">
        <v>9</v>
      </c>
      <c r="AH25" s="2" t="s">
        <v>11</v>
      </c>
      <c r="AI25" s="5"/>
      <c r="AL25" s="11"/>
    </row>
    <row r="26" spans="1:39" x14ac:dyDescent="0.2">
      <c r="A26" s="1">
        <v>380</v>
      </c>
      <c r="B26" s="1">
        <v>0</v>
      </c>
      <c r="C26" s="6">
        <v>3.5999999999999997E-2</v>
      </c>
      <c r="D26" s="12">
        <v>1.456E-2</v>
      </c>
      <c r="E26" s="10">
        <v>0</v>
      </c>
      <c r="F26" s="10">
        <v>0</v>
      </c>
      <c r="G26" s="10">
        <v>0</v>
      </c>
      <c r="H26" s="10">
        <f t="shared" si="0"/>
        <v>0.98543999999999998</v>
      </c>
      <c r="I26" s="13">
        <f t="shared" si="5"/>
        <v>0.96363125989210585</v>
      </c>
      <c r="J26" s="15">
        <f t="shared" si="6"/>
        <v>3.6368740107894232E-2</v>
      </c>
      <c r="K26" s="12">
        <f t="shared" si="7"/>
        <v>0</v>
      </c>
      <c r="L26" s="12">
        <f t="shared" si="8"/>
        <v>0</v>
      </c>
      <c r="M26" s="14">
        <f t="shared" si="9"/>
        <v>0</v>
      </c>
      <c r="N26" s="8">
        <f t="shared" si="1"/>
        <v>0</v>
      </c>
      <c r="O26" s="1">
        <f t="shared" si="2"/>
        <v>0</v>
      </c>
      <c r="P26" s="20">
        <v>2.7629999999999998E-2</v>
      </c>
      <c r="Q26" s="20">
        <f t="shared" ref="Q26" si="13">LN(P26)</f>
        <v>-3.5888531400468118</v>
      </c>
      <c r="R26" s="20">
        <f>1/(380+273.15)</f>
        <v>1.5310418739952539E-3</v>
      </c>
      <c r="S26" s="19">
        <f t="shared" si="3"/>
        <v>0.96360000000000001</v>
      </c>
      <c r="T26" s="18">
        <f t="shared" si="4"/>
        <v>3.2440734854544777E-5</v>
      </c>
      <c r="AF26" s="3">
        <f>LOG10(EXP(3.6884))</f>
        <v>1.6018517670519541</v>
      </c>
      <c r="AG26" s="1">
        <v>4793.8999999999996</v>
      </c>
      <c r="AH26" s="3">
        <f>AG26*AG22</f>
        <v>9.5254792999999989</v>
      </c>
      <c r="AI26" s="3"/>
      <c r="AJ26" s="6"/>
      <c r="AK26" s="6"/>
      <c r="AL26" s="6"/>
      <c r="AM26" s="6"/>
    </row>
    <row r="27" spans="1:39" x14ac:dyDescent="0.2">
      <c r="A27" s="1">
        <v>380</v>
      </c>
      <c r="B27" s="1">
        <v>15</v>
      </c>
      <c r="C27" s="6">
        <v>3.5999999999999997E-2</v>
      </c>
      <c r="D27" s="12">
        <v>8.0270399999999992E-3</v>
      </c>
      <c r="E27" s="10">
        <v>2.8311E-3</v>
      </c>
      <c r="F27" s="10">
        <v>3.4594500000000002E-3</v>
      </c>
      <c r="G27" s="10">
        <v>4.8157700000000001E-4</v>
      </c>
      <c r="H27" s="10">
        <v>1.10104</v>
      </c>
      <c r="I27" s="13">
        <f t="shared" si="5"/>
        <v>0.97102910961622679</v>
      </c>
      <c r="J27" s="15">
        <f t="shared" si="6"/>
        <v>1.8083011893971122E-2</v>
      </c>
      <c r="K27" s="12">
        <f t="shared" si="7"/>
        <v>6.0979090732055903E-3</v>
      </c>
      <c r="L27" s="12">
        <f t="shared" si="8"/>
        <v>4.7423601520899155E-3</v>
      </c>
      <c r="M27" s="14">
        <f t="shared" si="9"/>
        <v>4.7609264506582359E-5</v>
      </c>
      <c r="N27" s="8">
        <f t="shared" si="1"/>
        <v>1.0887878489802088E-2</v>
      </c>
      <c r="O27" s="1">
        <f t="shared" si="2"/>
        <v>0.30244106916116914</v>
      </c>
      <c r="P27" s="20"/>
      <c r="Q27" s="20"/>
      <c r="R27" s="20"/>
      <c r="S27" s="19">
        <f t="shared" si="3"/>
        <v>0.96665028604982428</v>
      </c>
      <c r="T27" s="18">
        <f t="shared" si="4"/>
        <v>4.529894243652883E-3</v>
      </c>
      <c r="AJ27" s="6"/>
      <c r="AK27" s="6"/>
      <c r="AL27" s="11"/>
      <c r="AM27" s="6"/>
    </row>
    <row r="28" spans="1:39" x14ac:dyDescent="0.2">
      <c r="A28" s="1">
        <v>380</v>
      </c>
      <c r="B28" s="1">
        <v>25</v>
      </c>
      <c r="C28" s="6">
        <v>3.5999999999999997E-2</v>
      </c>
      <c r="D28" s="12">
        <v>7.1495700000000001E-3</v>
      </c>
      <c r="E28" s="10">
        <v>4.5331700000000004E-3</v>
      </c>
      <c r="F28" s="10">
        <v>3.8050100000000002E-3</v>
      </c>
      <c r="G28" s="10">
        <v>2.51446E-3</v>
      </c>
      <c r="H28" s="10">
        <v>1.0633600000000001</v>
      </c>
      <c r="I28" s="13">
        <f t="shared" si="5"/>
        <v>0.96766705785157558</v>
      </c>
      <c r="J28" s="15">
        <f t="shared" si="6"/>
        <v>1.6619262515580154E-2</v>
      </c>
      <c r="K28" s="12">
        <f t="shared" si="7"/>
        <v>1.0074980749405335E-2</v>
      </c>
      <c r="L28" s="12">
        <f t="shared" si="8"/>
        <v>5.3821991304947928E-3</v>
      </c>
      <c r="M28" s="14">
        <f t="shared" si="9"/>
        <v>2.5649975294406635E-4</v>
      </c>
      <c r="N28" s="8">
        <f t="shared" si="1"/>
        <v>1.5713679632844195E-2</v>
      </c>
      <c r="O28" s="1">
        <f t="shared" si="2"/>
        <v>0.43649110091233878</v>
      </c>
      <c r="P28" s="20"/>
      <c r="Q28" s="20"/>
      <c r="R28" s="20"/>
      <c r="S28" s="19">
        <f t="shared" si="3"/>
        <v>0.96706183048073424</v>
      </c>
      <c r="T28" s="18">
        <f t="shared" si="4"/>
        <v>6.2584144236204643E-4</v>
      </c>
      <c r="AF28" s="21" t="s">
        <v>15</v>
      </c>
      <c r="AG28" s="21"/>
      <c r="AH28" s="21"/>
      <c r="AI28" s="5"/>
      <c r="AJ28" s="6"/>
      <c r="AK28" s="6"/>
      <c r="AL28" s="11"/>
      <c r="AM28" s="6"/>
    </row>
    <row r="29" spans="1:39" ht="18" x14ac:dyDescent="0.25">
      <c r="A29" s="1">
        <v>380</v>
      </c>
      <c r="B29" s="1">
        <v>35</v>
      </c>
      <c r="C29" s="6">
        <v>3.5999999999999997E-2</v>
      </c>
      <c r="D29" s="12">
        <v>5.0978100000000004E-3</v>
      </c>
      <c r="E29" s="10">
        <v>7.1415599999999999E-3</v>
      </c>
      <c r="F29" s="10">
        <v>4.2989100000000004E-3</v>
      </c>
      <c r="G29" s="10">
        <v>6.3172899999999997E-3</v>
      </c>
      <c r="H29" s="10">
        <v>0.98040099999999997</v>
      </c>
      <c r="I29" s="13">
        <f t="shared" si="5"/>
        <v>0.96282481652025032</v>
      </c>
      <c r="J29" s="15">
        <f t="shared" si="6"/>
        <v>1.2788316116726647E-2</v>
      </c>
      <c r="K29" s="12">
        <f t="shared" si="7"/>
        <v>1.7129047007243606E-2</v>
      </c>
      <c r="L29" s="12">
        <f t="shared" si="8"/>
        <v>6.5623623245460493E-3</v>
      </c>
      <c r="M29" s="14">
        <f t="shared" si="9"/>
        <v>6.9545803123347493E-4</v>
      </c>
      <c r="N29" s="8">
        <f t="shared" si="1"/>
        <v>2.4386867363023128E-2</v>
      </c>
      <c r="O29" s="1">
        <f t="shared" si="2"/>
        <v>0.67741298230619806</v>
      </c>
      <c r="P29" s="20"/>
      <c r="Q29" s="20"/>
      <c r="R29" s="20"/>
      <c r="S29" s="19">
        <f t="shared" si="3"/>
        <v>0.96782091144714799</v>
      </c>
      <c r="T29" s="18">
        <f t="shared" si="4"/>
        <v>5.1622101442581917E-3</v>
      </c>
      <c r="AF29" s="5" t="s">
        <v>13</v>
      </c>
      <c r="AG29" s="5" t="s">
        <v>9</v>
      </c>
      <c r="AH29" s="5" t="s">
        <v>11</v>
      </c>
      <c r="AI29" s="5"/>
      <c r="AJ29" s="6"/>
      <c r="AK29" s="6"/>
      <c r="AL29" s="11"/>
      <c r="AM29" s="6"/>
    </row>
    <row r="30" spans="1:39" x14ac:dyDescent="0.2">
      <c r="A30" s="1">
        <v>380</v>
      </c>
      <c r="B30" s="1">
        <v>45</v>
      </c>
      <c r="C30" s="6">
        <v>3.5999999999999997E-2</v>
      </c>
      <c r="D30" s="12">
        <v>4.2527299999999997E-3</v>
      </c>
      <c r="E30" s="10">
        <v>6.3902799999999999E-3</v>
      </c>
      <c r="F30" s="10">
        <v>4.1077300000000004E-3</v>
      </c>
      <c r="G30" s="10">
        <v>5.2432199999999998E-3</v>
      </c>
      <c r="H30" s="10">
        <v>0.92747400000000002</v>
      </c>
      <c r="I30" s="13">
        <f t="shared" si="5"/>
        <v>0.96519704538337392</v>
      </c>
      <c r="J30" s="15">
        <f t="shared" si="6"/>
        <v>1.130493941027165E-2</v>
      </c>
      <c r="K30" s="12">
        <f t="shared" si="7"/>
        <v>1.6241671030334751E-2</v>
      </c>
      <c r="L30" s="12">
        <f t="shared" si="8"/>
        <v>6.6446858336686844E-3</v>
      </c>
      <c r="M30" s="14">
        <f t="shared" si="9"/>
        <v>6.1165834235111551E-4</v>
      </c>
      <c r="N30" s="8">
        <f t="shared" si="1"/>
        <v>2.3498015206354549E-2</v>
      </c>
      <c r="O30" s="1">
        <f t="shared" si="2"/>
        <v>0.65272264462095975</v>
      </c>
      <c r="P30" s="20"/>
      <c r="Q30" s="20"/>
      <c r="R30" s="20"/>
      <c r="S30" s="19">
        <f t="shared" si="3"/>
        <v>0.96787386192821567</v>
      </c>
      <c r="T30" s="18">
        <f t="shared" si="4"/>
        <v>2.7656667362717614E-3</v>
      </c>
      <c r="AF30" s="7">
        <f>LOG10(EXP(28.922))</f>
        <v>12.56066500560585</v>
      </c>
      <c r="AG30" s="6">
        <v>21063</v>
      </c>
      <c r="AH30" s="3">
        <f>AG30*AG22</f>
        <v>41.852181000000002</v>
      </c>
      <c r="AI30" s="3"/>
      <c r="AJ30" s="6"/>
      <c r="AK30" s="6"/>
      <c r="AL30" s="11"/>
      <c r="AM30" s="6"/>
    </row>
    <row r="31" spans="1:39" x14ac:dyDescent="0.2">
      <c r="A31" s="1">
        <v>380</v>
      </c>
      <c r="B31" s="1">
        <v>55</v>
      </c>
      <c r="C31" s="6">
        <v>3.5999999999999997E-2</v>
      </c>
      <c r="D31" s="12">
        <v>3.6767900000000001E-3</v>
      </c>
      <c r="E31" s="10">
        <v>6.65769E-3</v>
      </c>
      <c r="F31" s="10">
        <v>5.0506300000000004E-3</v>
      </c>
      <c r="G31" s="10">
        <v>6.0276499999999998E-3</v>
      </c>
      <c r="H31" s="10">
        <v>0.92307899999999998</v>
      </c>
      <c r="I31" s="13">
        <f t="shared" si="5"/>
        <v>0.96429567491802781</v>
      </c>
      <c r="J31" s="15">
        <f t="shared" si="6"/>
        <v>9.8112956331994974E-3</v>
      </c>
      <c r="K31" s="12">
        <f t="shared" si="7"/>
        <v>1.6986014842740631E-2</v>
      </c>
      <c r="L31" s="12">
        <f t="shared" si="8"/>
        <v>8.2011588550363543E-3</v>
      </c>
      <c r="M31" s="14">
        <f t="shared" si="9"/>
        <v>7.0585575099580539E-4</v>
      </c>
      <c r="N31" s="8">
        <f t="shared" si="1"/>
        <v>2.5893029448772791E-2</v>
      </c>
      <c r="O31" s="1">
        <f t="shared" si="2"/>
        <v>0.71925081802146651</v>
      </c>
      <c r="P31" s="20"/>
      <c r="Q31" s="20"/>
      <c r="R31" s="20"/>
      <c r="S31" s="19">
        <f t="shared" si="3"/>
        <v>0.96887498537555938</v>
      </c>
      <c r="T31" s="18">
        <f t="shared" si="4"/>
        <v>4.7264203603693206E-3</v>
      </c>
      <c r="AJ31" s="6"/>
      <c r="AK31" s="6"/>
      <c r="AL31" s="11"/>
      <c r="AM31" s="6"/>
    </row>
    <row r="32" spans="1:39" x14ac:dyDescent="0.2">
      <c r="A32" s="1">
        <v>390</v>
      </c>
      <c r="B32" s="1">
        <v>0</v>
      </c>
      <c r="C32" s="6">
        <v>3.5999999999999997E-2</v>
      </c>
      <c r="D32" s="12">
        <v>1.456E-2</v>
      </c>
      <c r="E32" s="10">
        <v>0</v>
      </c>
      <c r="F32" s="10">
        <v>0</v>
      </c>
      <c r="G32" s="10">
        <v>0</v>
      </c>
      <c r="H32" s="10">
        <f t="shared" si="0"/>
        <v>0.98543999999999998</v>
      </c>
      <c r="I32" s="13">
        <f t="shared" si="5"/>
        <v>0.96363125989210585</v>
      </c>
      <c r="J32" s="15">
        <f t="shared" si="6"/>
        <v>3.6368740107894232E-2</v>
      </c>
      <c r="K32" s="12">
        <f t="shared" si="7"/>
        <v>0</v>
      </c>
      <c r="L32" s="12">
        <f t="shared" si="8"/>
        <v>0</v>
      </c>
      <c r="M32" s="14">
        <f t="shared" si="9"/>
        <v>0</v>
      </c>
      <c r="N32" s="8">
        <f t="shared" si="1"/>
        <v>0</v>
      </c>
      <c r="O32" s="1">
        <f t="shared" si="2"/>
        <v>0</v>
      </c>
      <c r="P32" s="20">
        <v>5.9200000000000003E-2</v>
      </c>
      <c r="Q32" s="20">
        <f t="shared" ref="Q32" si="14">LN(P32)</f>
        <v>-2.8268337370921772</v>
      </c>
      <c r="R32" s="20">
        <f>1/(390+273.15)</f>
        <v>1.5079544597753148E-3</v>
      </c>
      <c r="S32" s="19">
        <f t="shared" si="3"/>
        <v>0.96360000000000001</v>
      </c>
      <c r="T32" s="18">
        <f t="shared" si="4"/>
        <v>3.2440734854544777E-5</v>
      </c>
      <c r="AJ32" s="6"/>
      <c r="AK32" s="6"/>
      <c r="AL32" s="11"/>
      <c r="AM32" s="6"/>
    </row>
    <row r="33" spans="1:39" x14ac:dyDescent="0.2">
      <c r="A33" s="1">
        <v>390</v>
      </c>
      <c r="B33" s="1">
        <v>10</v>
      </c>
      <c r="C33" s="6">
        <v>3.5999999999999997E-2</v>
      </c>
      <c r="D33" s="12">
        <v>8.1497199999999992E-3</v>
      </c>
      <c r="E33" s="10">
        <v>6.9473599999999996E-3</v>
      </c>
      <c r="F33" s="10">
        <v>1.9432799999999999E-3</v>
      </c>
      <c r="G33" s="10">
        <v>5.5253500000000001E-3</v>
      </c>
      <c r="H33" s="10">
        <v>1.04179</v>
      </c>
      <c r="I33" s="13">
        <f t="shared" si="5"/>
        <v>0.96175741514101432</v>
      </c>
      <c r="J33" s="15">
        <f t="shared" si="6"/>
        <v>1.921826755077876E-2</v>
      </c>
      <c r="K33" s="12">
        <f t="shared" si="7"/>
        <v>1.5663966468300591E-2</v>
      </c>
      <c r="L33" s="12">
        <f t="shared" si="8"/>
        <v>2.7885540206492865E-3</v>
      </c>
      <c r="M33" s="14">
        <f t="shared" si="9"/>
        <v>5.7179681925697981E-4</v>
      </c>
      <c r="N33" s="8">
        <f t="shared" si="1"/>
        <v>1.9024317308206858E-2</v>
      </c>
      <c r="O33" s="1">
        <f t="shared" si="2"/>
        <v>0.52845325856130165</v>
      </c>
      <c r="P33" s="20"/>
      <c r="Q33" s="20"/>
      <c r="R33" s="20"/>
      <c r="S33" s="19">
        <f t="shared" si="3"/>
        <v>0.96539359794608159</v>
      </c>
      <c r="T33" s="18">
        <f t="shared" si="4"/>
        <v>3.7665288156078737E-3</v>
      </c>
      <c r="AF33" s="21" t="s">
        <v>10</v>
      </c>
      <c r="AG33" s="21"/>
      <c r="AH33" s="21"/>
      <c r="AI33" s="5"/>
      <c r="AJ33" s="6"/>
      <c r="AK33" s="6"/>
      <c r="AL33" s="11"/>
      <c r="AM33" s="6"/>
    </row>
    <row r="34" spans="1:39" ht="17" x14ac:dyDescent="0.25">
      <c r="A34" s="1">
        <v>390</v>
      </c>
      <c r="B34" s="1">
        <v>15</v>
      </c>
      <c r="C34" s="6">
        <v>3.5999999999999997E-2</v>
      </c>
      <c r="D34" s="12">
        <v>6.0071600000000001E-3</v>
      </c>
      <c r="E34" s="10">
        <v>7.1904999999999998E-3</v>
      </c>
      <c r="F34" s="10">
        <v>2.6090200000000001E-3</v>
      </c>
      <c r="G34" s="10">
        <v>6.26686E-3</v>
      </c>
      <c r="H34" s="10">
        <v>0.89805800000000002</v>
      </c>
      <c r="I34" s="13">
        <f t="shared" si="5"/>
        <v>0.95974896174652569</v>
      </c>
      <c r="J34" s="15">
        <f t="shared" si="6"/>
        <v>1.6398670994879253E-2</v>
      </c>
      <c r="K34" s="12">
        <f t="shared" si="7"/>
        <v>1.8767608596893238E-2</v>
      </c>
      <c r="L34" s="12">
        <f t="shared" si="8"/>
        <v>4.3340008831392806E-3</v>
      </c>
      <c r="M34" s="14">
        <f t="shared" si="9"/>
        <v>7.5075777856267332E-4</v>
      </c>
      <c r="N34" s="8">
        <f t="shared" ref="N34:N61" si="15">K34+L34+M34</f>
        <v>2.3852367258595193E-2</v>
      </c>
      <c r="O34" s="1">
        <f t="shared" ref="O34:O61" si="16">N34/C34</f>
        <v>0.66256575718319988</v>
      </c>
      <c r="P34" s="20"/>
      <c r="Q34" s="20"/>
      <c r="R34" s="20"/>
      <c r="S34" s="19">
        <f t="shared" si="3"/>
        <v>0.96638762936803524</v>
      </c>
      <c r="T34" s="18">
        <f t="shared" si="4"/>
        <v>6.8695701598031414E-3</v>
      </c>
      <c r="AF34" s="2" t="s">
        <v>12</v>
      </c>
      <c r="AG34" s="2" t="s">
        <v>9</v>
      </c>
      <c r="AH34" s="2" t="s">
        <v>8</v>
      </c>
      <c r="AI34" s="5"/>
    </row>
    <row r="35" spans="1:39" x14ac:dyDescent="0.2">
      <c r="A35" s="1">
        <v>390</v>
      </c>
      <c r="B35" s="1">
        <v>20</v>
      </c>
      <c r="C35" s="6">
        <v>3.5999999999999997E-2</v>
      </c>
      <c r="D35" s="12">
        <v>4.34045E-3</v>
      </c>
      <c r="E35" s="10">
        <v>8.9038899999999994E-3</v>
      </c>
      <c r="F35" s="10">
        <v>3.3257500000000001E-3</v>
      </c>
      <c r="G35" s="10">
        <v>8.4454700000000001E-3</v>
      </c>
      <c r="H35" s="10">
        <v>0.866456</v>
      </c>
      <c r="I35" s="13">
        <f t="shared" si="5"/>
        <v>0.95698143357400567</v>
      </c>
      <c r="J35" s="15">
        <f t="shared" si="6"/>
        <v>1.224554009426726E-2</v>
      </c>
      <c r="K35" s="12">
        <f t="shared" si="7"/>
        <v>2.4017807881825882E-2</v>
      </c>
      <c r="L35" s="12">
        <f t="shared" si="8"/>
        <v>5.7095899667526503E-3</v>
      </c>
      <c r="M35" s="14">
        <f t="shared" si="9"/>
        <v>1.0456284831485154E-3</v>
      </c>
      <c r="N35" s="8">
        <f t="shared" si="15"/>
        <v>3.0773026331727047E-2</v>
      </c>
      <c r="O35" s="1">
        <f t="shared" si="16"/>
        <v>0.85480628699241801</v>
      </c>
      <c r="P35" s="20"/>
      <c r="Q35" s="20"/>
      <c r="R35" s="20"/>
      <c r="S35" s="19">
        <f t="shared" si="3"/>
        <v>0.96727240826661531</v>
      </c>
      <c r="T35" s="18">
        <f t="shared" si="4"/>
        <v>1.0639169074461058E-2</v>
      </c>
      <c r="AF35" s="1">
        <v>6.2</v>
      </c>
      <c r="AG35" s="1">
        <f>AH35/AG22</f>
        <v>10317.060895822848</v>
      </c>
      <c r="AH35" s="1">
        <v>20.5</v>
      </c>
    </row>
    <row r="36" spans="1:39" x14ac:dyDescent="0.2">
      <c r="A36" s="1">
        <v>390</v>
      </c>
      <c r="B36" s="1">
        <v>25</v>
      </c>
      <c r="C36" s="6">
        <v>3.5999999999999997E-2</v>
      </c>
      <c r="D36" s="12">
        <v>2.3212599999999999E-3</v>
      </c>
      <c r="E36" s="10">
        <v>9.62761E-3</v>
      </c>
      <c r="F36" s="10">
        <v>2.8769199999999998E-3</v>
      </c>
      <c r="G36" s="10">
        <v>1.1389700000000001E-2</v>
      </c>
      <c r="H36" s="10">
        <v>0.932369</v>
      </c>
      <c r="I36" s="13">
        <f t="shared" si="5"/>
        <v>0.9636287632262347</v>
      </c>
      <c r="J36" s="15">
        <f t="shared" si="6"/>
        <v>6.1281855334431572E-3</v>
      </c>
      <c r="K36" s="12">
        <f t="shared" si="7"/>
        <v>2.430171932272561E-2</v>
      </c>
      <c r="L36" s="12">
        <f t="shared" si="8"/>
        <v>4.6217668890980047E-3</v>
      </c>
      <c r="M36" s="14">
        <f t="shared" si="9"/>
        <v>1.3195650284981908E-3</v>
      </c>
      <c r="N36" s="8">
        <f t="shared" si="15"/>
        <v>3.0243051240321804E-2</v>
      </c>
      <c r="O36" s="1">
        <f t="shared" si="16"/>
        <v>0.84008475667560578</v>
      </c>
      <c r="P36" s="20"/>
      <c r="Q36" s="20"/>
      <c r="R36" s="20"/>
      <c r="S36" s="19">
        <f t="shared" si="3"/>
        <v>0.96657272046306786</v>
      </c>
      <c r="T36" s="18">
        <f t="shared" si="4"/>
        <v>3.0457690088985375E-3</v>
      </c>
    </row>
    <row r="37" spans="1:39" x14ac:dyDescent="0.2">
      <c r="A37" s="1">
        <v>390</v>
      </c>
      <c r="B37" s="1">
        <v>30</v>
      </c>
      <c r="C37" s="6">
        <v>3.5999999999999997E-2</v>
      </c>
      <c r="D37" s="12">
        <v>2.0006999999999998E-3</v>
      </c>
      <c r="E37" s="10">
        <v>9.90627E-3</v>
      </c>
      <c r="F37" s="10">
        <v>2.7758800000000001E-3</v>
      </c>
      <c r="G37" s="10">
        <v>9.6025599999999996E-3</v>
      </c>
      <c r="H37" s="10">
        <v>0.83174999999999999</v>
      </c>
      <c r="I37" s="13">
        <f t="shared" si="5"/>
        <v>0.95995627688636997</v>
      </c>
      <c r="J37" s="15">
        <f t="shared" si="6"/>
        <v>5.8982992614729423E-3</v>
      </c>
      <c r="K37" s="12">
        <f t="shared" si="7"/>
        <v>2.7923212781979911E-2</v>
      </c>
      <c r="L37" s="12">
        <f t="shared" si="8"/>
        <v>4.9798659587088233E-3</v>
      </c>
      <c r="M37" s="14">
        <f t="shared" si="9"/>
        <v>1.2423451114684731E-3</v>
      </c>
      <c r="N37" s="8">
        <f t="shared" si="15"/>
        <v>3.4145423852157207E-2</v>
      </c>
      <c r="O37" s="1">
        <f t="shared" si="16"/>
        <v>0.94848399589325583</v>
      </c>
      <c r="P37" s="20"/>
      <c r="Q37" s="20"/>
      <c r="R37" s="20"/>
      <c r="S37" s="19">
        <f t="shared" si="3"/>
        <v>0.96680304978464149</v>
      </c>
      <c r="T37" s="18">
        <f t="shared" si="4"/>
        <v>7.0818693629448671E-3</v>
      </c>
      <c r="AJ37" s="22" t="s">
        <v>16</v>
      </c>
      <c r="AK37" s="22"/>
    </row>
    <row r="38" spans="1:39" x14ac:dyDescent="0.2">
      <c r="A38" s="1">
        <v>400</v>
      </c>
      <c r="B38" s="1">
        <v>0</v>
      </c>
      <c r="C38" s="6">
        <v>3.5999999999999997E-2</v>
      </c>
      <c r="D38" s="12">
        <v>1.456E-2</v>
      </c>
      <c r="E38" s="10">
        <v>0</v>
      </c>
      <c r="F38" s="10">
        <v>0</v>
      </c>
      <c r="G38" s="10">
        <v>0</v>
      </c>
      <c r="H38" s="10">
        <f t="shared" ref="H38:H56" si="17">1-SUM(D38:G38)</f>
        <v>0.98543999999999998</v>
      </c>
      <c r="I38" s="13">
        <f t="shared" si="5"/>
        <v>0.96363125989210585</v>
      </c>
      <c r="J38" s="15">
        <f t="shared" si="6"/>
        <v>3.6368740107894232E-2</v>
      </c>
      <c r="K38" s="12">
        <f t="shared" si="7"/>
        <v>0</v>
      </c>
      <c r="L38" s="12">
        <f t="shared" si="8"/>
        <v>0</v>
      </c>
      <c r="M38" s="14">
        <f t="shared" si="9"/>
        <v>0</v>
      </c>
      <c r="N38" s="8">
        <f t="shared" si="15"/>
        <v>0</v>
      </c>
      <c r="O38" s="1">
        <f t="shared" si="16"/>
        <v>0</v>
      </c>
      <c r="P38" s="20">
        <v>0.1288</v>
      </c>
      <c r="Q38" s="20">
        <f t="shared" ref="Q38" si="18">LN(P38)</f>
        <v>-2.0494944653118838</v>
      </c>
      <c r="R38" s="20">
        <f>1/(400+273.15)</f>
        <v>1.4855529971031717E-3</v>
      </c>
      <c r="S38" s="19">
        <f t="shared" si="3"/>
        <v>0.96360000000000001</v>
      </c>
      <c r="T38" s="18">
        <f t="shared" si="4"/>
        <v>3.2440734854544777E-5</v>
      </c>
      <c r="AG38" s="1">
        <v>-4.6994800000000003</v>
      </c>
      <c r="AH38" s="1">
        <v>1.745E-3</v>
      </c>
      <c r="AJ38" s="1">
        <f t="array" ref="AJ38:AK42">LINEST(AG38:AG41,AH38:AH41,TRUE,TRUE)</f>
        <v>-4776.7461730734713</v>
      </c>
      <c r="AK38" s="1">
        <v>3.6600353338452312</v>
      </c>
    </row>
    <row r="39" spans="1:39" x14ac:dyDescent="0.2">
      <c r="A39" s="1">
        <v>400</v>
      </c>
      <c r="B39" s="1">
        <v>5</v>
      </c>
      <c r="C39" s="6">
        <v>3.5999999999999997E-2</v>
      </c>
      <c r="D39" s="12">
        <v>8.4778800000000001E-3</v>
      </c>
      <c r="E39" s="10">
        <v>4.1836E-3</v>
      </c>
      <c r="F39" s="10">
        <v>2.1346500000000001E-3</v>
      </c>
      <c r="G39" s="10">
        <v>1.60703E-3</v>
      </c>
      <c r="H39" s="10">
        <v>1.2156400000000001</v>
      </c>
      <c r="I39" s="13">
        <f t="shared" si="5"/>
        <v>0.97172566365278867</v>
      </c>
      <c r="J39" s="15">
        <f t="shared" si="6"/>
        <v>1.7310600918949835E-2</v>
      </c>
      <c r="K39" s="12">
        <f t="shared" si="7"/>
        <v>8.1674301156451842E-3</v>
      </c>
      <c r="L39" s="12">
        <f t="shared" si="8"/>
        <v>2.6523063849706314E-3</v>
      </c>
      <c r="M39" s="14">
        <f t="shared" si="9"/>
        <v>1.4399892764565796E-4</v>
      </c>
      <c r="N39" s="8">
        <f t="shared" si="15"/>
        <v>1.0963735428261474E-2</v>
      </c>
      <c r="O39" s="1">
        <f t="shared" si="16"/>
        <v>0.30454820634059654</v>
      </c>
      <c r="P39" s="20"/>
      <c r="Q39" s="20"/>
      <c r="R39" s="20"/>
      <c r="S39" s="19">
        <f t="shared" si="3"/>
        <v>0.96530596346681308</v>
      </c>
      <c r="T39" s="18">
        <f t="shared" si="4"/>
        <v>6.6504304634354451E-3</v>
      </c>
      <c r="AG39" s="1">
        <v>-4.3528599999999997</v>
      </c>
      <c r="AH39" s="1">
        <v>1.686E-3</v>
      </c>
      <c r="AJ39" s="1">
        <v>278.80684894076956</v>
      </c>
      <c r="AK39" s="1">
        <v>0.46321018465263614</v>
      </c>
    </row>
    <row r="40" spans="1:39" x14ac:dyDescent="0.2">
      <c r="A40" s="1">
        <v>400</v>
      </c>
      <c r="B40" s="1">
        <v>7.5</v>
      </c>
      <c r="C40" s="6">
        <v>3.5999999999999997E-2</v>
      </c>
      <c r="D40" s="12">
        <v>7.1568600000000001E-3</v>
      </c>
      <c r="E40" s="10">
        <v>5.8818999999999998E-3</v>
      </c>
      <c r="F40" s="10">
        <v>2.7775199999999999E-3</v>
      </c>
      <c r="G40" s="10">
        <v>3.7611300000000001E-3</v>
      </c>
      <c r="H40" s="10">
        <v>1.1875500000000001</v>
      </c>
      <c r="I40" s="13">
        <f t="shared" si="5"/>
        <v>0.96947953876572923</v>
      </c>
      <c r="J40" s="15">
        <f t="shared" si="6"/>
        <v>1.4924350969240366E-2</v>
      </c>
      <c r="K40" s="12">
        <f t="shared" si="7"/>
        <v>1.1727379038840441E-2</v>
      </c>
      <c r="L40" s="12">
        <f t="shared" si="8"/>
        <v>3.5245385135691037E-3</v>
      </c>
      <c r="M40" s="14">
        <f t="shared" si="9"/>
        <v>3.441927126208111E-4</v>
      </c>
      <c r="N40" s="8">
        <f t="shared" si="15"/>
        <v>1.5596110265030357E-2</v>
      </c>
      <c r="O40" s="1">
        <f t="shared" si="16"/>
        <v>0.43322528513973219</v>
      </c>
      <c r="P40" s="20"/>
      <c r="Q40" s="20"/>
      <c r="R40" s="20"/>
      <c r="S40" s="19">
        <f t="shared" si="3"/>
        <v>0.96586698317192765</v>
      </c>
      <c r="T40" s="18">
        <f t="shared" si="4"/>
        <v>3.7402206067111555E-3</v>
      </c>
      <c r="AG40" s="1">
        <v>-4.13767</v>
      </c>
      <c r="AH40" s="1">
        <v>1.6310000000000001E-3</v>
      </c>
      <c r="AJ40" s="1">
        <v>0.99323257428192291</v>
      </c>
      <c r="AK40" s="1">
        <v>3.4489601757796418E-2</v>
      </c>
    </row>
    <row r="41" spans="1:39" x14ac:dyDescent="0.2">
      <c r="A41" s="1">
        <v>400</v>
      </c>
      <c r="B41" s="1">
        <v>10</v>
      </c>
      <c r="C41" s="6">
        <v>3.5999999999999997E-2</v>
      </c>
      <c r="D41" s="12">
        <v>1.7949999999999999E-3</v>
      </c>
      <c r="E41" s="10">
        <v>1.09219E-2</v>
      </c>
      <c r="F41" s="10">
        <v>6.1745699999999999E-3</v>
      </c>
      <c r="G41" s="10">
        <v>1.17996E-2</v>
      </c>
      <c r="H41" s="10">
        <v>0.60716999999999999</v>
      </c>
      <c r="I41" s="13">
        <f t="shared" si="5"/>
        <v>0.93504289752253089</v>
      </c>
      <c r="J41" s="15">
        <f t="shared" si="6"/>
        <v>7.0610920283656342E-3</v>
      </c>
      <c r="K41" s="12">
        <f t="shared" si="7"/>
        <v>4.1078635412086666E-2</v>
      </c>
      <c r="L41" s="12">
        <f t="shared" si="8"/>
        <v>1.4780402852523243E-2</v>
      </c>
      <c r="M41" s="14">
        <f t="shared" si="9"/>
        <v>2.0369721844935131E-3</v>
      </c>
      <c r="N41" s="8">
        <f t="shared" si="15"/>
        <v>5.7896010449103426E-2</v>
      </c>
      <c r="O41" s="1">
        <f t="shared" si="16"/>
        <v>1.6082225124750953</v>
      </c>
      <c r="P41" s="20"/>
      <c r="Q41" s="20"/>
      <c r="R41" s="20"/>
      <c r="S41" s="19">
        <f t="shared" si="3"/>
        <v>0.97310675511474298</v>
      </c>
      <c r="T41" s="18">
        <f t="shared" si="4"/>
        <v>3.9115808612102204E-2</v>
      </c>
      <c r="AG41" s="1">
        <v>-3.89222</v>
      </c>
      <c r="AH41" s="1">
        <v>1.5790000000000001E-3</v>
      </c>
      <c r="AJ41" s="1">
        <v>293.53335098420371</v>
      </c>
      <c r="AK41" s="1">
        <v>2</v>
      </c>
    </row>
    <row r="42" spans="1:39" x14ac:dyDescent="0.2">
      <c r="A42" s="1">
        <v>400</v>
      </c>
      <c r="B42" s="1">
        <v>12.5</v>
      </c>
      <c r="C42" s="6">
        <v>3.5999999999999997E-2</v>
      </c>
      <c r="D42" s="12">
        <v>3.8465700000000001E-3</v>
      </c>
      <c r="E42" s="10">
        <v>9.6930000000000002E-3</v>
      </c>
      <c r="F42" s="10">
        <v>4.2350799999999996E-3</v>
      </c>
      <c r="G42" s="10">
        <v>9.80754E-3</v>
      </c>
      <c r="H42" s="10">
        <v>1.03731</v>
      </c>
      <c r="I42" s="13">
        <f t="shared" si="5"/>
        <v>0.96181605598766928</v>
      </c>
      <c r="J42" s="15">
        <f t="shared" si="6"/>
        <v>9.110522528849134E-3</v>
      </c>
      <c r="K42" s="12">
        <f t="shared" si="7"/>
        <v>2.1950188424413434E-2</v>
      </c>
      <c r="L42" s="12">
        <f t="shared" si="8"/>
        <v>6.1038436225453394E-3</v>
      </c>
      <c r="M42" s="14">
        <f t="shared" si="9"/>
        <v>1.0193894365227501E-3</v>
      </c>
      <c r="N42" s="8">
        <f t="shared" si="15"/>
        <v>2.9073421483481524E-2</v>
      </c>
      <c r="O42" s="1">
        <f t="shared" si="16"/>
        <v>0.80759504120782022</v>
      </c>
      <c r="P42" s="20"/>
      <c r="Q42" s="20"/>
      <c r="R42" s="20"/>
      <c r="S42" s="19">
        <f t="shared" si="3"/>
        <v>0.96752599221802116</v>
      </c>
      <c r="T42" s="18">
        <f t="shared" si="4"/>
        <v>5.9015843256696766E-3</v>
      </c>
      <c r="AJ42" s="1">
        <v>0.34916749881617742</v>
      </c>
      <c r="AK42" s="1">
        <v>2.3790652588227879E-3</v>
      </c>
    </row>
    <row r="43" spans="1:39" x14ac:dyDescent="0.2">
      <c r="A43" s="1">
        <v>400</v>
      </c>
      <c r="B43" s="1">
        <v>15</v>
      </c>
      <c r="C43" s="6">
        <v>3.5999999999999997E-2</v>
      </c>
      <c r="D43" s="12">
        <v>2.5909599999999998E-3</v>
      </c>
      <c r="E43" s="10">
        <v>1.07993E-2</v>
      </c>
      <c r="F43" s="10">
        <v>4.2653099999999996E-3</v>
      </c>
      <c r="G43" s="10">
        <v>1.01802E-2</v>
      </c>
      <c r="H43" s="10">
        <v>1.0235399999999999</v>
      </c>
      <c r="I43" s="13">
        <f t="shared" si="5"/>
        <v>0.96169855511990388</v>
      </c>
      <c r="J43" s="15">
        <f t="shared" si="6"/>
        <v>6.2184341608432425E-3</v>
      </c>
      <c r="K43" s="12">
        <f t="shared" si="7"/>
        <v>2.4781428187651566E-2</v>
      </c>
      <c r="L43" s="12">
        <f t="shared" si="8"/>
        <v>6.2293547961192611E-3</v>
      </c>
      <c r="M43" s="14">
        <f t="shared" si="9"/>
        <v>1.0722277354818909E-3</v>
      </c>
      <c r="N43" s="8">
        <f t="shared" si="15"/>
        <v>3.2083010719252715E-2</v>
      </c>
      <c r="O43" s="1">
        <f t="shared" si="16"/>
        <v>0.89119474220146433</v>
      </c>
      <c r="P43" s="20"/>
      <c r="Q43" s="20"/>
      <c r="R43" s="20"/>
      <c r="S43" s="19">
        <f t="shared" si="3"/>
        <v>0.96760672100486389</v>
      </c>
      <c r="T43" s="18">
        <f t="shared" si="4"/>
        <v>6.1059578821696884E-3</v>
      </c>
    </row>
    <row r="44" spans="1:39" s="4" customFormat="1" x14ac:dyDescent="0.2">
      <c r="A44" s="4">
        <v>410</v>
      </c>
      <c r="B44" s="4">
        <v>0</v>
      </c>
      <c r="C44" s="6">
        <v>3.5999999999999997E-2</v>
      </c>
      <c r="D44" s="12">
        <v>1.456E-2</v>
      </c>
      <c r="E44" s="10">
        <v>0</v>
      </c>
      <c r="F44" s="10">
        <v>0</v>
      </c>
      <c r="G44" s="10">
        <v>0</v>
      </c>
      <c r="H44" s="10">
        <f t="shared" si="17"/>
        <v>0.98543999999999998</v>
      </c>
      <c r="I44" s="13">
        <f t="shared" si="5"/>
        <v>0.96363125989210585</v>
      </c>
      <c r="J44" s="15">
        <f t="shared" si="6"/>
        <v>3.6368740107894232E-2</v>
      </c>
      <c r="K44" s="12">
        <f t="shared" si="7"/>
        <v>0</v>
      </c>
      <c r="L44" s="12">
        <f t="shared" si="8"/>
        <v>0</v>
      </c>
      <c r="M44" s="14">
        <f t="shared" si="9"/>
        <v>0</v>
      </c>
      <c r="N44" s="8">
        <f t="shared" si="15"/>
        <v>0</v>
      </c>
      <c r="O44" s="4">
        <f t="shared" si="16"/>
        <v>0</v>
      </c>
      <c r="P44" s="20">
        <v>0.19359999999999999</v>
      </c>
      <c r="Q44" s="20">
        <f t="shared" ref="Q44" si="19">LN(P44)</f>
        <v>-1.6419611041396605</v>
      </c>
      <c r="R44" s="20">
        <f>1/(410+273.15)</f>
        <v>1.4638073629510357E-3</v>
      </c>
      <c r="S44" s="19">
        <f t="shared" si="3"/>
        <v>0.96360000000000001</v>
      </c>
      <c r="T44" s="18">
        <f t="shared" si="4"/>
        <v>3.2440734854544777E-5</v>
      </c>
      <c r="AG44" s="4">
        <v>-3.5888499999999999</v>
      </c>
      <c r="AH44" s="4">
        <v>1.531E-3</v>
      </c>
      <c r="AI44" s="6"/>
      <c r="AJ44" s="22" t="s">
        <v>17</v>
      </c>
      <c r="AK44" s="22"/>
    </row>
    <row r="45" spans="1:39" s="4" customFormat="1" x14ac:dyDescent="0.2">
      <c r="A45" s="4">
        <v>410</v>
      </c>
      <c r="B45" s="4">
        <v>5</v>
      </c>
      <c r="C45" s="6">
        <v>3.5999999999999997E-2</v>
      </c>
      <c r="D45" s="12">
        <v>5.3118799999999997E-3</v>
      </c>
      <c r="E45" s="10">
        <v>6.0435699999999998E-3</v>
      </c>
      <c r="F45" s="10">
        <v>2.6141300000000001E-3</v>
      </c>
      <c r="G45" s="10">
        <v>5.1276200000000003E-3</v>
      </c>
      <c r="H45" s="10">
        <v>0.98513700000000004</v>
      </c>
      <c r="I45" s="13">
        <f t="shared" si="5"/>
        <v>0.96761934894197277</v>
      </c>
      <c r="J45" s="15">
        <f t="shared" si="6"/>
        <v>1.3327305620793714E-2</v>
      </c>
      <c r="K45" s="12">
        <f t="shared" si="7"/>
        <v>1.4497664727292206E-2</v>
      </c>
      <c r="L45" s="12">
        <f t="shared" si="8"/>
        <v>3.9911074183422574E-3</v>
      </c>
      <c r="M45" s="14">
        <f t="shared" si="9"/>
        <v>5.6457329159908122E-4</v>
      </c>
      <c r="N45" s="8">
        <f t="shared" si="15"/>
        <v>1.9053345437233544E-2</v>
      </c>
      <c r="O45" s="4">
        <f t="shared" si="16"/>
        <v>0.5292595954787096</v>
      </c>
      <c r="P45" s="20"/>
      <c r="Q45" s="20"/>
      <c r="R45" s="20"/>
      <c r="S45" s="19">
        <f t="shared" si="3"/>
        <v>0.9661670802914778</v>
      </c>
      <c r="T45" s="18">
        <f t="shared" si="4"/>
        <v>1.5031237144375099E-3</v>
      </c>
      <c r="AG45" s="4">
        <v>-2.8268300000000002</v>
      </c>
      <c r="AH45" s="4">
        <v>1.508E-3</v>
      </c>
      <c r="AI45" s="6"/>
      <c r="AJ45" s="4">
        <f t="array" ref="AJ45:AK49">LINEST(AG44:AG49,AH44:AH49,TRUE,TRUE)</f>
        <v>-21041.79254378919</v>
      </c>
      <c r="AK45" s="4">
        <v>28.892543530451579</v>
      </c>
    </row>
    <row r="46" spans="1:39" s="4" customFormat="1" x14ac:dyDescent="0.2">
      <c r="A46" s="4">
        <v>410</v>
      </c>
      <c r="B46" s="4">
        <v>7.5</v>
      </c>
      <c r="C46" s="6">
        <v>3.5999999999999997E-2</v>
      </c>
      <c r="D46" s="12">
        <v>3.1045299999999999E-3</v>
      </c>
      <c r="E46" s="10">
        <v>7.5193600000000001E-3</v>
      </c>
      <c r="F46" s="10">
        <v>3.1283600000000002E-3</v>
      </c>
      <c r="G46" s="10">
        <v>7.5770000000000004E-3</v>
      </c>
      <c r="H46" s="10">
        <v>0.825743</v>
      </c>
      <c r="I46" s="13">
        <f t="shared" si="5"/>
        <v>0.96268534798639505</v>
      </c>
      <c r="J46" s="15">
        <f t="shared" si="6"/>
        <v>9.2453106912503413E-3</v>
      </c>
      <c r="K46" s="12">
        <f t="shared" si="7"/>
        <v>2.1410012500545077E-2</v>
      </c>
      <c r="L46" s="12">
        <f t="shared" si="8"/>
        <v>5.6691050883091341E-3</v>
      </c>
      <c r="M46" s="14">
        <f t="shared" si="9"/>
        <v>9.9022373350036498E-4</v>
      </c>
      <c r="N46" s="8">
        <f t="shared" si="15"/>
        <v>2.8069341322354578E-2</v>
      </c>
      <c r="O46" s="4">
        <f t="shared" si="16"/>
        <v>0.77970392562096058</v>
      </c>
      <c r="P46" s="20"/>
      <c r="Q46" s="20"/>
      <c r="R46" s="20"/>
      <c r="S46" s="19">
        <f t="shared" si="3"/>
        <v>0.96724636839280043</v>
      </c>
      <c r="T46" s="18">
        <f t="shared" si="4"/>
        <v>4.7154691456573576E-3</v>
      </c>
      <c r="AG46" s="4">
        <v>-2.04949</v>
      </c>
      <c r="AH46" s="4">
        <v>1.4859999999999999E-3</v>
      </c>
      <c r="AI46" s="6"/>
      <c r="AJ46" s="4">
        <v>3060.4493023696314</v>
      </c>
      <c r="AK46" s="4">
        <v>4.517636809649078</v>
      </c>
    </row>
    <row r="47" spans="1:39" s="4" customFormat="1" x14ac:dyDescent="0.2">
      <c r="A47" s="4">
        <v>410</v>
      </c>
      <c r="B47" s="4">
        <v>10</v>
      </c>
      <c r="C47" s="6">
        <v>3.5999999999999997E-2</v>
      </c>
      <c r="D47" s="12">
        <v>1.17358E-3</v>
      </c>
      <c r="E47" s="10">
        <v>5.6509400000000001E-3</v>
      </c>
      <c r="F47" s="10">
        <v>2.1492899999999999E-3</v>
      </c>
      <c r="G47" s="10">
        <v>5.7242899999999999E-3</v>
      </c>
      <c r="H47" s="10">
        <v>0.56012899999999999</v>
      </c>
      <c r="I47" s="13">
        <f t="shared" si="5"/>
        <v>0.96422600453500784</v>
      </c>
      <c r="J47" s="15">
        <f t="shared" si="6"/>
        <v>5.1604748946014866E-3</v>
      </c>
      <c r="K47" s="12">
        <f t="shared" si="7"/>
        <v>2.3757900527937408E-2</v>
      </c>
      <c r="L47" s="12">
        <f t="shared" si="8"/>
        <v>5.7510099879431991E-3</v>
      </c>
      <c r="M47" s="14">
        <f t="shared" si="9"/>
        <v>1.1046100545097591E-3</v>
      </c>
      <c r="N47" s="8">
        <f t="shared" si="15"/>
        <v>3.0613520570390369E-2</v>
      </c>
      <c r="O47" s="4">
        <f t="shared" si="16"/>
        <v>0.85037557139973252</v>
      </c>
      <c r="P47" s="20"/>
      <c r="Q47" s="20"/>
      <c r="R47" s="20"/>
      <c r="S47" s="19">
        <f t="shared" si="3"/>
        <v>0.96729904962424507</v>
      </c>
      <c r="T47" s="18">
        <f t="shared" si="4"/>
        <v>3.1769338452580656E-3</v>
      </c>
      <c r="AG47" s="4">
        <v>-1.6419600000000001</v>
      </c>
      <c r="AH47" s="4">
        <v>1.464E-3</v>
      </c>
      <c r="AI47" s="6"/>
      <c r="AJ47" s="4">
        <v>0.92198323705748719</v>
      </c>
      <c r="AK47" s="4">
        <v>0.27877540692384872</v>
      </c>
    </row>
    <row r="48" spans="1:39" s="4" customFormat="1" x14ac:dyDescent="0.2">
      <c r="A48" s="4">
        <v>410</v>
      </c>
      <c r="B48" s="4">
        <v>12.5</v>
      </c>
      <c r="C48" s="6">
        <v>3.5999999999999997E-2</v>
      </c>
      <c r="D48" s="12">
        <v>3.7258700000000002E-4</v>
      </c>
      <c r="E48" s="10">
        <v>3.8716900000000001E-3</v>
      </c>
      <c r="F48" s="10">
        <v>1.71927E-3</v>
      </c>
      <c r="G48" s="10">
        <v>4.3243200000000004E-3</v>
      </c>
      <c r="H48" s="10">
        <v>0.36939499999999997</v>
      </c>
      <c r="I48" s="13">
        <f t="shared" si="5"/>
        <v>0.96457940769042783</v>
      </c>
      <c r="J48" s="15">
        <f t="shared" si="6"/>
        <v>2.4851972221005664E-3</v>
      </c>
      <c r="K48" s="12">
        <f t="shared" si="7"/>
        <v>2.4691310004131682E-2</v>
      </c>
      <c r="L48" s="12">
        <f t="shared" si="8"/>
        <v>6.9782958987578761E-3</v>
      </c>
      <c r="M48" s="14">
        <f t="shared" si="9"/>
        <v>1.2657891845820339E-3</v>
      </c>
      <c r="N48" s="8">
        <f t="shared" si="15"/>
        <v>3.2935395087471592E-2</v>
      </c>
      <c r="O48" s="4">
        <f t="shared" si="16"/>
        <v>0.91487208576309986</v>
      </c>
      <c r="P48" s="20"/>
      <c r="Q48" s="20"/>
      <c r="R48" s="20"/>
      <c r="S48" s="19">
        <f t="shared" si="3"/>
        <v>0.96808843992208105</v>
      </c>
      <c r="T48" s="18">
        <f t="shared" si="4"/>
        <v>3.6247021314867191E-3</v>
      </c>
      <c r="AG48" s="4">
        <v>-1.6707799999999999</v>
      </c>
      <c r="AH48" s="4">
        <v>1.4430000000000001E-3</v>
      </c>
      <c r="AI48" s="6"/>
      <c r="AJ48" s="4">
        <v>47.271032649065759</v>
      </c>
      <c r="AK48" s="4">
        <v>4</v>
      </c>
    </row>
    <row r="49" spans="1:39" s="4" customFormat="1" x14ac:dyDescent="0.2">
      <c r="A49" s="4">
        <v>410</v>
      </c>
      <c r="B49" s="4">
        <v>15</v>
      </c>
      <c r="C49" s="6">
        <v>3.5999999999999997E-2</v>
      </c>
      <c r="D49" s="12">
        <v>2.5912100000000001E-4</v>
      </c>
      <c r="E49" s="10">
        <v>3.5207200000000002E-3</v>
      </c>
      <c r="F49" s="10">
        <v>1.4038099999999999E-3</v>
      </c>
      <c r="G49" s="10">
        <v>3.8939999999999999E-3</v>
      </c>
      <c r="H49" s="10">
        <v>0.31793300000000002</v>
      </c>
      <c r="I49" s="13">
        <f t="shared" si="5"/>
        <v>0.96398230932259354</v>
      </c>
      <c r="J49" s="15">
        <f t="shared" si="6"/>
        <v>2.0068839290804108E-3</v>
      </c>
      <c r="K49" s="12">
        <f t="shared" si="7"/>
        <v>2.6071230251595946E-2</v>
      </c>
      <c r="L49" s="12">
        <f t="shared" si="8"/>
        <v>6.6160702791013947E-3</v>
      </c>
      <c r="M49" s="14">
        <f t="shared" si="9"/>
        <v>1.3235062176287691E-3</v>
      </c>
      <c r="N49" s="8">
        <f t="shared" si="15"/>
        <v>3.4010806748326114E-2</v>
      </c>
      <c r="O49" s="4">
        <f t="shared" si="16"/>
        <v>0.94474463189794766</v>
      </c>
      <c r="P49" s="20"/>
      <c r="Q49" s="20"/>
      <c r="R49" s="20"/>
      <c r="S49" s="19">
        <f t="shared" si="3"/>
        <v>0.967855456403518</v>
      </c>
      <c r="T49" s="18">
        <f t="shared" si="4"/>
        <v>4.0017825547182364E-3</v>
      </c>
      <c r="AG49" s="4">
        <v>-1.17086</v>
      </c>
      <c r="AH49" s="4">
        <v>1.4220000000000001E-3</v>
      </c>
      <c r="AI49" s="6"/>
      <c r="AJ49" s="4">
        <v>3.6737026922611036</v>
      </c>
      <c r="AK49" s="4">
        <v>0.31086291002222977</v>
      </c>
    </row>
    <row r="50" spans="1:39" x14ac:dyDescent="0.2">
      <c r="A50" s="1">
        <v>420</v>
      </c>
      <c r="B50" s="1">
        <v>0</v>
      </c>
      <c r="C50" s="6">
        <v>3.5999999999999997E-2</v>
      </c>
      <c r="D50" s="12">
        <v>1.456E-2</v>
      </c>
      <c r="E50" s="10">
        <v>0</v>
      </c>
      <c r="F50" s="10">
        <v>0</v>
      </c>
      <c r="G50" s="10">
        <v>0</v>
      </c>
      <c r="H50" s="10">
        <f t="shared" si="17"/>
        <v>0.98543999999999998</v>
      </c>
      <c r="I50" s="13">
        <f t="shared" si="5"/>
        <v>0.96363125989210585</v>
      </c>
      <c r="J50" s="15">
        <f t="shared" si="6"/>
        <v>3.6368740107894232E-2</v>
      </c>
      <c r="K50" s="12">
        <f t="shared" si="7"/>
        <v>0</v>
      </c>
      <c r="L50" s="12">
        <f t="shared" si="8"/>
        <v>0</v>
      </c>
      <c r="M50" s="14">
        <f t="shared" si="9"/>
        <v>0</v>
      </c>
      <c r="N50" s="8">
        <f t="shared" si="15"/>
        <v>0</v>
      </c>
      <c r="O50" s="1">
        <f t="shared" si="16"/>
        <v>0</v>
      </c>
      <c r="P50" s="20">
        <v>0.18809999999999999</v>
      </c>
      <c r="Q50" s="20">
        <f t="shared" ref="Q50" si="20">LN(P50)</f>
        <v>-1.6707815426751524</v>
      </c>
      <c r="R50" s="20">
        <f>1/(420+273.15)</f>
        <v>1.4426891726177595E-3</v>
      </c>
      <c r="S50" s="19">
        <f t="shared" si="3"/>
        <v>0.96360000000000001</v>
      </c>
      <c r="T50" s="18">
        <f t="shared" si="4"/>
        <v>3.2440734854544777E-5</v>
      </c>
      <c r="AI50" s="6" t="s">
        <v>29</v>
      </c>
    </row>
    <row r="51" spans="1:39" x14ac:dyDescent="0.2">
      <c r="A51" s="1">
        <v>420</v>
      </c>
      <c r="B51" s="1">
        <v>5</v>
      </c>
      <c r="C51" s="6">
        <v>3.5999999999999997E-2</v>
      </c>
      <c r="D51" s="12">
        <v>5.2566799999999997E-3</v>
      </c>
      <c r="E51" s="10">
        <v>8.52085E-3</v>
      </c>
      <c r="F51" s="10">
        <v>3.79562E-3</v>
      </c>
      <c r="G51" s="10">
        <v>7.8117300000000002E-3</v>
      </c>
      <c r="H51" s="10">
        <v>1.13086</v>
      </c>
      <c r="I51" s="13">
        <f t="shared" si="5"/>
        <v>0.96500179916664275</v>
      </c>
      <c r="J51" s="15">
        <f t="shared" si="6"/>
        <v>1.1458216099848687E-2</v>
      </c>
      <c r="K51" s="12">
        <f t="shared" si="7"/>
        <v>1.7758193434011305E-2</v>
      </c>
      <c r="L51" s="12">
        <f t="shared" si="8"/>
        <v>5.0345461799039086E-3</v>
      </c>
      <c r="M51" s="14">
        <f t="shared" si="9"/>
        <v>7.4724511959341124E-4</v>
      </c>
      <c r="N51" s="8">
        <f t="shared" si="15"/>
        <v>2.3539984733508625E-2</v>
      </c>
      <c r="O51" s="1">
        <f t="shared" si="16"/>
        <v>0.6538884648196841</v>
      </c>
      <c r="P51" s="20"/>
      <c r="Q51" s="20"/>
      <c r="R51" s="20"/>
      <c r="S51" s="19">
        <f t="shared" si="3"/>
        <v>0.9668382201029142</v>
      </c>
      <c r="T51" s="18">
        <f t="shared" si="4"/>
        <v>1.8994087098418372E-3</v>
      </c>
      <c r="AG51" s="16"/>
      <c r="AH51" s="16"/>
      <c r="AI51" s="16"/>
      <c r="AJ51" s="22" t="s">
        <v>16</v>
      </c>
      <c r="AK51" s="22"/>
    </row>
    <row r="52" spans="1:39" x14ac:dyDescent="0.2">
      <c r="A52" s="1">
        <v>420</v>
      </c>
      <c r="B52" s="1">
        <v>6.25</v>
      </c>
      <c r="C52" s="6">
        <v>3.5999999999999997E-2</v>
      </c>
      <c r="D52" s="12">
        <v>2.8782299999999999E-3</v>
      </c>
      <c r="E52" s="10">
        <v>8.8829800000000004E-3</v>
      </c>
      <c r="F52" s="10">
        <v>4.7911899999999999E-3</v>
      </c>
      <c r="G52" s="10">
        <v>9.7324300000000002E-3</v>
      </c>
      <c r="H52" s="10">
        <v>0.946959</v>
      </c>
      <c r="I52" s="13">
        <f t="shared" si="5"/>
        <v>0.96182475432065306</v>
      </c>
      <c r="J52" s="15">
        <f t="shared" si="6"/>
        <v>7.467521094168335E-3</v>
      </c>
      <c r="K52" s="12">
        <f t="shared" si="7"/>
        <v>2.2035354436117444E-2</v>
      </c>
      <c r="L52" s="12">
        <f t="shared" si="8"/>
        <v>7.5642607315853571E-3</v>
      </c>
      <c r="M52" s="14">
        <f t="shared" si="9"/>
        <v>1.1081094174758064E-3</v>
      </c>
      <c r="N52" s="8">
        <f t="shared" si="15"/>
        <v>3.0707724585178609E-2</v>
      </c>
      <c r="O52" s="1">
        <f t="shared" si="16"/>
        <v>0.85299234958829473</v>
      </c>
      <c r="P52" s="20"/>
      <c r="Q52" s="20"/>
      <c r="R52" s="20"/>
      <c r="S52" s="19">
        <f t="shared" si="3"/>
        <v>0.96846533250255573</v>
      </c>
      <c r="T52" s="18">
        <f t="shared" si="4"/>
        <v>6.856805255737064E-3</v>
      </c>
      <c r="AG52" s="16">
        <f>LN(0.00128)</f>
        <v>-6.6608952010506108</v>
      </c>
      <c r="AH52" s="16">
        <v>1.745E-3</v>
      </c>
      <c r="AI52" s="16"/>
      <c r="AJ52" s="16">
        <f t="array" ref="AJ52:AK56">LINEST(AG52:AG55,AH52:AH55,TRUE,TRUE)</f>
        <v>-11253.123748964152</v>
      </c>
      <c r="AK52" s="16">
        <v>13.071659293814839</v>
      </c>
    </row>
    <row r="53" spans="1:39" x14ac:dyDescent="0.2">
      <c r="A53" s="1">
        <v>420</v>
      </c>
      <c r="B53" s="1">
        <v>7.5</v>
      </c>
      <c r="C53" s="6">
        <v>3.5999999999999997E-2</v>
      </c>
      <c r="D53" s="12">
        <v>1.9651199999999999E-3</v>
      </c>
      <c r="E53" s="10">
        <v>7.5919999999999998E-3</v>
      </c>
      <c r="F53" s="10">
        <v>3.53536E-3</v>
      </c>
      <c r="G53" s="10">
        <v>8.5872499999999994E-3</v>
      </c>
      <c r="H53" s="10">
        <v>0.67547599999999997</v>
      </c>
      <c r="I53" s="13">
        <f t="shared" si="5"/>
        <v>0.95744915455607948</v>
      </c>
      <c r="J53" s="15">
        <f t="shared" si="6"/>
        <v>7.1151008635816854E-3</v>
      </c>
      <c r="K53" s="12">
        <f t="shared" si="7"/>
        <v>2.6282010133054357E-2</v>
      </c>
      <c r="L53" s="12">
        <f t="shared" si="8"/>
        <v>7.7892880261470109E-3</v>
      </c>
      <c r="M53" s="14">
        <f t="shared" si="9"/>
        <v>1.3644464211375333E-3</v>
      </c>
      <c r="N53" s="8">
        <f t="shared" si="15"/>
        <v>3.54357445803389E-2</v>
      </c>
      <c r="O53" s="1">
        <f t="shared" si="16"/>
        <v>0.98432623834274735</v>
      </c>
      <c r="P53" s="20"/>
      <c r="Q53" s="20"/>
      <c r="R53" s="20"/>
      <c r="S53" s="19">
        <f t="shared" si="3"/>
        <v>0.96861007005841782</v>
      </c>
      <c r="T53" s="18">
        <f t="shared" si="4"/>
        <v>1.152260940428299E-2</v>
      </c>
      <c r="AG53" s="16">
        <f>LN(0.00299)</f>
        <v>-5.8124818915795418</v>
      </c>
      <c r="AH53" s="16">
        <v>1.686E-3</v>
      </c>
      <c r="AI53" s="16"/>
      <c r="AJ53" s="16">
        <v>1224.3174229630113</v>
      </c>
      <c r="AK53" s="16">
        <v>2.0340830998904753</v>
      </c>
    </row>
    <row r="54" spans="1:39" x14ac:dyDescent="0.2">
      <c r="A54" s="1">
        <v>420</v>
      </c>
      <c r="B54" s="1">
        <v>8.25</v>
      </c>
      <c r="C54" s="6">
        <v>3.5999999999999997E-2</v>
      </c>
      <c r="D54" s="12">
        <v>1.90413E-3</v>
      </c>
      <c r="E54" s="10">
        <v>9.6674599999999992E-3</v>
      </c>
      <c r="F54" s="10">
        <v>4.5754599999999999E-3</v>
      </c>
      <c r="G54" s="10">
        <v>9.6446099999999996E-3</v>
      </c>
      <c r="H54" s="10">
        <v>0.92172799999999999</v>
      </c>
      <c r="I54" s="13">
        <f t="shared" si="5"/>
        <v>0.96174049685357477</v>
      </c>
      <c r="J54" s="15">
        <f t="shared" si="6"/>
        <v>5.0750217381453182E-3</v>
      </c>
      <c r="K54" s="12">
        <f t="shared" si="7"/>
        <v>2.4635653596457752E-2</v>
      </c>
      <c r="L54" s="12">
        <f t="shared" si="8"/>
        <v>7.4207569626955211E-3</v>
      </c>
      <c r="M54" s="14">
        <f t="shared" si="9"/>
        <v>1.1280708491268939E-3</v>
      </c>
      <c r="N54" s="8">
        <f t="shared" si="15"/>
        <v>3.3184481408280168E-2</v>
      </c>
      <c r="O54" s="1">
        <f t="shared" si="16"/>
        <v>0.9217911502300048</v>
      </c>
      <c r="P54" s="20"/>
      <c r="Q54" s="20"/>
      <c r="R54" s="20"/>
      <c r="S54" s="19">
        <f t="shared" si="3"/>
        <v>0.96837303087840576</v>
      </c>
      <c r="T54" s="18">
        <f t="shared" si="4"/>
        <v>6.849151941803521E-3</v>
      </c>
      <c r="AG54" s="16">
        <f>LN(0.00575)</f>
        <v>-5.1585554241728779</v>
      </c>
      <c r="AH54" s="16">
        <v>1.6310000000000001E-3</v>
      </c>
      <c r="AI54" s="16"/>
      <c r="AJ54" s="16">
        <v>0.97687348525641804</v>
      </c>
      <c r="AK54" s="16">
        <v>0.15145331079042645</v>
      </c>
    </row>
    <row r="55" spans="1:39" x14ac:dyDescent="0.2">
      <c r="A55" s="1">
        <v>420</v>
      </c>
      <c r="B55" s="1">
        <v>10</v>
      </c>
      <c r="C55" s="6">
        <v>3.5999999999999997E-2</v>
      </c>
      <c r="D55" s="12">
        <v>1.0901000000000001E-3</v>
      </c>
      <c r="E55" s="10">
        <v>6.8026800000000002E-3</v>
      </c>
      <c r="F55" s="10">
        <v>2.7947499999999999E-3</v>
      </c>
      <c r="G55" s="10">
        <v>7.1224599999999997E-3</v>
      </c>
      <c r="H55" s="10">
        <v>0.61049699999999996</v>
      </c>
      <c r="I55" s="13">
        <f t="shared" si="5"/>
        <v>0.96135483778305986</v>
      </c>
      <c r="J55" s="15">
        <f t="shared" si="6"/>
        <v>4.384829489650563E-3</v>
      </c>
      <c r="K55" s="12">
        <f t="shared" si="7"/>
        <v>2.6162353291797971E-2</v>
      </c>
      <c r="L55" s="12">
        <f t="shared" si="8"/>
        <v>6.840714557252857E-3</v>
      </c>
      <c r="M55" s="14">
        <f t="shared" si="9"/>
        <v>1.2572648782388765E-3</v>
      </c>
      <c r="N55" s="8">
        <f t="shared" si="15"/>
        <v>3.4260332727289705E-2</v>
      </c>
      <c r="O55" s="1">
        <f t="shared" si="16"/>
        <v>0.95167590909138078</v>
      </c>
      <c r="P55" s="20"/>
      <c r="Q55" s="20"/>
      <c r="R55" s="20"/>
      <c r="S55" s="19">
        <f t="shared" si="3"/>
        <v>0.96799994760322505</v>
      </c>
      <c r="T55" s="18">
        <f t="shared" si="4"/>
        <v>6.864783243654647E-3</v>
      </c>
      <c r="AG55" s="16">
        <f>LN(0.00812)</f>
        <v>-4.8134251248085507</v>
      </c>
      <c r="AH55" s="16">
        <v>1.5790000000000001E-3</v>
      </c>
      <c r="AI55" s="16"/>
      <c r="AJ55" s="16">
        <v>84.48082178292961</v>
      </c>
      <c r="AK55" s="16">
        <v>2</v>
      </c>
    </row>
    <row r="56" spans="1:39" x14ac:dyDescent="0.2">
      <c r="A56" s="1">
        <v>430</v>
      </c>
      <c r="B56" s="1">
        <v>0</v>
      </c>
      <c r="C56" s="6">
        <v>3.5999999999999997E-2</v>
      </c>
      <c r="D56" s="12">
        <v>1.456E-2</v>
      </c>
      <c r="E56" s="10">
        <v>0</v>
      </c>
      <c r="F56" s="10">
        <v>0</v>
      </c>
      <c r="G56" s="10">
        <v>0</v>
      </c>
      <c r="H56" s="10">
        <f t="shared" si="17"/>
        <v>0.98543999999999998</v>
      </c>
      <c r="I56" s="13">
        <f t="shared" si="5"/>
        <v>0.96363125989210585</v>
      </c>
      <c r="J56" s="15">
        <f t="shared" si="6"/>
        <v>3.6368740107894232E-2</v>
      </c>
      <c r="K56" s="12">
        <f t="shared" si="7"/>
        <v>0</v>
      </c>
      <c r="L56" s="12">
        <f t="shared" si="8"/>
        <v>0</v>
      </c>
      <c r="M56" s="14">
        <f t="shared" si="9"/>
        <v>0</v>
      </c>
      <c r="N56" s="8">
        <f t="shared" si="15"/>
        <v>0</v>
      </c>
      <c r="O56" s="1">
        <f t="shared" si="16"/>
        <v>0</v>
      </c>
      <c r="P56" s="20">
        <v>0.31009999999999999</v>
      </c>
      <c r="Q56" s="20">
        <f t="shared" ref="Q56" si="21">LN(P56)</f>
        <v>-1.1708604528757338</v>
      </c>
      <c r="R56" s="20">
        <f>1/(430 +273.15)</f>
        <v>1.4221716561188937E-3</v>
      </c>
      <c r="S56" s="19">
        <f t="shared" si="3"/>
        <v>0.96360000000000001</v>
      </c>
      <c r="T56" s="18">
        <f t="shared" si="4"/>
        <v>3.2440734854544777E-5</v>
      </c>
      <c r="AG56" s="16"/>
      <c r="AH56" s="16"/>
      <c r="AI56" s="16"/>
      <c r="AJ56" s="16">
        <v>1.9378299900591638</v>
      </c>
      <c r="AK56" s="16">
        <v>4.587621069876302E-2</v>
      </c>
    </row>
    <row r="57" spans="1:39" x14ac:dyDescent="0.2">
      <c r="A57" s="1">
        <v>430</v>
      </c>
      <c r="B57" s="1">
        <v>4</v>
      </c>
      <c r="C57" s="6">
        <v>3.5999999999999997E-2</v>
      </c>
      <c r="D57" s="12">
        <v>3.7888000000000002E-3</v>
      </c>
      <c r="E57" s="10">
        <v>7.7135499999999996E-3</v>
      </c>
      <c r="F57" s="10">
        <v>4.3122400000000002E-3</v>
      </c>
      <c r="G57" s="10">
        <v>8.2439499999999999E-3</v>
      </c>
      <c r="H57" s="10">
        <v>0.95208700000000002</v>
      </c>
      <c r="I57" s="13">
        <f t="shared" si="5"/>
        <v>0.9634257966026567</v>
      </c>
      <c r="J57" s="15">
        <f t="shared" si="6"/>
        <v>9.7933100559120072E-3</v>
      </c>
      <c r="K57" s="12">
        <f t="shared" si="7"/>
        <v>1.9063055683025628E-2</v>
      </c>
      <c r="L57" s="12">
        <f t="shared" si="8"/>
        <v>6.7827042615909907E-3</v>
      </c>
      <c r="M57" s="14">
        <f t="shared" si="9"/>
        <v>9.351333968146663E-4</v>
      </c>
      <c r="N57" s="8">
        <f t="shared" si="15"/>
        <v>2.6780893341431283E-2</v>
      </c>
      <c r="O57" s="1">
        <f t="shared" si="16"/>
        <v>0.74391370392864675</v>
      </c>
      <c r="P57" s="20"/>
      <c r="Q57" s="20"/>
      <c r="R57" s="20"/>
      <c r="S57" s="19">
        <f t="shared" si="3"/>
        <v>0.96796263538105531</v>
      </c>
      <c r="T57" s="18">
        <f t="shared" si="4"/>
        <v>4.6869978370731279E-3</v>
      </c>
      <c r="AG57" s="16"/>
      <c r="AH57" s="16"/>
      <c r="AI57" s="16"/>
      <c r="AJ57" s="16"/>
      <c r="AK57" s="16"/>
    </row>
    <row r="58" spans="1:39" x14ac:dyDescent="0.2">
      <c r="A58" s="1">
        <v>430</v>
      </c>
      <c r="B58" s="1">
        <v>5</v>
      </c>
      <c r="C58" s="6">
        <v>3.5999999999999997E-2</v>
      </c>
      <c r="D58" s="12">
        <v>2.7225800000000001E-3</v>
      </c>
      <c r="E58" s="10">
        <v>8.6508399999999999E-3</v>
      </c>
      <c r="F58" s="10">
        <v>4.49731E-3</v>
      </c>
      <c r="G58" s="10">
        <v>9.3167300000000005E-3</v>
      </c>
      <c r="H58" s="10">
        <v>0.909215</v>
      </c>
      <c r="I58" s="13">
        <f t="shared" si="5"/>
        <v>0.96179409633953472</v>
      </c>
      <c r="J58" s="15">
        <f t="shared" si="6"/>
        <v>7.356688258685796E-3</v>
      </c>
      <c r="K58" s="12">
        <f t="shared" si="7"/>
        <v>2.2349631998291864E-2</v>
      </c>
      <c r="L58" s="12">
        <f t="shared" si="8"/>
        <v>7.394803902079302E-3</v>
      </c>
      <c r="M58" s="14">
        <f t="shared" si="9"/>
        <v>1.1047795014084308E-3</v>
      </c>
      <c r="N58" s="8">
        <f t="shared" si="15"/>
        <v>3.0849215401779598E-2</v>
      </c>
      <c r="O58" s="1">
        <f t="shared" si="16"/>
        <v>0.85692265004943335</v>
      </c>
      <c r="P58" s="20"/>
      <c r="Q58" s="20"/>
      <c r="R58" s="20"/>
      <c r="S58" s="19">
        <f t="shared" si="3"/>
        <v>0.96835633786981745</v>
      </c>
      <c r="T58" s="18">
        <f t="shared" si="4"/>
        <v>6.7766805189898357E-3</v>
      </c>
      <c r="AG58" s="16">
        <f>LN(0.0149)</f>
        <v>-4.2063940660307235</v>
      </c>
      <c r="AH58" s="16">
        <v>1.531E-3</v>
      </c>
      <c r="AI58" s="16"/>
      <c r="AJ58" s="22" t="s">
        <v>17</v>
      </c>
      <c r="AK58" s="22"/>
    </row>
    <row r="59" spans="1:39" x14ac:dyDescent="0.2">
      <c r="A59" s="1">
        <v>430</v>
      </c>
      <c r="B59" s="1">
        <v>6</v>
      </c>
      <c r="C59" s="6">
        <v>3.5999999999999997E-2</v>
      </c>
      <c r="D59" s="12">
        <v>1.7866900000000001E-3</v>
      </c>
      <c r="E59" s="10">
        <v>8.9109099999999993E-3</v>
      </c>
      <c r="F59" s="10">
        <v>4.4237800000000004E-3</v>
      </c>
      <c r="G59" s="10">
        <v>9.1628000000000005E-3</v>
      </c>
      <c r="H59" s="10">
        <v>0.87431999999999999</v>
      </c>
      <c r="I59" s="13">
        <f t="shared" si="5"/>
        <v>0.96232429960342269</v>
      </c>
      <c r="J59" s="15">
        <f t="shared" si="6"/>
        <v>5.0232689847093705E-3</v>
      </c>
      <c r="K59" s="12">
        <f t="shared" si="7"/>
        <v>2.3953538532645716E-2</v>
      </c>
      <c r="L59" s="12">
        <f t="shared" si="8"/>
        <v>7.5683791802006115E-3</v>
      </c>
      <c r="M59" s="14">
        <f t="shared" si="9"/>
        <v>1.1305136990215914E-3</v>
      </c>
      <c r="N59" s="8">
        <f t="shared" si="15"/>
        <v>3.2652431411867917E-2</v>
      </c>
      <c r="O59" s="1">
        <f t="shared" si="16"/>
        <v>0.90701198366299773</v>
      </c>
      <c r="P59" s="20"/>
      <c r="Q59" s="20"/>
      <c r="R59" s="20"/>
      <c r="S59" s="19">
        <f t="shared" si="3"/>
        <v>0.96846798148870505</v>
      </c>
      <c r="T59" s="18">
        <f t="shared" si="4"/>
        <v>6.3437119272011901E-3</v>
      </c>
      <c r="AG59" s="16">
        <f>LN(0.037)</f>
        <v>-3.2968373663379125</v>
      </c>
      <c r="AH59" s="16">
        <v>1.508E-3</v>
      </c>
      <c r="AI59" s="16"/>
      <c r="AJ59" s="16">
        <f t="array" ref="AJ59:AK63">LINEST(AG58:AG63,AH58:AH63,TRUE,TRUE)</f>
        <v>-23316.232020629472</v>
      </c>
      <c r="AK59" s="16">
        <v>31.850355388096197</v>
      </c>
      <c r="AM59" s="4">
        <f>0.434*AK74</f>
        <v>2.4889391391922109</v>
      </c>
    </row>
    <row r="60" spans="1:39" x14ac:dyDescent="0.2">
      <c r="A60" s="1">
        <v>430</v>
      </c>
      <c r="B60" s="1">
        <v>7</v>
      </c>
      <c r="C60" s="6">
        <v>3.5999999999999997E-2</v>
      </c>
      <c r="D60" s="12">
        <v>1.4884E-3</v>
      </c>
      <c r="E60" s="10">
        <v>8.49193E-3</v>
      </c>
      <c r="F60" s="10">
        <v>4.12168E-3</v>
      </c>
      <c r="G60" s="10">
        <v>8.4600960000000003E-3</v>
      </c>
      <c r="H60" s="10">
        <v>0.78734199999999999</v>
      </c>
      <c r="I60" s="13">
        <f t="shared" si="5"/>
        <v>0.96106543742656114</v>
      </c>
      <c r="J60" s="15">
        <f t="shared" si="6"/>
        <v>4.6408271117631839E-3</v>
      </c>
      <c r="K60" s="12">
        <f t="shared" si="7"/>
        <v>2.5315850801682884E-2</v>
      </c>
      <c r="L60" s="12">
        <f t="shared" si="8"/>
        <v>7.8202769410581872E-3</v>
      </c>
      <c r="M60" s="14">
        <f t="shared" si="9"/>
        <v>1.1576077189347045E-3</v>
      </c>
      <c r="N60" s="8">
        <f t="shared" si="15"/>
        <v>3.4293735461675773E-2</v>
      </c>
      <c r="O60" s="1">
        <f t="shared" si="16"/>
        <v>0.95260376282432713</v>
      </c>
      <c r="P60" s="20"/>
      <c r="Q60" s="20"/>
      <c r="R60" s="20"/>
      <c r="S60" s="19">
        <f t="shared" si="3"/>
        <v>0.9686300021284886</v>
      </c>
      <c r="T60" s="18">
        <f t="shared" si="4"/>
        <v>7.8095502775104193E-3</v>
      </c>
      <c r="AG60" s="16">
        <f>LN(0.0861)</f>
        <v>-2.4522458675484522</v>
      </c>
      <c r="AH60" s="16">
        <v>1.4859999999999999E-3</v>
      </c>
      <c r="AI60" s="16"/>
      <c r="AJ60" s="16">
        <v>4035.2702600371586</v>
      </c>
      <c r="AK60" s="16">
        <v>5.9566042964708217</v>
      </c>
    </row>
    <row r="61" spans="1:39" x14ac:dyDescent="0.2">
      <c r="A61" s="1">
        <v>430</v>
      </c>
      <c r="B61" s="1">
        <v>8</v>
      </c>
      <c r="C61" s="6">
        <v>3.5999999999999997E-2</v>
      </c>
      <c r="D61" s="12">
        <v>1.37867E-3</v>
      </c>
      <c r="E61" s="10">
        <v>8.1052299999999997E-3</v>
      </c>
      <c r="F61" s="10">
        <v>4.2128399999999998E-3</v>
      </c>
      <c r="G61" s="10">
        <v>9.0249200000000005E-3</v>
      </c>
      <c r="H61" s="10">
        <v>0.74073299999999997</v>
      </c>
      <c r="I61" s="13">
        <f t="shared" si="5"/>
        <v>0.95998368437068649</v>
      </c>
      <c r="J61" s="15">
        <f t="shared" si="6"/>
        <v>4.5640319132985432E-3</v>
      </c>
      <c r="K61" s="12">
        <f t="shared" si="7"/>
        <v>2.5654531261050349E-2</v>
      </c>
      <c r="L61" s="12">
        <f t="shared" si="8"/>
        <v>8.4866334805664065E-3</v>
      </c>
      <c r="M61" s="14">
        <f t="shared" si="9"/>
        <v>1.3111189743981188E-3</v>
      </c>
      <c r="N61" s="8">
        <f t="shared" si="15"/>
        <v>3.5452283716014873E-2</v>
      </c>
      <c r="O61" s="1">
        <f t="shared" si="16"/>
        <v>0.98478565877819102</v>
      </c>
      <c r="P61" s="20"/>
      <c r="Q61" s="20"/>
      <c r="R61" s="20"/>
      <c r="S61" s="19">
        <f t="shared" si="3"/>
        <v>0.96905860265470034</v>
      </c>
      <c r="T61" s="18">
        <f t="shared" si="4"/>
        <v>9.3646743954941946E-3</v>
      </c>
      <c r="AG61" s="16">
        <f>LN(0.153)</f>
        <v>-1.8773173575897015</v>
      </c>
      <c r="AH61" s="16">
        <v>1.464E-3</v>
      </c>
      <c r="AI61" s="16"/>
      <c r="AJ61" s="16">
        <v>0.89300963862647986</v>
      </c>
      <c r="AK61" s="16">
        <v>0.36757155490814852</v>
      </c>
    </row>
    <row r="62" spans="1:39" x14ac:dyDescent="0.2">
      <c r="AG62" s="16">
        <f>LN(0.157)</f>
        <v>-1.8515094736338289</v>
      </c>
      <c r="AH62" s="16">
        <v>1.4430000000000001E-3</v>
      </c>
      <c r="AI62" s="16"/>
      <c r="AJ62" s="16">
        <v>33.386545373329241</v>
      </c>
      <c r="AK62" s="16">
        <v>4</v>
      </c>
    </row>
    <row r="63" spans="1:39" x14ac:dyDescent="0.2">
      <c r="AG63" s="16">
        <f>LN(0.191)</f>
        <v>-1.6554818509355071</v>
      </c>
      <c r="AH63" s="16">
        <v>1.4220000000000001E-3</v>
      </c>
      <c r="AI63" s="16"/>
      <c r="AJ63" s="16">
        <v>4.5108176833421858</v>
      </c>
      <c r="AK63" s="16">
        <v>0.54043539191037615</v>
      </c>
    </row>
    <row r="64" spans="1:39" x14ac:dyDescent="0.2">
      <c r="AI64" s="6" t="s">
        <v>30</v>
      </c>
    </row>
    <row r="65" spans="33:37" x14ac:dyDescent="0.2">
      <c r="AG65" s="16"/>
      <c r="AH65" s="16"/>
      <c r="AI65" s="16"/>
      <c r="AJ65" s="22" t="s">
        <v>16</v>
      </c>
      <c r="AK65" s="22"/>
    </row>
    <row r="66" spans="33:37" x14ac:dyDescent="0.2">
      <c r="AG66" s="16">
        <f>LN(0.00552)</f>
        <v>-5.1993774186931327</v>
      </c>
      <c r="AH66" s="16">
        <v>1.745E-3</v>
      </c>
      <c r="AI66" s="16"/>
      <c r="AJ66" s="16">
        <f t="array" ref="AJ66:AK70">LINEST(AG66:AG69,AH66:AH69,TRUE,TRUE)</f>
        <v>-4943.1011099191946</v>
      </c>
      <c r="AK66" s="16">
        <v>3.509361981684906</v>
      </c>
    </row>
    <row r="67" spans="33:37" x14ac:dyDescent="0.2">
      <c r="AG67" s="16">
        <f>LN(0.00879)</f>
        <v>-4.7341405672850518</v>
      </c>
      <c r="AH67" s="16">
        <v>1.686E-3</v>
      </c>
      <c r="AI67" s="16"/>
      <c r="AJ67" s="16">
        <v>968.78343381119851</v>
      </c>
      <c r="AK67" s="16">
        <v>1.609538485044296</v>
      </c>
    </row>
    <row r="68" spans="33:37" x14ac:dyDescent="0.2">
      <c r="AG68" s="16">
        <f>LN(0.0114)</f>
        <v>-4.4741419235816871</v>
      </c>
      <c r="AH68" s="16">
        <v>1.6310000000000001E-3</v>
      </c>
      <c r="AI68" s="16"/>
      <c r="AJ68" s="16">
        <v>0.92865877198430613</v>
      </c>
      <c r="AK68" s="16">
        <v>0.11984266150074778</v>
      </c>
    </row>
    <row r="69" spans="33:37" x14ac:dyDescent="0.2">
      <c r="AG69" s="16">
        <f>LN(0.0125)</f>
        <v>-4.3820266346738812</v>
      </c>
      <c r="AH69" s="16">
        <v>1.5790000000000001E-3</v>
      </c>
      <c r="AI69" s="16"/>
      <c r="AJ69" s="16">
        <v>26.034280536354586</v>
      </c>
      <c r="AK69" s="16">
        <v>2</v>
      </c>
    </row>
    <row r="70" spans="33:37" x14ac:dyDescent="0.2">
      <c r="AG70" s="16"/>
      <c r="AH70" s="16"/>
      <c r="AI70" s="16"/>
      <c r="AJ70" s="16">
        <v>0.37391119750173324</v>
      </c>
      <c r="AK70" s="16">
        <v>2.8724527031165625E-2</v>
      </c>
    </row>
    <row r="71" spans="33:37" x14ac:dyDescent="0.2">
      <c r="AG71" s="16"/>
      <c r="AH71" s="16"/>
      <c r="AI71" s="16"/>
      <c r="AJ71" s="16"/>
      <c r="AK71" s="16"/>
    </row>
    <row r="72" spans="33:37" x14ac:dyDescent="0.2">
      <c r="AG72" s="16">
        <f>LN(0.0153)</f>
        <v>-4.1799024505837474</v>
      </c>
      <c r="AH72" s="16">
        <v>1.531E-3</v>
      </c>
      <c r="AI72" s="16"/>
      <c r="AJ72" s="22" t="s">
        <v>17</v>
      </c>
      <c r="AK72" s="22"/>
    </row>
    <row r="73" spans="33:37" x14ac:dyDescent="0.2">
      <c r="AG73" s="16">
        <f>LN(0.0116)</f>
        <v>-4.4567501808698182</v>
      </c>
      <c r="AH73" s="16">
        <v>1.508E-3</v>
      </c>
      <c r="AI73" s="16"/>
      <c r="AJ73" s="16">
        <f t="array" ref="AJ73:AK77">LINEST(AG72:AG77,AH72:AH77,TRUE,TRUE)</f>
        <v>-19955.776811851181</v>
      </c>
      <c r="AK73" s="16">
        <v>26.190982793860542</v>
      </c>
    </row>
    <row r="74" spans="33:37" x14ac:dyDescent="0.2">
      <c r="AG74" s="16">
        <f>LN(0.0411)</f>
        <v>-3.1917471574799481</v>
      </c>
      <c r="AH74" s="16">
        <v>1.4859999999999999E-3</v>
      </c>
      <c r="AI74" s="16"/>
      <c r="AJ74" s="16">
        <v>3885.0662043252937</v>
      </c>
      <c r="AK74" s="16">
        <v>5.7348828091986421</v>
      </c>
    </row>
    <row r="75" spans="33:37" x14ac:dyDescent="0.2">
      <c r="AG75" s="16">
        <f>LN(0.0629)</f>
        <v>-2.7662091152757422</v>
      </c>
      <c r="AH75" s="16">
        <v>1.464E-3</v>
      </c>
      <c r="AI75" s="16"/>
      <c r="AJ75" s="16">
        <v>0.86835170883251456</v>
      </c>
      <c r="AK75" s="16">
        <v>0.35388951262753759</v>
      </c>
    </row>
    <row r="76" spans="33:37" x14ac:dyDescent="0.2">
      <c r="AG76" s="16">
        <f>LN(0.0728)</f>
        <v>-2.6200393237794968</v>
      </c>
      <c r="AH76" s="16">
        <v>1.4430000000000001E-3</v>
      </c>
      <c r="AI76" s="16"/>
      <c r="AJ76" s="16">
        <v>26.383987247590799</v>
      </c>
      <c r="AK76" s="16">
        <v>4</v>
      </c>
    </row>
    <row r="77" spans="33:37" x14ac:dyDescent="0.2">
      <c r="AG77" s="16">
        <f>LN(0.0975)</f>
        <v>-2.3279029009783354</v>
      </c>
      <c r="AH77" s="16">
        <v>1.4220000000000001E-3</v>
      </c>
      <c r="AI77" s="16"/>
      <c r="AJ77" s="16">
        <v>3.3042721790228873</v>
      </c>
      <c r="AK77" s="16">
        <v>0.5009511485910243</v>
      </c>
    </row>
  </sheetData>
  <mergeCells count="39">
    <mergeCell ref="AJ51:AK51"/>
    <mergeCell ref="AJ58:AK58"/>
    <mergeCell ref="AJ65:AK65"/>
    <mergeCell ref="AJ72:AK72"/>
    <mergeCell ref="AJ37:AK37"/>
    <mergeCell ref="AJ44:AK44"/>
    <mergeCell ref="P44:P49"/>
    <mergeCell ref="Q44:Q49"/>
    <mergeCell ref="R32:R37"/>
    <mergeCell ref="P56:P61"/>
    <mergeCell ref="Q56:Q61"/>
    <mergeCell ref="R56:R61"/>
    <mergeCell ref="R38:R43"/>
    <mergeCell ref="R50:R55"/>
    <mergeCell ref="R44:R49"/>
    <mergeCell ref="P38:P43"/>
    <mergeCell ref="Q38:Q43"/>
    <mergeCell ref="P50:P55"/>
    <mergeCell ref="Q50:Q55"/>
    <mergeCell ref="P2:P7"/>
    <mergeCell ref="P20:P25"/>
    <mergeCell ref="Q20:Q25"/>
    <mergeCell ref="Q2:Q7"/>
    <mergeCell ref="Q8:Q13"/>
    <mergeCell ref="Q14:Q19"/>
    <mergeCell ref="P26:P31"/>
    <mergeCell ref="Q26:Q31"/>
    <mergeCell ref="AF33:AH33"/>
    <mergeCell ref="R14:R19"/>
    <mergeCell ref="R8:R13"/>
    <mergeCell ref="P14:P19"/>
    <mergeCell ref="P8:P13"/>
    <mergeCell ref="P32:P37"/>
    <mergeCell ref="Q32:Q37"/>
    <mergeCell ref="R2:R7"/>
    <mergeCell ref="R20:R25"/>
    <mergeCell ref="R26:R31"/>
    <mergeCell ref="AF24:AH24"/>
    <mergeCell ref="AF28:AH28"/>
  </mergeCells>
  <pageMargins left="0.7" right="0.7" top="0.75" bottom="0.75" header="0.3" footer="0.3"/>
  <pageSetup orientation="portrait" r:id="rId1"/>
  <ignoredErrors>
    <ignoredError sqref="H2 H8 H14 H20 H26 H32 H38 H44 H50 H56" formulaRange="1"/>
    <ignoredError sqref="M57:O61 M39:O43" evalError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E6E92-5C39-4945-8860-79856FB339D0}">
  <dimension ref="A1:I40"/>
  <sheetViews>
    <sheetView tabSelected="1" zoomScale="125" workbookViewId="0">
      <selection activeCell="J8" sqref="J8"/>
    </sheetView>
  </sheetViews>
  <sheetFormatPr baseColWidth="10" defaultRowHeight="15" x14ac:dyDescent="0.2"/>
  <cols>
    <col min="3" max="3" width="12.33203125" bestFit="1" customWidth="1"/>
    <col min="4" max="4" width="13" bestFit="1" customWidth="1"/>
    <col min="5" max="5" width="13" customWidth="1"/>
    <col min="7" max="7" width="17.1640625" bestFit="1" customWidth="1"/>
    <col min="8" max="8" width="15.1640625" bestFit="1" customWidth="1"/>
  </cols>
  <sheetData>
    <row r="1" spans="1:9" ht="16" x14ac:dyDescent="0.2">
      <c r="A1" t="s">
        <v>63</v>
      </c>
      <c r="B1" s="23">
        <v>35996.771379999998</v>
      </c>
    </row>
    <row r="2" spans="1:9" x14ac:dyDescent="0.2">
      <c r="A2" t="s">
        <v>64</v>
      </c>
      <c r="B2" s="15">
        <v>3.5999999999999997E-2</v>
      </c>
    </row>
    <row r="3" spans="1:9" x14ac:dyDescent="0.2">
      <c r="C3" t="s">
        <v>33</v>
      </c>
      <c r="D3" t="s">
        <v>61</v>
      </c>
      <c r="E3" t="s">
        <v>65</v>
      </c>
      <c r="F3" t="s">
        <v>59</v>
      </c>
      <c r="G3" t="s">
        <v>62</v>
      </c>
      <c r="H3" t="s">
        <v>66</v>
      </c>
      <c r="I3" t="s">
        <v>60</v>
      </c>
    </row>
    <row r="5" spans="1:9" ht="16" x14ac:dyDescent="0.2">
      <c r="A5" s="24">
        <v>0</v>
      </c>
      <c r="B5" s="23" t="s">
        <v>34</v>
      </c>
      <c r="C5" s="23">
        <v>0.189938</v>
      </c>
      <c r="D5" s="12">
        <v>2.1773026843606668E-2</v>
      </c>
      <c r="E5" s="12">
        <f>D5/$B$2</f>
        <v>0.60480630121129642</v>
      </c>
      <c r="G5">
        <f>D5/$B$2</f>
        <v>0.60480630121129642</v>
      </c>
      <c r="I5">
        <f>((ABS(C5-D5))/D5)</f>
        <v>7.7235459435339155</v>
      </c>
    </row>
    <row r="6" spans="1:9" ht="16" x14ac:dyDescent="0.2">
      <c r="A6" s="24">
        <v>1</v>
      </c>
      <c r="B6" s="23">
        <v>35</v>
      </c>
      <c r="C6" s="23">
        <v>0.206737</v>
      </c>
      <c r="D6" s="12">
        <v>2.2425123513342447E-2</v>
      </c>
      <c r="E6" s="12">
        <f t="shared" ref="E6:E9" si="0">D6/$B$2</f>
        <v>0.62292009759284583</v>
      </c>
      <c r="F6" s="23">
        <f>(C6/C5)-0.1</f>
        <v>0.98844465035959106</v>
      </c>
      <c r="G6">
        <v>0.97994974811815183</v>
      </c>
      <c r="H6">
        <f>(ABS(F6-G6)/G6)*100</f>
        <v>0.86687121025873293</v>
      </c>
      <c r="I6">
        <f t="shared" ref="I6:I9" si="1">((ABS(C6-D6))/D6)</f>
        <v>8.2189904718694695</v>
      </c>
    </row>
    <row r="7" spans="1:9" ht="16" x14ac:dyDescent="0.2">
      <c r="A7" s="24">
        <v>2</v>
      </c>
      <c r="B7" s="23">
        <v>45</v>
      </c>
      <c r="C7" s="23">
        <v>0.20084299999999999</v>
      </c>
      <c r="D7" s="12">
        <v>2.173724834276012E-2</v>
      </c>
      <c r="E7" s="12">
        <f t="shared" si="0"/>
        <v>0.60381245396555894</v>
      </c>
      <c r="F7" s="23">
        <f>C7/C6+0.01</f>
        <v>0.98149034763975485</v>
      </c>
      <c r="G7">
        <v>0.97932569088535648</v>
      </c>
      <c r="H7">
        <f>(ABS(F7-G7)/G7)*100</f>
        <v>0.22103543025011552</v>
      </c>
      <c r="I7">
        <f t="shared" si="1"/>
        <v>8.2395779278518226</v>
      </c>
    </row>
    <row r="8" spans="1:9" ht="16" x14ac:dyDescent="0.2">
      <c r="A8" s="24">
        <v>3</v>
      </c>
      <c r="B8" s="23">
        <v>55</v>
      </c>
      <c r="C8" s="23">
        <v>0.20002500000000001</v>
      </c>
      <c r="D8" s="12">
        <v>2.1520966361156253E-2</v>
      </c>
      <c r="E8" s="12">
        <f t="shared" si="0"/>
        <v>0.5978046211432293</v>
      </c>
      <c r="F8" s="23">
        <f>C8/C7-0.025</f>
        <v>0.97092716699113246</v>
      </c>
      <c r="G8">
        <v>0.97005016742719863</v>
      </c>
      <c r="H8">
        <f>(ABS(F8-G8)/G8)*100</f>
        <v>9.0407650385736518E-2</v>
      </c>
      <c r="I8">
        <f t="shared" si="1"/>
        <v>8.294424638896805</v>
      </c>
    </row>
    <row r="9" spans="1:9" ht="16" x14ac:dyDescent="0.2">
      <c r="A9" s="24">
        <v>4</v>
      </c>
      <c r="B9" s="23">
        <v>65</v>
      </c>
      <c r="C9" s="23">
        <v>0.19376299999999999</v>
      </c>
      <c r="D9" s="12">
        <v>2.1065095613470718E-2</v>
      </c>
      <c r="E9" s="12">
        <f t="shared" si="0"/>
        <v>0.58514154481863112</v>
      </c>
      <c r="F9" s="23">
        <f>C9/C8</f>
        <v>0.96869391326084231</v>
      </c>
      <c r="G9">
        <v>0.96881736628201098</v>
      </c>
      <c r="H9">
        <f>(ABS(F9-G9)/G9)*100</f>
        <v>1.2742651552835382E-2</v>
      </c>
      <c r="I9">
        <f t="shared" si="1"/>
        <v>8.1982967253228285</v>
      </c>
    </row>
    <row r="10" spans="1:9" ht="16" x14ac:dyDescent="0.2">
      <c r="A10" s="24"/>
      <c r="B10" s="23"/>
      <c r="C10" s="23"/>
      <c r="D10" s="12"/>
      <c r="E10" s="12"/>
      <c r="F10" s="23"/>
    </row>
    <row r="11" spans="1:9" ht="16" x14ac:dyDescent="0.2">
      <c r="A11" s="24">
        <v>5</v>
      </c>
      <c r="B11" s="23" t="s">
        <v>35</v>
      </c>
      <c r="C11" s="23">
        <v>0.21338199999999999</v>
      </c>
      <c r="D11" s="12">
        <v>2.107001989938392E-2</v>
      </c>
      <c r="E11" s="12">
        <f>D11/$B$2</f>
        <v>0.58527833053844225</v>
      </c>
      <c r="F11" s="23"/>
      <c r="G11">
        <f>D11/$B$2</f>
        <v>0.58527833053844225</v>
      </c>
      <c r="I11">
        <f>((ABS(C11-D11))/D11)</f>
        <v>9.1272804211371064</v>
      </c>
    </row>
    <row r="12" spans="1:9" ht="16" x14ac:dyDescent="0.2">
      <c r="A12" s="24">
        <v>6</v>
      </c>
      <c r="B12" s="23" t="s">
        <v>36</v>
      </c>
      <c r="C12" s="23">
        <v>0.185339</v>
      </c>
      <c r="D12" s="12">
        <v>2.1340315119993462E-2</v>
      </c>
      <c r="E12" s="12">
        <f t="shared" ref="E12:E15" si="2">D12/$B$2</f>
        <v>0.59278653111092949</v>
      </c>
      <c r="F12" s="23">
        <f>C12/C11</f>
        <v>0.86857841804838276</v>
      </c>
      <c r="G12">
        <f>D12/D11</f>
        <v>1.012828427400652</v>
      </c>
      <c r="H12">
        <f>(ABS(F12-G12)/G12)*100</f>
        <v>14.242294691755056</v>
      </c>
      <c r="I12">
        <f t="shared" ref="I12:I15" si="3">((ABS(C12-D12))/D12)</f>
        <v>7.6849232992983465</v>
      </c>
    </row>
    <row r="13" spans="1:9" ht="16" x14ac:dyDescent="0.2">
      <c r="A13" s="24">
        <v>7</v>
      </c>
      <c r="B13" s="23" t="s">
        <v>37</v>
      </c>
      <c r="C13" s="23">
        <v>0.20801700000000001</v>
      </c>
      <c r="D13" s="12">
        <v>2.0613461828237787E-2</v>
      </c>
      <c r="E13" s="12">
        <f t="shared" si="2"/>
        <v>0.57259616189549412</v>
      </c>
      <c r="F13" s="23">
        <f>C13/C12</f>
        <v>1.1223595681427008</v>
      </c>
      <c r="G13">
        <f t="shared" ref="G13:G15" si="4">D13/D12</f>
        <v>0.96593989884082376</v>
      </c>
      <c r="H13">
        <f>(ABS(F13-G13)/G13)*100</f>
        <v>16.193519854557042</v>
      </c>
      <c r="I13">
        <f t="shared" si="3"/>
        <v>9.0913180781232743</v>
      </c>
    </row>
    <row r="14" spans="1:9" ht="16" x14ac:dyDescent="0.2">
      <c r="A14" s="24">
        <v>8</v>
      </c>
      <c r="B14" s="23" t="s">
        <v>38</v>
      </c>
      <c r="C14" s="23">
        <v>0.17516899999999999</v>
      </c>
      <c r="D14" s="12">
        <v>1.9142099111620205E-2</v>
      </c>
      <c r="E14" s="12">
        <f t="shared" si="2"/>
        <v>0.53172497532278351</v>
      </c>
      <c r="F14" s="23">
        <f>C14/C13</f>
        <v>0.8420898291966521</v>
      </c>
      <c r="G14">
        <f t="shared" si="4"/>
        <v>0.92862127046501208</v>
      </c>
      <c r="H14">
        <f>(ABS(F14-G14)/G14)*100</f>
        <v>9.3182704317152787</v>
      </c>
      <c r="I14">
        <f t="shared" si="3"/>
        <v>8.1509817694791735</v>
      </c>
    </row>
    <row r="15" spans="1:9" ht="16" x14ac:dyDescent="0.2">
      <c r="A15" s="24">
        <v>9</v>
      </c>
      <c r="B15" s="23" t="s">
        <v>39</v>
      </c>
      <c r="C15" s="23">
        <v>0.156663</v>
      </c>
      <c r="D15" s="12">
        <v>1.7970327176579759E-2</v>
      </c>
      <c r="E15" s="12">
        <f t="shared" si="2"/>
        <v>0.49917575490499333</v>
      </c>
      <c r="F15" s="23">
        <f>C15/C14</f>
        <v>0.8943534529511501</v>
      </c>
      <c r="G15">
        <f t="shared" si="4"/>
        <v>0.93878560923712262</v>
      </c>
      <c r="H15">
        <f>(ABS(F15-G15)/G15)*100</f>
        <v>4.7329396455149171</v>
      </c>
      <c r="I15">
        <f t="shared" si="3"/>
        <v>7.7178713253576507</v>
      </c>
    </row>
    <row r="16" spans="1:9" ht="16" x14ac:dyDescent="0.2">
      <c r="A16" s="24"/>
      <c r="B16" s="23"/>
      <c r="C16" s="23"/>
      <c r="D16" s="12"/>
      <c r="E16" s="12"/>
      <c r="F16" s="23"/>
    </row>
    <row r="17" spans="1:9" ht="16" x14ac:dyDescent="0.2">
      <c r="A17" s="24">
        <v>10</v>
      </c>
      <c r="B17" s="23" t="s">
        <v>40</v>
      </c>
      <c r="C17" s="23">
        <v>0.16111700000000001</v>
      </c>
      <c r="D17" s="12">
        <v>1.9628977874332699E-2</v>
      </c>
      <c r="E17" s="12">
        <f>D17/$B$2</f>
        <v>0.54524938539813061</v>
      </c>
      <c r="F17" s="23"/>
      <c r="G17">
        <f>D17/$B$2</f>
        <v>0.54524938539813061</v>
      </c>
      <c r="I17">
        <f>((ABS(C17-D17))/D17)</f>
        <v>7.2081197009590747</v>
      </c>
    </row>
    <row r="18" spans="1:9" ht="16" x14ac:dyDescent="0.2">
      <c r="A18" s="24">
        <v>11</v>
      </c>
      <c r="B18" s="23" t="s">
        <v>41</v>
      </c>
      <c r="C18" s="23">
        <v>0.21143600000000001</v>
      </c>
      <c r="D18" s="12">
        <v>1.985782699369245E-2</v>
      </c>
      <c r="E18" s="12">
        <f t="shared" ref="E18:E21" si="5">D18/$B$2</f>
        <v>0.55160630538034583</v>
      </c>
      <c r="F18" s="23">
        <f>C18/C17</f>
        <v>1.3123134119925273</v>
      </c>
      <c r="G18">
        <f>D18/D17</f>
        <v>1.01165873846437</v>
      </c>
      <c r="H18">
        <f>(ABS(F18-G18)/G18)*100</f>
        <v>29.718981519848363</v>
      </c>
      <c r="I18">
        <f t="shared" ref="I18:I21" si="6">((ABS(C18-D18))/D18)</f>
        <v>9.6474892780141346</v>
      </c>
    </row>
    <row r="19" spans="1:9" ht="16" x14ac:dyDescent="0.2">
      <c r="A19" s="24">
        <v>12</v>
      </c>
      <c r="B19" s="23" t="s">
        <v>42</v>
      </c>
      <c r="C19" s="23">
        <v>0.142454</v>
      </c>
      <c r="D19" s="12">
        <v>1.776272381611288E-2</v>
      </c>
      <c r="E19" s="12">
        <f t="shared" si="5"/>
        <v>0.4934089948920245</v>
      </c>
      <c r="F19" s="23">
        <f>C19/C18</f>
        <v>0.67374524678862624</v>
      </c>
      <c r="G19">
        <f t="shared" ref="G19:G21" si="7">D19/D18</f>
        <v>0.89449484184523065</v>
      </c>
      <c r="H19">
        <f>(ABS(F19-G19)/G19)*100</f>
        <v>24.678688431699136</v>
      </c>
      <c r="I19">
        <f t="shared" si="6"/>
        <v>7.019828573294455</v>
      </c>
    </row>
    <row r="20" spans="1:9" ht="16" x14ac:dyDescent="0.2">
      <c r="A20" s="24">
        <v>13</v>
      </c>
      <c r="B20" s="23" t="s">
        <v>43</v>
      </c>
      <c r="C20" s="23">
        <v>0.11444</v>
      </c>
      <c r="D20" s="12">
        <v>1.6356611835576493E-2</v>
      </c>
      <c r="E20" s="12">
        <f t="shared" si="5"/>
        <v>0.45435032876601372</v>
      </c>
      <c r="F20" s="23">
        <f>C20/C19</f>
        <v>0.80334704536201162</v>
      </c>
      <c r="G20">
        <f t="shared" si="7"/>
        <v>0.92083916886323047</v>
      </c>
      <c r="H20">
        <f>(ABS(F20-G20)/G20)*100</f>
        <v>12.759244770860697</v>
      </c>
      <c r="I20">
        <f t="shared" si="6"/>
        <v>5.9965590154243902</v>
      </c>
    </row>
    <row r="21" spans="1:9" ht="16" x14ac:dyDescent="0.2">
      <c r="A21" s="24">
        <v>14</v>
      </c>
      <c r="B21" s="23" t="s">
        <v>44</v>
      </c>
      <c r="C21" s="23">
        <v>9.5919000000000004E-2</v>
      </c>
      <c r="D21" s="12">
        <v>1.531334749464755E-2</v>
      </c>
      <c r="E21" s="12">
        <f t="shared" si="5"/>
        <v>0.42537076374020977</v>
      </c>
      <c r="F21" s="23">
        <f>C21/C20</f>
        <v>0.8381597343586159</v>
      </c>
      <c r="G21">
        <f t="shared" si="7"/>
        <v>0.93621757663406868</v>
      </c>
      <c r="H21">
        <f>(ABS(F21-G21)/G21)*100</f>
        <v>10.473830520037311</v>
      </c>
      <c r="I21">
        <f t="shared" si="6"/>
        <v>5.2637512819144492</v>
      </c>
    </row>
    <row r="22" spans="1:9" ht="16" x14ac:dyDescent="0.2">
      <c r="A22" s="24"/>
      <c r="B22" s="23"/>
      <c r="C22" s="23"/>
      <c r="D22" s="12"/>
      <c r="E22" s="12"/>
      <c r="F22" s="23"/>
    </row>
    <row r="23" spans="1:9" ht="16" x14ac:dyDescent="0.2">
      <c r="A23" s="24">
        <v>15</v>
      </c>
      <c r="B23" s="23" t="s">
        <v>45</v>
      </c>
      <c r="C23" s="23">
        <v>0.178674</v>
      </c>
      <c r="D23" s="12">
        <v>8.5272799999999999E-3</v>
      </c>
      <c r="E23" s="12">
        <f>D23/$B$2</f>
        <v>0.23686888888888891</v>
      </c>
      <c r="F23" s="23"/>
      <c r="G23">
        <f>D23/$B$2</f>
        <v>0.23686888888888891</v>
      </c>
      <c r="I23">
        <f>((ABS(C23-D23))/D23)</f>
        <v>19.953223067613589</v>
      </c>
    </row>
    <row r="24" spans="1:9" ht="16" x14ac:dyDescent="0.2">
      <c r="A24" s="24">
        <v>16</v>
      </c>
      <c r="B24" s="23" t="s">
        <v>46</v>
      </c>
      <c r="C24" s="23">
        <v>0.12964899999999999</v>
      </c>
      <c r="D24" s="12">
        <v>7.6322899999999999E-3</v>
      </c>
      <c r="E24" s="12">
        <f t="shared" ref="E24:E27" si="8">D24/$B$2</f>
        <v>0.21200805555555557</v>
      </c>
      <c r="F24" s="23">
        <f>C24/C23</f>
        <v>0.72561760524754571</v>
      </c>
      <c r="G24">
        <f>D24/D23</f>
        <v>0.89504390614592222</v>
      </c>
      <c r="H24">
        <f>(ABS(F24-G24)/G24)*100</f>
        <v>18.929384327963277</v>
      </c>
      <c r="I24">
        <f t="shared" ref="I24:I27" si="9">((ABS(C24-D24))/D24)</f>
        <v>15.986906944049556</v>
      </c>
    </row>
    <row r="25" spans="1:9" ht="16" x14ac:dyDescent="0.2">
      <c r="A25" s="24">
        <v>17</v>
      </c>
      <c r="B25" s="23" t="s">
        <v>47</v>
      </c>
      <c r="C25" s="23">
        <v>0.100898</v>
      </c>
      <c r="D25" s="12">
        <v>6.6219199999999999E-3</v>
      </c>
      <c r="E25" s="12">
        <f t="shared" si="8"/>
        <v>0.18394222222222223</v>
      </c>
      <c r="F25" s="23">
        <f>C25/C24</f>
        <v>0.77823970875209225</v>
      </c>
      <c r="G25">
        <f t="shared" ref="G25:G27" si="10">D25/D24</f>
        <v>0.86761902391025503</v>
      </c>
      <c r="H25">
        <f>(ABS(F25-G25)/G25)*100</f>
        <v>10.301677659779854</v>
      </c>
      <c r="I25">
        <f t="shared" si="9"/>
        <v>14.236970546306811</v>
      </c>
    </row>
    <row r="26" spans="1:9" ht="16" x14ac:dyDescent="0.2">
      <c r="A26" s="24">
        <v>18</v>
      </c>
      <c r="B26" s="23" t="s">
        <v>48</v>
      </c>
      <c r="C26" s="23">
        <v>8.6360000000000006E-2</v>
      </c>
      <c r="D26" s="12">
        <v>5.65651E-3</v>
      </c>
      <c r="E26" s="12">
        <f t="shared" si="8"/>
        <v>0.15712527777777779</v>
      </c>
      <c r="F26" s="23">
        <f>C26/C25</f>
        <v>0.85591389323871636</v>
      </c>
      <c r="G26">
        <f t="shared" si="10"/>
        <v>0.85420995723294757</v>
      </c>
      <c r="H26">
        <f>(ABS(F26-G26)/G26)*100</f>
        <v>0.19947508119530374</v>
      </c>
      <c r="I26">
        <f t="shared" si="9"/>
        <v>14.267364505675761</v>
      </c>
    </row>
    <row r="27" spans="1:9" ht="16" x14ac:dyDescent="0.2">
      <c r="A27" s="24">
        <v>19</v>
      </c>
      <c r="B27" s="23" t="s">
        <v>49</v>
      </c>
      <c r="C27" s="23">
        <v>7.0777999999999994E-2</v>
      </c>
      <c r="D27" s="12">
        <v>5.0339199999999999E-3</v>
      </c>
      <c r="E27" s="12">
        <f t="shared" si="8"/>
        <v>0.13983111111111113</v>
      </c>
      <c r="F27" s="23">
        <f>C27/C26</f>
        <v>0.81956924502084283</v>
      </c>
      <c r="G27">
        <f t="shared" si="10"/>
        <v>0.8899338991710436</v>
      </c>
      <c r="H27">
        <f>(ABS(F27-G27)/G27)*100</f>
        <v>7.9067281531520592</v>
      </c>
      <c r="I27">
        <f t="shared" si="9"/>
        <v>13.060215498061153</v>
      </c>
    </row>
    <row r="28" spans="1:9" ht="16" x14ac:dyDescent="0.2">
      <c r="A28" s="24"/>
      <c r="B28" s="23"/>
      <c r="C28" s="23"/>
      <c r="D28" s="12"/>
      <c r="E28" s="12"/>
      <c r="F28" s="23"/>
    </row>
    <row r="29" spans="1:9" ht="16" x14ac:dyDescent="0.2">
      <c r="A29" s="24">
        <v>20</v>
      </c>
      <c r="B29" s="23" t="s">
        <v>50</v>
      </c>
      <c r="C29" s="23">
        <v>0.139177</v>
      </c>
      <c r="D29" s="12">
        <v>8.0270399999999992E-3</v>
      </c>
      <c r="E29" s="12">
        <f>D29/$B$2</f>
        <v>0.22297333333333333</v>
      </c>
      <c r="F29" s="23"/>
      <c r="G29">
        <f>D29/$B$2</f>
        <v>0.22297333333333333</v>
      </c>
      <c r="I29">
        <f>((ABS(C29-D29))/D29)</f>
        <v>16.338520799697026</v>
      </c>
    </row>
    <row r="30" spans="1:9" ht="16" x14ac:dyDescent="0.2">
      <c r="A30" s="24">
        <v>21</v>
      </c>
      <c r="B30" s="23" t="s">
        <v>51</v>
      </c>
      <c r="C30" s="23">
        <v>9.7689999999999999E-2</v>
      </c>
      <c r="D30" s="12">
        <v>7.1495700000000001E-3</v>
      </c>
      <c r="E30" s="12">
        <f t="shared" ref="E30:E32" si="11">D30/$B$2</f>
        <v>0.19859916666666669</v>
      </c>
      <c r="F30" s="23">
        <f>C30/C29</f>
        <v>0.70191195384294824</v>
      </c>
      <c r="G30">
        <f>E30/E29</f>
        <v>0.8906857322250793</v>
      </c>
      <c r="H30">
        <f>(ABS(F30-G30)/G30)*100</f>
        <v>21.194207064543757</v>
      </c>
      <c r="I30">
        <f t="shared" ref="I30:I32" si="12">((ABS(C30-D30))/D30)</f>
        <v>12.663758799480249</v>
      </c>
    </row>
    <row r="31" spans="1:9" ht="16" x14ac:dyDescent="0.2">
      <c r="A31" s="24">
        <v>22</v>
      </c>
      <c r="B31" s="23" t="s">
        <v>52</v>
      </c>
      <c r="C31" s="23">
        <v>3.2049000000000001E-2</v>
      </c>
      <c r="D31" s="12">
        <v>5.0978100000000004E-3</v>
      </c>
      <c r="E31" s="12">
        <f t="shared" si="11"/>
        <v>0.14160583333333335</v>
      </c>
      <c r="F31" s="23">
        <f>C31/C30</f>
        <v>0.32806837956802132</v>
      </c>
      <c r="G31">
        <f t="shared" ref="G31:G32" si="13">E31/E30</f>
        <v>0.71302330070200026</v>
      </c>
      <c r="H31">
        <f>(ABS(F31-G31)/G31)*100</f>
        <v>53.989108175704118</v>
      </c>
      <c r="I31">
        <f t="shared" si="12"/>
        <v>5.286817280361567</v>
      </c>
    </row>
    <row r="32" spans="1:9" ht="16" x14ac:dyDescent="0.2">
      <c r="A32" s="24">
        <v>23</v>
      </c>
      <c r="B32" s="23" t="s">
        <v>53</v>
      </c>
      <c r="C32" s="23">
        <v>2.5090999999999999E-2</v>
      </c>
      <c r="D32" s="12">
        <v>4.2527299999999997E-3</v>
      </c>
      <c r="E32" s="12">
        <f t="shared" si="11"/>
        <v>0.11813138888888888</v>
      </c>
      <c r="F32" s="23">
        <f>C32/C31</f>
        <v>0.78289494211987887</v>
      </c>
      <c r="G32">
        <f t="shared" si="13"/>
        <v>0.83422685427664023</v>
      </c>
      <c r="H32">
        <f>(ABS(F32-G32)/G32)*100</f>
        <v>6.1532318090229019</v>
      </c>
      <c r="I32">
        <f t="shared" si="12"/>
        <v>4.8999748396912102</v>
      </c>
    </row>
    <row r="33" spans="1:6" ht="16" x14ac:dyDescent="0.2">
      <c r="A33" s="24"/>
      <c r="B33" s="23"/>
      <c r="C33" s="23"/>
      <c r="D33" s="12"/>
      <c r="E33" s="12"/>
      <c r="F33" s="23"/>
    </row>
    <row r="34" spans="1:6" ht="16" x14ac:dyDescent="0.2">
      <c r="A34" s="24">
        <v>24</v>
      </c>
      <c r="B34" s="23" t="s">
        <v>54</v>
      </c>
      <c r="C34" s="23">
        <v>9.2039999999999997E-2</v>
      </c>
      <c r="D34" s="12">
        <v>8.1497199999999992E-3</v>
      </c>
      <c r="E34" s="12">
        <f>D34/$B$2</f>
        <v>0.22638111111111112</v>
      </c>
      <c r="F34" s="23"/>
    </row>
    <row r="35" spans="1:6" ht="16" x14ac:dyDescent="0.2">
      <c r="A35" s="24">
        <v>25</v>
      </c>
      <c r="B35" s="23" t="s">
        <v>55</v>
      </c>
      <c r="C35" s="23">
        <v>4.3901000000000003E-2</v>
      </c>
      <c r="D35" s="12">
        <v>6.0071600000000001E-3</v>
      </c>
      <c r="E35" s="12">
        <f>D35/$B$2</f>
        <v>0.16686555555555557</v>
      </c>
    </row>
    <row r="36" spans="1:6" ht="16" x14ac:dyDescent="0.2">
      <c r="A36" s="24"/>
      <c r="B36" s="23"/>
      <c r="C36" s="23"/>
    </row>
    <row r="37" spans="1:6" ht="16" x14ac:dyDescent="0.2">
      <c r="A37" s="24">
        <v>26</v>
      </c>
      <c r="B37" s="23" t="s">
        <v>56</v>
      </c>
      <c r="C37" s="23">
        <v>0.12571299999999999</v>
      </c>
      <c r="D37" s="12">
        <v>8.4778800000000001E-3</v>
      </c>
      <c r="E37" s="12">
        <f>D37/$B$2</f>
        <v>0.23549666666666669</v>
      </c>
    </row>
    <row r="38" spans="1:6" ht="16" x14ac:dyDescent="0.2">
      <c r="A38" s="24">
        <v>27</v>
      </c>
      <c r="B38" s="23" t="s">
        <v>57</v>
      </c>
      <c r="C38" s="23">
        <v>7.1536000000000002E-2</v>
      </c>
      <c r="D38" s="12">
        <v>7.1568600000000001E-3</v>
      </c>
      <c r="E38" s="12">
        <f>D38/$B$2</f>
        <v>0.19880166666666668</v>
      </c>
    </row>
    <row r="39" spans="1:6" ht="16" x14ac:dyDescent="0.2">
      <c r="A39" s="24"/>
      <c r="B39" s="23"/>
      <c r="C39" s="23"/>
    </row>
    <row r="40" spans="1:6" ht="16" x14ac:dyDescent="0.2">
      <c r="A40" s="24">
        <v>28</v>
      </c>
      <c r="B40" s="23" t="s">
        <v>58</v>
      </c>
      <c r="C40" s="23">
        <v>5.1885000000000001E-2</v>
      </c>
      <c r="D40" s="12">
        <v>5.3118799999999997E-3</v>
      </c>
      <c r="E40" s="12">
        <f>D40/$B$2</f>
        <v>0.14755222222222222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EGR Edits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Pinkard</dc:creator>
  <cp:lastModifiedBy>Rasmussen, Elizabeth</cp:lastModifiedBy>
  <dcterms:created xsi:type="dcterms:W3CDTF">2018-06-07T15:54:27Z</dcterms:created>
  <dcterms:modified xsi:type="dcterms:W3CDTF">2019-06-26T23:01:56Z</dcterms:modified>
</cp:coreProperties>
</file>