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f56848d19cfdc0eb/Bachelorarbeit/Empirie/"/>
    </mc:Choice>
  </mc:AlternateContent>
  <xr:revisionPtr revIDLastSave="843" documentId="13_ncr:1_{E0CA25F2-D6DC-49F8-A4C2-BCB90A1512D1}" xr6:coauthVersionLast="47" xr6:coauthVersionMax="47" xr10:uidLastSave="{BCCF8BE2-407A-42A9-B98D-562BB07FFED3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4" i="1" l="1"/>
  <c r="V45" i="1"/>
  <c r="V44" i="1"/>
  <c r="V43" i="1"/>
  <c r="V42" i="1"/>
  <c r="U45" i="1"/>
  <c r="U44" i="1"/>
  <c r="U43" i="1"/>
  <c r="U42" i="1"/>
  <c r="T45" i="1"/>
  <c r="T44" i="1"/>
  <c r="T43" i="1"/>
  <c r="T42" i="1"/>
  <c r="S45" i="1"/>
  <c r="S44" i="1"/>
  <c r="S43" i="1"/>
  <c r="S42" i="1"/>
  <c r="R45" i="1"/>
  <c r="R44" i="1"/>
  <c r="R43" i="1"/>
  <c r="R42" i="1"/>
  <c r="Q45" i="1"/>
  <c r="Q44" i="1"/>
  <c r="Q43" i="1"/>
  <c r="Q42" i="1"/>
  <c r="O45" i="1"/>
  <c r="O44" i="1"/>
  <c r="O43" i="1"/>
  <c r="O42" i="1"/>
  <c r="M45" i="1"/>
  <c r="M43" i="1"/>
  <c r="M42" i="1"/>
  <c r="L45" i="1"/>
  <c r="L43" i="1"/>
  <c r="L44" i="1"/>
  <c r="L42" i="1"/>
  <c r="X32" i="1" l="1"/>
  <c r="X33" i="1"/>
  <c r="X34" i="1"/>
  <c r="X35" i="1"/>
  <c r="X36" i="1"/>
  <c r="X37" i="1"/>
  <c r="X38" i="1"/>
  <c r="X27" i="1"/>
  <c r="X28" i="1"/>
  <c r="X29" i="1"/>
  <c r="Z20" i="1"/>
  <c r="Z21" i="1"/>
  <c r="Z22" i="1"/>
  <c r="Z23" i="1"/>
  <c r="Z24" i="1"/>
  <c r="X10" i="1"/>
  <c r="X11" i="1"/>
  <c r="X12" i="1"/>
  <c r="X13" i="1"/>
  <c r="X14" i="1"/>
  <c r="X15" i="1"/>
  <c r="X17" i="1"/>
  <c r="X2" i="1"/>
  <c r="X3" i="1"/>
  <c r="X4" i="1"/>
  <c r="X5" i="1"/>
  <c r="X7" i="1"/>
  <c r="L52" i="1"/>
  <c r="L50" i="1"/>
  <c r="L24" i="1" a="1"/>
  <c r="L24" i="1" s="1"/>
  <c r="X16" i="1" l="1"/>
  <c r="X6" i="1"/>
  <c r="L38" i="1" a="1"/>
  <c r="L38" i="1" s="1"/>
  <c r="L29" i="1" a="1"/>
  <c r="L29" i="1" s="1"/>
  <c r="L7" i="1"/>
  <c r="L16" i="1"/>
  <c r="L17" i="1"/>
  <c r="L15" i="1"/>
  <c r="L14" i="1"/>
  <c r="L13" i="1"/>
  <c r="L11" i="1"/>
  <c r="L6" i="1"/>
  <c r="L5" i="1"/>
  <c r="L4" i="1"/>
  <c r="L2" i="1"/>
  <c r="L53" i="1"/>
  <c r="L54" i="1" s="1" a="1"/>
  <c r="L54" i="1" s="1"/>
  <c r="L51" i="1"/>
  <c r="L4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<sst xmlns="http://schemas.openxmlformats.org/spreadsheetml/2006/main" count="538" uniqueCount="224">
  <si>
    <t>Nr.</t>
  </si>
  <si>
    <t>Land</t>
  </si>
  <si>
    <t>Täter</t>
  </si>
  <si>
    <t>Schadenshöhe</t>
  </si>
  <si>
    <t>Motiv</t>
  </si>
  <si>
    <t>Dauer</t>
  </si>
  <si>
    <t>FR</t>
  </si>
  <si>
    <t>Schwierigkeiten der Gruppe zu verschleiern und ihre Geschäftszahlen aufzublähen</t>
  </si>
  <si>
    <t>Privat</t>
  </si>
  <si>
    <t>Management von Monique Piffaut mit Unterstützung einer
Handvoll Führungskräfte</t>
  </si>
  <si>
    <t>-</t>
  </si>
  <si>
    <t>ein Mitarbeiter</t>
  </si>
  <si>
    <t>Public</t>
  </si>
  <si>
    <t>Zwei ehemalige Manager</t>
  </si>
  <si>
    <t>Notiz</t>
  </si>
  <si>
    <t>Mitarbeiter entlassen</t>
  </si>
  <si>
    <t>Mitarbeiter entlassen + Geldstrafen 15000 bis 20000</t>
  </si>
  <si>
    <t>Geschäftsführer</t>
  </si>
  <si>
    <t>Ein Vater und sein Sohn, Angestellter und Manager</t>
  </si>
  <si>
    <t>2 Jahre</t>
  </si>
  <si>
    <t>Freiheitsstrafe + Führungsverbot</t>
  </si>
  <si>
    <t>IT</t>
  </si>
  <si>
    <t>4 Jahre</t>
  </si>
  <si>
    <t>23
Verdächtige, darunter 19 unter der Anklage Britische Telekom Italien</t>
  </si>
  <si>
    <t>Buchführung nicht ordnungsgemäß geführt</t>
  </si>
  <si>
    <t>Besitzer</t>
  </si>
  <si>
    <t>vergaß</t>
  </si>
  <si>
    <t>Unternehmen</t>
  </si>
  <si>
    <t>4000€ Geldstrafe</t>
  </si>
  <si>
    <t>totaler Steuerhinterzieher</t>
  </si>
  <si>
    <t>3 Jahre</t>
  </si>
  <si>
    <t>Immo Makler</t>
  </si>
  <si>
    <t>2Jahre</t>
  </si>
  <si>
    <t>Volleyballverein</t>
  </si>
  <si>
    <t>5 Jahre</t>
  </si>
  <si>
    <t>Eigentümer zweier Unternhemen</t>
  </si>
  <si>
    <t>Steuervermeidung</t>
  </si>
  <si>
    <t>vergessen</t>
  </si>
  <si>
    <t>40-jährigen</t>
  </si>
  <si>
    <t>Eigentümerin, Frau zusammen mit Mann</t>
  </si>
  <si>
    <t>Brüder Francesco, Stefano und Salvatore Marano</t>
  </si>
  <si>
    <t>Manager zweier in Caserta tätiger Unternehmen</t>
  </si>
  <si>
    <t>Karussellbetrug</t>
  </si>
  <si>
    <t>DE</t>
  </si>
  <si>
    <t>zwei Vorstände</t>
  </si>
  <si>
    <t>Vorstände entlassen</t>
  </si>
  <si>
    <t>Banken, Investoren und Anleger betrogen wegen Börsengang</t>
  </si>
  <si>
    <t>Niels Stolberg</t>
  </si>
  <si>
    <t>1 Jahr</t>
  </si>
  <si>
    <t>nur seine Firma
und die Arbeitsplätze vor der Krise retten wollen</t>
  </si>
  <si>
    <t>Khodayar Alambeigi und sein Bruder Zolfaghar, Ex-Vorstandsmitglied</t>
  </si>
  <si>
    <t>aufgeblähten Vermögenspositionen</t>
  </si>
  <si>
    <t>Kredite und Subventionen gesichert</t>
  </si>
  <si>
    <t>vier Beschuldigte außerhalb des Unternehmens mit einer weiteren Beschuldigten</t>
  </si>
  <si>
    <t>Vermögenslage zu schönen</t>
  </si>
  <si>
    <t>Gewinne die es tatsächlich gar nicht gab, in den Bilanzen ausgewiesen</t>
  </si>
  <si>
    <t>NL</t>
  </si>
  <si>
    <t>braucht dringend Geld</t>
  </si>
  <si>
    <t>Gemeinde</t>
  </si>
  <si>
    <t>Ergebnis um schlampige 26 Millionen rosiger dargestellt</t>
  </si>
  <si>
    <t>Tochtergesellschaft</t>
  </si>
  <si>
    <t>Aktie um mehr als 8 Prozent Gruppe heißt, sank um mehr als 450 Millionen Euro</t>
  </si>
  <si>
    <t>Zahlen übertrieben, Mann entlassen</t>
  </si>
  <si>
    <t>Mann in US Geschäftseinheit</t>
  </si>
  <si>
    <t>Stadtrat der ehemaligen Gemeinde</t>
  </si>
  <si>
    <t>finanzielle Probleme</t>
  </si>
  <si>
    <t>Govern</t>
  </si>
  <si>
    <t>Finanzmanager</t>
  </si>
  <si>
    <t>Finanzergebnisse rosiger dargestellt hatte, als sie tatsächlich waren</t>
  </si>
  <si>
    <t>lokale Manager</t>
  </si>
  <si>
    <t>CEO wird ausgetauscht, Pl und De</t>
  </si>
  <si>
    <t>1,5 Millionen verschwiegen</t>
  </si>
  <si>
    <t>Gewinnzahlen künstlich aufgebläht hatte</t>
  </si>
  <si>
    <t>handelskette</t>
  </si>
  <si>
    <t>Verlust zu niedrig angegeben</t>
  </si>
  <si>
    <t>BGR</t>
  </si>
  <si>
    <t>Bürgermeister</t>
  </si>
  <si>
    <t>Beschaffung von Geldern</t>
  </si>
  <si>
    <t>gefälschte Dokumente erstellt</t>
  </si>
  <si>
    <t>Manager</t>
  </si>
  <si>
    <t>Berichte gefälscht und Kauftagebücher gefälscht</t>
  </si>
  <si>
    <t>Mann</t>
  </si>
  <si>
    <t>Erstellte und nutzte Buchhaltung mit falschem Inhalt</t>
  </si>
  <si>
    <t>DK</t>
  </si>
  <si>
    <t>Leitender Angestellter</t>
  </si>
  <si>
    <t>Direktor einer Tochtergesellschaft</t>
  </si>
  <si>
    <t>Höherer Preis für Börsengang</t>
  </si>
  <si>
    <t>Nettogewinn zu hoch gestellt</t>
  </si>
  <si>
    <t>FIN</t>
  </si>
  <si>
    <t>CEO&amp;Vorstandsvorsitzender + 3 weitere</t>
  </si>
  <si>
    <t>Vermögenswerte an verbundene Unternehmen oder ins Ausland übertragen worden</t>
  </si>
  <si>
    <t>Verein</t>
  </si>
  <si>
    <t>Gelder gesammelt und Produkte ohne entsprechende Sammelerlaubnis verkauft</t>
  </si>
  <si>
    <t>ES</t>
  </si>
  <si>
    <t>Präsident des Unternehmens + 12 Menschen</t>
  </si>
  <si>
    <t>Behörden und Aktionäre, die an der Kapitalerhöhung 2012 teilnahmen, sowie die Banken zu täuschen</t>
  </si>
  <si>
    <t>Amt</t>
  </si>
  <si>
    <t>70.000 Euro eingegeben, die ihn nicht berührten</t>
  </si>
  <si>
    <t>mehrere Ex-Direktoren</t>
  </si>
  <si>
    <t>Buchhaltungsunregelmäßigkeiten, unregelmäßige Rechnungslegungspraktiken bestimmter Mitarbeiter und Führungskräfte</t>
  </si>
  <si>
    <t>34 ehemalige Administratoren</t>
  </si>
  <si>
    <t>beim Börsengang des Unternehmens</t>
  </si>
  <si>
    <t xml:space="preserve">Public </t>
  </si>
  <si>
    <t>Börsengang</t>
  </si>
  <si>
    <t>Buchhaltungsbetrug</t>
  </si>
  <si>
    <t>CZ</t>
  </si>
  <si>
    <t>Lagerbestände überbewertet</t>
  </si>
  <si>
    <t>GB</t>
  </si>
  <si>
    <t>Konten wiesen 28 Millionen Pfund in bar aus, statt der 9,8 Millionen Pfund an Nettoschulden</t>
  </si>
  <si>
    <t>Drei Führungskräfte</t>
  </si>
  <si>
    <t>überhöhte Gewinnangabe, Geldstrafe von 129 Millionen Pfund, Acht leitende Mitarbeiter suspendiert</t>
  </si>
  <si>
    <t>Werterhöhung vor Verkauf</t>
  </si>
  <si>
    <t xml:space="preserve">Buchungsverkäufe, die nie zustande gekommen sind. </t>
  </si>
  <si>
    <t>Zwei Direktoren</t>
  </si>
  <si>
    <t>Betrugs und falscher Buchführung</t>
  </si>
  <si>
    <t>Buchhalterin</t>
  </si>
  <si>
    <t>persönliche finanzielle Schwierigkeiten</t>
  </si>
  <si>
    <t>Wurde zu 150 Stunden unbezahlter Arbeit verurteilt. Geld zurückgegeben</t>
  </si>
  <si>
    <t>extravaganten Lebensstil mit Autos, Glücksspiel, Urlaub und schicker Kleidung</t>
  </si>
  <si>
    <t>3 Personen</t>
  </si>
  <si>
    <t>Vor Gericht zugegeben</t>
  </si>
  <si>
    <t>Ein Mann (Buchhalter)</t>
  </si>
  <si>
    <t>auf seine eigenen Bankkonten</t>
  </si>
  <si>
    <t>6 Monate</t>
  </si>
  <si>
    <t>Anzahl</t>
  </si>
  <si>
    <t>Min</t>
  </si>
  <si>
    <t>Max</t>
  </si>
  <si>
    <t>Avg</t>
  </si>
  <si>
    <t>Median</t>
  </si>
  <si>
    <t>Firm type</t>
  </si>
  <si>
    <t>&lt;1 Jahr</t>
  </si>
  <si>
    <t>keine Info</t>
  </si>
  <si>
    <t>Info</t>
  </si>
  <si>
    <t>Maß</t>
  </si>
  <si>
    <t>Keine Info</t>
  </si>
  <si>
    <t>Häufigkeit</t>
  </si>
  <si>
    <t>Mitarbeiter</t>
  </si>
  <si>
    <t>Mehrere</t>
  </si>
  <si>
    <t>Einzeln</t>
  </si>
  <si>
    <t>Manager/Vorstand/Besitzer</t>
  </si>
  <si>
    <t>Gemeinde &amp; Amt</t>
  </si>
  <si>
    <t>IE</t>
  </si>
  <si>
    <t>Dem Buchhalter</t>
  </si>
  <si>
    <t>Art</t>
  </si>
  <si>
    <t>Zahlen übertrieben</t>
  </si>
  <si>
    <t>Zahlen untertrieben</t>
  </si>
  <si>
    <t>Missbrauch für sich selbst</t>
  </si>
  <si>
    <t>Schwierigkeiten des Reiseveranstalters durch dubiose Buchführungsvorgänge zu verschleiern</t>
  </si>
  <si>
    <t>Finanzielle Schwierigkeiten</t>
  </si>
  <si>
    <t>Finanzierung sichern</t>
  </si>
  <si>
    <t>Selbstverwendung</t>
  </si>
  <si>
    <t>Vermögenslage schönen</t>
  </si>
  <si>
    <t>Vergessen</t>
  </si>
  <si>
    <t>Hinterziehung</t>
  </si>
  <si>
    <t>UN/Name/Org.</t>
  </si>
  <si>
    <t>Financière Turenne Lafayette</t>
  </si>
  <si>
    <t>Schneider Electric</t>
  </si>
  <si>
    <t>Nouvelles Frontières</t>
  </si>
  <si>
    <t>Autowerkstatt in Sambre-Avesnois</t>
  </si>
  <si>
    <t>Fahrzeugverkaufsunternehmens, sowie ihr Buchhalter</t>
  </si>
  <si>
    <t>britische Telekom Italia (Bt)</t>
  </si>
  <si>
    <t>Holzverarbeitungsunternehmens</t>
  </si>
  <si>
    <t>Besitzers eines Ledergeschäfts</t>
  </si>
  <si>
    <t>Wirtschaftsunternehmen im Bereich der Installation elektrischer und technischer Systeme</t>
  </si>
  <si>
    <t>Unternehmen für die Vermietung von Arbeitsmaschinen</t>
  </si>
  <si>
    <t>im Immobiliensektor tätiges Subjekt</t>
  </si>
  <si>
    <t>Volleyballverein aus Vallo di Diano</t>
  </si>
  <si>
    <t>67-Jähriger aus Brescia</t>
  </si>
  <si>
    <t>40-jähriger Foligno-Konstrukteur</t>
  </si>
  <si>
    <t>eine Frau zusammen mit ihrem Mann</t>
  </si>
  <si>
    <t>Francesco, Stefano und Salvatore Marano</t>
  </si>
  <si>
    <t>die Manager zweier in Caserta tätiger Unternehmen</t>
  </si>
  <si>
    <t>Leuchtenhersteller Hess</t>
  </si>
  <si>
    <t>Beluga-Reederei</t>
  </si>
  <si>
    <t>Hansa Group</t>
  </si>
  <si>
    <t>bbz GmbH</t>
  </si>
  <si>
    <t>Stadt Leiden</t>
  </si>
  <si>
    <t>Douwe Egberts</t>
  </si>
  <si>
    <t>Brunel</t>
  </si>
  <si>
    <t>Jan-Christiaan Goudbeek, bei der örtlichen Abteilung des Roten Kreuzes</t>
  </si>
  <si>
    <t>Autozeitschriftenverlag Langfords</t>
  </si>
  <si>
    <t>Imtech</t>
  </si>
  <si>
    <t>Gemeinde Voorschoten</t>
  </si>
  <si>
    <t>Spirituosenhandelskette Mitra</t>
  </si>
  <si>
    <t>Gemeinde Bodegraven-Reeuwijk</t>
  </si>
  <si>
    <t>Steinhoff</t>
  </si>
  <si>
    <t>Bürgermeister des Dorfes Debren</t>
  </si>
  <si>
    <t>große Unternehmen in den Regionen Burgas</t>
  </si>
  <si>
    <t>Manager eines Unternehmens</t>
  </si>
  <si>
    <t>44-jährigen Mann</t>
  </si>
  <si>
    <t>GN Store Nord, ein leitender Angestellter</t>
  </si>
  <si>
    <t>Reinigungskonzern ISS</t>
  </si>
  <si>
    <t>GT Trading Finlandia</t>
  </si>
  <si>
    <t>Bruder-Weihnachtsvereinigung</t>
  </si>
  <si>
    <t>Pescanova</t>
  </si>
  <si>
    <t>Amt für Betrugsbekämpfung Kataloniens (OAC), Direktor</t>
  </si>
  <si>
    <t>Dia</t>
  </si>
  <si>
    <t>Bankia</t>
  </si>
  <si>
    <t>Gowex</t>
  </si>
  <si>
    <t>Skanska</t>
  </si>
  <si>
    <t>Patisserie Valerie</t>
  </si>
  <si>
    <t>Tesco</t>
  </si>
  <si>
    <t>Autonomy</t>
  </si>
  <si>
    <t>Serco Home Affairs Direktoren</t>
  </si>
  <si>
    <t>David Westwell, MNP Media</t>
  </si>
  <si>
    <t>Allan Curry</t>
  </si>
  <si>
    <t>Buchhalter eines Linfield-Fanclubs</t>
  </si>
  <si>
    <t>Fr</t>
  </si>
  <si>
    <t>De</t>
  </si>
  <si>
    <t>It</t>
  </si>
  <si>
    <t>Nl</t>
  </si>
  <si>
    <t>Bgr</t>
  </si>
  <si>
    <t>Dk</t>
  </si>
  <si>
    <t>Fin</t>
  </si>
  <si>
    <t>Es</t>
  </si>
  <si>
    <t>Cz</t>
  </si>
  <si>
    <t>Gb</t>
  </si>
  <si>
    <t>Ie</t>
  </si>
  <si>
    <t>Kontrolle</t>
  </si>
  <si>
    <t>Unternehmen (Nicht näher benannt)</t>
  </si>
  <si>
    <t>Betrugsvolumen</t>
  </si>
  <si>
    <t>Buchhalterin, Claire Louise Walker</t>
  </si>
  <si>
    <t>Org.-Typ</t>
  </si>
  <si>
    <t>"FÜNF Personen"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</si>
</sst>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#,##0\ &quot;€&quot;;[Red]\-#,##0\ &quot;€&quot;"/>
    <numFmt numFmtId="44" formatCode="_-* #,##0.00\ &quot;€&quot;_-;\-* #,##0.00\ &quot;€&quot;_-;_-* &quot;-&quot;??\ &quot;€&quot;_-;_-@_-"/>
    <numFmt numFmtId="164" formatCode="#,##0.00\ &quot;€&quot;"/>
    <numFmt numFmtId="165" formatCode="#,##0\ &quot;€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121"/>
      <name val="Arial"/>
      <family val="2"/>
    </font>
    <font>
      <sz val="11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11">
    <xf numFmtId="0" fontId="0" fillId="0" borderId="0" xfId="0"/>
    <xf numFmtId="6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0" fillId="0" borderId="0" xfId="1" applyNumberFormat="1" applyFont="1"/>
    <xf numFmtId="0" fontId="1" fillId="2" borderId="0" xfId="3"/>
    <xf numFmtId="165" fontId="0" fillId="0" borderId="0" xfId="2" applyNumberFormat="1" applyFont="1" applyAlignment="1">
      <alignment horizontal="right"/>
    </xf>
    <xf numFmtId="0" fontId="3" fillId="0" borderId="0" xfId="0" applyFont="1" applyAlignment="1">
      <alignment vertical="center"/>
    </xf>
  </cellXfs>
  <cellStyles count="4">
    <cellStyle name="40 % - Akzent2" xfId="3" builtinId="35"/>
    <cellStyle name="Prozent" xfId="1" builtinId="5"/>
    <cellStyle name="Standard" xfId="0" builtinId="0"/>
    <cellStyle name="Währung" xfId="2" builtinId="4"/>
  </cellStyles>
  <dxfs count="76"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#,##0.00\ &quot;€&quot;"/>
    </dxf>
    <dxf>
      <alignment horizontal="general" vertical="center" textRotation="0" wrapText="0" indent="0" justifyLastLine="0" shrinkToFit="0" readingOrder="0"/>
    </dxf>
    <dxf>
      <numFmt numFmtId="165" formatCode="#,##0\ &quot;€&quot;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071A2-924D-40F6-AD7D-23CD6069C4EF}" name="Tabelle1" displayName="Tabelle1" ref="A1:I55" totalsRowCellStyle="Standard">
  <autoFilter ref="A1:I55" xr:uid="{253071A2-924D-40F6-AD7D-23CD6069C4EF}"/>
  <sortState xmlns:xlrd2="http://schemas.microsoft.com/office/spreadsheetml/2017/richdata2" ref="A2:I55">
    <sortCondition ref="A1:A55"/>
  </sortState>
  <tableColumns count="9">
    <tableColumn id="1" xr3:uid="{C668F569-2CBA-410F-81A2-972F2D349316}" name="Nr."/>
    <tableColumn id="2" xr3:uid="{D40EE2B8-60FB-49FF-AD35-C4150D62E450}" name="Land"/>
    <tableColumn id="3" xr3:uid="{37731B6F-0F49-48EE-B642-A50D2633839A}" name="Täter"/>
    <tableColumn id="4" xr3:uid="{1C568CD3-05CE-4750-951F-771D69A0FB9F}" name="Betrugsvolumen" dataDxfId="75" dataCellStyle="Währung"/>
    <tableColumn id="5" xr3:uid="{4AE13842-3CC3-43A1-93A9-1C2E10633314}" name="Motiv"/>
    <tableColumn id="6" xr3:uid="{47D2B59E-5491-41E4-93E3-04F3B065E1B1}" name="Org.-Typ"/>
    <tableColumn id="7" xr3:uid="{15A2C1B9-2EDE-4CDE-864E-8498A964BB07}" name="Dauer"/>
    <tableColumn id="8" xr3:uid="{BFE392D6-5D3C-4CF9-81AA-B996E746B7DA}" name="Notiz"/>
    <tableColumn id="10" xr3:uid="{9582A506-6D66-4FBF-A14D-82A9F003FFF7}" name="UN/Name/Org." dataDxfId="74" totalsRowCellStyle="Standar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322AC9-E31F-4AC6-AA80-24560B6C951C}" name="Tabelle4" displayName="Tabelle4" ref="K48:L54" totalsRowShown="0">
  <autoFilter ref="K48:L54" xr:uid="{4B322AC9-E31F-4AC6-AA80-24560B6C951C}"/>
  <tableColumns count="2">
    <tableColumn id="1" xr3:uid="{5E8C8B74-F2AB-4F78-80B2-4D77DF5CE9D0}" name="Maß"/>
    <tableColumn id="2" xr3:uid="{0BA45886-C5A1-4570-9C56-9F911C583D49}" name="Schadenshöhe" dataDxfId="7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207EB1-316B-4565-9C4F-BE7265896AB3}" name="Tabelle5" displayName="Tabelle5" ref="K1:X7" totalsRowShown="0">
  <autoFilter ref="K1:X7" xr:uid="{85207EB1-316B-4565-9C4F-BE7265896AB3}"/>
  <tableColumns count="14">
    <tableColumn id="1" xr3:uid="{BAFF3A1B-F54E-494A-A721-118BE5F1DE5A}" name="Firm type"/>
    <tableColumn id="2" xr3:uid="{C8052A6E-7BF5-44A7-AAF1-70398EF997B7}" name="Anzahl"/>
    <tableColumn id="3" xr3:uid="{4FD4774C-E395-41F5-BF3B-1707E37A3260}" name="Fr" dataDxfId="72" dataCellStyle="Prozent"/>
    <tableColumn id="4" xr3:uid="{244A3C62-38E1-44F8-A399-0443BF298CD3}" name="It" dataDxfId="71" dataCellStyle="Prozent"/>
    <tableColumn id="5" xr3:uid="{901DE148-3FBE-4BD1-952A-1C7968EA082C}" name="De" dataDxfId="70"/>
    <tableColumn id="6" xr3:uid="{9FD98CF1-51D8-4450-A8D7-9A12AFB7B15D}" name="Nl" dataDxfId="69"/>
    <tableColumn id="7" xr3:uid="{B2C8A37A-DB0F-4C04-8EE6-965687859E41}" name="Bgr" dataDxfId="68"/>
    <tableColumn id="8" xr3:uid="{8CDF4646-460E-4D06-9F7C-16EFDAFBAB79}" name="Dk" dataDxfId="67"/>
    <tableColumn id="9" xr3:uid="{754A7CE2-5203-47C5-BD3F-8B1A9674C965}" name="Fin" dataDxfId="66"/>
    <tableColumn id="10" xr3:uid="{E0B7E248-9BF6-4B01-A1C5-D67F4D3D9106}" name="Es" dataDxfId="65"/>
    <tableColumn id="11" xr3:uid="{8B6891BA-E1F0-485B-B267-70033F4E4B81}" name="Cz" dataDxfId="64"/>
    <tableColumn id="12" xr3:uid="{478F72CD-E5E2-40B5-88FF-A23F3E73F918}" name="Gb" dataDxfId="63"/>
    <tableColumn id="13" xr3:uid="{F8C4D399-085C-467D-B0B3-54EB96166A6B}" name="Ie" dataDxfId="62"/>
    <tableColumn id="14" xr3:uid="{A3842399-1151-497F-B898-F075A58F377A}" name="Kontrolle" dataDxfId="61">
      <calculatedColumnFormula>SUM(Tabelle5[[#This Row],[Fr]:[Ie]])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18A3266-14CA-4EDF-88CD-82EC30466125}" name="Tabelle6" displayName="Tabelle6" ref="K9:X17" totalsRowShown="0">
  <autoFilter ref="K9:X17" xr:uid="{F18A3266-14CA-4EDF-88CD-82EC30466125}"/>
  <tableColumns count="14">
    <tableColumn id="1" xr3:uid="{11A7DB2E-B8AF-49AB-888F-9252C5AC4C73}" name="Dauer"/>
    <tableColumn id="2" xr3:uid="{D3D5C7B5-156A-46E8-A026-06F9AF14685C}" name="Anzahl"/>
    <tableColumn id="3" xr3:uid="{D92EA23B-ADBC-492B-8AA0-E2F1E7570923}" name="Fr" dataDxfId="60"/>
    <tableColumn id="4" xr3:uid="{FD57D593-6D8F-40E3-AC1B-11D19F07AF36}" name="It" dataDxfId="59"/>
    <tableColumn id="5" xr3:uid="{F691BD7E-0D9E-4212-BB03-7AD9286CC384}" name="De" dataDxfId="58"/>
    <tableColumn id="6" xr3:uid="{F6E6E8A9-08F6-4F34-B63A-B017AD8FAF0C}" name="Nl" dataDxfId="57"/>
    <tableColumn id="7" xr3:uid="{21293153-3A55-47CB-8350-E9CE83B7DD38}" name="Bgr" dataDxfId="56"/>
    <tableColumn id="8" xr3:uid="{4D759352-4E11-46C4-96CC-029662100163}" name="Dk" dataDxfId="55"/>
    <tableColumn id="9" xr3:uid="{62EED6EC-1339-425A-8043-BB65DC4CA815}" name="Fin" dataDxfId="54"/>
    <tableColumn id="10" xr3:uid="{91DCE5D7-BE4E-48C4-9811-89D9AC047E79}" name="Es" dataDxfId="53"/>
    <tableColumn id="11" xr3:uid="{605A38E7-5DFE-4C7B-823E-140BF582F62F}" name="Cz" dataDxfId="52"/>
    <tableColumn id="12" xr3:uid="{DA09043A-99DA-4790-A971-ED2323AB2DF3}" name="Gb" dataDxfId="51"/>
    <tableColumn id="13" xr3:uid="{63569765-30E5-432A-8024-3D3B80ADFAD3}" name="Ie" dataDxfId="50"/>
    <tableColumn id="14" xr3:uid="{BEE135A7-1394-4AFA-81A2-0DBD303D40C5}" name="Kontrolle" dataDxfId="49">
      <calculatedColumnFormula>SUM(Tabelle6[[#This Row],[Fr]:[Ie]])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42B5C8-ED52-4173-8079-A80013E76858}" name="Tabelle7" displayName="Tabelle7" ref="K19:Z24" totalsRowShown="0">
  <autoFilter ref="K19:Z24" xr:uid="{E842B5C8-ED52-4173-8079-A80013E76858}"/>
  <tableColumns count="16">
    <tableColumn id="1" xr3:uid="{CE308AC2-EDA1-49E3-9F6A-87880754A1F0}" name="Täter"/>
    <tableColumn id="2" xr3:uid="{D9F7C057-4610-48C9-9662-D1F638161295}" name="Häufigkeit"/>
    <tableColumn id="3" xr3:uid="{C079073C-01C6-4099-9066-6206677027E9}" name="Mehrere" dataDxfId="48"/>
    <tableColumn id="4" xr3:uid="{D59FC5C2-379C-46B9-BFA9-E22F18B2E8BE}" name="Einzeln" dataDxfId="47"/>
    <tableColumn id="5" xr3:uid="{393E1840-EFBB-4C26-9AB1-914A7A0388C9}" name="Fr" dataDxfId="46"/>
    <tableColumn id="6" xr3:uid="{942381B6-113B-4B78-A6C0-B844E763ADD5}" name="It" dataDxfId="45"/>
    <tableColumn id="7" xr3:uid="{32FFB38D-30C2-46DC-9946-2BF964B612D5}" name="De" dataDxfId="44"/>
    <tableColumn id="8" xr3:uid="{E2DDD5C0-3642-4680-9AED-7634464F4307}" name="Nl" dataDxfId="43"/>
    <tableColumn id="9" xr3:uid="{12BC0620-D338-4232-A1B7-82ABF615BE05}" name="Bgr" dataDxfId="42"/>
    <tableColumn id="10" xr3:uid="{1ABF5D00-0E36-4170-AE53-1977A73AA822}" name="Dk" dataDxfId="41"/>
    <tableColumn id="11" xr3:uid="{6DEFEC0D-0FF8-4B1C-90FC-62C05F079ADE}" name="Fin" dataDxfId="40"/>
    <tableColumn id="12" xr3:uid="{A7473D4D-3927-44A5-886F-362710435DD3}" name="Es" dataDxfId="39"/>
    <tableColumn id="13" xr3:uid="{854BAC6F-F9C8-4939-B8F4-1AA63286D6FC}" name="Cz" dataDxfId="38"/>
    <tableColumn id="14" xr3:uid="{32B080F7-64C8-48F5-A769-331A65229AC3}" name="Gb" dataDxfId="37"/>
    <tableColumn id="15" xr3:uid="{69A172BD-50B1-4763-80BB-FF95AE7BB4AF}" name="Ie" dataDxfId="36"/>
    <tableColumn id="16" xr3:uid="{04D01823-363D-416C-A403-259F9589F31C}" name="Kontrolle" dataDxfId="35">
      <calculatedColumnFormula>SUM(Tabelle7[[#This Row],[Fr]:[Ie]])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F7CE43E-7432-4FA6-9DB1-046B5C282112}" name="Tabelle8" displayName="Tabelle8" ref="K26:X29" totalsRowShown="0">
  <autoFilter ref="K26:X29" xr:uid="{8F7CE43E-7432-4FA6-9DB1-046B5C282112}"/>
  <tableColumns count="14">
    <tableColumn id="1" xr3:uid="{190C688D-27D9-4EB7-A62A-CE3B8A951B9F}" name="Art"/>
    <tableColumn id="2" xr3:uid="{990CD115-FE9D-40CE-A756-57C1A2BEAB90}" name="Anzahl"/>
    <tableColumn id="3" xr3:uid="{87263A2B-92CE-47D8-B429-489E79EB8429}" name="Fr" dataDxfId="34"/>
    <tableColumn id="4" xr3:uid="{36E022ED-D4C2-42C1-9BF9-C29A8D9087C9}" name="It" dataDxfId="33"/>
    <tableColumn id="5" xr3:uid="{BACABC24-CFAA-4ACC-BCAB-24B0B1483F46}" name="De" dataDxfId="32"/>
    <tableColumn id="6" xr3:uid="{F544747D-4FC6-4F44-9DC5-9634B6A58E8C}" name="Nl" dataDxfId="31"/>
    <tableColumn id="7" xr3:uid="{B03BA322-5C22-422B-BB1E-6A6D74210666}" name="Bgr" dataDxfId="30"/>
    <tableColumn id="8" xr3:uid="{91F8F6C8-103E-4B06-B359-5F79F21B975E}" name="Dk" dataDxfId="29"/>
    <tableColumn id="9" xr3:uid="{1FFD2015-E969-48AA-B523-202FB81544D3}" name="Fin" dataDxfId="28"/>
    <tableColumn id="10" xr3:uid="{3313365A-A0EA-455B-A6F6-03EBE670CAE3}" name="Es" dataDxfId="27"/>
    <tableColumn id="11" xr3:uid="{959A4E6B-5E50-4513-A779-6DE8A9B170E1}" name="Cz" dataDxfId="26"/>
    <tableColumn id="12" xr3:uid="{3006BD8E-B531-4B75-83D6-0F9CEEE4E31B}" name="Gb" dataDxfId="25"/>
    <tableColumn id="13" xr3:uid="{C1597C29-551F-4500-AB4F-44B394415900}" name="Ie" dataDxfId="24"/>
    <tableColumn id="14" xr3:uid="{BE0B2286-D1F0-4B3C-B7B2-F443087FA8A3}" name="Kontrolle" dataDxfId="23">
      <calculatedColumnFormula>SUM(Tabelle8[[#This Row],[Fr]:[Ie]])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7CB2837-867D-410B-BF16-88171E8A8FCA}" name="Tabelle9" displayName="Tabelle9" ref="K31:X38" totalsRowShown="0">
  <autoFilter ref="K31:X38" xr:uid="{F7CB2837-867D-410B-BF16-88171E8A8FCA}"/>
  <tableColumns count="14">
    <tableColumn id="1" xr3:uid="{01E2825D-938E-4EBF-8B2D-F0FC5DAC4E75}" name="Motiv"/>
    <tableColumn id="2" xr3:uid="{9C0593BD-9A6D-46AE-8846-2140F9B8C024}" name="Anzahl"/>
    <tableColumn id="3" xr3:uid="{3717A5A3-14CC-4EA2-B6F6-9992E1DE2D9A}" name="Fr" dataDxfId="22"/>
    <tableColumn id="4" xr3:uid="{DA27B5ED-3ED6-4466-88F0-2A31D486FCAD}" name="It" dataDxfId="21"/>
    <tableColumn id="5" xr3:uid="{AF4AE568-91C3-41DF-86A3-9802B4B3986E}" name="De" dataDxfId="20"/>
    <tableColumn id="6" xr3:uid="{C7872B5E-66B0-4848-B66C-348C88FC4B71}" name="Nl" dataDxfId="19"/>
    <tableColumn id="7" xr3:uid="{027EB2F5-10F7-4FE2-B61A-03FC921C72E1}" name="Bgr" dataDxfId="18"/>
    <tableColumn id="8" xr3:uid="{8CC1380C-0DF0-458F-AD79-C18F862E4377}" name="Dk" dataDxfId="17"/>
    <tableColumn id="9" xr3:uid="{925634D2-D6BA-44E7-82A0-67D0D2F6AB76}" name="Fin" dataDxfId="16"/>
    <tableColumn id="10" xr3:uid="{87E8D169-92E9-4E68-949F-D750D8B1C135}" name="Es" dataDxfId="15"/>
    <tableColumn id="11" xr3:uid="{A1F9483B-66BD-44D8-851A-199AE37DF9D9}" name="Cz" dataDxfId="14"/>
    <tableColumn id="12" xr3:uid="{175AC1A7-2405-4C4A-BE83-740651BC063B}" name="Gb" dataDxfId="13"/>
    <tableColumn id="13" xr3:uid="{95C10484-780A-4112-9ABA-E9711ACE1CB3}" name="Ie" dataDxfId="12"/>
    <tableColumn id="14" xr3:uid="{4EF2E3B3-74E7-4DC8-B644-F0624299486F}" name="Kontrolle" dataDxfId="11">
      <calculatedColumnFormula>SUM(Tabelle9[[#This Row],[Fr]:[Ie]])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D3C73F-6BE3-4C21-A57F-70A7F36E4703}" name="Tabelle2" displayName="Tabelle2" ref="K41:V45" totalsRowShown="0">
  <autoFilter ref="K41:V45" xr:uid="{C4D3C73F-6BE3-4C21-A57F-70A7F36E4703}"/>
  <tableColumns count="12">
    <tableColumn id="1" xr3:uid="{BA9D1A53-DFAC-428D-BDCD-66BD1B49CDF1}" name="Betrugsvolumen"/>
    <tableColumn id="2" xr3:uid="{27DE22DA-329C-4E11-ADB5-9F3DB259B91B}" name="FR" dataDxfId="10"/>
    <tableColumn id="3" xr3:uid="{44B6B94F-6CE4-45E4-85B4-E5E267534D11}" name="IT" dataDxfId="9"/>
    <tableColumn id="4" xr3:uid="{5BD9A1BB-709E-4280-BE57-E4FB63DA1AA4}" name="DE" dataDxfId="8"/>
    <tableColumn id="5" xr3:uid="{C967F1C4-9846-4D0B-9AB5-3CBF74721783}" name="NL" dataDxfId="7"/>
    <tableColumn id="6" xr3:uid="{152FE419-AB43-4A9C-9115-63140FF3BB56}" name="BGR" dataDxfId="6"/>
    <tableColumn id="7" xr3:uid="{2B8C61E9-5E8E-467B-B10C-AB1A07092A2B}" name="DK" dataDxfId="5"/>
    <tableColumn id="8" xr3:uid="{0F93EC19-79A4-4BCD-9E1D-A4940C7746CB}" name="FIN" dataDxfId="4"/>
    <tableColumn id="9" xr3:uid="{A3DFFC60-730F-49DA-875F-D0AD53B8A2F2}" name="ES" dataDxfId="3"/>
    <tableColumn id="10" xr3:uid="{D9E2013D-2558-4330-995C-1E5E79066415}" name="CZ" dataDxfId="2"/>
    <tableColumn id="11" xr3:uid="{3B9CD979-2B30-42E9-B8C7-D2B70D06721E}" name="GB" dataDxfId="1"/>
    <tableColumn id="12" xr3:uid="{88564242-D996-45A9-B243-98ADABD64C78}" name="I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2"/>
  <sheetViews>
    <sheetView showGridLines="0" tabSelected="1" zoomScale="67" zoomScaleNormal="67" zoomScaleSheetLayoutView="50" workbookViewId="0"/>
  </sheetViews>
  <sheetFormatPr baseColWidth="10" defaultColWidth="9.140625" defaultRowHeight="15" x14ac:dyDescent="0.25"/>
  <cols>
    <col min="1" max="1" width="6.7109375" bestFit="1" customWidth="1"/>
    <col min="2" max="2" width="8.140625" bestFit="1" customWidth="1"/>
    <col min="3" max="3" width="83.5703125" bestFit="1" customWidth="1"/>
    <col min="4" max="4" width="18.5703125" bestFit="1" customWidth="1"/>
    <col min="5" max="5" width="103.140625" bestFit="1" customWidth="1"/>
    <col min="6" max="6" width="11.7109375" customWidth="1"/>
    <col min="7" max="7" width="10.28515625" bestFit="1" customWidth="1"/>
    <col min="8" max="8" width="124.28515625" bestFit="1" customWidth="1"/>
    <col min="9" max="9" width="91.5703125" style="5" bestFit="1" customWidth="1"/>
    <col min="10" max="10" width="4.5703125" customWidth="1"/>
    <col min="11" max="11" width="37.28515625" bestFit="1" customWidth="1"/>
    <col min="12" max="12" width="18" bestFit="1" customWidth="1"/>
    <col min="13" max="13" width="18.28515625" bestFit="1" customWidth="1"/>
    <col min="14" max="14" width="13.85546875" bestFit="1" customWidth="1"/>
    <col min="15" max="15" width="18.28515625" bestFit="1" customWidth="1"/>
    <col min="16" max="16" width="10.5703125" bestFit="1" customWidth="1"/>
    <col min="17" max="18" width="17" bestFit="1" customWidth="1"/>
    <col min="19" max="19" width="12.5703125" bestFit="1" customWidth="1"/>
    <col min="20" max="20" width="16.5703125" bestFit="1" customWidth="1"/>
    <col min="21" max="21" width="20.140625" bestFit="1" customWidth="1"/>
    <col min="22" max="22" width="12.5703125" bestFit="1" customWidth="1"/>
    <col min="23" max="23" width="6" customWidth="1"/>
    <col min="24" max="24" width="12.140625" bestFit="1" customWidth="1"/>
    <col min="25" max="25" width="5.7109375" bestFit="1" customWidth="1"/>
    <col min="26" max="26" width="12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220</v>
      </c>
      <c r="E1" t="s">
        <v>4</v>
      </c>
      <c r="F1" t="s">
        <v>222</v>
      </c>
      <c r="G1" t="s">
        <v>5</v>
      </c>
      <c r="H1" t="s">
        <v>14</v>
      </c>
      <c r="I1" s="5" t="s">
        <v>154</v>
      </c>
      <c r="K1" t="s">
        <v>129</v>
      </c>
      <c r="L1" t="s">
        <v>124</v>
      </c>
      <c r="M1" t="s">
        <v>207</v>
      </c>
      <c r="N1" t="s">
        <v>209</v>
      </c>
      <c r="O1" t="s">
        <v>208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</row>
    <row r="2" spans="1:24" x14ac:dyDescent="0.25">
      <c r="A2">
        <v>1</v>
      </c>
      <c r="B2" t="s">
        <v>6</v>
      </c>
      <c r="C2" t="s">
        <v>9</v>
      </c>
      <c r="D2" s="9">
        <v>275000000</v>
      </c>
      <c r="E2" t="s">
        <v>7</v>
      </c>
      <c r="F2" t="s">
        <v>8</v>
      </c>
      <c r="G2" t="s">
        <v>10</v>
      </c>
      <c r="H2" t="s">
        <v>10</v>
      </c>
      <c r="I2" s="4" t="s">
        <v>155</v>
      </c>
      <c r="K2" t="s">
        <v>8</v>
      </c>
      <c r="L2">
        <f>COUNTIF(Tabelle1[Org.-Typ],"Privat")</f>
        <v>9</v>
      </c>
      <c r="M2" s="7">
        <v>2</v>
      </c>
      <c r="N2" s="7">
        <v>4</v>
      </c>
      <c r="O2">
        <v>2</v>
      </c>
      <c r="P2">
        <v>1</v>
      </c>
      <c r="X2">
        <f>SUM(Tabelle5[[#This Row],[Fr]:[Ie]])</f>
        <v>9</v>
      </c>
    </row>
    <row r="3" spans="1:24" x14ac:dyDescent="0.25">
      <c r="A3">
        <v>2</v>
      </c>
      <c r="B3" t="s">
        <v>6</v>
      </c>
      <c r="C3" t="s">
        <v>11</v>
      </c>
      <c r="D3" s="9">
        <v>27000000</v>
      </c>
      <c r="E3" t="s">
        <v>10</v>
      </c>
      <c r="F3" t="s">
        <v>12</v>
      </c>
      <c r="G3" t="s">
        <v>10</v>
      </c>
      <c r="H3" t="s">
        <v>15</v>
      </c>
      <c r="I3" s="4" t="s">
        <v>156</v>
      </c>
      <c r="K3" t="s">
        <v>12</v>
      </c>
      <c r="L3">
        <v>11</v>
      </c>
      <c r="M3" s="7">
        <v>1</v>
      </c>
      <c r="N3" s="7"/>
      <c r="P3">
        <v>3</v>
      </c>
      <c r="R3">
        <v>1</v>
      </c>
      <c r="T3">
        <v>3</v>
      </c>
      <c r="U3">
        <v>1</v>
      </c>
      <c r="V3">
        <v>2</v>
      </c>
      <c r="X3">
        <f>SUM(Tabelle5[[#This Row],[Fr]:[Ie]])</f>
        <v>11</v>
      </c>
    </row>
    <row r="4" spans="1:24" x14ac:dyDescent="0.25">
      <c r="A4">
        <v>3</v>
      </c>
      <c r="B4" t="s">
        <v>6</v>
      </c>
      <c r="C4" t="s">
        <v>13</v>
      </c>
      <c r="D4" s="9">
        <v>36000000</v>
      </c>
      <c r="E4" s="3" t="s">
        <v>147</v>
      </c>
      <c r="F4" t="s">
        <v>8</v>
      </c>
      <c r="G4" t="s">
        <v>10</v>
      </c>
      <c r="H4" t="s">
        <v>16</v>
      </c>
      <c r="I4" s="4" t="s">
        <v>157</v>
      </c>
      <c r="K4" t="s">
        <v>66</v>
      </c>
      <c r="L4">
        <f>COUNTIF(Tabelle1[Org.-Typ],"Govern")</f>
        <v>6</v>
      </c>
      <c r="M4" s="7"/>
      <c r="N4" s="7"/>
      <c r="P4">
        <v>4</v>
      </c>
      <c r="Q4">
        <v>1</v>
      </c>
      <c r="T4">
        <v>1</v>
      </c>
      <c r="X4">
        <f>SUM(Tabelle5[[#This Row],[Fr]:[Ie]])</f>
        <v>6</v>
      </c>
    </row>
    <row r="5" spans="1:24" x14ac:dyDescent="0.25">
      <c r="A5">
        <v>4</v>
      </c>
      <c r="B5" t="s">
        <v>6</v>
      </c>
      <c r="C5" t="s">
        <v>17</v>
      </c>
      <c r="D5" s="9">
        <v>367000</v>
      </c>
      <c r="E5" t="s">
        <v>10</v>
      </c>
      <c r="F5" t="s">
        <v>10</v>
      </c>
      <c r="G5" t="s">
        <v>10</v>
      </c>
      <c r="H5" t="s">
        <v>10</v>
      </c>
      <c r="I5" s="4" t="s">
        <v>158</v>
      </c>
      <c r="K5" t="s">
        <v>91</v>
      </c>
      <c r="L5">
        <f>COUNTIF(Tabelle1[Org.-Typ],"Verein")</f>
        <v>3</v>
      </c>
      <c r="M5" s="7"/>
      <c r="N5" s="7">
        <v>1</v>
      </c>
      <c r="S5">
        <v>1</v>
      </c>
      <c r="W5">
        <v>1</v>
      </c>
      <c r="X5">
        <f>SUM(Tabelle5[[#This Row],[Fr]:[Ie]])</f>
        <v>3</v>
      </c>
    </row>
    <row r="6" spans="1:24" x14ac:dyDescent="0.25">
      <c r="A6">
        <v>5</v>
      </c>
      <c r="B6" t="s">
        <v>6</v>
      </c>
      <c r="C6" t="s">
        <v>18</v>
      </c>
      <c r="D6" s="9">
        <v>293210</v>
      </c>
      <c r="E6" t="s">
        <v>10</v>
      </c>
      <c r="F6" t="s">
        <v>10</v>
      </c>
      <c r="G6" t="s">
        <v>19</v>
      </c>
      <c r="H6" t="s">
        <v>20</v>
      </c>
      <c r="I6" s="4" t="s">
        <v>159</v>
      </c>
      <c r="K6" t="s">
        <v>124</v>
      </c>
      <c r="L6">
        <f>COUNTIF(Tabelle1[Org.-Typ],"&lt;&gt;-")</f>
        <v>29</v>
      </c>
      <c r="M6" s="7"/>
      <c r="N6" s="7"/>
      <c r="X6">
        <f>SUM(X2:X5)</f>
        <v>29</v>
      </c>
    </row>
    <row r="7" spans="1:24" x14ac:dyDescent="0.25">
      <c r="A7">
        <v>6</v>
      </c>
      <c r="B7" t="s">
        <v>21</v>
      </c>
      <c r="C7" t="s">
        <v>27</v>
      </c>
      <c r="D7" s="9">
        <v>274000000</v>
      </c>
      <c r="E7" t="s">
        <v>10</v>
      </c>
      <c r="F7" t="s">
        <v>8</v>
      </c>
      <c r="G7" t="s">
        <v>22</v>
      </c>
      <c r="H7" t="s">
        <v>23</v>
      </c>
      <c r="I7" s="4" t="s">
        <v>160</v>
      </c>
      <c r="K7" t="s">
        <v>134</v>
      </c>
      <c r="L7">
        <f>COUNTIF(Tabelle1[Org.-Typ],"-")</f>
        <v>25</v>
      </c>
      <c r="M7" s="7"/>
      <c r="N7" s="7"/>
      <c r="X7">
        <f>SUM(Tabelle5[[#This Row],[Fr]:[Ie]])</f>
        <v>0</v>
      </c>
    </row>
    <row r="8" spans="1:24" x14ac:dyDescent="0.25">
      <c r="A8">
        <v>7</v>
      </c>
      <c r="B8" t="s">
        <v>21</v>
      </c>
      <c r="C8" t="s">
        <v>25</v>
      </c>
      <c r="D8" s="9">
        <v>450000</v>
      </c>
      <c r="E8" t="s">
        <v>153</v>
      </c>
      <c r="F8" t="s">
        <v>10</v>
      </c>
      <c r="G8" t="s">
        <v>10</v>
      </c>
      <c r="H8" t="s">
        <v>24</v>
      </c>
      <c r="I8" s="4" t="s">
        <v>161</v>
      </c>
    </row>
    <row r="9" spans="1:24" x14ac:dyDescent="0.25">
      <c r="A9">
        <v>8</v>
      </c>
      <c r="B9" t="s">
        <v>21</v>
      </c>
      <c r="C9" t="s">
        <v>25</v>
      </c>
      <c r="D9" s="9">
        <v>400000</v>
      </c>
      <c r="E9" t="s">
        <v>26</v>
      </c>
      <c r="F9" t="s">
        <v>8</v>
      </c>
      <c r="G9" t="s">
        <v>10</v>
      </c>
      <c r="H9" t="s">
        <v>10</v>
      </c>
      <c r="I9" s="4" t="s">
        <v>162</v>
      </c>
      <c r="K9" t="s">
        <v>5</v>
      </c>
      <c r="L9" t="s">
        <v>124</v>
      </c>
      <c r="M9" t="s">
        <v>207</v>
      </c>
      <c r="N9" t="s">
        <v>209</v>
      </c>
      <c r="O9" t="s">
        <v>208</v>
      </c>
      <c r="P9" t="s">
        <v>210</v>
      </c>
      <c r="Q9" t="s">
        <v>211</v>
      </c>
      <c r="R9" t="s">
        <v>212</v>
      </c>
      <c r="S9" t="s">
        <v>213</v>
      </c>
      <c r="T9" t="s">
        <v>214</v>
      </c>
      <c r="U9" t="s">
        <v>215</v>
      </c>
      <c r="V9" t="s">
        <v>216</v>
      </c>
      <c r="W9" t="s">
        <v>217</v>
      </c>
      <c r="X9" t="s">
        <v>218</v>
      </c>
    </row>
    <row r="10" spans="1:24" x14ac:dyDescent="0.25">
      <c r="A10">
        <v>9</v>
      </c>
      <c r="B10" t="s">
        <v>21</v>
      </c>
      <c r="C10" t="s">
        <v>27</v>
      </c>
      <c r="D10" s="9">
        <v>100000</v>
      </c>
      <c r="E10" t="s">
        <v>10</v>
      </c>
      <c r="F10" t="s">
        <v>10</v>
      </c>
      <c r="G10" t="s">
        <v>10</v>
      </c>
      <c r="H10" t="s">
        <v>10</v>
      </c>
      <c r="I10" s="4" t="s">
        <v>163</v>
      </c>
      <c r="K10" t="s">
        <v>130</v>
      </c>
      <c r="L10">
        <v>1</v>
      </c>
      <c r="V10">
        <v>1</v>
      </c>
      <c r="X10">
        <f>SUM(Tabelle6[[#This Row],[Fr]:[Ie]])</f>
        <v>1</v>
      </c>
    </row>
    <row r="11" spans="1:24" x14ac:dyDescent="0.25">
      <c r="A11">
        <v>10</v>
      </c>
      <c r="B11" t="s">
        <v>21</v>
      </c>
      <c r="C11" t="s">
        <v>29</v>
      </c>
      <c r="D11" s="9">
        <v>260000</v>
      </c>
      <c r="E11" t="s">
        <v>10</v>
      </c>
      <c r="F11" t="s">
        <v>10</v>
      </c>
      <c r="G11" t="s">
        <v>30</v>
      </c>
      <c r="H11" t="s">
        <v>28</v>
      </c>
      <c r="I11" s="4" t="s">
        <v>164</v>
      </c>
      <c r="K11" t="s">
        <v>48</v>
      </c>
      <c r="L11">
        <f>COUNTIF(Tabelle1[Dauer],"1 Jahr")</f>
        <v>1</v>
      </c>
      <c r="O11">
        <v>1</v>
      </c>
      <c r="X11">
        <f>SUM(Tabelle6[[#This Row],[Fr]:[Ie]])</f>
        <v>1</v>
      </c>
    </row>
    <row r="12" spans="1:24" x14ac:dyDescent="0.25">
      <c r="A12">
        <v>11</v>
      </c>
      <c r="B12" t="s">
        <v>21</v>
      </c>
      <c r="C12" t="s">
        <v>31</v>
      </c>
      <c r="D12" s="9">
        <v>100000</v>
      </c>
      <c r="E12" t="s">
        <v>10</v>
      </c>
      <c r="F12" t="s">
        <v>8</v>
      </c>
      <c r="G12" t="s">
        <v>32</v>
      </c>
      <c r="H12" t="s">
        <v>10</v>
      </c>
      <c r="I12" s="4" t="s">
        <v>165</v>
      </c>
      <c r="K12" t="s">
        <v>19</v>
      </c>
      <c r="L12">
        <v>6</v>
      </c>
      <c r="M12">
        <v>1</v>
      </c>
      <c r="N12">
        <v>1</v>
      </c>
      <c r="O12">
        <v>1</v>
      </c>
      <c r="V12">
        <v>2</v>
      </c>
      <c r="W12">
        <v>1</v>
      </c>
      <c r="X12">
        <f>SUM(Tabelle6[[#This Row],[Fr]:[Ie]])</f>
        <v>6</v>
      </c>
    </row>
    <row r="13" spans="1:24" x14ac:dyDescent="0.25">
      <c r="A13">
        <v>12</v>
      </c>
      <c r="B13" t="s">
        <v>21</v>
      </c>
      <c r="C13" t="s">
        <v>33</v>
      </c>
      <c r="D13" s="9">
        <v>300000</v>
      </c>
      <c r="E13" t="s">
        <v>10</v>
      </c>
      <c r="F13" t="s">
        <v>91</v>
      </c>
      <c r="G13" t="s">
        <v>10</v>
      </c>
      <c r="H13" t="s">
        <v>10</v>
      </c>
      <c r="I13" s="4" t="s">
        <v>166</v>
      </c>
      <c r="K13" t="s">
        <v>30</v>
      </c>
      <c r="L13">
        <f>COUNTIF(Tabelle1[Dauer],"3 Jahre")</f>
        <v>3</v>
      </c>
      <c r="N13">
        <v>2</v>
      </c>
      <c r="P13">
        <v>1</v>
      </c>
      <c r="X13">
        <f>SUM(Tabelle6[[#This Row],[Fr]:[Ie]])</f>
        <v>3</v>
      </c>
    </row>
    <row r="14" spans="1:24" x14ac:dyDescent="0.25">
      <c r="A14">
        <v>13</v>
      </c>
      <c r="B14" t="s">
        <v>21</v>
      </c>
      <c r="C14" t="s">
        <v>35</v>
      </c>
      <c r="D14" s="9">
        <v>117000000</v>
      </c>
      <c r="E14" t="s">
        <v>36</v>
      </c>
      <c r="F14" t="s">
        <v>8</v>
      </c>
      <c r="G14" t="s">
        <v>34</v>
      </c>
      <c r="H14" t="s">
        <v>10</v>
      </c>
      <c r="I14" s="4" t="s">
        <v>167</v>
      </c>
      <c r="K14" t="s">
        <v>22</v>
      </c>
      <c r="L14">
        <f>COUNTIF(Tabelle1[Dauer],"4 Jahre")</f>
        <v>1</v>
      </c>
      <c r="N14">
        <v>1</v>
      </c>
      <c r="X14">
        <f>SUM(Tabelle6[[#This Row],[Fr]:[Ie]])</f>
        <v>1</v>
      </c>
    </row>
    <row r="15" spans="1:24" x14ac:dyDescent="0.25">
      <c r="A15">
        <v>14</v>
      </c>
      <c r="B15" t="s">
        <v>21</v>
      </c>
      <c r="C15" t="s">
        <v>38</v>
      </c>
      <c r="D15" s="9">
        <v>17000000</v>
      </c>
      <c r="E15" t="s">
        <v>37</v>
      </c>
      <c r="F15" t="s">
        <v>10</v>
      </c>
      <c r="G15" t="s">
        <v>30</v>
      </c>
      <c r="H15" t="s">
        <v>10</v>
      </c>
      <c r="I15" s="4" t="s">
        <v>168</v>
      </c>
      <c r="K15" t="s">
        <v>34</v>
      </c>
      <c r="L15">
        <f>COUNTIF(Tabelle1[Dauer],"5 Jahre")</f>
        <v>2</v>
      </c>
      <c r="N15">
        <v>1</v>
      </c>
      <c r="S15">
        <v>1</v>
      </c>
      <c r="X15">
        <f>SUM(Tabelle6[[#This Row],[Fr]:[Ie]])</f>
        <v>2</v>
      </c>
    </row>
    <row r="16" spans="1:24" x14ac:dyDescent="0.25">
      <c r="A16">
        <v>15</v>
      </c>
      <c r="B16" t="s">
        <v>21</v>
      </c>
      <c r="C16" t="s">
        <v>39</v>
      </c>
      <c r="D16" s="9">
        <v>3000000</v>
      </c>
      <c r="E16" t="s">
        <v>10</v>
      </c>
      <c r="F16" t="s">
        <v>10</v>
      </c>
      <c r="G16" t="s">
        <v>10</v>
      </c>
      <c r="H16" t="s">
        <v>10</v>
      </c>
      <c r="I16" s="4" t="s">
        <v>169</v>
      </c>
      <c r="K16" t="s">
        <v>132</v>
      </c>
      <c r="L16">
        <f>COUNTIF(Tabelle1[Dauer],"&lt;&gt;-")</f>
        <v>14</v>
      </c>
      <c r="X16">
        <f>SUM(X10:X15)</f>
        <v>14</v>
      </c>
    </row>
    <row r="17" spans="1:26" x14ac:dyDescent="0.25">
      <c r="A17">
        <v>16</v>
      </c>
      <c r="B17" t="s">
        <v>21</v>
      </c>
      <c r="C17" t="s">
        <v>40</v>
      </c>
      <c r="D17" s="9">
        <v>100000000</v>
      </c>
      <c r="F17" t="s">
        <v>10</v>
      </c>
      <c r="G17" t="s">
        <v>10</v>
      </c>
      <c r="H17" t="s">
        <v>10</v>
      </c>
      <c r="I17" s="4" t="s">
        <v>170</v>
      </c>
      <c r="K17" t="s">
        <v>131</v>
      </c>
      <c r="L17">
        <f>COUNTIF(Tabelle1[Dauer],"-")</f>
        <v>40</v>
      </c>
      <c r="X17">
        <f>SUM(Tabelle6[[#This Row],[Fr]:[Ie]])</f>
        <v>0</v>
      </c>
    </row>
    <row r="18" spans="1:26" x14ac:dyDescent="0.25">
      <c r="A18">
        <v>17</v>
      </c>
      <c r="B18" t="s">
        <v>21</v>
      </c>
      <c r="C18" t="s">
        <v>41</v>
      </c>
      <c r="D18" s="9">
        <v>16000000</v>
      </c>
      <c r="E18" t="s">
        <v>42</v>
      </c>
      <c r="F18" t="s">
        <v>10</v>
      </c>
      <c r="G18" t="s">
        <v>10</v>
      </c>
      <c r="H18" t="s">
        <v>10</v>
      </c>
      <c r="I18" s="4" t="s">
        <v>171</v>
      </c>
    </row>
    <row r="19" spans="1:26" x14ac:dyDescent="0.25">
      <c r="A19">
        <v>18</v>
      </c>
      <c r="B19" t="s">
        <v>43</v>
      </c>
      <c r="C19" t="s">
        <v>44</v>
      </c>
      <c r="D19" s="9" t="s">
        <v>10</v>
      </c>
      <c r="E19" t="s">
        <v>46</v>
      </c>
      <c r="F19" t="s">
        <v>8</v>
      </c>
      <c r="G19" t="s">
        <v>19</v>
      </c>
      <c r="H19" t="s">
        <v>45</v>
      </c>
      <c r="I19" s="4" t="s">
        <v>172</v>
      </c>
      <c r="K19" t="s">
        <v>2</v>
      </c>
      <c r="L19" t="s">
        <v>135</v>
      </c>
      <c r="M19" t="s">
        <v>137</v>
      </c>
      <c r="N19" t="s">
        <v>138</v>
      </c>
      <c r="O19" t="s">
        <v>207</v>
      </c>
      <c r="P19" t="s">
        <v>209</v>
      </c>
      <c r="Q19" t="s">
        <v>208</v>
      </c>
      <c r="R19" t="s">
        <v>210</v>
      </c>
      <c r="S19" t="s">
        <v>211</v>
      </c>
      <c r="T19" t="s">
        <v>212</v>
      </c>
      <c r="U19" t="s">
        <v>213</v>
      </c>
      <c r="V19" t="s">
        <v>214</v>
      </c>
      <c r="W19" t="s">
        <v>215</v>
      </c>
      <c r="X19" t="s">
        <v>216</v>
      </c>
      <c r="Y19" t="s">
        <v>217</v>
      </c>
      <c r="Z19" t="s">
        <v>218</v>
      </c>
    </row>
    <row r="20" spans="1:26" x14ac:dyDescent="0.25">
      <c r="A20">
        <v>19</v>
      </c>
      <c r="B20" t="s">
        <v>43</v>
      </c>
      <c r="C20" t="s">
        <v>47</v>
      </c>
      <c r="D20" s="9" t="s">
        <v>10</v>
      </c>
      <c r="E20" t="s">
        <v>49</v>
      </c>
      <c r="F20" t="s">
        <v>10</v>
      </c>
      <c r="G20" t="s">
        <v>48</v>
      </c>
      <c r="H20" t="s">
        <v>10</v>
      </c>
      <c r="I20" s="4" t="s">
        <v>173</v>
      </c>
      <c r="K20" t="s">
        <v>136</v>
      </c>
      <c r="L20">
        <v>5</v>
      </c>
      <c r="O20">
        <v>1</v>
      </c>
      <c r="R20">
        <v>1</v>
      </c>
      <c r="X20">
        <v>2</v>
      </c>
      <c r="Y20">
        <v>1</v>
      </c>
      <c r="Z20">
        <f>SUM(Tabelle7[[#This Row],[Fr]:[Ie]])</f>
        <v>5</v>
      </c>
    </row>
    <row r="21" spans="1:26" x14ac:dyDescent="0.25">
      <c r="A21">
        <v>20</v>
      </c>
      <c r="B21" t="s">
        <v>43</v>
      </c>
      <c r="C21" t="s">
        <v>50</v>
      </c>
      <c r="D21" s="9" t="s">
        <v>10</v>
      </c>
      <c r="E21" t="s">
        <v>52</v>
      </c>
      <c r="F21" t="s">
        <v>10</v>
      </c>
      <c r="G21" t="s">
        <v>10</v>
      </c>
      <c r="H21" t="s">
        <v>51</v>
      </c>
      <c r="I21" s="4" t="s">
        <v>174</v>
      </c>
      <c r="K21" s="8" t="s">
        <v>219</v>
      </c>
      <c r="L21" s="8">
        <v>11</v>
      </c>
      <c r="M21" s="8"/>
      <c r="N21" s="8"/>
      <c r="O21" s="8"/>
      <c r="P21" s="8">
        <v>3</v>
      </c>
      <c r="Q21" s="8"/>
      <c r="R21" s="8">
        <v>3</v>
      </c>
      <c r="S21" s="8">
        <v>1</v>
      </c>
      <c r="T21" s="8"/>
      <c r="U21" s="8">
        <v>1</v>
      </c>
      <c r="V21" s="8">
        <v>1</v>
      </c>
      <c r="W21" s="8"/>
      <c r="X21" s="8">
        <v>2</v>
      </c>
      <c r="Y21" s="8"/>
      <c r="Z21" s="8">
        <f>SUM(Tabelle7[[#This Row],[Fr]:[Ie]])</f>
        <v>11</v>
      </c>
    </row>
    <row r="22" spans="1:26" x14ac:dyDescent="0.25">
      <c r="A22">
        <v>21</v>
      </c>
      <c r="B22" t="s">
        <v>43</v>
      </c>
      <c r="C22" t="s">
        <v>53</v>
      </c>
      <c r="D22" s="9" t="s">
        <v>10</v>
      </c>
      <c r="E22" t="s">
        <v>54</v>
      </c>
      <c r="F22" t="s">
        <v>8</v>
      </c>
      <c r="G22" t="s">
        <v>10</v>
      </c>
      <c r="H22" t="s">
        <v>55</v>
      </c>
      <c r="I22" s="4" t="s">
        <v>175</v>
      </c>
      <c r="K22" t="s">
        <v>139</v>
      </c>
      <c r="L22">
        <v>26</v>
      </c>
      <c r="M22">
        <v>14</v>
      </c>
      <c r="N22">
        <v>12</v>
      </c>
      <c r="O22">
        <v>4</v>
      </c>
      <c r="P22">
        <v>6</v>
      </c>
      <c r="Q22">
        <v>3</v>
      </c>
      <c r="R22">
        <v>2</v>
      </c>
      <c r="S22">
        <v>1</v>
      </c>
      <c r="T22">
        <v>2</v>
      </c>
      <c r="U22">
        <v>1</v>
      </c>
      <c r="V22">
        <v>3</v>
      </c>
      <c r="W22">
        <v>1</v>
      </c>
      <c r="X22">
        <v>3</v>
      </c>
      <c r="Z22">
        <f>SUM(Tabelle7[[#This Row],[Fr]:[Ie]])</f>
        <v>26</v>
      </c>
    </row>
    <row r="23" spans="1:26" x14ac:dyDescent="0.25">
      <c r="A23">
        <v>22</v>
      </c>
      <c r="B23" t="s">
        <v>56</v>
      </c>
      <c r="C23" t="s">
        <v>58</v>
      </c>
      <c r="D23" s="9">
        <v>26000000</v>
      </c>
      <c r="E23" t="s">
        <v>57</v>
      </c>
      <c r="F23" t="s">
        <v>66</v>
      </c>
      <c r="G23" t="s">
        <v>10</v>
      </c>
      <c r="H23" t="s">
        <v>59</v>
      </c>
      <c r="I23" s="4" t="s">
        <v>176</v>
      </c>
      <c r="K23" t="s">
        <v>140</v>
      </c>
      <c r="L23">
        <v>5</v>
      </c>
      <c r="R23">
        <v>3</v>
      </c>
      <c r="S23">
        <v>1</v>
      </c>
      <c r="V23">
        <v>1</v>
      </c>
      <c r="Z23">
        <f>SUM(Tabelle7[[#This Row],[Fr]:[Ie]])</f>
        <v>5</v>
      </c>
    </row>
    <row r="24" spans="1:26" x14ac:dyDescent="0.25">
      <c r="A24">
        <v>23</v>
      </c>
      <c r="B24" t="s">
        <v>56</v>
      </c>
      <c r="C24" t="s">
        <v>60</v>
      </c>
      <c r="D24" s="9" t="s">
        <v>10</v>
      </c>
      <c r="E24" t="s">
        <v>10</v>
      </c>
      <c r="F24" t="s">
        <v>10</v>
      </c>
      <c r="G24" t="s">
        <v>10</v>
      </c>
      <c r="H24" t="s">
        <v>61</v>
      </c>
      <c r="I24" s="4" t="s">
        <v>177</v>
      </c>
      <c r="K24" t="s">
        <v>134</v>
      </c>
      <c r="L24" cm="1">
        <f t="array" ref="L24">MAX(Tabelle1[Nr.]-SUM(L20:L23)+L21)</f>
        <v>18</v>
      </c>
      <c r="Z24">
        <f>SUM(Tabelle7[[#This Row],[Fr]:[Ie]])</f>
        <v>0</v>
      </c>
    </row>
    <row r="25" spans="1:26" x14ac:dyDescent="0.25">
      <c r="A25">
        <v>24</v>
      </c>
      <c r="B25" t="s">
        <v>56</v>
      </c>
      <c r="C25" t="s">
        <v>63</v>
      </c>
      <c r="D25" s="9" t="s">
        <v>10</v>
      </c>
      <c r="E25" t="s">
        <v>10</v>
      </c>
      <c r="F25" t="s">
        <v>12</v>
      </c>
      <c r="G25" t="s">
        <v>10</v>
      </c>
      <c r="H25" t="s">
        <v>62</v>
      </c>
      <c r="I25" s="4" t="s">
        <v>178</v>
      </c>
    </row>
    <row r="26" spans="1:26" x14ac:dyDescent="0.25">
      <c r="A26">
        <v>25</v>
      </c>
      <c r="B26" t="s">
        <v>56</v>
      </c>
      <c r="C26" t="s">
        <v>64</v>
      </c>
      <c r="D26" s="9">
        <v>25000</v>
      </c>
      <c r="E26" t="s">
        <v>65</v>
      </c>
      <c r="F26" t="s">
        <v>66</v>
      </c>
      <c r="G26" t="s">
        <v>10</v>
      </c>
      <c r="H26" t="s">
        <v>10</v>
      </c>
      <c r="I26" s="4" t="s">
        <v>179</v>
      </c>
      <c r="K26" t="s">
        <v>143</v>
      </c>
      <c r="L26" t="s">
        <v>124</v>
      </c>
      <c r="M26" t="s">
        <v>207</v>
      </c>
      <c r="N26" t="s">
        <v>209</v>
      </c>
      <c r="O26" t="s">
        <v>208</v>
      </c>
      <c r="P26" t="s">
        <v>210</v>
      </c>
      <c r="Q26" t="s">
        <v>211</v>
      </c>
      <c r="R26" t="s">
        <v>212</v>
      </c>
      <c r="S26" t="s">
        <v>213</v>
      </c>
      <c r="T26" t="s">
        <v>214</v>
      </c>
      <c r="U26" t="s">
        <v>215</v>
      </c>
      <c r="V26" t="s">
        <v>216</v>
      </c>
      <c r="W26" t="s">
        <v>217</v>
      </c>
      <c r="X26" t="s">
        <v>218</v>
      </c>
    </row>
    <row r="27" spans="1:26" x14ac:dyDescent="0.25">
      <c r="A27">
        <v>26</v>
      </c>
      <c r="B27" t="s">
        <v>56</v>
      </c>
      <c r="C27" t="s">
        <v>67</v>
      </c>
      <c r="D27" s="9" t="s">
        <v>10</v>
      </c>
      <c r="E27" t="s">
        <v>10</v>
      </c>
      <c r="F27" t="s">
        <v>8</v>
      </c>
      <c r="G27" t="s">
        <v>10</v>
      </c>
      <c r="H27" t="s">
        <v>68</v>
      </c>
      <c r="I27" s="4" t="s">
        <v>180</v>
      </c>
      <c r="K27" t="s">
        <v>144</v>
      </c>
      <c r="L27">
        <v>12</v>
      </c>
      <c r="M27">
        <v>1</v>
      </c>
      <c r="O27">
        <v>2</v>
      </c>
      <c r="P27">
        <v>5</v>
      </c>
      <c r="T27">
        <v>4</v>
      </c>
      <c r="X27">
        <f>SUM(Tabelle8[[#This Row],[Fr]:[Ie]])</f>
        <v>12</v>
      </c>
    </row>
    <row r="28" spans="1:26" x14ac:dyDescent="0.25">
      <c r="A28">
        <v>27</v>
      </c>
      <c r="B28" t="s">
        <v>56</v>
      </c>
      <c r="C28" t="s">
        <v>69</v>
      </c>
      <c r="D28" s="9">
        <v>300000000</v>
      </c>
      <c r="E28" t="s">
        <v>10</v>
      </c>
      <c r="F28" t="s">
        <v>12</v>
      </c>
      <c r="G28" t="s">
        <v>10</v>
      </c>
      <c r="H28" t="s">
        <v>70</v>
      </c>
      <c r="I28" s="4" t="s">
        <v>181</v>
      </c>
      <c r="K28" t="s">
        <v>145</v>
      </c>
      <c r="L28">
        <v>2</v>
      </c>
      <c r="N28">
        <v>2</v>
      </c>
      <c r="X28">
        <f>SUM(Tabelle8[[#This Row],[Fr]:[Ie]])</f>
        <v>2</v>
      </c>
    </row>
    <row r="29" spans="1:26" x14ac:dyDescent="0.25">
      <c r="A29">
        <v>28</v>
      </c>
      <c r="B29" t="s">
        <v>56</v>
      </c>
      <c r="C29" t="s">
        <v>58</v>
      </c>
      <c r="D29" s="9">
        <v>1500000</v>
      </c>
      <c r="E29" t="s">
        <v>10</v>
      </c>
      <c r="F29" t="s">
        <v>66</v>
      </c>
      <c r="G29" t="s">
        <v>10</v>
      </c>
      <c r="H29" t="s">
        <v>71</v>
      </c>
      <c r="I29" s="4" t="s">
        <v>182</v>
      </c>
      <c r="K29" t="s">
        <v>134</v>
      </c>
      <c r="L29" cm="1">
        <f t="array" ref="L29">MAX(Tabelle1[Nr.]-(L27+L28))</f>
        <v>40</v>
      </c>
      <c r="X29">
        <f>SUM(Tabelle8[[#This Row],[Fr]:[Ie]])</f>
        <v>0</v>
      </c>
    </row>
    <row r="30" spans="1:26" x14ac:dyDescent="0.25">
      <c r="A30">
        <v>29</v>
      </c>
      <c r="B30" t="s">
        <v>56</v>
      </c>
      <c r="C30" t="s">
        <v>73</v>
      </c>
      <c r="D30" s="9">
        <v>59000</v>
      </c>
      <c r="E30" t="s">
        <v>10</v>
      </c>
      <c r="F30" t="s">
        <v>10</v>
      </c>
      <c r="G30" t="s">
        <v>10</v>
      </c>
      <c r="H30" t="s">
        <v>72</v>
      </c>
      <c r="I30" s="4" t="s">
        <v>183</v>
      </c>
    </row>
    <row r="31" spans="1:26" x14ac:dyDescent="0.25">
      <c r="A31">
        <v>30</v>
      </c>
      <c r="B31" t="s">
        <v>56</v>
      </c>
      <c r="C31" t="s">
        <v>58</v>
      </c>
      <c r="D31" s="9">
        <v>10500000</v>
      </c>
      <c r="E31" t="s">
        <v>10</v>
      </c>
      <c r="F31" t="s">
        <v>66</v>
      </c>
      <c r="G31" t="s">
        <v>30</v>
      </c>
      <c r="H31" t="s">
        <v>74</v>
      </c>
      <c r="I31" s="4" t="s">
        <v>184</v>
      </c>
      <c r="K31" t="s">
        <v>4</v>
      </c>
      <c r="L31" t="s">
        <v>124</v>
      </c>
      <c r="M31" t="s">
        <v>207</v>
      </c>
      <c r="N31" t="s">
        <v>209</v>
      </c>
      <c r="O31" t="s">
        <v>208</v>
      </c>
      <c r="P31" t="s">
        <v>210</v>
      </c>
      <c r="Q31" t="s">
        <v>211</v>
      </c>
      <c r="R31" t="s">
        <v>212</v>
      </c>
      <c r="S31" t="s">
        <v>213</v>
      </c>
      <c r="T31" t="s">
        <v>214</v>
      </c>
      <c r="U31" t="s">
        <v>215</v>
      </c>
      <c r="V31" t="s">
        <v>216</v>
      </c>
      <c r="W31" t="s">
        <v>217</v>
      </c>
      <c r="X31" t="s">
        <v>218</v>
      </c>
    </row>
    <row r="32" spans="1:26" x14ac:dyDescent="0.25">
      <c r="A32">
        <v>31</v>
      </c>
      <c r="B32" t="s">
        <v>56</v>
      </c>
      <c r="C32" t="s">
        <v>27</v>
      </c>
      <c r="D32" s="9" t="s">
        <v>10</v>
      </c>
      <c r="E32" t="s">
        <v>10</v>
      </c>
      <c r="F32" t="s">
        <v>12</v>
      </c>
      <c r="G32" t="s">
        <v>10</v>
      </c>
      <c r="H32" t="s">
        <v>10</v>
      </c>
      <c r="I32" s="4" t="s">
        <v>185</v>
      </c>
      <c r="K32" t="s">
        <v>148</v>
      </c>
      <c r="L32">
        <v>6</v>
      </c>
      <c r="M32">
        <v>2</v>
      </c>
      <c r="O32">
        <v>1</v>
      </c>
      <c r="P32">
        <v>2</v>
      </c>
      <c r="V32">
        <v>1</v>
      </c>
      <c r="X32">
        <f>SUM(Tabelle9[[#This Row],[Fr]:[Ie]])</f>
        <v>6</v>
      </c>
    </row>
    <row r="33" spans="1:24" x14ac:dyDescent="0.25">
      <c r="A33">
        <v>32</v>
      </c>
      <c r="B33" t="s">
        <v>75</v>
      </c>
      <c r="C33" t="s">
        <v>76</v>
      </c>
      <c r="D33" s="9" t="s">
        <v>10</v>
      </c>
      <c r="E33" t="s">
        <v>77</v>
      </c>
      <c r="F33" t="s">
        <v>66</v>
      </c>
      <c r="G33" t="s">
        <v>10</v>
      </c>
      <c r="H33" t="s">
        <v>78</v>
      </c>
      <c r="I33" s="4" t="s">
        <v>186</v>
      </c>
      <c r="K33" t="s">
        <v>36</v>
      </c>
      <c r="L33">
        <v>2</v>
      </c>
      <c r="N33">
        <v>2</v>
      </c>
      <c r="X33">
        <f>SUM(Tabelle9[[#This Row],[Fr]:[Ie]])</f>
        <v>2</v>
      </c>
    </row>
    <row r="34" spans="1:24" x14ac:dyDescent="0.25">
      <c r="A34">
        <v>33</v>
      </c>
      <c r="B34" t="s">
        <v>75</v>
      </c>
      <c r="C34" t="s">
        <v>27</v>
      </c>
      <c r="D34" s="9" t="s">
        <v>10</v>
      </c>
      <c r="E34" t="s">
        <v>10</v>
      </c>
      <c r="F34" t="s">
        <v>10</v>
      </c>
      <c r="G34" t="s">
        <v>10</v>
      </c>
      <c r="H34" t="s">
        <v>10</v>
      </c>
      <c r="I34" s="4" t="s">
        <v>187</v>
      </c>
      <c r="K34" t="s">
        <v>149</v>
      </c>
      <c r="L34">
        <v>6</v>
      </c>
      <c r="O34">
        <v>2</v>
      </c>
      <c r="Q34">
        <v>1</v>
      </c>
      <c r="R34">
        <v>1</v>
      </c>
      <c r="T34">
        <v>2</v>
      </c>
      <c r="X34">
        <f>SUM(Tabelle9[[#This Row],[Fr]:[Ie]])</f>
        <v>6</v>
      </c>
    </row>
    <row r="35" spans="1:24" x14ac:dyDescent="0.25">
      <c r="A35">
        <v>34</v>
      </c>
      <c r="B35" t="s">
        <v>75</v>
      </c>
      <c r="C35" t="s">
        <v>79</v>
      </c>
      <c r="D35" s="9" t="s">
        <v>10</v>
      </c>
      <c r="E35" t="s">
        <v>10</v>
      </c>
      <c r="F35" t="s">
        <v>10</v>
      </c>
      <c r="G35" t="s">
        <v>10</v>
      </c>
      <c r="H35" t="s">
        <v>80</v>
      </c>
      <c r="I35" s="6" t="s">
        <v>188</v>
      </c>
      <c r="K35" t="s">
        <v>150</v>
      </c>
      <c r="L35">
        <v>3</v>
      </c>
      <c r="V35">
        <v>2</v>
      </c>
      <c r="W35">
        <v>1</v>
      </c>
      <c r="X35">
        <f>SUM(Tabelle9[[#This Row],[Fr]:[Ie]])</f>
        <v>3</v>
      </c>
    </row>
    <row r="36" spans="1:24" x14ac:dyDescent="0.25">
      <c r="A36">
        <v>35</v>
      </c>
      <c r="B36" t="s">
        <v>75</v>
      </c>
      <c r="C36" t="s">
        <v>81</v>
      </c>
      <c r="D36" s="9" t="s">
        <v>10</v>
      </c>
      <c r="E36" t="s">
        <v>10</v>
      </c>
      <c r="F36" t="s">
        <v>10</v>
      </c>
      <c r="G36" t="s">
        <v>10</v>
      </c>
      <c r="H36" t="s">
        <v>82</v>
      </c>
      <c r="I36" s="10" t="s">
        <v>189</v>
      </c>
      <c r="K36" t="s">
        <v>151</v>
      </c>
      <c r="L36">
        <v>1</v>
      </c>
      <c r="O36">
        <v>1</v>
      </c>
      <c r="X36">
        <f>SUM(Tabelle9[[#This Row],[Fr]:[Ie]])</f>
        <v>1</v>
      </c>
    </row>
    <row r="37" spans="1:24" x14ac:dyDescent="0.25">
      <c r="A37">
        <v>36</v>
      </c>
      <c r="B37" t="s">
        <v>83</v>
      </c>
      <c r="C37" t="s">
        <v>84</v>
      </c>
      <c r="D37" s="9">
        <v>20000000</v>
      </c>
      <c r="E37" t="s">
        <v>10</v>
      </c>
      <c r="F37" t="s">
        <v>12</v>
      </c>
      <c r="G37" t="s">
        <v>10</v>
      </c>
      <c r="H37" t="s">
        <v>10</v>
      </c>
      <c r="I37" s="4" t="s">
        <v>190</v>
      </c>
      <c r="K37" t="s">
        <v>152</v>
      </c>
      <c r="L37">
        <v>2</v>
      </c>
      <c r="N37">
        <v>2</v>
      </c>
      <c r="X37">
        <f>SUM(Tabelle9[[#This Row],[Fr]:[Ie]])</f>
        <v>2</v>
      </c>
    </row>
    <row r="38" spans="1:24" x14ac:dyDescent="0.25">
      <c r="A38">
        <v>37</v>
      </c>
      <c r="B38" t="s">
        <v>83</v>
      </c>
      <c r="C38" t="s">
        <v>85</v>
      </c>
      <c r="D38" s="9">
        <v>15500000</v>
      </c>
      <c r="E38" t="s">
        <v>86</v>
      </c>
      <c r="F38" t="s">
        <v>10</v>
      </c>
      <c r="G38" t="s">
        <v>10</v>
      </c>
      <c r="H38" t="s">
        <v>87</v>
      </c>
      <c r="I38" s="4" t="s">
        <v>191</v>
      </c>
      <c r="K38" t="s">
        <v>134</v>
      </c>
      <c r="L38" cm="1">
        <f t="array" ref="L38">MAX(Tabelle1[Nr.]-SUM(L32:L37))</f>
        <v>34</v>
      </c>
      <c r="X38">
        <f>SUM(Tabelle9[[#This Row],[Fr]:[Ie]])</f>
        <v>0</v>
      </c>
    </row>
    <row r="39" spans="1:24" x14ac:dyDescent="0.25">
      <c r="A39">
        <v>38</v>
      </c>
      <c r="B39" t="s">
        <v>88</v>
      </c>
      <c r="C39" t="s">
        <v>89</v>
      </c>
      <c r="D39" s="9">
        <v>25700000</v>
      </c>
      <c r="E39" t="s">
        <v>10</v>
      </c>
      <c r="F39" t="s">
        <v>10</v>
      </c>
      <c r="G39" t="s">
        <v>34</v>
      </c>
      <c r="H39" t="s">
        <v>90</v>
      </c>
      <c r="I39" s="4" t="s">
        <v>192</v>
      </c>
    </row>
    <row r="40" spans="1:24" x14ac:dyDescent="0.25">
      <c r="A40">
        <v>39</v>
      </c>
      <c r="B40" t="s">
        <v>88</v>
      </c>
      <c r="C40" t="s">
        <v>91</v>
      </c>
      <c r="D40" s="9">
        <v>390091</v>
      </c>
      <c r="E40" t="s">
        <v>10</v>
      </c>
      <c r="F40" t="s">
        <v>91</v>
      </c>
      <c r="G40" t="s">
        <v>10</v>
      </c>
      <c r="H40" t="s">
        <v>92</v>
      </c>
      <c r="I40" s="4" t="s">
        <v>193</v>
      </c>
    </row>
    <row r="41" spans="1:24" x14ac:dyDescent="0.25">
      <c r="A41">
        <v>40</v>
      </c>
      <c r="B41" t="s">
        <v>93</v>
      </c>
      <c r="C41" t="s">
        <v>94</v>
      </c>
      <c r="D41" s="9" t="s">
        <v>10</v>
      </c>
      <c r="E41" t="s">
        <v>95</v>
      </c>
      <c r="F41" t="s">
        <v>12</v>
      </c>
      <c r="G41" t="s">
        <v>10</v>
      </c>
      <c r="H41" t="s">
        <v>10</v>
      </c>
      <c r="I41" s="4" t="s">
        <v>194</v>
      </c>
      <c r="K41" t="s">
        <v>220</v>
      </c>
      <c r="L41" t="s">
        <v>6</v>
      </c>
      <c r="M41" t="s">
        <v>21</v>
      </c>
      <c r="N41" t="s">
        <v>43</v>
      </c>
      <c r="O41" t="s">
        <v>56</v>
      </c>
      <c r="P41" t="s">
        <v>75</v>
      </c>
      <c r="Q41" t="s">
        <v>83</v>
      </c>
      <c r="R41" t="s">
        <v>88</v>
      </c>
      <c r="S41" t="s">
        <v>93</v>
      </c>
      <c r="T41" t="s">
        <v>105</v>
      </c>
      <c r="U41" t="s">
        <v>107</v>
      </c>
      <c r="V41" t="s">
        <v>141</v>
      </c>
    </row>
    <row r="42" spans="1:24" x14ac:dyDescent="0.25">
      <c r="A42">
        <v>41</v>
      </c>
      <c r="B42" t="s">
        <v>93</v>
      </c>
      <c r="C42" t="s">
        <v>96</v>
      </c>
      <c r="D42" s="9">
        <v>70000</v>
      </c>
      <c r="E42" t="s">
        <v>10</v>
      </c>
      <c r="F42" t="s">
        <v>66</v>
      </c>
      <c r="G42" t="s">
        <v>10</v>
      </c>
      <c r="H42" t="s">
        <v>97</v>
      </c>
      <c r="I42" s="4" t="s">
        <v>195</v>
      </c>
      <c r="K42" t="s">
        <v>125</v>
      </c>
      <c r="L42" s="2">
        <f>MIN(D2:D6)</f>
        <v>293210</v>
      </c>
      <c r="M42" s="2">
        <f>MIN(D7:D18)</f>
        <v>100000</v>
      </c>
      <c r="N42" s="2" t="s">
        <v>10</v>
      </c>
      <c r="O42" s="2">
        <f>MIN(D23:D32)</f>
        <v>25000</v>
      </c>
      <c r="P42" s="2" t="s">
        <v>10</v>
      </c>
      <c r="Q42" s="2">
        <f>MIN(D37:D38)</f>
        <v>15500000</v>
      </c>
      <c r="R42" s="2">
        <f>MIN(D39:D40)</f>
        <v>390091</v>
      </c>
      <c r="S42" s="2">
        <f>MIN(D41:D45)</f>
        <v>70000</v>
      </c>
      <c r="T42" s="2">
        <f>MIN(D46)</f>
        <v>12500000</v>
      </c>
      <c r="U42" s="2">
        <f>MIN(D47:D54)</f>
        <v>10000</v>
      </c>
      <c r="V42" s="2">
        <f>MIN(D55)</f>
        <v>40000</v>
      </c>
    </row>
    <row r="43" spans="1:24" x14ac:dyDescent="0.25">
      <c r="A43">
        <v>42</v>
      </c>
      <c r="B43" t="s">
        <v>93</v>
      </c>
      <c r="C43" t="s">
        <v>98</v>
      </c>
      <c r="D43" s="9" t="s">
        <v>10</v>
      </c>
      <c r="E43" t="s">
        <v>10</v>
      </c>
      <c r="F43" t="s">
        <v>12</v>
      </c>
      <c r="G43" t="s">
        <v>10</v>
      </c>
      <c r="H43" t="s">
        <v>99</v>
      </c>
      <c r="I43" s="4" t="s">
        <v>196</v>
      </c>
      <c r="K43" t="s">
        <v>126</v>
      </c>
      <c r="L43" s="2">
        <f>MAX(D2:D6)</f>
        <v>275000000</v>
      </c>
      <c r="M43" s="2">
        <f>MAX(D7:D18)</f>
        <v>274000000</v>
      </c>
      <c r="N43" s="2" t="s">
        <v>10</v>
      </c>
      <c r="O43" s="2">
        <f>MAX(D23:D32)</f>
        <v>300000000</v>
      </c>
      <c r="P43" s="2" t="s">
        <v>10</v>
      </c>
      <c r="Q43" s="2">
        <f>MAX(D37:D38)</f>
        <v>20000000</v>
      </c>
      <c r="R43" s="2">
        <f>MAX(D39:D40)</f>
        <v>25700000</v>
      </c>
      <c r="S43" s="2">
        <f>MAX(D41:D45)</f>
        <v>70000</v>
      </c>
      <c r="T43" s="2">
        <f>MAX(D46)</f>
        <v>12500000</v>
      </c>
      <c r="U43" s="2">
        <f>MAX(D47:D54)</f>
        <v>3500000000</v>
      </c>
      <c r="V43" s="2">
        <f>MAX(D55)</f>
        <v>40000</v>
      </c>
    </row>
    <row r="44" spans="1:24" x14ac:dyDescent="0.25">
      <c r="A44">
        <v>43</v>
      </c>
      <c r="B44" t="s">
        <v>93</v>
      </c>
      <c r="C44" t="s">
        <v>100</v>
      </c>
      <c r="D44" s="9" t="s">
        <v>10</v>
      </c>
      <c r="E44" t="s">
        <v>103</v>
      </c>
      <c r="F44" t="s">
        <v>102</v>
      </c>
      <c r="G44" t="s">
        <v>10</v>
      </c>
      <c r="H44" t="s">
        <v>101</v>
      </c>
      <c r="I44" s="4" t="s">
        <v>197</v>
      </c>
      <c r="K44" t="s">
        <v>127</v>
      </c>
      <c r="L44" s="2">
        <f>AVERAGE(D2:D6)</f>
        <v>67732042</v>
      </c>
      <c r="M44" s="2">
        <f>AVERAGE(D7:D18)</f>
        <v>44050833.333333336</v>
      </c>
      <c r="N44" s="2" t="s">
        <v>10</v>
      </c>
      <c r="O44" s="2">
        <f>AVERAGE(D23:D32)</f>
        <v>56347333.333333336</v>
      </c>
      <c r="P44" s="2" t="s">
        <v>10</v>
      </c>
      <c r="Q44" s="2">
        <f>AVERAGE(D37:D38)</f>
        <v>17750000</v>
      </c>
      <c r="R44" s="2">
        <f>AVERAGE(D39:D40)</f>
        <v>13045045.5</v>
      </c>
      <c r="S44" s="2">
        <f>AVERAGE(D41:D45)</f>
        <v>70000</v>
      </c>
      <c r="T44" s="2">
        <f>AVERAGE(D46)</f>
        <v>12500000</v>
      </c>
      <c r="U44" s="2">
        <f>AVERAGE(D47:D54)</f>
        <v>950059000</v>
      </c>
      <c r="V44" s="2">
        <f>AVERAGE(D55)</f>
        <v>40000</v>
      </c>
    </row>
    <row r="45" spans="1:24" x14ac:dyDescent="0.25">
      <c r="A45">
        <v>44</v>
      </c>
      <c r="B45" t="s">
        <v>93</v>
      </c>
      <c r="C45" t="s">
        <v>27</v>
      </c>
      <c r="D45" s="9" t="s">
        <v>10</v>
      </c>
      <c r="E45" t="s">
        <v>10</v>
      </c>
      <c r="F45" t="s">
        <v>10</v>
      </c>
      <c r="G45" t="s">
        <v>10</v>
      </c>
      <c r="H45" t="s">
        <v>104</v>
      </c>
      <c r="I45" s="4" t="s">
        <v>198</v>
      </c>
      <c r="K45" t="s">
        <v>128</v>
      </c>
      <c r="L45" s="2">
        <f>MEDIAN(D2:D6)</f>
        <v>27000000</v>
      </c>
      <c r="M45" s="2">
        <f>MEDIAN(D7:D18)</f>
        <v>1725000</v>
      </c>
      <c r="N45" s="2" t="s">
        <v>10</v>
      </c>
      <c r="O45" s="2">
        <f>MEDIAN(D23:D32)</f>
        <v>6000000</v>
      </c>
      <c r="P45" s="2" t="s">
        <v>10</v>
      </c>
      <c r="Q45" s="2">
        <f>MEDIAN(D37:D38)</f>
        <v>17750000</v>
      </c>
      <c r="R45" s="2">
        <f>MEDIAN(D39:D40)</f>
        <v>13045045.5</v>
      </c>
      <c r="S45" s="2">
        <f>MEDIAN(D41:D45)</f>
        <v>70000</v>
      </c>
      <c r="T45" s="2">
        <f>MEDIAN(D46)</f>
        <v>12500000</v>
      </c>
      <c r="U45" s="2">
        <f>MEDIAN(D47:D54)</f>
        <v>150113000</v>
      </c>
      <c r="V45" s="2">
        <f>MEDIAN(D55)</f>
        <v>40000</v>
      </c>
    </row>
    <row r="46" spans="1:24" x14ac:dyDescent="0.25">
      <c r="A46">
        <v>45</v>
      </c>
      <c r="B46" t="s">
        <v>105</v>
      </c>
      <c r="C46" t="s">
        <v>79</v>
      </c>
      <c r="D46" s="9">
        <v>12500000</v>
      </c>
      <c r="F46" t="s">
        <v>12</v>
      </c>
      <c r="G46" t="s">
        <v>10</v>
      </c>
      <c r="H46" t="s">
        <v>106</v>
      </c>
      <c r="I46" s="4" t="s">
        <v>199</v>
      </c>
    </row>
    <row r="47" spans="1:24" x14ac:dyDescent="0.25">
      <c r="A47">
        <v>46</v>
      </c>
      <c r="B47" t="s">
        <v>107</v>
      </c>
      <c r="C47" t="s">
        <v>27</v>
      </c>
      <c r="D47" s="9" t="s">
        <v>10</v>
      </c>
      <c r="E47" t="s">
        <v>10</v>
      </c>
      <c r="F47" t="s">
        <v>12</v>
      </c>
      <c r="G47" t="s">
        <v>10</v>
      </c>
      <c r="H47" t="s">
        <v>108</v>
      </c>
      <c r="I47" s="4" t="s">
        <v>200</v>
      </c>
    </row>
    <row r="48" spans="1:24" x14ac:dyDescent="0.25">
      <c r="A48">
        <v>47</v>
      </c>
      <c r="B48" t="s">
        <v>107</v>
      </c>
      <c r="C48" t="s">
        <v>109</v>
      </c>
      <c r="D48" s="9">
        <v>300000000</v>
      </c>
      <c r="E48" t="s">
        <v>10</v>
      </c>
      <c r="F48" t="s">
        <v>12</v>
      </c>
      <c r="G48" t="s">
        <v>10</v>
      </c>
      <c r="H48" t="s">
        <v>110</v>
      </c>
      <c r="I48" s="4" t="s">
        <v>201</v>
      </c>
      <c r="K48" t="s">
        <v>133</v>
      </c>
      <c r="L48" t="s">
        <v>3</v>
      </c>
    </row>
    <row r="49" spans="1:12" x14ac:dyDescent="0.25">
      <c r="A49">
        <v>48</v>
      </c>
      <c r="B49" t="s">
        <v>107</v>
      </c>
      <c r="C49" t="s">
        <v>27</v>
      </c>
      <c r="D49" s="9">
        <v>3500000000</v>
      </c>
      <c r="E49" t="s">
        <v>111</v>
      </c>
      <c r="F49" t="s">
        <v>10</v>
      </c>
      <c r="G49" t="s">
        <v>10</v>
      </c>
      <c r="H49" t="s">
        <v>112</v>
      </c>
      <c r="I49" s="4" t="s">
        <v>202</v>
      </c>
      <c r="K49" t="s">
        <v>125</v>
      </c>
      <c r="L49" s="2">
        <f>MIN(Tabelle1[Betrugsvolumen])</f>
        <v>10000</v>
      </c>
    </row>
    <row r="50" spans="1:12" x14ac:dyDescent="0.25">
      <c r="A50">
        <v>49</v>
      </c>
      <c r="B50" t="s">
        <v>107</v>
      </c>
      <c r="C50" t="s">
        <v>113</v>
      </c>
      <c r="D50" s="9" t="s">
        <v>10</v>
      </c>
      <c r="E50" t="s">
        <v>10</v>
      </c>
      <c r="F50" t="s">
        <v>10</v>
      </c>
      <c r="G50" t="s">
        <v>10</v>
      </c>
      <c r="H50" t="s">
        <v>114</v>
      </c>
      <c r="I50" s="4" t="s">
        <v>203</v>
      </c>
      <c r="K50" t="s">
        <v>126</v>
      </c>
      <c r="L50" s="2">
        <f>MAX(Tabelle1[Betrugsvolumen])</f>
        <v>3500000000</v>
      </c>
    </row>
    <row r="51" spans="1:12" x14ac:dyDescent="0.25">
      <c r="A51">
        <v>50</v>
      </c>
      <c r="B51" t="s">
        <v>107</v>
      </c>
      <c r="C51" t="s">
        <v>115</v>
      </c>
      <c r="D51" s="9">
        <v>10000</v>
      </c>
      <c r="E51" t="s">
        <v>116</v>
      </c>
      <c r="F51" t="s">
        <v>10</v>
      </c>
      <c r="G51" t="s">
        <v>19</v>
      </c>
      <c r="H51" t="s">
        <v>117</v>
      </c>
      <c r="I51" s="4" t="s">
        <v>221</v>
      </c>
      <c r="K51" t="s">
        <v>127</v>
      </c>
      <c r="L51" s="2">
        <f>AVERAGE(Tabelle1[Betrugsvolumen])</f>
        <v>149405597.08823529</v>
      </c>
    </row>
    <row r="52" spans="1:12" x14ac:dyDescent="0.25">
      <c r="A52">
        <v>51</v>
      </c>
      <c r="B52" t="s">
        <v>107</v>
      </c>
      <c r="C52" t="s">
        <v>17</v>
      </c>
      <c r="D52" s="9">
        <v>226000</v>
      </c>
      <c r="E52" t="s">
        <v>118</v>
      </c>
      <c r="F52" t="s">
        <v>10</v>
      </c>
      <c r="G52" t="s">
        <v>19</v>
      </c>
      <c r="H52" t="s">
        <v>10</v>
      </c>
      <c r="I52" s="4" t="s">
        <v>204</v>
      </c>
      <c r="K52" t="s">
        <v>128</v>
      </c>
      <c r="L52" s="2">
        <f>MEDIAN(Tabelle1[Betrugsvolumen])</f>
        <v>6750000</v>
      </c>
    </row>
    <row r="53" spans="1:12" x14ac:dyDescent="0.25">
      <c r="A53">
        <v>52</v>
      </c>
      <c r="B53" t="s">
        <v>107</v>
      </c>
      <c r="C53" t="s">
        <v>119</v>
      </c>
      <c r="D53" s="9" t="s">
        <v>10</v>
      </c>
      <c r="E53" t="s">
        <v>10</v>
      </c>
      <c r="F53" t="s">
        <v>10</v>
      </c>
      <c r="G53" t="s">
        <v>10</v>
      </c>
      <c r="H53" t="s">
        <v>120</v>
      </c>
      <c r="I53" s="4" t="s">
        <v>223</v>
      </c>
      <c r="K53" t="s">
        <v>124</v>
      </c>
      <c r="L53">
        <f>COUNTIF(Tabelle1[Betrugsvolumen],"&lt;&gt;-")</f>
        <v>34</v>
      </c>
    </row>
    <row r="54" spans="1:12" x14ac:dyDescent="0.25">
      <c r="A54">
        <v>53</v>
      </c>
      <c r="B54" t="s">
        <v>107</v>
      </c>
      <c r="C54" t="s">
        <v>121</v>
      </c>
      <c r="D54" s="9" t="s">
        <v>10</v>
      </c>
      <c r="E54" t="s">
        <v>122</v>
      </c>
      <c r="F54" t="s">
        <v>10</v>
      </c>
      <c r="G54" t="s">
        <v>123</v>
      </c>
      <c r="H54" t="s">
        <v>10</v>
      </c>
      <c r="I54" s="4" t="s">
        <v>205</v>
      </c>
      <c r="K54" t="s">
        <v>134</v>
      </c>
      <c r="L54" cm="1">
        <f t="array" ref="L54">MAX(Tabelle1[Nr.]-L53)</f>
        <v>20</v>
      </c>
    </row>
    <row r="55" spans="1:12" x14ac:dyDescent="0.25">
      <c r="A55">
        <v>54</v>
      </c>
      <c r="B55" t="s">
        <v>141</v>
      </c>
      <c r="C55" t="s">
        <v>142</v>
      </c>
      <c r="D55" s="9">
        <v>40000</v>
      </c>
      <c r="E55" t="s">
        <v>146</v>
      </c>
      <c r="F55" t="s">
        <v>91</v>
      </c>
      <c r="G55" t="s">
        <v>19</v>
      </c>
      <c r="H55" t="s">
        <v>10</v>
      </c>
      <c r="I55" s="4" t="s">
        <v>206</v>
      </c>
    </row>
    <row r="59" spans="1:12" x14ac:dyDescent="0.25">
      <c r="D59" s="1"/>
    </row>
    <row r="62" spans="1:12" x14ac:dyDescent="0.25">
      <c r="D62" s="1"/>
    </row>
  </sheetData>
  <pageMargins left="0.7" right="0.7" top="0.75" bottom="0.75" header="0.3" footer="0.3"/>
  <pageSetup paperSize="9" orientation="portrait" horizontalDpi="360" verticalDpi="360" r:id="rId1"/>
  <ignoredErrors>
    <ignoredError sqref="L42:V43 L45:V45 L44 N44:V44" formulaRange="1"/>
  </ignoredErrors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Alexander Vogt</cp:lastModifiedBy>
  <dcterms:created xsi:type="dcterms:W3CDTF">2015-06-05T18:19:34Z</dcterms:created>
  <dcterms:modified xsi:type="dcterms:W3CDTF">2023-09-12T11:36:42Z</dcterms:modified>
</cp:coreProperties>
</file>