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ocumenttasks/documenttask2.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ocumenttasks/documenttask3.xml" ContentType="application/vnd.ms-excel.documenttask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ocumenttasks/documenttask4.xml" ContentType="application/vnd.ms-excel.documenttasks+xml"/>
  <Override PartName="/xl/comments8.xml" ContentType="application/vnd.openxmlformats-officedocument.spreadsheetml.comments+xml"/>
  <Override PartName="/xl/threadedComments/threadedComment8.xml" ContentType="application/vnd.ms-excel.threadedcomments+xml"/>
  <Override PartName="/xl/documenttasks/documenttask5.xml" ContentType="application/vnd.ms-excel.documenttasks+xml"/>
  <Override PartName="/xl/comments9.xml" ContentType="application/vnd.openxmlformats-officedocument.spreadsheetml.comments+xml"/>
  <Override PartName="/xl/threadedComments/threadedComment9.xml" ContentType="application/vnd.ms-excel.threadedcomments+xml"/>
  <Override PartName="/xl/documenttasks/documenttask6.xml" ContentType="application/vnd.ms-excel.documenttask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ocumenttasks/documenttask7.xml" ContentType="application/vnd.ms-excel.documenttask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OtherProjects/"/>
    </mc:Choice>
  </mc:AlternateContent>
  <xr:revisionPtr revIDLastSave="0" documentId="8_{6124440C-437D-4595-96D3-54289EA4D3B0}" xr6:coauthVersionLast="47" xr6:coauthVersionMax="47" xr10:uidLastSave="{00000000-0000-0000-0000-000000000000}"/>
  <bookViews>
    <workbookView xWindow="-108" yWindow="-108" windowWidth="23256" windowHeight="14016" tabRatio="864" firstSheet="3" activeTab="3" xr2:uid="{5F7D7B37-D181-4359-809B-DCBFD03AB519}"/>
  </bookViews>
  <sheets>
    <sheet name="Instructions" sheetId="22" r:id="rId1"/>
    <sheet name="Key Updates" sheetId="24" r:id="rId2"/>
    <sheet name="Impact and Outcome" sheetId="1" r:id="rId3"/>
    <sheet name="Output 1-CARBONARA" sheetId="8" r:id="rId4"/>
    <sheet name="Output 2-CACCIA" sheetId="9" r:id="rId5"/>
    <sheet name="Output 3-ASINARA" sheetId="10" r:id="rId6"/>
    <sheet name="Output 4-PELAGIE" sheetId="11" r:id="rId7"/>
    <sheet name="Output 5-EGADI" sheetId="12" r:id="rId8"/>
    <sheet name="Output 6-TG" sheetId="13" r:id="rId9"/>
    <sheet name="Output 7-PNAT" sheetId="14" r:id="rId10"/>
    <sheet name="Output 8-AEO" sheetId="16" r:id="rId11"/>
    <sheet name="Copy_Output 8-AEO" sheetId="25" state="hidden" r:id="rId12"/>
    <sheet name="Output 9-EGADI2" sheetId="17" r:id="rId13"/>
    <sheet name="Output 10-TUNIS" sheetId="19" r:id="rId14"/>
    <sheet name="Output 11-PLEMM" sheetId="26" r:id="rId15"/>
    <sheet name="Unplanned Outputs" sheetId="23" r:id="rId16"/>
    <sheet name="Analysis" sheetId="21" r:id="rId17"/>
  </sheets>
  <externalReferences>
    <externalReference r:id="rId1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4" i="16" l="1"/>
  <c r="Y5" i="14"/>
  <c r="Y6" i="14"/>
  <c r="Y10" i="14"/>
  <c r="Y7" i="10"/>
  <c r="Y7" i="16" l="1"/>
  <c r="Y6" i="16"/>
  <c r="Y5" i="16"/>
  <c r="Y8" i="14"/>
  <c r="Y11" i="8"/>
  <c r="Y10" i="8"/>
  <c r="Y6" i="8"/>
  <c r="Y9" i="12"/>
  <c r="Y8" i="12"/>
  <c r="U5" i="12"/>
  <c r="Y8" i="10"/>
  <c r="Y6" i="10"/>
  <c r="Y5" i="19"/>
  <c r="Y9" i="19"/>
  <c r="Y8" i="19"/>
  <c r="Y7" i="19"/>
  <c r="Y4" i="19"/>
  <c r="A3" i="26"/>
  <c r="Y4" i="12"/>
  <c r="Y6" i="11"/>
  <c r="U4" i="16" l="1"/>
  <c r="A30" i="25"/>
  <c r="Q4" i="25"/>
  <c r="O4" i="25"/>
  <c r="A3" i="25"/>
  <c r="A3" i="8"/>
  <c r="U7" i="10"/>
  <c r="U6" i="12"/>
  <c r="N4" i="23"/>
  <c r="S4" i="16"/>
  <c r="U6" i="11"/>
  <c r="U5" i="11"/>
  <c r="J15" i="21" s="1"/>
  <c r="F4" i="11"/>
  <c r="U6" i="14"/>
  <c r="U5" i="14"/>
  <c r="U5" i="8"/>
  <c r="X3" i="21"/>
  <c r="W3" i="21"/>
  <c r="V3" i="21"/>
  <c r="T3" i="21"/>
  <c r="S3" i="21"/>
  <c r="R3" i="21"/>
  <c r="U10" i="10"/>
  <c r="E1" i="22"/>
  <c r="A1" i="22"/>
  <c r="X75" i="21"/>
  <c r="W75" i="21"/>
  <c r="V75" i="21"/>
  <c r="X74" i="21"/>
  <c r="W74" i="21"/>
  <c r="V74" i="21"/>
  <c r="AA74" i="21" s="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A3" i="9"/>
  <c r="B5" i="21" s="1"/>
  <c r="A3" i="10"/>
  <c r="B6" i="21" s="1"/>
  <c r="A3" i="11"/>
  <c r="B7" i="21" s="1"/>
  <c r="A3" i="12"/>
  <c r="B8" i="21" s="1"/>
  <c r="A3" i="13"/>
  <c r="B9" i="21" s="1"/>
  <c r="A3" i="14"/>
  <c r="B10" i="21" s="1"/>
  <c r="A3" i="16"/>
  <c r="B11" i="21" s="1"/>
  <c r="A3" i="17"/>
  <c r="B12" i="21" s="1"/>
  <c r="B4" i="21"/>
  <c r="A3" i="19"/>
  <c r="B13"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3" i="21" l="1"/>
  <c r="AA75"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3" i="21"/>
  <c r="C12" i="21"/>
  <c r="C11" i="21"/>
  <c r="C10" i="21"/>
  <c r="C9" i="21"/>
  <c r="C8" i="21"/>
  <c r="C7" i="21"/>
  <c r="C6" i="21"/>
  <c r="C5" i="21"/>
  <c r="C4" i="21"/>
  <c r="E4" i="21"/>
  <c r="F5" i="21"/>
  <c r="F6" i="21"/>
  <c r="F7" i="21"/>
  <c r="F4" i="21"/>
  <c r="L13" i="21" l="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S10" i="21"/>
  <c r="T77" i="21"/>
  <c r="T64" i="21"/>
  <c r="S43" i="21"/>
  <c r="T7" i="21"/>
  <c r="AC71" i="21"/>
  <c r="T60" i="21"/>
  <c r="AC42" i="21"/>
  <c r="AC22" i="21"/>
  <c r="AC73" i="21"/>
  <c r="S73" i="21"/>
  <c r="S21" i="21"/>
  <c r="AC18" i="21"/>
  <c r="S18" i="21"/>
  <c r="S65" i="21"/>
  <c r="T55" i="21"/>
  <c r="AC30" i="21"/>
  <c r="S46" i="21"/>
  <c r="R74" i="21"/>
  <c r="R35" i="21"/>
  <c r="R67" i="21"/>
  <c r="T28" i="21"/>
  <c r="AC26" i="21"/>
  <c r="AC45" i="21"/>
  <c r="S57" i="21"/>
  <c r="AC29" i="21"/>
  <c r="R79" i="21"/>
  <c r="S67" i="21"/>
  <c r="R57" i="21"/>
  <c r="AC63" i="21"/>
  <c r="R16" i="21"/>
  <c r="R75" i="21"/>
  <c r="T12" i="21"/>
  <c r="R62" i="21"/>
  <c r="T48" i="21"/>
  <c r="AC39" i="21"/>
  <c r="R33" i="21"/>
  <c r="T67" i="21"/>
  <c r="R77" i="21"/>
  <c r="S61" i="21"/>
  <c r="S72" i="21"/>
  <c r="AC12" i="21"/>
  <c r="T53" i="21"/>
  <c r="S56" i="21"/>
  <c r="R55" i="21"/>
  <c r="T61" i="21"/>
  <c r="AC24" i="21"/>
  <c r="AC53" i="21"/>
  <c r="S27" i="21"/>
  <c r="AC38" i="21"/>
  <c r="R56" i="21"/>
  <c r="S16" i="21"/>
  <c r="S66" i="21"/>
  <c r="R7" i="21"/>
  <c r="T78" i="21"/>
  <c r="AC65" i="21"/>
  <c r="S51" i="21"/>
  <c r="S53" i="21"/>
  <c r="S11" i="21"/>
  <c r="AC56" i="21"/>
  <c r="S7" i="21"/>
  <c r="S6" i="21"/>
  <c r="R39" i="21"/>
  <c r="R44" i="21"/>
  <c r="R25" i="21"/>
  <c r="R43" i="21"/>
  <c r="S33" i="21"/>
  <c r="R63" i="21"/>
  <c r="T5" i="21"/>
  <c r="S38" i="21"/>
  <c r="S4" i="21"/>
  <c r="R66" i="21"/>
  <c r="AC58" i="21"/>
  <c r="T66" i="21"/>
  <c r="T74" i="21"/>
  <c r="S9" i="21"/>
  <c r="AC17" i="21"/>
  <c r="AC62" i="21"/>
  <c r="R69" i="21"/>
  <c r="AC14" i="21"/>
  <c r="R70" i="21"/>
  <c r="R10" i="21"/>
  <c r="AC67" i="21"/>
  <c r="T13" i="21"/>
  <c r="AC60" i="21"/>
  <c r="AC47" i="21"/>
  <c r="AC33" i="21"/>
  <c r="S58" i="21"/>
  <c r="S79" i="21"/>
  <c r="AC75" i="21"/>
  <c r="S70" i="21"/>
  <c r="T58" i="21"/>
  <c r="AC52" i="21"/>
  <c r="S28" i="21"/>
  <c r="AC79" i="21"/>
  <c r="S68" i="21"/>
  <c r="R30" i="21"/>
  <c r="AC64" i="21"/>
  <c r="S23" i="21"/>
  <c r="T33" i="21"/>
  <c r="S39" i="21"/>
  <c r="R21" i="21"/>
  <c r="T73" i="21"/>
  <c r="R51" i="21"/>
  <c r="R64" i="21"/>
  <c r="R45" i="21"/>
  <c r="AC27" i="21"/>
  <c r="S47" i="21"/>
  <c r="AC70" i="21"/>
  <c r="S52" i="21"/>
  <c r="AC23" i="21"/>
  <c r="T9" i="21"/>
  <c r="T37" i="21"/>
  <c r="T36" i="21"/>
  <c r="AC10" i="21"/>
  <c r="R5" i="21"/>
  <c r="R4" i="21"/>
  <c r="AC37" i="21"/>
  <c r="T71" i="21"/>
  <c r="R11" i="21"/>
  <c r="R61" i="21"/>
  <c r="S15" i="21"/>
  <c r="S64" i="21"/>
  <c r="T59" i="21"/>
  <c r="R50" i="21"/>
  <c r="S35" i="21"/>
  <c r="T11" i="21"/>
  <c r="T38" i="21"/>
  <c r="T47" i="21"/>
  <c r="T52" i="21"/>
  <c r="S22" i="21"/>
  <c r="AC49" i="21"/>
  <c r="S8" i="21"/>
  <c r="S34" i="21"/>
  <c r="S54" i="21"/>
  <c r="R36" i="21"/>
  <c r="R9" i="21"/>
  <c r="S40" i="21"/>
  <c r="S49" i="21"/>
  <c r="R23" i="21"/>
  <c r="AC7" i="21"/>
  <c r="S26" i="21"/>
  <c r="AC21" i="21"/>
  <c r="R27" i="21"/>
  <c r="AC59" i="21"/>
  <c r="T57" i="21"/>
  <c r="R40" i="21"/>
  <c r="S42" i="21"/>
  <c r="R48" i="21"/>
  <c r="AC77" i="21"/>
  <c r="AC76" i="21"/>
  <c r="AC72" i="21"/>
  <c r="AC19" i="21"/>
  <c r="S25" i="21"/>
  <c r="S55" i="21"/>
  <c r="R68" i="21"/>
  <c r="T21" i="21"/>
  <c r="R54" i="21"/>
  <c r="T51" i="21"/>
  <c r="S36" i="21"/>
  <c r="R15" i="21"/>
  <c r="AC46" i="21"/>
  <c r="AC11" i="21"/>
  <c r="T80" i="21"/>
  <c r="S69" i="21"/>
  <c r="AC66" i="21"/>
  <c r="AC9" i="21"/>
  <c r="S14" i="21"/>
  <c r="R32" i="21"/>
  <c r="R73" i="21"/>
  <c r="AC20" i="21"/>
  <c r="S41" i="21"/>
  <c r="S71" i="21"/>
  <c r="T30" i="21"/>
  <c r="R41" i="21"/>
  <c r="T65" i="21"/>
  <c r="S24" i="21"/>
  <c r="R49" i="21"/>
  <c r="S37" i="21"/>
  <c r="T26" i="21"/>
  <c r="T70" i="21"/>
  <c r="R47" i="21"/>
  <c r="S62" i="21"/>
  <c r="R28" i="21"/>
  <c r="S30" i="21"/>
  <c r="S63" i="21"/>
  <c r="T68" i="21"/>
  <c r="AC61" i="21"/>
  <c r="R76" i="21"/>
  <c r="AC44" i="21"/>
  <c r="S80" i="21"/>
  <c r="AC15" i="21"/>
  <c r="T39" i="21"/>
  <c r="AC43" i="21"/>
  <c r="T15" i="21"/>
  <c r="S20" i="21"/>
  <c r="S17" i="21"/>
  <c r="AC6" i="21"/>
  <c r="R38" i="21"/>
  <c r="T34" i="21"/>
  <c r="AC55" i="21"/>
  <c r="R24" i="21"/>
  <c r="T56" i="21"/>
  <c r="S74" i="21"/>
  <c r="AC80" i="21"/>
  <c r="R22" i="21"/>
  <c r="AC51" i="21"/>
  <c r="R72" i="21"/>
  <c r="T29" i="21"/>
  <c r="AC35" i="21"/>
  <c r="AC50" i="21"/>
  <c r="T10" i="21"/>
  <c r="AC28" i="21"/>
  <c r="R14" i="21"/>
  <c r="AC68" i="21"/>
  <c r="AC40" i="21"/>
  <c r="AC78" i="21"/>
  <c r="T76" i="21"/>
  <c r="S75" i="21"/>
  <c r="T43" i="21"/>
  <c r="R31" i="21"/>
  <c r="S77" i="21"/>
  <c r="S59" i="21"/>
  <c r="AC13" i="21"/>
  <c r="T46" i="21"/>
  <c r="AC5" i="21"/>
  <c r="AC36" i="21"/>
  <c r="R71" i="21"/>
  <c r="T8" i="21"/>
  <c r="AC69" i="21"/>
  <c r="R26" i="21"/>
  <c r="S19" i="21"/>
  <c r="S45" i="21"/>
  <c r="T18" i="21"/>
  <c r="R29" i="21"/>
  <c r="S50" i="21"/>
  <c r="R58" i="21"/>
  <c r="S48" i="21"/>
  <c r="AC16" i="21"/>
  <c r="S76" i="21"/>
  <c r="T72" i="21"/>
  <c r="R17" i="21"/>
  <c r="S78" i="21"/>
  <c r="T19" i="21"/>
  <c r="S31" i="21"/>
  <c r="S12" i="21"/>
  <c r="T40" i="21"/>
  <c r="R34" i="21"/>
  <c r="T16" i="21"/>
  <c r="R19" i="21"/>
  <c r="R65" i="21"/>
  <c r="T17" i="21"/>
  <c r="T35" i="21"/>
  <c r="AC54" i="21"/>
  <c r="T24" i="21"/>
  <c r="S32" i="21"/>
  <c r="R78" i="21"/>
  <c r="AC34" i="21"/>
  <c r="R80" i="21"/>
  <c r="T44" i="21"/>
  <c r="R20" i="21"/>
  <c r="S60" i="21"/>
  <c r="T49" i="21"/>
  <c r="R6" i="21"/>
  <c r="AC48" i="21"/>
  <c r="R18" i="21"/>
  <c r="T42" i="21"/>
  <c r="AC25" i="21"/>
  <c r="AC32" i="21"/>
  <c r="T45" i="21"/>
  <c r="T62" i="21"/>
  <c r="S13" i="21"/>
  <c r="T41" i="21"/>
  <c r="S5" i="21"/>
  <c r="R8" i="21"/>
  <c r="T79" i="21"/>
  <c r="T69" i="21"/>
  <c r="S29" i="21"/>
  <c r="AC31" i="21"/>
  <c r="T50" i="21"/>
  <c r="S44" i="21"/>
  <c r="T22" i="21"/>
  <c r="T32" i="21"/>
  <c r="T63" i="21"/>
  <c r="R52" i="21"/>
  <c r="AC41" i="21"/>
  <c r="T25" i="21"/>
  <c r="R53" i="21"/>
  <c r="T14" i="21"/>
  <c r="AC8" i="21"/>
  <c r="R12" i="21"/>
  <c r="T4" i="21"/>
  <c r="R46" i="21"/>
  <c r="T54" i="21"/>
  <c r="T20" i="21"/>
  <c r="R37" i="21"/>
  <c r="AC57" i="21"/>
  <c r="R13" i="21"/>
  <c r="AC74" i="21"/>
  <c r="T23" i="21"/>
  <c r="R59" i="21"/>
  <c r="T6" i="21"/>
  <c r="AC4" i="21"/>
  <c r="T27" i="21"/>
  <c r="T75" i="21"/>
  <c r="R60" i="21"/>
  <c r="T31" i="21"/>
  <c r="R42" i="21"/>
  <c r="O6" i="21" l="1"/>
  <c r="Z69" i="21" l="1"/>
  <c r="AB69" i="21" s="1"/>
  <c r="Z7" i="21"/>
  <c r="AB7" i="21" s="1"/>
  <c r="Z10" i="21"/>
  <c r="AB10" i="21" s="1"/>
  <c r="Z53" i="21"/>
  <c r="AB53" i="21" s="1"/>
  <c r="Z16" i="21"/>
  <c r="AB16" i="21" s="1"/>
  <c r="Z11" i="21"/>
  <c r="AB11" i="21" s="1"/>
  <c r="Z38" i="21"/>
  <c r="AB38" i="21" s="1"/>
  <c r="Z75" i="21"/>
  <c r="AB75" i="21" s="1"/>
  <c r="Z39" i="21"/>
  <c r="AB39" i="21" s="1"/>
  <c r="Z22" i="21"/>
  <c r="AB22" i="21" s="1"/>
  <c r="Z37" i="21"/>
  <c r="AB37" i="21" s="1"/>
  <c r="Z8" i="21"/>
  <c r="AB8" i="21" s="1"/>
  <c r="Z78" i="21"/>
  <c r="AB78" i="21" s="1"/>
  <c r="Z60" i="21"/>
  <c r="AB60" i="21" s="1"/>
  <c r="Z32" i="21"/>
  <c r="AB32" i="21" s="1"/>
  <c r="Z54" i="21"/>
  <c r="AB54" i="21" s="1"/>
  <c r="Z15" i="21"/>
  <c r="AB15" i="21" s="1"/>
  <c r="Z49" i="21"/>
  <c r="AB49" i="21" s="1"/>
  <c r="Z58" i="21"/>
  <c r="AB58" i="21" s="1"/>
  <c r="Z44" i="21"/>
  <c r="AB44" i="21" s="1"/>
  <c r="Z41" i="21"/>
  <c r="AB41" i="21" s="1"/>
  <c r="Z4" i="21"/>
  <c r="AB4" i="21" s="1"/>
  <c r="Z45" i="21"/>
  <c r="AB45" i="21" s="1"/>
  <c r="Z46" i="21"/>
  <c r="AB46" i="21" s="1"/>
  <c r="Z23" i="21"/>
  <c r="AB23" i="21" s="1"/>
  <c r="Z25" i="21"/>
  <c r="AB25" i="21" s="1"/>
  <c r="Z9" i="21"/>
  <c r="AB9" i="21" s="1"/>
  <c r="Z50" i="21"/>
  <c r="AB50" i="21" s="1"/>
  <c r="Z5" i="21"/>
  <c r="AB5" i="21" s="1"/>
  <c r="Z26" i="21"/>
  <c r="AB26" i="21" s="1"/>
  <c r="Z63" i="21"/>
  <c r="AB63" i="21" s="1"/>
  <c r="Z28" i="21"/>
  <c r="AB28" i="21" s="1"/>
  <c r="Z6" i="21"/>
  <c r="AB6" i="21" s="1"/>
  <c r="Z29" i="21"/>
  <c r="AB29" i="21" s="1"/>
  <c r="Z12" i="21"/>
  <c r="AB12" i="21" s="1"/>
  <c r="Z68" i="21"/>
  <c r="AB68" i="21" s="1"/>
  <c r="Z64" i="21"/>
  <c r="AB64" i="21" s="1"/>
  <c r="Z33" i="21"/>
  <c r="AB33" i="21" s="1"/>
  <c r="Z43" i="21"/>
  <c r="AB43" i="21" s="1"/>
  <c r="Z48" i="21"/>
  <c r="AB48" i="21" s="1"/>
  <c r="Z40" i="21"/>
  <c r="AB40" i="21" s="1"/>
  <c r="Z47" i="21"/>
  <c r="AB47" i="21" s="1"/>
  <c r="Z67" i="21"/>
  <c r="AB67" i="21" s="1"/>
  <c r="Z62" i="21"/>
  <c r="AB62" i="21" s="1"/>
  <c r="Z34" i="21"/>
  <c r="AB34" i="21" s="1"/>
  <c r="Z30" i="21"/>
  <c r="AB30" i="21" s="1"/>
  <c r="Z70" i="21"/>
  <c r="AB70" i="21" s="1"/>
  <c r="Z71" i="21"/>
  <c r="AB71" i="21" s="1"/>
  <c r="Z55" i="21"/>
  <c r="AB55" i="21" s="1"/>
  <c r="Z31" i="21"/>
  <c r="AB31" i="21" s="1"/>
  <c r="Z51" i="21"/>
  <c r="AB51" i="21" s="1"/>
  <c r="Z13" i="21"/>
  <c r="AB13" i="21" s="1"/>
  <c r="Z76" i="21"/>
  <c r="AB76" i="21" s="1"/>
  <c r="Z52" i="21"/>
  <c r="AB52" i="21" s="1"/>
  <c r="Z72" i="21"/>
  <c r="AB72" i="21" s="1"/>
  <c r="Z19" i="21"/>
  <c r="AB19" i="21" s="1"/>
  <c r="Z18" i="21"/>
  <c r="AB18" i="21" s="1"/>
  <c r="Z57" i="21"/>
  <c r="AB57" i="21" s="1"/>
  <c r="Z24" i="21"/>
  <c r="AB24" i="21" s="1"/>
  <c r="Z14" i="21"/>
  <c r="AB14" i="21" s="1"/>
  <c r="Z79" i="21"/>
  <c r="AB79" i="21" s="1"/>
  <c r="Z20" i="21"/>
  <c r="AB20" i="21" s="1"/>
  <c r="Z21" i="21"/>
  <c r="AB21" i="21" s="1"/>
  <c r="Z35" i="21"/>
  <c r="AB35" i="21" s="1"/>
  <c r="Z61" i="21"/>
  <c r="AB61" i="21" s="1"/>
  <c r="Z73" i="21"/>
  <c r="AB73" i="21" s="1"/>
  <c r="Z17" i="21"/>
  <c r="AB17" i="21" s="1"/>
  <c r="Z56" i="21"/>
  <c r="AB56" i="21" s="1"/>
  <c r="Z27" i="21"/>
  <c r="AB27" i="21" s="1"/>
  <c r="Z42" i="21"/>
  <c r="AB42" i="21" s="1"/>
  <c r="Z36" i="21"/>
  <c r="AB36" i="21" s="1"/>
  <c r="Z77" i="21"/>
  <c r="AB77" i="21" s="1"/>
  <c r="Z65" i="21"/>
  <c r="AB65" i="21" s="1"/>
  <c r="Z74" i="21"/>
  <c r="AB74" i="21" s="1"/>
  <c r="Z80" i="21"/>
  <c r="AB80" i="21" s="1"/>
  <c r="Z59" i="21"/>
  <c r="AB59" i="21" s="1"/>
  <c r="Z66" i="21"/>
  <c r="AB66"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tc={10339CA3-3C99-4B05-895B-4F0BAF38DB00}</author>
    <author>tc={4F0B0300-3C9A-4274-B195-38017822E029}</author>
    <author>tc={3DC8704E-59F3-40D5-9452-CF1C0C38FA2F}</author>
    <author>tc={C501AF76-BD82-4F05-BF63-FEA09DB27132}</author>
    <author>tc={537D03A4-9690-4D19-9E22-24070809D64F}</author>
    <author>tc={4470CF94-7D40-40D3-AB82-60B808746109}</author>
    <author>tc={46F8EF03-2ECA-4F34-BB63-DB4502AAA314}</author>
    <author>tc={AE09FC7B-E826-4A7F-8E55-F8728E381609}</author>
    <author>tc={DC5314E9-49D7-4442-AF14-EA48628414A7}</author>
  </authors>
  <commentList>
    <comment ref="AA2" authorId="0" shapeId="0" xr:uid="{10339CA3-3C99-4B05-895B-4F0BAF38DB00}">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@Appin Williamson I've added two new columns for reporting the Q2 data. Is it correct? I am not sure to remember properly...:-)
Reply:
    Hi Giulia - this should be in the same column as the previous one - I've combined them on this tab, to show what it should look like - are you ok to adjust the rest of the tabs?
Reply:
    I have left in the text that needs to go into the 2022 column so that you can easily see what to move
Reply:
    Hi Appin,
I've arranged all the Q2 content into one column, as you suggested. I did it for all the 9 sheets :-)
Reply:
    Absolutely amazing, a mammoth effort!  Thanks Giulia!</t>
      </text>
    </comment>
    <comment ref="Y4" authorId="1" shapeId="0" xr:uid="{4F0B0300-3C9A-4274-B195-38017822E029}">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AB6" authorId="2" shapeId="0" xr:uid="{3DC8704E-59F3-40D5-9452-CF1C0C38FA2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@Appin Williamson this indicator actually belongs to 2002, but it has been inserted in this report because it has not been documented last year. Should we move it elsewhere?
Reply:
    Ah ok - yes this should then go under the 'progress achieved in 2022 column' ☺️
Reply:
    oki - moved on the left side, pls check if I did well (in red) :-S
Reply:
    Looks perfect ☺️</t>
      </text>
    </comment>
    <comment ref="V9" authorId="3" shapeId="0" xr:uid="{C501AF76-BD82-4F05-BF63-FEA09DB27132}">
      <text>
        <t>[Threaded comment]
Your version of Excel allows you to read this threaded comment; however, any edits to it will get removed if the file is opened in a newer version of Excel. Learn more: https://go.microsoft.com/fwlink/?linkid=870924
Comment:
    Are we contributing to the salary of this marine biologist?  If not, please remove
Reply:
    @Giulia Bernardi sorry I forgot to tag you, I am removing the marine biologist because I don't think we are funding (or part-funding) them, if we are then please do feel free to add back in!
Reply:
    hello - actually the situation is hybrid, as part of the salary is covered by Blue, and  part from Region Sardinia.  I would put it anyway, up to you if you want to include it or not.
Reply:
    ah ok yes I think we can include that - thanks Giulia</t>
      </text>
    </comment>
    <comment ref="Y9" authorId="4" shapeId="0" xr:uid="{537D03A4-9690-4D19-9E22-24070809D64F}">
      <text>
        <t>[Threaded comment]
Your version of Excel allows you to read this threaded comment; however, any edits to it will get removed if the file is opened in a newer version of Excel. Learn more: https://go.microsoft.com/fwlink/?linkid=870924
Comment:
    Have put as zero as the description doesn't sound like a beneficiary</t>
      </text>
    </comment>
    <comment ref="AB9" authorId="5" shapeId="0" xr:uid="{4470CF94-7D40-40D3-AB82-60B80874610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@Appin Williamson  same as above, as these guides are the ones that managed the educ activities in 2022
Reply:
    Ok - yes same again, please move to the 'progress achieved in 2022' column and remove from here
Reply:
    Ok - Added Q2 NA in Z9, and added the two guides in V9 :-)</t>
      </text>
    </comment>
    <comment ref="Z11" authorId="6" shapeId="0" xr:uid="{46F8EF03-2ECA-4F34-BB63-DB4502AAA314}">
      <text>
        <t>[Threaded comment]
Your version of Excel allows you to read this threaded comment; however, any edits to it will get removed if the file is opened in a newer version of Excel. Learn more: https://go.microsoft.com/fwlink/?linkid=870924
Comment:
    Appin I've rearranged from zero this count, as it was not divided into quarters so I thought not clear to understand :-)</t>
      </text>
    </comment>
    <comment ref="E12" authorId="7" shapeId="0" xr:uid="{AE09FC7B-E826-4A7F-8E55-F8728E381609}">
      <text>
        <t>[Threaded comment]
Your version of Excel allows you to read this threaded comment; however, any edits to it will get removed if the file is opened in a newer version of Excel. Learn more: https://go.microsoft.com/fwlink/?linkid=870924
Comment:
    @Giulia Bernardi this can be counted under the activities/tools row above so I will migrate the text up to that line</t>
      </text>
    </comment>
    <comment ref="Y12" authorId="8" shapeId="0" xr:uid="{DC5314E9-49D7-4442-AF14-EA48628414A7}">
      <text>
        <t>[Threaded comment]
Your version of Excel allows you to read this threaded comment; however, any edits to it will get removed if the file is opened in a newer version of Excel. Learn more: https://go.microsoft.com/fwlink/?linkid=870924
Comment:
    @Giulia Bernardi as it hasn't happened yet I have not counted it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tc={E21778A6-353A-456C-A0E7-098F9FA3D001}</author>
    <author>tc={DE392FB2-D0FA-4D7C-ACBD-0049B11632F5}</author>
    <author>tc={7290DDFD-0486-4F04-90C6-6C0EAE70D0CC}</author>
    <author>tc={E9ECF7F6-E301-4EDD-B8BA-283C57BA146D}</author>
    <author>tc={CE313DA3-B3ED-49A3-A97D-5CCD5B22E24A}</author>
    <author>tc={A6BFCFDC-FD24-42C7-9F1A-68562FF198E4}</author>
    <author>tc={7DD35FAD-B11E-4A20-9EB5-DF5B606EE9AA}</author>
  </authors>
  <commentList>
    <comment ref="H4" authorId="0" shapeId="0" xr:uid="{E21778A6-353A-456C-A0E7-098F9FA3D001}">
      <text>
        <t>[Threaded comment]
Your version of Excel allows you to read this threaded comment; however, any edits to it will get removed if the file is opened in a newer version of Excel. Learn more: https://go.microsoft.com/fwlink/?linkid=870924
Comment:
    New 2.2.3
Reply:
    Hi Appin! In delay, I've finally filled in this new sheet.                                              This project started in 2020 and, after Covid, is went on very slowly. I've reported here the activities carried out so far, divide in different years, from 2020 to 2023. I did not divide the actions into quarters, as it does not make too many sense to me in this case. But if you think I should organize the data differently just let me know.                                             we should finalize this project on December 2023.                                     Note - I've added a new arrow and I've charged the word template on sharepoint :-)
Reply:
    This looks great!  Thanks Giulia!!</t>
      </text>
    </comment>
    <comment ref="H5" authorId="1" shapeId="0" xr:uid="{DE392FB2-D0FA-4D7C-ACBD-0049B11632F5}">
      <text>
        <t>[Threaded comment]
Your version of Excel allows you to read this threaded comment; however, any edits to it will get removed if the file is opened in a newer version of Excel. Learn more: https://go.microsoft.com/fwlink/?linkid=870924
Comment:
    New 5.6.2</t>
      </text>
    </comment>
    <comment ref="H6" authorId="2" shapeId="0" xr:uid="{7290DDFD-0486-4F04-90C6-6C0EAE70D0CC}">
      <text>
        <t>[Threaded comment]
Your version of Excel allows you to read this threaded comment; however, any edits to it will get removed if the file is opened in a newer version of Excel. Learn more: https://go.microsoft.com/fwlink/?linkid=870924
Comment:
    New 2.2.2</t>
      </text>
    </comment>
    <comment ref="H7" authorId="3" shapeId="0" xr:uid="{E9ECF7F6-E301-4EDD-B8BA-283C57BA146D}">
      <text>
        <t>[Threaded comment]
Your version of Excel allows you to read this threaded comment; however, any edits to it will get removed if the file is opened in a newer version of Excel. Learn more: https://go.microsoft.com/fwlink/?linkid=870924
Comment:
    New 5.2.2</t>
      </text>
    </comment>
    <comment ref="H8" authorId="4" shapeId="0" xr:uid="{CE313DA3-B3ED-49A3-A97D-5CCD5B22E24A}">
      <text>
        <t>[Threaded comment]
Your version of Excel allows you to read this threaded comment; however, any edits to it will get removed if the file is opened in a newer version of Excel. Learn more: https://go.microsoft.com/fwlink/?linkid=870924
Comment:
    New 5.3.2</t>
      </text>
    </comment>
    <comment ref="H9" authorId="5" shapeId="0" xr:uid="{A6BFCFDC-FD24-42C7-9F1A-68562FF198E4}">
      <text>
        <t>[Threaded comment]
Your version of Excel allows you to read this threaded comment; however, any edits to it will get removed if the file is opened in a newer version of Excel. Learn more: https://go.microsoft.com/fwlink/?linkid=870924
Comment:
    New 5.3.1</t>
      </text>
    </comment>
    <comment ref="AA12" authorId="6" shapeId="0" xr:uid="{7DD35FAD-B11E-4A20-9EB5-DF5B606EE9AA}">
      <text>
        <t>[Threaded comment]
Your version of Excel allows you to read this threaded comment; however, any edits to it will get removed if the file is opened in a newer version of Excel. Learn more: https://go.microsoft.com/fwlink/?linkid=870924
Comment:
    Thanks @Giulia Bernardi!  I will put it into the 2022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tc={99E3053A-B649-46BA-9F05-6CD84D7536EE}</author>
    <author>tc={A5DD8DE5-68CE-4214-B859-1997A76EEC2C}</author>
    <author>tc={4E4C0251-9CB1-4389-80A6-E54418D1B29D}</author>
  </authors>
  <commentList>
    <comment ref="E4" authorId="0" shapeId="0" xr:uid="{99E3053A-B649-46BA-9F05-6CD84D7536EE}">
      <text>
        <t>[Threaded comment]
Your version of Excel allows you to read this threaded comment; however, any edits to it will get removed if the file is opened in a newer version of Excel. Learn more: https://go.microsoft.com/fwlink/?linkid=870924
Comment:
    the project leader changed this indicator, trying to be more in line with the scoping proposal, but pls let me know what you think :-)</t>
      </text>
    </comment>
    <comment ref="Z7" authorId="1" shapeId="0" xr:uid="{A5DD8DE5-68CE-4214-B859-1997A76EEC2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has the documentary been produced?</t>
      </text>
    </comment>
    <comment ref="F9" authorId="2" shapeId="0" xr:uid="{4E4C0251-9CB1-4389-80A6-E54418D1B29D}">
      <text>
        <t>[Threaded comment]
Your version of Excel allows you to read this threaded comment; however, any edits to it will get removed if the file is opened in a newer version of Excel. Learn more: https://go.microsoft.com/fwlink/?linkid=870924
Comment:
    @Giulia Bernardi I have left this blank but in here should go how many people they are planning to reach with the documentary</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tc={118F66C7-FF95-49AE-A1C2-6A2F5C3CD136}</author>
    <author>tc={75DE87B8-9EBA-41CC-BE16-9EE0569592B0}</author>
    <author>tc={9293360B-98AD-4635-A275-3E193F228863}</author>
    <author>tc={8047CCD7-A6AE-4B9E-9832-52614F44031D}</author>
    <author>tc={5F615EAD-6E64-41B4-9A38-D7D25757FF9D}</author>
    <author>tc={4A3A8383-E281-4541-8575-86A6C1BE23B3}</author>
  </authors>
  <commentList>
    <comment ref="E4" authorId="0" shapeId="0" xr:uid="{118F66C7-FF95-49AE-A1C2-6A2F5C3CD136}">
      <text>
        <t>[Threaded comment]
Your version of Excel allows you to read this threaded comment; however, any edits to it will get removed if the file is opened in a newer version of Excel. Learn more: https://go.microsoft.com/fwlink/?linkid=870924
Comment:
    I have assumed that they are going to write reports on this data to summarise their findings - is this correct?</t>
      </text>
    </comment>
    <comment ref="Z4" authorId="1" shapeId="0" xr:uid="{75DE87B8-9EBA-41CC-BE16-9EE0569592B0}">
      <text>
        <t>[Threaded comment]
Your version of Excel allows you to read this threaded comment; however, any edits to it will get removed if the file is opened in a newer version of Excel. Learn more: https://go.microsoft.com/fwlink/?linkid=870924
Comment:
    @Giulia Bernardi can I check with you that Q1 means Jan-march 2023?
Reply:
    Nope sorry, it is actually oct-dec. should we put Q4 then?
Reply:
    yes I think so - to keep it consistent across all the outputs we've got in this logframe :) thanks!</t>
      </text>
    </comment>
    <comment ref="E5" authorId="2" shapeId="0" xr:uid="{9293360B-98AD-4635-A275-3E193F228863}">
      <text>
        <t xml:space="preserve">[Threaded comment]
Your version of Excel allows you to read this threaded comment; however, any edits to it will get removed if the file is opened in a newer version of Excel. Learn more: https://go.microsoft.com/fwlink/?linkid=870924
Comment:
    I have assumed that they are going to write reports on this data to summarise their findings - is this correct?
</t>
      </text>
    </comment>
    <comment ref="F7" authorId="3" shapeId="0" xr:uid="{8047CCD7-A6AE-4B9E-9832-52614F44031D}">
      <text>
        <t>[Threaded comment]
Your version of Excel allows you to read this threaded comment; however, any edits to it will get removed if the file is opened in a newer version of Excel. Learn more: https://go.microsoft.com/fwlink/?linkid=870924
Comment:
    I've left these three blank because I'm not sure how many people they're planning to reach/events to hold etc</t>
      </text>
    </comment>
    <comment ref="Y8" authorId="4" shapeId="0" xr:uid="{5F615EAD-6E64-41B4-9A38-D7D25757FF9D}">
      <text>
        <t>[Threaded comment]
Your version of Excel allows you to read this threaded comment; however, any edits to it will get removed if the file is opened in a newer version of Excel. Learn more: https://go.microsoft.com/fwlink/?linkid=870924
Comment:
    I have put this at zero because these are more like progress updates but still really good information to have!</t>
      </text>
    </comment>
    <comment ref="E9" authorId="5" shapeId="0" xr:uid="{4A3A8383-E281-4541-8575-86A6C1BE23B3}">
      <text>
        <t>[Threaded comment]
Your version of Excel allows you to read this threaded comment; however, any edits to it will get removed if the file is opened in a newer version of Excel. Learn more: https://go.microsoft.com/fwlink/?linkid=870924
Comment:
    This is because the other lines talk about doing outreach in schools, we would count these separately to general public outreach</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tc={87648043-6891-410D-9CD9-3762D082D98F}</author>
  </authors>
  <commentList>
    <comment ref="R5" authorId="0" shapeId="0" xr:uid="{87648043-6891-410D-9CD9-3762D082D98F}">
      <text>
        <t>[Threaded comment]
Your version of Excel allows you to read this threaded comment; however, any edits to it will get removed if the file is opened in a newer version of Excel. Learn more: https://go.microsoft.com/fwlink/?linkid=870924
Comment:
    Have put to zero because I ended up including this in the relevant output tab so we don't duplicate the number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tc={65758593-4139-48B3-95DF-A63B4AD8FD66}</author>
    <author>tc={8D330FDC-4380-4661-BC8F-8E2EBC9481AC}</author>
    <author>tc={B9069183-0799-4FB3-BF2B-D8FB04B20471}</author>
  </authors>
  <commentList>
    <comment ref="Y4" authorId="0" shapeId="0" xr:uid="{65758593-4139-48B3-95DF-A63B4AD8FD66}">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V7" authorId="1" shapeId="0" xr:uid="{8D330FDC-4380-4661-BC8F-8E2EBC9481AC}">
      <text>
        <t>[Threaded comment]
Your version of Excel allows you to read this threaded comment; however, any edits to it will get removed if the file is opened in a newer version of Excel. Learn more: https://go.microsoft.com/fwlink/?linkid=870924
Comment:
    @Giulia Bernardi just thinking about this - are they benefitting from our work?
Reply:
    yes I think so
Reply:
    OK cool I will leave in in that case.  Do you have a few words of explanation as to how they're benefitting from our work that could go into that cell?
Reply:
    @Giulia Bernardi 
Reply:
    actually I would cancel the fishers, while local diving centres will benefit as they will: 
1. have a safe anchoring in a wave exposed area;
2: the seabed surrounding the marine caves hosts a rich community of corralligenous, so halting free anchoring will help for more thriving marine habitats.
Reply:
    Perfect, thanks Giulia!</t>
      </text>
    </comment>
    <comment ref="V8" authorId="2" shapeId="0" xr:uid="{B9069183-0799-4FB3-BF2B-D8FB04B20471}">
      <text>
        <t>[Threaded comment]
Your version of Excel allows you to read this threaded comment; however, any edits to it will get removed if the file is opened in a newer version of Excel. Learn more: https://go.microsoft.com/fwlink/?linkid=870924
Comment:
    @Giulia Bernardi I've just realised that this is not the number of km2 now protected, so I have changed to zero and we can fix next year
Reply:
    oki
Reply:
    @Giulia Bernardi have now moved to this line and deleted from the first line above which is for when an area becomes protected (and should be in km2)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tc={12CFAD5D-8256-42EF-80C2-387F340BDE0A}</author>
    <author>tc={59537568-D276-4D0C-85BE-76AE37507C00}</author>
    <author>tc={5AD7CAB1-E549-4B28-B14D-D0D283B0A02A}</author>
    <author>tc={268E9A0A-789E-4FE7-B98B-30F9FB15320A}</author>
    <author>tc={D15DD17D-0B17-481B-B1C5-54579E27E7DF}</author>
    <author>tc={B3452D0E-DBA4-4A9F-9F7E-F14611441DBF}</author>
    <author>tc={5706A59F-5793-4F85-A89D-C62D3075346C}</author>
    <author>tc={3E24AF5C-CC30-4004-AF5B-4CA7A089206A}</author>
    <author>tc={D8F4A051-54B6-4B7C-B763-19E342C72313}</author>
    <author>tc={C738A1D3-B620-4638-98C9-47C2C1866EEF}</author>
  </authors>
  <commentList>
    <comment ref="Y4" authorId="0" shapeId="0" xr:uid="{12CFAD5D-8256-42EF-80C2-387F340BDE0A}">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AA4" authorId="1" shapeId="0" xr:uid="{59537568-D276-4D0C-85BE-76AE37507C00}">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Z5" authorId="2" shapeId="0" xr:uid="{5AD7CAB1-E549-4B28-B14D-D0D283B0A02A}">
      <text>
        <t>[Threaded comment]
Your version of Excel allows you to read this threaded comment; however, any edits to it will get removed if the file is opened in a newer version of Excel. Learn more: https://go.microsoft.com/fwlink/?linkid=870924
Comment:
    @Appin I would move this number '17' down  in line 7, where we have reported stakeholders. Here I would simply leave the number '1', which better represents the unit. What you think? 
Reply:
    Hi Giulia - I agree, however, as the management plan is not finished yet I've left it at a zero, and we can put in a 1 when the management is finished :) thanks for checking!</t>
      </text>
    </comment>
    <comment ref="V7" authorId="3" shapeId="0" xr:uid="{268E9A0A-789E-4FE7-B98B-30F9FB15320A}">
      <text>
        <t>[Threaded comment]
Your version of Excel allows you to read this threaded comment; however, any edits to it will get removed if the file is opened in a newer version of Excel. Learn more: https://go.microsoft.com/fwlink/?linkid=870924
Comment:
    I've added the number of boats that justify the high number of 700 children involved: we can deduct that every boat involved has onboard ten children :-)
Reply:
    Perfect - thank you!</t>
      </text>
    </comment>
    <comment ref="Z7" authorId="4" shapeId="0" xr:uid="{D15DD17D-0B17-481B-B1C5-54579E27E7DF}">
      <text>
        <t>[Threaded comment]
Your version of Excel allows you to read this threaded comment; however, any edits to it will get removed if the file is opened in a newer version of Excel. Learn more: https://go.microsoft.com/fwlink/?linkid=870924
Comment:
    @Giulia Bernardi there were attendees in some of the lines above so I have copied them into this cell too ☺️</t>
      </text>
    </comment>
    <comment ref="AB7" authorId="5" shapeId="0" xr:uid="{B3452D0E-DBA4-4A9F-9F7E-F14611441DBF}">
      <text>
        <t>[Threaded comment]
Your version of Excel allows you to read this threaded comment; however, any edits to it will get removed if the file is opened in a newer version of Excel. Learn more: https://go.microsoft.com/fwlink/?linkid=870924
Comment:
    @Giulia Bernardi are these the same people in cell Y5?
Reply:
    YES: these are the total number of local stakeholders that have been involved in the 4 meetings organized with the MPA management entity. In the last line I've specified the real total number, for avoiding redundancies.</t>
      </text>
    </comment>
    <comment ref="E8" authorId="6" shapeId="0" xr:uid="{5706A59F-5793-4F85-A89D-C62D3075346C}">
      <text>
        <t>[Threaded comment]
Your version of Excel allows you to read this threaded comment; however, any edits to it will get removed if the file is opened in a newer version of Excel. Learn more: https://go.microsoft.com/fwlink/?linkid=870924
Comment:
    @Giulia Bernardi I'm not 100% sure what this is, could you provide some more detail and I can see if it fits into one of our existing impact indicators?
Reply:
    sure. pls read in the box :-)</t>
      </text>
    </comment>
    <comment ref="U8" authorId="7" shapeId="0" xr:uid="{3E24AF5C-CC30-4004-AF5B-4CA7A089206A}">
      <text>
        <t>[Threaded comment]
Your version of Excel allows you to read this threaded comment; however, any edits to it will get removed if the file is opened in a newer version of Excel. Learn more: https://go.microsoft.com/fwlink/?linkid=870924
Comment:
    @Giulia Bernardi I think I'm right in saying this is the number of people involved, is that right?  So this row is never going to be reporting on things like number of pieces of evidence?  IF so, then let's change what the measurable indicator is to reflect that it's the number of people
Reply:
    yes, you are right (topt number of fishers involved in the fish monitoring). I would leave to you the final changing, as I am sure you will do it in the best way :-)
Reply:
    Thanks @Giulia Bernardi I have changed to stakeholders contacted.  Will there be a report from this data?  If so I will add in another line below that we can report on when the report comes out ☺️
Reply:
    we will have a new progression report for end of May :-)
Reply:
    Sorry @Giulia Bernardi I meant a technical report that summarises the findings of this monitoring
Reply:
    mmm not really. We plan to have progression reports every three months. The deadline of thius project will be March 2024. At the end of it, MPA and fishers will write up a new fishing regulation plan within the MPA, also on the basis of the current status of local fish populations. So perhaps this could be the final indicator?</t>
      </text>
    </comment>
    <comment ref="AB8" authorId="8" shapeId="0" xr:uid="{D8F4A051-54B6-4B7C-B763-19E342C72313}">
      <text>
        <t>[Threaded comment]
Your version of Excel allows you to read this threaded comment; however, any edits to it will get removed if the file is opened in a newer version of Excel. Learn more: https://go.microsoft.com/fwlink/?linkid=870924
Comment:
    @Giulia Bernardi this line should be number of people - but the 29+19 looks like it's number of nets, so should this be 48?  Or just four?
Reply:
    so if we consider the people 4 is correct. I've also reported the fishing gear operations in case we would consider them as a human activity effort. But fine for me if is more coherent to report the n. of people !</t>
      </text>
    </comment>
    <comment ref="Y9" authorId="9" shapeId="0" xr:uid="{C738A1D3-B620-4638-98C9-47C2C1866EEF}">
      <text>
        <t>[Threaded comment]
Your version of Excel allows you to read this threaded comment; however, any edits to it will get removed if the file is opened in a newer version of Excel. Learn more: https://go.microsoft.com/fwlink/?linkid=870924
Comment:
    We have recently stopped counting our number of samples taken so I have changed this to 0 but left the wording in the cell next to it so that we can still see it because it's a cool stat!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tc={2A333F86-F423-4AB8-8469-D54F3E6E2FA3}</author>
    <author>tc={7131CA53-BA01-40A4-8F19-712E1E86203A}</author>
    <author>tc={F246F40A-A0A8-4BBF-9A4C-D9E8BD442753}</author>
    <author>tc={A21C2109-EDC8-4283-ADFF-F78DF0206B6C}</author>
    <author>tc={EB79ABE4-4ACD-4EE3-99BB-39C840928FE5}</author>
    <author>tc={7EB3043F-CC1D-4384-BAE5-AB4F342FF13F}</author>
    <author>tc={8D24C8CE-04D8-44DD-B98F-F9EE21A2914A}</author>
    <author>tc={9EE1ED99-9A8B-48F4-A42A-713DE718BBF7}</author>
  </authors>
  <commentList>
    <comment ref="Z4" authorId="0" shapeId="0" xr:uid="{2A333F86-F423-4AB8-8469-D54F3E6E2FA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do you know when the reports in this cell were written/submitted?    Just the month is fine!
Reply:
    sure - done! I've also changed the value, as the paper of the mako was doublecounted :-)
Reply:
    Amazing - thank you!</t>
      </text>
    </comment>
    <comment ref="Z5" authorId="1" shapeId="0" xr:uid="{7131CA53-BA01-40A4-8F19-712E1E86203A}">
      <text>
        <t>[Threaded comment]
Your version of Excel allows you to read this threaded comment; however, any edits to it will get removed if the file is opened in a newer version of Excel. Learn more: https://go.microsoft.com/fwlink/?linkid=870924
Comment:
    @Giulia Bernardi I think this should be 4 (4 outreach activities in the form of meetings) and then the number of attendees should go in the row below under 'stakeholders reached' - could you move this across?  I'm not sure exactly how many to put in the row below
Reply:
    ok done - I've also move one the international worshop up (before in the row below)
Reply:
    @Giulia Bernardi have the partners said which months these occurred in?</t>
      </text>
    </comment>
    <comment ref="Z6" authorId="2" shapeId="0" xr:uid="{F246F40A-A0A8-4BBF-9A4C-D9E8BD44275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do you know what the &gt;1000 is referring to?  
Reply:
    Hi Appin, you r right: on August, the Pelagie Archipelago was accepted as an ISRA (important shark and rays aggregation) area. After, it was included by the Shark Specialist Group of the IUCN in the list of relevant conservation areas for elasmobranchs, in the Mediterranean Sea. Thousands of people have been reached, as the ISRA Atlas is online. I've added few words in red, to be more clear.
Reply:
    ok perfect, thanks Giulia!</t>
      </text>
    </comment>
    <comment ref="AB6" authorId="3" shapeId="0" xr:uid="{A21C2109-EDC8-4283-ADFF-F78DF0206B6C}">
      <text>
        <t>[Threaded comment]
Your version of Excel allows you to read this threaded comment; however, any edits to it will get removed if the file is opened in a newer version of Excel. Learn more: https://go.microsoft.com/fwlink/?linkid=870924
Comment:
    @Giulia Bernardi these are numbers of stakeholders, which is the row below, while this row is for outreach activities - could you move these down one line?  And then include the outreach activities here?  
Reply:
    done - lines moved!</t>
      </text>
    </comment>
    <comment ref="E8" authorId="4" shapeId="0" xr:uid="{EB79ABE4-4ACD-4EE3-99BB-39C840928FE5}">
      <text>
        <t xml:space="preserve">[Threaded comment]
Your version of Excel allows you to read this threaded comment; however, any edits to it will get removed if the file is opened in a newer version of Excel. Learn more: https://go.microsoft.com/fwlink/?linkid=870924
Comment:
    @Giulia Bernardi - I've noticed that this is the same across a couple of outputs, are these the same people?  If so, then we only need to count them once, so let me know which output we should include them in
Reply:
    @Giulia Bernardi </t>
      </text>
    </comment>
    <comment ref="AB8" authorId="5" shapeId="0" xr:uid="{7EB3043F-CC1D-4384-BAE5-AB4F342FF13F}">
      <text>
        <t>[Threaded comment]
Your version of Excel allows you to read this threaded comment; however, any edits to it will get removed if the file is opened in a newer version of Excel. Learn more: https://go.microsoft.com/fwlink/?linkid=870924
Comment:
    @Giulia Bernardi I have changed this to zero to reflect the text
Reply:
    ok</t>
      </text>
    </comment>
    <comment ref="Z10" authorId="6" shapeId="0" xr:uid="{8D24C8CE-04D8-44DD-B98F-F9EE21A2914A}">
      <text>
        <t>[Threaded comment]
Your version of Excel allows you to read this threaded comment; however, any edits to it will get removed if the file is opened in a newer version of Excel. Learn more: https://go.microsoft.com/fwlink/?linkid=870924
Comment:
    @Giulia Bernardi have the recommendations been taken up and changed local policy?  If so we can report a 1, but if they haven't changed policy documents (yet) we will put this as zero for now (but let's leave the text in this cell to show the progress against this goal)
Reply:
    no local policy still did not make any changes. so ok I will put zero here.</t>
      </text>
    </comment>
    <comment ref="AB10" authorId="7" shapeId="0" xr:uid="{9EE1ED99-9A8B-48F4-A42A-713DE718BBF7}">
      <text>
        <t>[Threaded comment]
Your version of Excel allows you to read this threaded comment; however, any edits to it will get removed if the file is opened in a newer version of Excel. Learn more: https://go.microsoft.com/fwlink/?linkid=870924
Comment:
    @Giulia Bernardi have the recommendations been taken up and changed local policy?  If so we can report a 1, but if they haven't changed policy documents (yet) we will put this as zero for now (but let's leave the text in this cell to show the progress against this goal)
Reply:
    no local policy still did not make any changes. so ok I will put zero here.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tc={89033FA3-7735-4186-B1C2-501E5426BE69}</author>
    <author>tc={7488BF20-AD95-4143-8281-C18DF5231424}</author>
    <author>tc={97481239-429D-4949-AA00-7799CC92B59D}</author>
    <author>tc={12B05225-C420-4947-9379-ED7F656FD894}</author>
    <author>tc={A06FF393-0664-4D31-BB84-620A875A643F}</author>
    <author>tc={1EE96F32-0FA4-4537-8359-D553BF2FB8B7}</author>
    <author>tc={8AC0929A-0032-4165-81D1-44B06F545873}</author>
    <author>tc={B589DCE2-E98E-4703-B1B4-E91409D26279}</author>
    <author>tc={2ADAB705-03AC-452C-A252-A8C142047CC0}</author>
    <author>tc={1126E1C9-B63D-43AE-AA2D-92FE6DD66697}</author>
  </authors>
  <commentList>
    <comment ref="E4" authorId="0" shapeId="0" xr:uid="{89033FA3-7735-4186-B1C2-501E5426BE6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@Appin Williamson I've noticed a slight difference between the measurable indicators of this page and the word template you've prepared for me. Could you please have a look for homogenizing them? I think it will be much easier to fill them in next Qs if I will have same indicators?</t>
      </text>
    </comment>
    <comment ref="Y4" authorId="1" shapeId="0" xr:uid="{7488BF20-AD95-4143-8281-C18DF5231424}">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Z4" authorId="2" shapeId="0" xr:uid="{97481239-429D-4949-AA00-7799CC92B59D}">
      <text>
        <t>[Threaded comment]
Your version of Excel allows you to read this threaded comment; however, any edits to it will get removed if the file is opened in a newer version of Excel. Learn more: https://go.microsoft.com/fwlink/?linkid=870924
Comment:
    @Giulia Bernardi this is amazing!  So much information!  As it's all different things, I'm going to split them here in the comments of what I think is right, could you please confirm whether I have understood correctly?
* 3.4.1 (pieces of evidence) - 1: 1 report produced and sent to IUCN
* 3.4.3 (changes in rules due to the evidence) - 3: 1 new MPA rule, 1 diving code of conduct, 1 designation of ISRA (if that has now happened)
* 1.1.3 (area of new MPA) - 0.25km2 
Is that right?  If so, I will split this into multiple lines
Reply:
    @Giulia Bernardi Im going to leave this as is as we're moving to a new software but I think this needs splitting out when I move the data across so let me know if the above seems right!</t>
      </text>
    </comment>
    <comment ref="V5" authorId="3" shapeId="0" xr:uid="{12B05225-C420-4947-9379-ED7F656FD894}">
      <text>
        <t>[Threaded comment]
Your version of Excel allows you to read this threaded comment; however, any edits to it will get removed if the file is opened in a newer version of Excel. Learn more: https://go.microsoft.com/fwlink/?linkid=870924
Comment:
    @Giulia Bernardi this was in the above, but I have moved down to here because it is a piece of evidence rather than a legal agreement
Reply:
    oki
Reply:
    Hi @Giulia Bernardi actually looking at this again now, I'm confused as to how this makes up 6 - were 6 reports released?
Reply:
    Hi Appin. The numbers are referring to the pieces of evidence, which means: gear control (1), fishing time restrictions (1), close eagle area (1), etc.   :-)</t>
      </text>
    </comment>
    <comment ref="Z5" authorId="4" shapeId="0" xr:uid="{A06FF393-0664-4D31-BB84-620A875A643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did these results get published anywhere (for example in a report?)
Reply:
    @Giulia Bernardi 
Reply:
    I do not think we have an official report for this, as it is art of the field work. But if needed, perhaps I can ask for a synthesis of the results early necxt year?
Reply:
    No worries - no need to ask them for further work, it just means that we will put a 0 here as we are starting to just count the number of reports issued.  This is still useful progress information though!</t>
      </text>
    </comment>
    <comment ref="E6" authorId="5" shapeId="0" xr:uid="{1EE96F32-0FA4-4537-8359-D553BF2FB8B7}">
      <text>
        <t>[Threaded comment]
Your version of Excel allows you to read this threaded comment; however, any edits to it will get removed if the file is opened in a newer version of Excel. Learn more: https://go.microsoft.com/fwlink/?linkid=870924
Comment:
    @Giulia Bernardi this line specifically refers to whether the fishermen have benefitted from our actions (in this case training), and if so how many?  Is that relevant here?  If not I can delete
Reply:
    We can also combine this with the bottom row - non monetary beneficiaries of local diving centres
Reply:
    ok for me to combine, if this makes more sense and simplify a bit the general output</t>
      </text>
    </comment>
    <comment ref="U6" authorId="6" shapeId="0" xr:uid="{8AC0929A-0032-4165-81D1-44B06F545873}">
      <text>
        <t xml:space="preserve">[Threaded comment]
Your version of Excel allows you to read this threaded comment; however, any edits to it will get removed if the file is opened in a newer version of Excel. Learn more: https://go.microsoft.com/fwlink/?linkid=870924
Comment:
    @Giulia Bernardi just checking this is the number of beneficiaries yes?
Reply:
    yes, but I would also consider beneficiaries the box R8, what u think? Also, why we have the value as 22+3?
Reply:
    Judging by the numbers in the comments, is it 22 fishers?  I think it might have been 22 fishers plus 2 interns plus 1 MSc.  I've written that into the box now but let me know if this is wrong ☺️
Reply:
    I am seeing 12 fishers (R8), so i would say 12+1+2 in total?
Reply:
    OK great - I have changed, maybe I've spent too much time in logframes recently ;) </t>
      </text>
    </comment>
    <comment ref="V6" authorId="7" shapeId="0" xr:uid="{B589DCE2-E98E-4703-B1B4-E91409D26279}">
      <text>
        <t>[Threaded comment]
Your version of Excel allows you to read this threaded comment; however, any edits to it will get removed if the file is opened in a newer version of Excel. Learn more: https://go.microsoft.com/fwlink/?linkid=870924
Comment:
    I have moved the bottom bit of text up from monetary beneficiaries as I think these are non-monetary
Reply:
    ok</t>
      </text>
    </comment>
    <comment ref="Z7" authorId="8" shapeId="0" xr:uid="{2ADAB705-03AC-452C-A252-A8C142047CC0}">
      <text>
        <t xml:space="preserve">[Threaded comment]
Your version of Excel allows you to read this threaded comment; however, any edits to it will get removed if the file is opened in a newer version of Excel. Learn more: https://go.microsoft.com/fwlink/?linkid=870924
Comment:
    @Giulia Bernardi I have moved this up one line as this line is 'number of activities' and the line below is 'number of stakeholders reached'.  For that - do you know mhow many people attended the workshop?  If so we can include below ☺️
Reply:
    ok great - so I've added below the number of stakeholders reached :-)
Reply:
    Hello again!  Just looking at this and it seems like we have the number of stakeholders reached in Y7, but as this is outreach activities, I think this should be 2 - is that correct?  @Giulia Bernardi </t>
      </text>
    </comment>
    <comment ref="Z9" authorId="9" shapeId="0" xr:uid="{1126E1C9-B63D-43AE-AA2D-92FE6DD66697}">
      <text>
        <t>[Threaded comment]
Your version of Excel allows you to read this threaded comment; however, any edits to it will get removed if the file is opened in a newer version of Excel. Learn more: https://go.microsoft.com/fwlink/?linkid=870924
Comment:
    Hi Appin, I moved here the info in blue that were previously reported in line 7 (see blue reference in line 7-Q2 blue). I think is more appropriate to insert this info here, because is monitoring and not outreach. What u think?</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tc={2D72313E-F270-4E0E-AF1F-A8E52A7D4879}</author>
    <author>tc={1FADB4FD-E90E-4C19-B4F2-DEAC14604092}</author>
    <author>tc={6769D4D1-126B-4B10-B535-C9FCBF7DAF1B}</author>
    <author>tc={0A8F19A1-DC98-4524-A142-A119D921A783}</author>
    <author>tc={E5730130-5734-4398-BC54-AEB9A772980F}</author>
    <author>tc={5F95D8E5-C4BA-484B-86E5-1924DAF2032C}</author>
    <author>tc={A7614D55-AB1A-453F-8F98-D43A0E0C7AF7}</author>
    <author>tc={522D38AD-115C-455B-997D-6971169FAA51}</author>
  </authors>
  <commentList>
    <comment ref="Y4" authorId="0" shapeId="0" xr:uid="{2D72313E-F270-4E0E-AF1F-A8E52A7D4879}">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Z4" authorId="1" shapeId="0" xr:uid="{1FADB4FD-E90E-4C19-B4F2-DEAC14604092}">
      <text>
        <t>[Threaded comment]
Your version of Excel allows you to read this threaded comment; however, any edits to it will get removed if the file is opened in a newer version of Excel. Learn more: https://go.microsoft.com/fwlink/?linkid=870924
Comment:
    @Giulia Bernardi YAAAYYYY - good news!
Reply:
    @Giulia Bernardi could I double check what the 0.047 is covering?</t>
      </text>
    </comment>
    <comment ref="AA4" authorId="2" shapeId="0" xr:uid="{6769D4D1-126B-4B10-B535-C9FCBF7DAF1B}">
      <text>
        <t>[Threaded comment]
Your version of Excel allows you to read this threaded comment; however, any edits to it will get removed if the file is opened in a newer version of Excel. Learn more: https://go.microsoft.com/fwlink/?linkid=870924
Comment:
    @Giulia Bernardi I have added in the detail from the form for output 6 here - hopefully this looks right to you?
Reply:
    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
Reply:
    Sounds good - thanks Giulia!</t>
      </text>
    </comment>
    <comment ref="X5" authorId="3" shapeId="0" xr:uid="{0A8F19A1-DC98-4524-A142-A119D921A783}">
      <text>
        <t>[Threaded comment]
Your version of Excel allows you to read this threaded comment; however, any edits to it will get removed if the file is opened in a newer version of Excel. Learn more: https://go.microsoft.com/fwlink/?linkid=870924
Comment:
    Not urgent (so not required by 30th Nov) but do you know how many species we are hoping to protect through this?  The impact indicator is looking at this (see G5) but we might want to examine something else
Reply:
    @Giulia Bernardi sorry, looks like I forgot to tag you in this one too
Reply:
    no idea ab out the number of species, ubt I can ask if the MPA has some previous investigations about it. I can say for sure we will protect two priority habitats , which are coralligenous and posidonia oceanica. I'll let you know if we have num of species somewhere...
Reply:
    Ok sounds great, thanks Giulia!  And no rush
Reply:
    @Giulia Bernardi were you every able to find out the number of species?
Reply:
    Hi Appin, sorry I forgot to ask. But looking around the web, I've found that                                   'Coralligenous habitats are considered one of the most important biodiversity hotspots in the Mediterranean. HOSTING OVER 1700 SPECIES, coralligenous assemblages provide key spawning grounds for commercial fish and invertebrates, from porifera, to anthozoans, bryozoans, hydroids, and many other organisms to coexist'.                                             
I can ask more details to the MPA, but the general values should be these ones. Let me know!  :-)
Reply:
    Thanks Giulia!  Sorry I was not very clear why I was asking!  I meant whether we had specific species in mind that we were looking to protect i.e. seagrass/seahorses/other species, sounds like coralligenous habitats are one in particular, but whether we had any other specific species we were aiming to provide better protection for by this work
Reply:
    we will guarantee a better protection of two EU priority habitats, mainly the coralligenous abut also some margins of posidonia seagrass meadows. Both habitats hosts tons of species. Perhaps you would like to have a list of some iconic species that use to live there?
Reply:
    OK great thank you - just those two species are great facts so that's plenty - thank you!</t>
      </text>
    </comment>
    <comment ref="F7" authorId="4" shapeId="0" xr:uid="{E5730130-5734-4398-BC54-AEB9A772980F}">
      <text>
        <t>[Threaded comment]
Your version of Excel allows you to read this threaded comment; however, any edits to it will get removed if the file is opened in a newer version of Excel. Learn more: https://go.microsoft.com/fwlink/?linkid=870924
Comment:
    @Giulia Bernardi - the unit for this one will be number of beneficiaries, do you know how many people at the environmental agency will be benefitting?
Reply:
    Same question for row below
Reply:
    yes</t>
      </text>
    </comment>
    <comment ref="V7" authorId="5" shapeId="0" xr:uid="{5F95D8E5-C4BA-484B-86E5-1924DAF2032C}">
      <text>
        <t>[Threaded comment]
Your version of Excel allows you to read this threaded comment; however, any edits to it will get removed if the file is opened in a newer version of Excel. Learn more: https://go.microsoft.com/fwlink/?linkid=870924
Comment:
    Have not counted these because I think they might be contractors rather than beneficiaries</t>
      </text>
    </comment>
    <comment ref="E9" authorId="6" shapeId="0" xr:uid="{A7614D55-AB1A-453F-8F98-D43A0E0C7AF7}">
      <text>
        <t>[Threaded comment]
Your version of Excel allows you to read this threaded comment; however, any edits to it will get removed if the file is opened in a newer version of Excel. Learn more: https://go.microsoft.com/fwlink/?linkid=870924
Comment:
    @Giulia Bernardi - 4.2.1 represents number of stakeholders, so within these groups of people, do you have a rough idea of how many
Reply:
    yes
Reply:
    OK great - is this the number (11) that's in the column now?
Reply:
    yeah, 11 is the final number of people reached, I did't update the number on the left side, but I did it now, sorry!</t>
      </text>
    </comment>
    <comment ref="T9" authorId="7" shapeId="0" xr:uid="{522D38AD-115C-455B-997D-6971169FAA51}">
      <text>
        <t>[Threaded comment]
Your version of Excel allows you to read this threaded comment; however, any edits to it will get removed if the file is opened in a newer version of Excel. Learn more: https://go.microsoft.com/fwlink/?linkid=870924
Comment:
    @Giulia Bernardi - 4.2.1 represents number of stakeholders, so within these groups of people, do you have a rough idea of how many</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tc={8F5B6FF9-049A-45AD-9825-CB01CE461FB6}</author>
    <author>tc={D2371CB1-1E6C-45D8-B3EC-390018627992}</author>
    <author>tc={1B21A3B4-12EB-4567-A9C6-D3951255E259}</author>
    <author>tc={EA74C2AA-4098-4D1D-9A5D-E2B9CBAE878F}</author>
    <author>tc={D23DE983-5DA6-4F4F-B78C-78555CF9FA7D}</author>
    <author>tc={1BE7DE28-4059-4F64-871D-9C96A75AA3E8}</author>
    <author>tc={F2D9F4BB-2E3F-4270-AA48-366F63E8F6B1}</author>
    <author>tc={BB46C52C-BD92-4E89-9BC5-31866112634A}</author>
    <author>tc={1B4E8AB0-8B1D-4E3A-890C-9B3F667B1C96}</author>
    <author>tc={882AFB55-BAC4-40D6-A95B-69FC66236482}</author>
    <author>tc={24F887E9-F584-4F46-A0D2-595B4C668F3A}</author>
    <author>tc={B19716D0-3D45-437A-83AE-A66E160C17DB}</author>
  </authors>
  <commentList>
    <comment ref="Y4" authorId="0" shapeId="0" xr:uid="{8F5B6FF9-049A-45AD-9825-CB01CE461FB6}">
      <text>
        <t>[Threaded comment]
Your version of Excel allows you to read this threaded comment; however, any edits to it will get removed if the file is opened in a newer version of Excel. Learn more: https://go.microsoft.com/fwlink/?linkid=870924
Comment:
    Have changed to 1 for now - previously 3 but think this might have been incorrect</t>
      </text>
    </comment>
    <comment ref="Z4" authorId="1" shapeId="0" xr:uid="{D2371CB1-1E6C-45D8-B3EC-390018627992}">
      <text>
        <t>[Threaded comment]
Your version of Excel allows you to read this threaded comment; however, any edits to it will get removed if the file is opened in a newer version of Excel. Learn more: https://go.microsoft.com/fwlink/?linkid=870924
Comment:
    @Giulia Bernardi this looks like one report submitted, is that right?
Reply:
    yes, submitted and soon sent to the env. ministry!</t>
      </text>
    </comment>
    <comment ref="E5" authorId="2" shapeId="0" xr:uid="{1B21A3B4-12EB-4567-A9C6-D3951255E259}">
      <text>
        <t>[Threaded comment]
Your version of Excel allows you to read this threaded comment; however, any edits to it will get removed if the file is opened in a newer version of Excel. Learn more: https://go.microsoft.com/fwlink/?linkid=870924
Comment:
    @Giulia Bernardi some of these numbers can go into the next row down (98 events can stay in this row, and get put into the years they were done, then 600 visitors can go into next year down, into the right columns for the years they were done)
Reply:
    ok I've rearranged them, I hope in the right way!
Reply:
    Perfect, thanks Giulia!</t>
      </text>
    </comment>
    <comment ref="Z5" authorId="3" shapeId="0" xr:uid="{EA74C2AA-4098-4D1D-9A5D-E2B9CBAE878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for this line, it is the number of tools or activities, so if there were 3000 brochures distributed of one booklet, this line should be 1, and the 3000 goes into the line below, as it reached 3000 stakeholders.  Could you please check the number that should go in this one with that in mind?  Thanks!</t>
      </text>
    </comment>
    <comment ref="AB5" authorId="4" shapeId="0" xr:uid="{D23DE983-5DA6-4F4F-B78C-78555CF9FA7D}">
      <text>
        <t>[Threaded comment]
Your version of Excel allows you to read this threaded comment; however, any edits to it will get removed if the file is opened in a newer version of Excel. Learn more: https://go.microsoft.com/fwlink/?linkid=870924
Comment:
    @Giulia Bernardi this line is for outreach activities, which looks like 1 (brochures released) - and then 2000 can go in the line below as that is stakeholders
Do we know that these have definitely reached 2000 people or is this the amount printed?
Reply:
    This is the amount printed and already distributed in the various educational centres. Can we presume they will reach the same number of people?
Reply:
    @Giulia Bernardi yes I think so - so let's put leaflets released in the next row down and in this row just 1?  Is that right?</t>
      </text>
    </comment>
    <comment ref="E6" authorId="5" shapeId="0" xr:uid="{1BE7DE28-4059-4F64-871D-9C96A75AA3E8}">
      <text>
        <t>[Threaded comment]
Your version of Excel allows you to read this threaded comment; however, any edits to it will get removed if the file is opened in a newer version of Excel. Learn more: https://go.microsoft.com/fwlink/?linkid=870924
Comment:
    @Giulia Bernardi - 4.2.1 represents number of stakeholders, so within these groups of people, do you have a rough idea of how many?
Reply:
    ok</t>
      </text>
    </comment>
    <comment ref="Z6" authorId="6" shapeId="0" xr:uid="{F2D9F4BB-2E3F-4270-AA48-366F63E8F6B1}">
      <text>
        <t>[Threaded comment]
Your version of Excel allows you to read this threaded comment; however, any edits to it will get removed if the file is opened in a newer version of Excel. Learn more: https://go.microsoft.com/fwlink/?linkid=870924
Comment:
    @Giulia Bernardi I think this can go in the row above - are they ten different documents?  If you look at column G - this shows whether this is the number of stakeholders or the number of outreach tools
Reply:
    done! :-)</t>
      </text>
    </comment>
    <comment ref="E7" authorId="7" shapeId="0" xr:uid="{BB46C52C-BD92-4E89-9BC5-31866112634A}">
      <text>
        <t>[Threaded comment]
Your version of Excel allows you to read this threaded comment; however, any edits to it will get removed if the file is opened in a newer version of Excel. Learn more: https://go.microsoft.com/fwlink/?linkid=870924
Comment:
    @Giulia Bernardi - is this different from the improvement for monk seals in Output 6?  If so we can leave this in and report, but if they are the same we can remove one of these to avoid double counting.  Let me know which you'd like it to be removed from
Reply:
    it was a mistake in output 6, it is present only here in output 7 :-)</t>
      </text>
    </comment>
    <comment ref="Z8" authorId="8" shapeId="0" xr:uid="{1B4E8AB0-8B1D-4E3A-890C-9B3F667B1C9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this indicator is changing slightly to things like reports or similar - have there been any reports issued to show the results of these inspections?  If not, we can't count them here but we can leave the text in as a good record!
Reply:
    Hey Appin, not sure what you are intending :-S. pls pls explain again?
Reply:
    I made integration in Q3 here :-)
Reply:
    Thanks @Giulia Bernardi - do you know if any reports were produced from this monitoring?</t>
      </text>
    </comment>
    <comment ref="Z9" authorId="9" shapeId="0" xr:uid="{882AFB55-BAC4-40D6-A95B-69FC66236482}">
      <text>
        <t>[Threaded comment]
Your version of Excel allows you to read this threaded comment; however, any edits to it will get removed if the file is opened in a newer version of Excel. Learn more: https://go.microsoft.com/fwlink/?linkid=870924
Comment:
    @Giulia Bernardi same as comment above</t>
      </text>
    </comment>
    <comment ref="Z10" authorId="10" shapeId="0" xr:uid="{24F887E9-F584-4F46-A0D2-595B4C668F3A}">
      <text>
        <t>[Threaded comment]
Your version of Excel allows you to read this threaded comment; however, any edits to it will get removed if the file is opened in a newer version of Excel. Learn more: https://go.microsoft.com/fwlink/?linkid=870924
Comment:
    @Giulia Bernardi I think we can call these people beneficiaries, so I will move the national park guides to a new line ☺️ I will also update the partner form to include a beneificiaries line
Reply:
    New updated partner form is here: Italy_ProgressionReport_Output7.docx 
Reply:
    ok thanks!</t>
      </text>
    </comment>
    <comment ref="Z12" authorId="11" shapeId="0" xr:uid="{B19716D0-3D45-437A-83AE-A66E160C17DB}">
      <text>
        <t>[Threaded comment]
Your version of Excel allows you to read this threaded comment; however, any edits to it will get removed if the file is opened in a newer version of Excel. Learn more: https://go.microsoft.com/fwlink/?linkid=870924
Comment:
    @Giulia Bernardi this can go up to O.7.3 so I have moved the text up there and will remove once you've seen this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tc={C965DB3C-EA61-4921-9BCE-D91BF4A1FD69}</author>
    <author>tc={A5B99691-44D7-4159-8480-217D4E486957}</author>
    <author>tc={B77B6D6E-A473-4B24-9BAC-05D551CF7B25}</author>
    <author>tc={740FB3ED-6EBE-44AB-9196-BD2CEAF85D9D}</author>
    <author>tc={CD2D028B-4FA2-4038-BDD7-0B5423E1E5E5}</author>
    <author>tc={F29AD317-EAA6-4558-9907-8DA41A6E2E82}</author>
  </authors>
  <commentList>
    <comment ref="F4" authorId="0" shapeId="0" xr:uid="{C965DB3C-EA61-4921-9BCE-D91BF4A1FD69}">
      <text>
        <t>[Threaded comment]
Your version of Excel allows you to read this threaded comment; however, any edits to it will get removed if the file is opened in a newer version of Excel. Learn more: https://go.microsoft.com/fwlink/?linkid=870924
Comment:
    Where did these figures come from?
Reply:
    Not sure but this is what we aim to reach, so this can be whatever we'd like to achieve - if you're feeling like you want to change it then please do to something that seems more aligned with project plans</t>
      </text>
    </comment>
    <comment ref="Z4" authorId="1" shapeId="0" xr:uid="{A5B99691-44D7-4159-8480-217D4E486957}">
      <text>
        <t>[Threaded comment]
Your version of Excel allows you to read this threaded comment; however, any edits to it will get removed if the file is opened in a newer version of Excel. Learn more: https://go.microsoft.com/fwlink/?linkid=870924
Comment:
    Hello - I've added the activities carried out during Q3...which were not reported before (do not know why) :-)
Reply:
    Thanks Giulia - these stats are amazing!!</t>
      </text>
    </comment>
    <comment ref="U5" authorId="2" shapeId="0" xr:uid="{B77B6D6E-A473-4B24-9BAC-05D551CF7B25}">
      <text>
        <t>[Threaded comment]
Your version of Excel allows you to read this threaded comment; however, any edits to it will get removed if the file is opened in a newer version of Excel. Learn more: https://go.microsoft.com/fwlink/?linkid=870924
Comment:
    @Giulia Bernardi I have 38 for this figure
Reply:
    the calculation in R11 is 34. which other numbers are you considering?
Reply:
    From Ambra I have: 11 teachers, 6 fishers, 16 scientists and 5 divers! Let me know if any of those are wrong as these stats are going in the impact report too :)
Reply:
    ok I spoke with Ambra and she added +4 biologists, so yes, the final number is 38!
Reply:
    perfect!</t>
      </text>
    </comment>
    <comment ref="E6" authorId="3" shapeId="0" xr:uid="{740FB3ED-6EBE-44AB-9196-BD2CEAF85D9D}">
      <text>
        <t>[Threaded comment]
Your version of Excel allows you to read this threaded comment; however, any edits to it will get removed if the file is opened in a newer version of Excel. Learn more: https://go.microsoft.com/fwlink/?linkid=870924
Comment:
    @Giulia Bernardi I can see you've written about an animated video below as well - that can come under here ☺️
Reply:
    oki</t>
      </text>
    </comment>
    <comment ref="E7" authorId="4" shapeId="0" xr:uid="{CD2D028B-4FA2-4038-BDD7-0B5423E1E5E5}">
      <text>
        <t>[Threaded comment]
Your version of Excel allows you to read this threaded comment; however, any edits to it will get removed if the file is opened in a newer version of Excel. Learn more: https://go.microsoft.com/fwlink/?linkid=870924
Comment:
    @Giulia Bernardi and @Anna Hughes I have added in this line - we don't have an impact indicator for it yet but it's a great stat to keep collecting I think ☺️
Reply:
    ooook!</t>
      </text>
    </comment>
    <comment ref="D10" authorId="5" shapeId="0" xr:uid="{F29AD317-EAA6-4558-9907-8DA41A6E2E8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please could you check I have got the activities correct here? And add any I might have missed?
Reply:
    I've corrected some value indicators, and I've added a new line, hoping that this could be an item of interest. Up to you to  keep it. Check it out!   NB re. percentages, I will leave them to Anna :-)
Reply:
    @Appin Williamson Emma Stanley sent me the stats for our 2022 Italy social media:
Total reach: 146,228
Total engagements: 10,102
These are amazing and probably the highest project stats for this year 😊 Do you think it could be useful to put them somewhere? 
Reply:
    yes this is fab!  If this is across all of the different sites (and therefore outputs) I would recommend we include this in the unplanned outputs.  I will add them in now so you can see how I've done it
Reply:
    brill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tc={F8E01DD1-F59A-4FCC-93DD-9ECD4E653916}</author>
    <author>tc={6483C42C-A4C3-4E3A-995F-C70222C468F2}</author>
    <author>tc={3A8862C6-8B17-4F05-9095-F509BB3E9863}</author>
    <author>tc={C7D6B479-6D4A-425F-B923-F3FDC36F38CD}</author>
    <author>tc={3E5FCADA-F9EF-4DA5-AE4C-D778F813D3E3}</author>
  </authors>
  <commentList>
    <comment ref="D10" authorId="0" shapeId="0" xr:uid="{F8E01DD1-F59A-4FCC-93DD-9ECD4E653916}">
      <text>
        <t>[Threaded comment]
Your version of Excel allows you to read this threaded comment; however, any edits to it will get removed if the file is opened in a newer version of Excel. Learn more: https://go.microsoft.com/fwlink/?linkid=870924
Comment:
    @Appin Williamson and @Giulia Bernardi the makerzines are not an output here as they are covered under the education unit logframe. Although much of the funding came from Swarovski this time, I feel its a continuation of a project already sitting in the education unit - what do you both think?
Reply:
    Hey Anna - I feel like if you feel more comfortable with it sitting in the education logframe then let's just go with that.  I don't know quite enough about it to say, but as long as we have a record of where things sit then that's fine by me :)
Reply:
    Yeah I agree with Anna, they are in the frame of the SW educational initiative!</t>
      </text>
    </comment>
    <comment ref="E11" authorId="1" shapeId="0" xr:uid="{6483C42C-A4C3-4E3A-995F-C70222C468F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so this is fishers/teacher etc (indirect beneficiaries?)
Reply:
    perhaps better non-monetary beneficiaries?
Reply:
    sounds good</t>
      </text>
    </comment>
    <comment ref="F11" authorId="2" shapeId="0" xr:uid="{3A8862C6-8B17-4F05-9095-F509BB3E9863}">
      <text>
        <t>[Threaded comment]
Your version of Excel allows you to read this threaded comment; however, any edits to it will get removed if the file is opened in a newer version of Excel. Learn more: https://go.microsoft.com/fwlink/?linkid=870924
Comment:
    @Giulia Bernardi I have 38 for this figure
Reply:
    the calculation in R11 is 34. which other numbers are you considering?
Reply:
    From Ambra I have: 11 teachers, 6 fishers, 16 scientists and 5 divers! Let me know if any of those are wrong as these stats are going in the impact report too :)
Reply:
    ok I spoke with Ambra and she added +4 biologists, so yes, the final number is 38!
Reply:
    perfect!</t>
      </text>
    </comment>
    <comment ref="D14" authorId="3" shapeId="0" xr:uid="{C7D6B479-6D4A-425F-B923-F3FDC36F38C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please could you check I have got the activities correct here? And add any I might have missed?
Reply:
    I've corrected some value indicators, and I've added a new line, hoping that this could be an item of interest. Up to you to  keep it. Check it out!   NB re. percentages, I will leave them to Anna :-)
Reply:
    @Appin Williamson Emma Stanley sent me the stats for our 2022 Italy social media:
Total reach: 146,228
Total engagements: 10,102
These are amazing and probably the highest project stats for this year 😊 Do you think it could be useful to put them somewhere? 
Reply:
    yes this is fab!  If this is across all of the different sites (and therefore outputs) I would recommend we include this in the unplanned outputs.  I will add them in now so you can see how I've done it
Reply:
    brill !</t>
      </text>
    </comment>
    <comment ref="E32" authorId="4" shapeId="0" xr:uid="{3E5FCADA-F9EF-4DA5-AE4C-D778F813D3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@Giulia Bernardi so this is fishers/teacher etc (indirect beneficiaries?)
Reply:
    perhaps better non-monetary beneficiaries?
Reply:
    sounds good</t>
      </text>
    </comment>
  </commentList>
</comments>
</file>

<file path=xl/sharedStrings.xml><?xml version="1.0" encoding="utf-8"?>
<sst xmlns="http://schemas.openxmlformats.org/spreadsheetml/2006/main" count="1550" uniqueCount="746">
  <si>
    <t>BLUE's M&amp;E Guide.pdf</t>
  </si>
  <si>
    <t>Logframe Instructions and Examples</t>
  </si>
  <si>
    <t>Example logframe</t>
  </si>
  <si>
    <t>Impact Indicator List</t>
  </si>
  <si>
    <t>Month</t>
  </si>
  <si>
    <t>Activities</t>
  </si>
  <si>
    <t>Comments/links</t>
  </si>
  <si>
    <t>Impact</t>
  </si>
  <si>
    <t>Italy's seas are thriving</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</si>
  <si>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</si>
  <si>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</si>
  <si>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</si>
  <si>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</si>
  <si>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</si>
  <si>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</si>
  <si>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</si>
  <si>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</si>
  <si>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</si>
  <si>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</si>
  <si>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</si>
  <si>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</si>
  <si>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Project sites see improved protection for vital species, small-scale fishermen are supported and can earn sufficient income, school children have a better understanding of the importance of their oceans</t>
  </si>
  <si>
    <t>OC.0.1</t>
  </si>
  <si>
    <t>Improved protection for sites, habitats and species</t>
  </si>
  <si>
    <t>1, 2, 3, 4, 5, 6, 7, 10, 11</t>
  </si>
  <si>
    <t>OC.0.2</t>
  </si>
  <si>
    <t>Small-scale fishermen benefit from seafood schemes, additional support</t>
  </si>
  <si>
    <t>OC.0.3</t>
  </si>
  <si>
    <t>Students benefit from schools programmes allowing them to learn and train</t>
  </si>
  <si>
    <t>Outputs</t>
  </si>
  <si>
    <t>Tracking/Reporting</t>
  </si>
  <si>
    <t>No. of Indicators</t>
  </si>
  <si>
    <t>Output code</t>
  </si>
  <si>
    <t>Indicator code</t>
  </si>
  <si>
    <t>Indicator value</t>
  </si>
  <si>
    <t>Unit</t>
  </si>
  <si>
    <t>Impact Indicator</t>
  </si>
  <si>
    <t>Assumptions</t>
  </si>
  <si>
    <t>Progress Planned in 2020</t>
  </si>
  <si>
    <t>Progress achieved in 2020</t>
  </si>
  <si>
    <t>Progress Planned in 2021</t>
  </si>
  <si>
    <t>Progress achieved in 2021</t>
  </si>
  <si>
    <t>Progress Planned in 2022</t>
  </si>
  <si>
    <t>Progress achieved in 2022</t>
  </si>
  <si>
    <t>Progress Planned in 2023</t>
  </si>
  <si>
    <t>Progress achieved in 2023</t>
  </si>
  <si>
    <t>Value</t>
  </si>
  <si>
    <t>Output 1</t>
  </si>
  <si>
    <t>O.1</t>
  </si>
  <si>
    <r>
      <rPr>
        <b/>
        <sz val="11"/>
        <color rgb="FF000000"/>
        <rFont val="Calibri"/>
        <family val="2"/>
      </rPr>
      <t xml:space="preserve">Removal of ghost nets in </t>
    </r>
    <r>
      <rPr>
        <b/>
        <u/>
        <sz val="11"/>
        <color rgb="FF000000"/>
        <rFont val="Calibri"/>
        <family val="2"/>
      </rPr>
      <t>Capo Carbonara MPA</t>
    </r>
    <r>
      <rPr>
        <b/>
        <sz val="11"/>
        <color rgb="FF000000"/>
        <rFont val="Calibri"/>
        <family val="2"/>
      </rPr>
      <t xml:space="preserve"> to protect fish stocks and coral reefs</t>
    </r>
  </si>
  <si>
    <t>O.1.1</t>
  </si>
  <si>
    <t>Conduct research on ghost fishing gear</t>
  </si>
  <si>
    <t>Pieces of evidence (reports, investigations, surveys)</t>
  </si>
  <si>
    <t>3.4.1</t>
  </si>
  <si>
    <t xml:space="preserve">identify areas to be cleaned by ALDFG and scientific monitoring about ADLFG monitoring &amp; impact </t>
  </si>
  <si>
    <t>3 areas identified for ADLFG removal in the B zone of the MPA, in collaboration with the University of Genoa (Jan-apr)</t>
  </si>
  <si>
    <t>finalize a second year of ADLFG removal and scientific monitoring before/after cleanup</t>
  </si>
  <si>
    <t>Q1: 1 scientific report from Univ. of Genoa, about the healthy status of coralligenous before/after the ADLFG removal; 1 photo report from a local association that helped in the seabed cleanup 
Q2: already done in 2022.
Q3: NA 
Q4: NA</t>
  </si>
  <si>
    <t>O.1.2</t>
  </si>
  <si>
    <t>Seabed clean up inside the MPA boundaries</t>
  </si>
  <si>
    <t>Volume/number of ghost gear removed</t>
  </si>
  <si>
    <t>NA - Appin to consider making a new impact indicator</t>
  </si>
  <si>
    <t>involvement of local diving centres and fishers for seabed cleaning and marine litter disposal</t>
  </si>
  <si>
    <t>ALDFG removal and litter disposal: total fishing gear recovered was 466 metres of net, 41 pots. Non-beneficiaries: local diving centres, fishers (July-Oct)</t>
  </si>
  <si>
    <t>NA</t>
  </si>
  <si>
    <t>estimate the quantity of ADLFG removed (volume/number)</t>
  </si>
  <si>
    <t>Q1: NA
Q2: already done in 2022     
Q3: (July 1st): A full-day recovery of marine litter has been carried out successfully, both along the beach and underwater: 
6 tires, 12 pots, 2 car batteries, 17 yellow bags of 120 liter each at sea (&gt; 2.000 kg of mix litter), 18 yellow bags of 120 liter each on land (&gt; 2.000 kg of mix litter), 4 buoys.
Q4: NA</t>
  </si>
  <si>
    <t>O.1.3</t>
  </si>
  <si>
    <t>Increase environmental education programmes</t>
  </si>
  <si>
    <t>Activities/tools</t>
  </si>
  <si>
    <t>4.2.2</t>
  </si>
  <si>
    <t>sensitize marine stakeholders (diving, fishers) and local community on the ADLFG phenomenon</t>
  </si>
  <si>
    <t>- two preliminary meetings for explaining the project, collecting the adhesions and planning the diving activity (apr-may).                 - (mid-july-mid sept 2022) 145 guided tours from Diomedea awareness program, with a totalof 1.200 visits from tourists.</t>
  </si>
  <si>
    <t>plan the Ecological Day, for sensitize local community about the ADLFG phenomenon</t>
  </si>
  <si>
    <t>Q1: NA
Q2: NA
Q3: (July 1st) one Ecological Day has been set up, for local awareness      
Q4: On December, an awareness and dissemination event about the Blue/FC project has been closed successfully, through information material and a short video.
The creation of an Infographic for wide awareness spread is on the way: this document was not previously planned in the project, but both the MPA and Blue staff agreed in creating a closing document able to show the main information about the ADLFG phenomenon to be spread widely (online and in the MPA in the future). The infographic content is ready, and the graphic design is on the way. It will be finalized by end of January 2024.</t>
  </si>
  <si>
    <t>O.1.4</t>
  </si>
  <si>
    <t>Number of stakeholders reached through education programmes</t>
  </si>
  <si>
    <t>Stakeholders</t>
  </si>
  <si>
    <t>4.2.1</t>
  </si>
  <si>
    <t>involvement of stakeholders through education programmes</t>
  </si>
  <si>
    <t xml:space="preserve"> 8 local diving centres, 2 fishers, 4 MPA staff members, 3 expert divers) (may-June)</t>
  </si>
  <si>
    <t>local divers and fishers</t>
  </si>
  <si>
    <t>Q1: NA
Q2: already done in 2022.  
Q3: 6 local diving centres have joined the initiative of the Ecological Day (same centres that joined the whole project).    
Q4: already reached.</t>
  </si>
  <si>
    <t>O.1.5</t>
  </si>
  <si>
    <t>Percentage of marine stakeholders (diving centres) reached who have changed their behaviour</t>
  </si>
  <si>
    <t>Percentage</t>
  </si>
  <si>
    <t>4.2.3</t>
  </si>
  <si>
    <t>Q1: NA
Q2: already done in 2022.   
Q3: already done in 2022
Q4: already reached.</t>
  </si>
  <si>
    <t>O.1.6</t>
  </si>
  <si>
    <t>Monetary beneficiaries</t>
  </si>
  <si>
    <t>Beneficiaries</t>
  </si>
  <si>
    <t>4.1.1</t>
  </si>
  <si>
    <t>1: Fisherman involved in removal (July)
1: marine biologist under 2 year contract to lead project (Jan).       (april-june)                                                                                                                                                                                        2: guides from local cooperatives</t>
  </si>
  <si>
    <t>1 marine biologist leading the project (salary partially covered by Blue)</t>
  </si>
  <si>
    <t>Q1: one marine biologist leading the project - Same person as previous year so not double counted in 2023.
Q2: NA. 
Q3: - 1 marine biologist leading the Blue program locally (already counted)
- 1 Local association 'Mari Nostru' has been involved in the organisation of the day, in the management of the diving groups and in the light lunch preparation, after the activity
Q4: already reached.</t>
  </si>
  <si>
    <t>O.1.7</t>
  </si>
  <si>
    <t>diving centres and fishers</t>
  </si>
  <si>
    <t xml:space="preserve">Q1: NA
Q2: NA  
Q3: (July 1st): 50 volunteers on land, 19 volunteer divers, 3 local associations (La Tartaruga, Costa Sud Est and Diomedea), 2 local operators involved in the underwater cleaning, 3 local stores donated cleaning material.     
Q4: On December, the second last local initiative planned for local awareness has been closed successfully in the MPA, as part of the ‘Plastic and Circular Economy’ project. The event highlighted the importance of the coralligenous, the ALDFG threat and its impact on this habitat.  A total of 29 people were involved, from local NGOs (Diomedea 4, La Tartaruga 2, Janas 1, citizens 22).
</t>
  </si>
  <si>
    <t>O.1.8</t>
  </si>
  <si>
    <t>SOCIAL MEDIA FEEDBACK - NEW ARROW ADDED (NOT SURE IF OF INTEREST)</t>
  </si>
  <si>
    <t>Appin to create indicator code, impact indicator and unit</t>
  </si>
  <si>
    <t>web followers</t>
  </si>
  <si>
    <t>Digital reach</t>
  </si>
  <si>
    <t xml:space="preserve">Q1: on February, 1.704 in total:
171 likes, 1.525 views, 8 shares.
Q2: from April to June, 1.604 in total:
72 likes, 1.219 views, 2 shares, 8 retweets, 1 comment, 301 reactions, 1 TV interview
Q3:
from June to September, 834 in total:
203 likes, 516 views, 15 shares, 18 comments, 80 reactions, 2 reports
Q4: from October to December, 117 in total:
81 likes, 17 shares, 2 comment, 12 reactions 5 stories                                                                                                  
</t>
  </si>
  <si>
    <t>Creation of a ADLFG infographic for wide public</t>
  </si>
  <si>
    <t>video production</t>
  </si>
  <si>
    <t>?</t>
  </si>
  <si>
    <t>The creation of an Infographic for wide awareness spread is on the way: this document was not previously planned in the project, but both the MPA and Blue staff agreed in creating a closing document able to show the main information about the ADLFG phenomenon to be spread widely (online and in the MPA in the future). The infographic content is ready, and the graphic design is on the way. It will be finalized by end of January 2024.</t>
  </si>
  <si>
    <t> </t>
  </si>
  <si>
    <t>Activity Code</t>
  </si>
  <si>
    <t>Indicator Code</t>
  </si>
  <si>
    <t>Status</t>
  </si>
  <si>
    <t>Notes</t>
  </si>
  <si>
    <t>Output 1 Activities</t>
  </si>
  <si>
    <t>A.1</t>
  </si>
  <si>
    <t>A.1.1</t>
  </si>
  <si>
    <t>A.1.2</t>
  </si>
  <si>
    <t>A.1.3</t>
  </si>
  <si>
    <t>A.1.4</t>
  </si>
  <si>
    <t>A.1.5</t>
  </si>
  <si>
    <t>A.1.6</t>
  </si>
  <si>
    <t>"1"</t>
  </si>
  <si>
    <t>Output 2</t>
  </si>
  <si>
    <t>O.2</t>
  </si>
  <si>
    <t xml:space="preserve">POSITIONING OF 4 BUOYS AROUND THE LARGEST SUBMERGED CAVE SYSTEM IN ITALY (CAPO CACCIA MPA), IN ORDER TO HALT FREE ANCHORING FROM LOCAL DIVING CENTRES, PROTECT LOCAL CORALLIGENOUS HABITATS, and promote sustainable diving </t>
  </si>
  <si>
    <t>O.2.1</t>
  </si>
  <si>
    <t>Area of coralligenous habitats protected</t>
  </si>
  <si>
    <t>km2</t>
  </si>
  <si>
    <t>2.1.1</t>
  </si>
  <si>
    <t>finalize the positioning of the 4 mooring buoys for a responsible diving</t>
  </si>
  <si>
    <t>Q1: NA.
Q2: NA - It has been already estimated the surface that will be protected at theend pf the project. This indicators will be reached at the end of the activity.                                                                                                                                                
Q3: NA                                                                                                 
 Q4: NA</t>
  </si>
  <si>
    <t>O.2.2</t>
  </si>
  <si>
    <t>Number of stakeholders within categories/organizations/public entities reached through outreach activities</t>
  </si>
  <si>
    <t xml:space="preserve">commitment of MPA, marine stakeholders and local policy in outreach activities </t>
  </si>
  <si>
    <t>2 MPA staff, members of Sardinia Region, the Archaeological Superintendence, 12 local diving centres (jan)</t>
  </si>
  <si>
    <t xml:space="preserve">keep continuing the commitment of the MPA and marine stakeholders and local entities in outreach activities </t>
  </si>
  <si>
    <t xml:space="preserve">Q1: NA.                                                                                                
Q2: NA - Already counted in Q2 2022. Do not doublecount
Q3: NA
Q4: NA                                                              </t>
  </si>
  <si>
    <t>O.2.3</t>
  </si>
  <si>
    <t>Number of individuals (12 diving centres) reached who have changed their behaviour</t>
  </si>
  <si>
    <t xml:space="preserve">sensitize local diving centres for halting the anchoring damage of EU priority habitats </t>
  </si>
  <si>
    <t>beneficiaries: 12 local diving centres will make a change in their behaviour (from Easter 2023)</t>
  </si>
  <si>
    <t>change the rules of local diving within the MPA by including the obligation of using the four buoys for halting free anchoring and protecting the coralligenous</t>
  </si>
  <si>
    <t xml:space="preserve">Q1: NA.                                                                                                 
Q2: NA - already counted. do not doublecount
Q3: NA
Q4: NA                                                              </t>
  </si>
  <si>
    <t>O.2.4</t>
  </si>
  <si>
    <t>Non-monetary beneficiaries</t>
  </si>
  <si>
    <t>4.1.2</t>
  </si>
  <si>
    <t>Local diving centres will benefit as they will: 
1. have a safe anchoring in a wave exposed area;
2: the seabed surrounding the marine caves hosts a rich community of corralligenous, so halting free anchoring will help for more thriving marine habitats.</t>
  </si>
  <si>
    <t>local diving centres</t>
  </si>
  <si>
    <t xml:space="preserve">Q1: NA
Q2: NA  - Already counted in Q2 2022. Do not doublecount
Q3: NA
Q4: NA       </t>
  </si>
  <si>
    <t>O.2.5</t>
  </si>
  <si>
    <t>Number of pieces of new evidence to support protection</t>
  </si>
  <si>
    <t>New pieces of evidence</t>
  </si>
  <si>
    <t>1.4.1</t>
  </si>
  <si>
    <t>technical report for getting the authorization for the buoys positioning, purchasing of the buoys components, buoys installment</t>
  </si>
  <si>
    <t>technical report finalized (sept)</t>
  </si>
  <si>
    <t>finalize the following procedures for the mooring positioning: conclusion of the Final Project Design, plan a meeting with the Regional Authorities for acquiring all relevant opinions, and launch a competitive bidding process for the mooring positioning</t>
  </si>
  <si>
    <t xml:space="preserve">Q1: the Final Project Design has been concluded.
Q2: NA
Q3: NA
Q4: NA       </t>
  </si>
  <si>
    <t xml:space="preserve"> </t>
  </si>
  <si>
    <t>Output 2 Activities</t>
  </si>
  <si>
    <t>A.2</t>
  </si>
  <si>
    <t>A.2.1</t>
  </si>
  <si>
    <t>A.2.2</t>
  </si>
  <si>
    <t>Output 3</t>
  </si>
  <si>
    <t>O.3</t>
  </si>
  <si>
    <t>IMPROVEMENT OF THE FISHERY MANAGEMENT PLAN AND ENLARGEMENT OF THE ASINARA MPA BOUNDARIES</t>
  </si>
  <si>
    <t>O.3.1</t>
  </si>
  <si>
    <r>
      <rPr>
        <sz val="11"/>
        <color rgb="FF000000"/>
        <rFont val="Calibri"/>
        <family val="2"/>
      </rPr>
      <t xml:space="preserve">Total </t>
    </r>
    <r>
      <rPr>
        <sz val="11"/>
        <color rgb="FFFF0000"/>
        <rFont val="Calibri"/>
        <family val="2"/>
      </rPr>
      <t>surface</t>
    </r>
    <r>
      <rPr>
        <sz val="11"/>
        <color rgb="FF000000"/>
        <rFont val="Calibri"/>
        <family val="2"/>
      </rPr>
      <t xml:space="preserve"> area increase of MPA</t>
    </r>
  </si>
  <si>
    <t>1.1.1</t>
  </si>
  <si>
    <t>concrete actions for the MPA enlargement</t>
  </si>
  <si>
    <t>Finalize the involvement of local policy and marine stakheolders for starting the procedure for the MPA enlargement</t>
  </si>
  <si>
    <t>Q1: NA. 
Q2: (april-june) meetings between MPA, fishers and other marine stakolders on the way for the MPA enlargement.      
Q3: NA
Q4 (Dec): the Technical Table approved the inclusion of a SAC area within the MPA boundareis, so the procedure for the MPA boundaries enlargement is started. The total extensions is 1000 hectares (10km2)</t>
  </si>
  <si>
    <t>O.3.2</t>
  </si>
  <si>
    <t>New fishery management plan established and adopted</t>
  </si>
  <si>
    <t>Management plan</t>
  </si>
  <si>
    <t>3.2.1</t>
  </si>
  <si>
    <t>fish monitoring for the active involvement of local fishermen</t>
  </si>
  <si>
    <t>Finalize a new regulation plan with active involvement of local fishing cooperatives</t>
  </si>
  <si>
    <t>Q1: local fishery co-management involvement activated: 14 fishers, 1 mayor, 2 FLAG representatives. 
Q2: (april-june) meetings for its general planning and final approval on the way.  
Q3: NA
Q4 (Dec): Data analyses on local fish stocks was presented to fishers and a new set of rules was discussed and agreed by the Technical Table. A new fishery managment plan is on the way.</t>
  </si>
  <si>
    <t>O.3.3</t>
  </si>
  <si>
    <r>
      <rPr>
        <sz val="11"/>
        <color rgb="FF000000"/>
        <rFont val="Calibri"/>
        <family val="2"/>
      </rPr>
      <t>Outreach activities /tools as part of public focussed communication/</t>
    </r>
    <r>
      <rPr>
        <sz val="11"/>
        <color rgb="FFFF0000"/>
        <rFont val="Calibri"/>
        <family val="2"/>
      </rPr>
      <t>awareness</t>
    </r>
    <r>
      <rPr>
        <sz val="11"/>
        <color rgb="FF000000"/>
        <rFont val="Calibri"/>
        <family val="2"/>
      </rPr>
      <t xml:space="preserve"> activities</t>
    </r>
  </si>
  <si>
    <t>Outreach activities/tools</t>
  </si>
  <si>
    <t>local schools involvement</t>
  </si>
  <si>
    <t>a total of 700 children came onboard with local fishermen and a marine biologist leading the educational activity (april-may), for observing demo of fishing catches
2 preliminary meetings with fishers have been conducted sucessfully (march-april), fishing monitoring on the way</t>
  </si>
  <si>
    <t>involvement of local schools in responsible fishing activities</t>
  </si>
  <si>
    <t>Q1: planning with Pirene communication activities for the public/social.
Q2: (may). one webinar about how to preserve marine habitats, with one Blue member presenting theproject. 666 auditors recorded (online and in presence).
Q3: An event involving a delegation of 94 people (fishers, FLAGs, administrators, technical personnel)  from Greece and 24 local fishers operating as ‘pescaturismo’, to promote and spread ‘pescaturismo’ as an economic diversification and as a low-impact fishing activity
 Q4 (oct-dec): Shooting sessions to produce a short video resuming project activities. The film is at its editing stage.</t>
  </si>
  <si>
    <t>O.3.4</t>
  </si>
  <si>
    <r>
      <rPr>
        <sz val="11"/>
        <color rgb="FF000000"/>
        <rFont val="Calibri"/>
        <family val="2"/>
      </rPr>
      <t xml:space="preserve">Stakeholders reached through </t>
    </r>
    <r>
      <rPr>
        <sz val="11"/>
        <color rgb="FFFF0000"/>
        <rFont val="Calibri"/>
        <family val="2"/>
      </rPr>
      <t>meetings</t>
    </r>
    <r>
      <rPr>
        <sz val="11"/>
        <color rgb="FF000000"/>
        <rFont val="Calibri"/>
        <family val="2"/>
      </rPr>
      <t>/public-focussed campaign</t>
    </r>
  </si>
  <si>
    <t>involvement of local NGOs and local artisanal fleets in fish monitoring</t>
  </si>
  <si>
    <r>
      <rPr>
        <sz val="11"/>
        <color rgb="FF000000"/>
        <rFont val="Calibri"/>
        <family val="2"/>
      </rPr>
      <t xml:space="preserve">23 fishermen involved in monitoring activities, 1 fishermen in educational activities, 5 members of CRAMA local association involved in spiny lobster tagging (jan).
Sardinia Region and the 3 Municipalities present in the area of interest are ken in suporting the MPA extension (apr)
a total of 700 children came onboard with local fishermen </t>
    </r>
    <r>
      <rPr>
        <sz val="11"/>
        <color rgb="FFFF0000"/>
        <rFont val="Calibri"/>
        <family val="2"/>
      </rPr>
      <t>(10 demo with 7 boats each time)</t>
    </r>
    <r>
      <rPr>
        <sz val="11"/>
        <color rgb="FF000000"/>
        <rFont val="Calibri"/>
        <family val="2"/>
      </rPr>
      <t xml:space="preserve"> and a marine biologist leading the educational activity (april-may), for observing demo of fishing catches (NOT COUNTED AS INCLUDED UNDER BENEFICIARIES)</t>
    </r>
  </si>
  <si>
    <t>finalize the fishery exchange in Barcelona for improving low-impact fishing practices, planning of a responsible fishing label and involvement of local fishers in public-oriented meetings/events/educational activities</t>
  </si>
  <si>
    <t>Q1: 1 fishery exchange to Catalonia (March): 3 staff Park members, 3 mayors, 1 Flag member, 3 fishers). 
Q2: (april-june)  - 1st meeting: 16 participants (park’s director, 11 fishers, 2 FLAG representatives, 1Stintino municipality representative, 1 mayor from Porto Torres)
- 2nd meeting: 8 participants (8 fishers)
- 3rd Meeting: 12 participants (park’s director, 1 FLAG representative, 1 Stintino municipality representative, the mayor of Porto Torres, 8 fishers)
- 4th meeting: 10 participants (park’s director, 1 Stintino municipality representative, 8 fishers).
- 666 viewers of webinar
 NB: in the count some members are redundant in the 4 meetings, so the total number of stakeholders reached is 16. 
Q3: An event involving a delegation of 94 people (fishers, FLAGs, administrators, technical personnel)  from Greece and 24 local fishers operating as ‘pescaturismo’, to promote and spread ‘pescaturismo’ as an economic diversification and as a low-impact fishing activity
Q4 (oct-dec):
-	1st meeting: 14 participants (park’s Director and Commisioner, 10  fishers, 1 FLAG representative, 1 University of Cagliari representative)
-	2nd meeting: 4 participants (4 fishers)
-	 3rd Meeting: 4 participants (4 fishers)
-	4rd Meeting: 8 participants (8 fishers)
-	5th meeting: 14 participants (Park’s director and Commisioner, 1 Stintino municipality representative, the Mayor of Porto Torres, 1 FLAG representative, 1 University of Cagliari representative, 8 fishers).                                                                   NB: in the count some members are redundant in the 5 meetings, so the total number of stakeholders reached is 14.</t>
  </si>
  <si>
    <t>O.3.5</t>
  </si>
  <si>
    <t>small-scale fishing monitoring is conducted, using a local biologist to census local fishing effort either on docks or embarked at sea, as well as through censusing fishing gear positioning withing the MPA boundaries</t>
  </si>
  <si>
    <t>fish monitoring at sea and in the docs and mapping of fishing gear (effort)</t>
  </si>
  <si>
    <t>23 fishers are currently involved in fishing monitoring (jan), in docs and at sea, for measuring the fishing effort and the current status of local fish populations. It will end in Dec 223</t>
  </si>
  <si>
    <t>finalize fishing monitoring programs (monitoring of fishing gear, and monitoring of fishing catch)</t>
  </si>
  <si>
    <t>Q1: NA (form March on).
Q2: (april-june)  
- 4 operators committed in the fishing gear monitoring
- 48 fishing gear operations (29 nets and 19 traps).
Q3: (july-sept): 34 fishing operations (27 nets and 7 traps) involving 3 people for fishing gear monitoring.
Q4 (nov-dec):19 fishing operations for fishing gear monitoring (14 nets and 5 longlines), involving 3 people.</t>
  </si>
  <si>
    <t>O.3.6</t>
  </si>
  <si>
    <t>total lobsters tagged during the project</t>
  </si>
  <si>
    <t>Pieces of evidence/lobsters tagged</t>
  </si>
  <si>
    <t>ad-hoc monitoring of the target species spiny lobster, base on tagging and release of undersized animals</t>
  </si>
  <si>
    <t>a total of 1022 animals were delivered by loca fishermen for thier tagging, and then release by biologist from CRAMA local association (mar)</t>
  </si>
  <si>
    <t>finalize lobster tagging</t>
  </si>
  <si>
    <t xml:space="preserve">Q1: NA (form March/April on). 
Q2: (june) 100 lobsters tagged and released      
Q3: 218 Lobster tagged and released successfully
Q4: NA tagging already finished  </t>
  </si>
  <si>
    <t>O.3.7</t>
  </si>
  <si>
    <t xml:space="preserve">Non-monetary beneficiaries: </t>
  </si>
  <si>
    <t>1: PhD Student (Partnership with the Univ. of Waterloo, Water Dept. (Canada) for a PhD thesis focused on the human dimension of small-scale fisheries and how social norms emerge to solve collective action problems)
700: local sudents 
23: fishermen that join the Blue project and use to go fishing inside the MPA regularly</t>
  </si>
  <si>
    <t>finalization of the PhD student from the Univ. of Waterloo, Canada, involvement of local schools, involvement of local fishers that join the Blue project</t>
  </si>
  <si>
    <t>Q1: The script of the PhD thesis is in progress + local fishers authorized to go fishing within the MPA 
Q2: (april-june)- The script of the PhD thesis is in progress (already counted)
- 5 more local fishers started their activity within the MPA boundaries (on the previous trimester the total number was 20), as the fishing season reached its peak.
Q3: NA  
Q4: indicator already satisfied</t>
  </si>
  <si>
    <t>ADDED NEW ROW</t>
  </si>
  <si>
    <t>O.3.8</t>
  </si>
  <si>
    <t>Fish Quality Trademark</t>
  </si>
  <si>
    <t>Guidelines for the creation of a fish quality trademark</t>
  </si>
  <si>
    <t xml:space="preserve">Q1: definition of preliminary set of rules
Q2: (april-june) Process ongoing. General accordance is expressed bylocal fishers, FLAG and municipalities on the benefitsderiving from the institution of a quality trademark Q3:NA.
Q4: A set of rules was depicted within the frame of the ‘Environmental Quality Mark of the Parks Network’. This label provides environmental quality certification for a wide series of services which follow ECST (European Charter for Sustainable Tourism) standards. In the sector of food production and local craftsmanship, these standards will be applied specifically on fishery products. During the last months, the draft regulation for the quality trademark was discussed between Pirene and ECST experts and some points have to be discussed with fishers, in order to see whether some standards are improvable.
</t>
  </si>
  <si>
    <t>Output 3 Activities</t>
  </si>
  <si>
    <t>A.3</t>
  </si>
  <si>
    <t>A.3.1</t>
  </si>
  <si>
    <t>A.3.2</t>
  </si>
  <si>
    <t>A.3.3</t>
  </si>
  <si>
    <t>A.3.4</t>
  </si>
  <si>
    <t>A.3.5</t>
  </si>
  <si>
    <t>A.3.6</t>
  </si>
  <si>
    <t>Output 4</t>
  </si>
  <si>
    <t>O.4</t>
  </si>
  <si>
    <r>
      <t xml:space="preserve">Better protection of the </t>
    </r>
    <r>
      <rPr>
        <b/>
        <u/>
        <sz val="11"/>
        <rFont val="Calibri"/>
        <family val="2"/>
        <scheme val="minor"/>
      </rPr>
      <t xml:space="preserve">Pelagie MPA </t>
    </r>
    <r>
      <rPr>
        <b/>
        <sz val="11"/>
        <rFont val="Calibri"/>
        <family val="2"/>
        <scheme val="minor"/>
      </rPr>
      <t>for sandbar sharks</t>
    </r>
  </si>
  <si>
    <t>O.4.1</t>
  </si>
  <si>
    <t>New evidence to support better protection (including scientific activities for studying sandbar shark population)</t>
  </si>
  <si>
    <t>Reports/Investigations/surveys</t>
  </si>
  <si>
    <t>Limiting the areas of boat anchoring through the buoys positioning</t>
  </si>
  <si>
    <t xml:space="preserve">1: boat and scuba diving noise measurements with hydrophones (180 hours of recording), 
1: baited remote underwater video (&gt;119 hours)
1: 4 gps diving positioning around the area of interest, 
1: 12 fishing interviews, 
1: analyses of fishing catches, 
1: preliminary elaboration of the database, </t>
  </si>
  <si>
    <t>finalize scientific reporting evidencing to increase sandbar shark protection</t>
  </si>
  <si>
    <t>Q1:  
- (march) 1 scientific report was sent to the MPA management body
- Sent quotes to local technical divers for installing two mooring buoys around Lampione Islands, for sandbar shark protection.
Q2 (may-june):
- (may/june) the nomination of the Pelagie Archipelago as an ISRA (Important Sharks and Rays Area) has been submitted
- (may/june) 1 scientific paper about a relevant area for the protection of the shortfin mako in the Pelagie Archipelago - quotes for buoy installation on the way. 
Q3:
- 2 mooring buoys positioned
- (sept) 1 scientific paper about shortfin mako was submitted (do not double count, as it is the same as Q3)</t>
  </si>
  <si>
    <t>O.4.2</t>
  </si>
  <si>
    <r>
      <rPr>
        <sz val="11"/>
        <color rgb="FF000000"/>
        <rFont val="Calibri"/>
        <family val="2"/>
      </rPr>
      <t>Conduct communication campaigns/</t>
    </r>
    <r>
      <rPr>
        <sz val="11"/>
        <color rgb="FFFF0000"/>
        <rFont val="Calibri"/>
        <family val="2"/>
      </rPr>
      <t>meetings</t>
    </r>
    <r>
      <rPr>
        <sz val="11"/>
        <color rgb="FF000000"/>
        <rFont val="Calibri"/>
        <family val="2"/>
      </rPr>
      <t xml:space="preserve"> to increase awareness</t>
    </r>
  </si>
  <si>
    <t>local awareness actions</t>
  </si>
  <si>
    <t>1 scientific seminar (40 participants), 
1 presentation at the scientific council of SZN research centre (80 people), 
schools involvement (148 students), 
1 training course on sustainable tourism for all marine stakeholders, 
printing of comm material for wide information in the island (at least 300 divers) and;
during diving exhibition (around 550), 
2 TV shows</t>
  </si>
  <si>
    <t>representatives of three local diving centres</t>
  </si>
  <si>
    <t>Q1:
1 online meeting with diving centres from Lampedusa
Presentation of the project to the BIT 
Presentation of the project to the classes of the Istituto Omnicomprensivo Luigi Pirandello
1 national workshop from SZN on elasmobranchs in Naples for spreading results to the scientific community/national institutions/NGOs who attended the meeting
Q2: reached in 2022
Q3: NA</t>
  </si>
  <si>
    <t xml:space="preserve">                                                                                                   </t>
  </si>
  <si>
    <t>O.4.3</t>
  </si>
  <si>
    <t>Number of stakeholders reached through campaigns</t>
  </si>
  <si>
    <t>involvement of local stakeholders</t>
  </si>
  <si>
    <t>5 MPA staff, 8 diving centres, 37 local operators, 30 fishers, 20 touristic operators were present.  All stakeholders listed above</t>
  </si>
  <si>
    <t>About 100 researchers (48 in person and 52 on line) from more than 12 institutions</t>
  </si>
  <si>
    <r>
      <rPr>
        <sz val="11"/>
        <color rgb="FF000000"/>
        <rFont val="Calibri"/>
        <family val="2"/>
        <scheme val="minor"/>
      </rPr>
      <t>Q1: 
- 3 representatives of diving centres
- &gt;100 tourists
- 50 local students  
- around 100 people at the workshop
 Q2 (april-june):
- 50 children from local schools
- 30 students from schools of Palermo
- 55 scientists during the ICOS meeting
- 6 divers + 6 representatives of militaryforces + 10 local people during the CITES meeting.                                                                 
Q3:
- &gt; 1000</t>
    </r>
    <r>
      <rPr>
        <sz val="11"/>
        <color rgb="FFFF0000"/>
        <rFont val="Calibri"/>
        <family val="2"/>
        <scheme val="minor"/>
      </rPr>
      <t xml:space="preserve"> reached through ISRA website
</t>
    </r>
    <r>
      <rPr>
        <sz val="11"/>
        <color rgb="FF000000"/>
        <rFont val="Calibri"/>
        <family val="2"/>
        <scheme val="minor"/>
      </rPr>
      <t>- 10 fishers + 20 from NGOs/Tunisian research institutes</t>
    </r>
  </si>
  <si>
    <t>O.4.4</t>
  </si>
  <si>
    <r>
      <rPr>
        <sz val="11"/>
        <color rgb="FF000000"/>
        <rFont val="Calibri"/>
        <family val="2"/>
      </rPr>
      <t>Percentage o</t>
    </r>
    <r>
      <rPr>
        <sz val="11"/>
        <rFont val="Calibri"/>
        <family val="2"/>
      </rPr>
      <t>f individuals (8 diving centres)</t>
    </r>
    <r>
      <rPr>
        <sz val="11"/>
        <color rgb="FF000000"/>
        <rFont val="Calibri"/>
        <family val="2"/>
      </rPr>
      <t xml:space="preserve"> reached who have changed their behaviour</t>
    </r>
  </si>
  <si>
    <t>diving centres involving in sanbar shark protection project</t>
  </si>
  <si>
    <t xml:space="preserve">100% (5 out of 5 diving centres) </t>
  </si>
  <si>
    <t>It has been showed to local divers that they were well informed and they respect the Code of Conduct (speed limit for the boats and number of divers for each diving operation).</t>
  </si>
  <si>
    <t>5+100%</t>
  </si>
  <si>
    <t xml:space="preserve">Q1: It has been showed to local divers that they were well informed and they respect the Code of Conduct (speed limit for the boats and number of diver centres for each diving operation). Note that from 2022 the updated number of local diving centres decrease in 5.
Q2: reached in 2022, so do not double count
Q3: reached in 2022, so do not double count                                                                                                  </t>
  </si>
  <si>
    <t>O.4.5</t>
  </si>
  <si>
    <t>1 six-months fellowship (latter, beneficiary)</t>
  </si>
  <si>
    <t>one fellowship</t>
  </si>
  <si>
    <t xml:space="preserve">Q1: value already shown in 2022, so do not double count
Q2: reached in 2022, so do not double count                              Q3: reached in 2022, so do not double count </t>
  </si>
  <si>
    <t>O.4.6</t>
  </si>
  <si>
    <t>ADDED ROW: Description of elasmobranch community in the Pelagie Archipelago</t>
  </si>
  <si>
    <t>threatened elasmobranch species</t>
  </si>
  <si>
    <t>2.2.1</t>
  </si>
  <si>
    <t>investigation of the area surrounding Lampione Island and Secca di Levante, for finding other threatened species of elasmobranchs</t>
  </si>
  <si>
    <t>Q1: 
- 4 elasmobranch species (3 rays and 1 shark) listed in the IUCN red list have been have been recorded in the archipelago:
-one individual of Carcharhinus
-several occurrences of the threatened common eagle ray, Myliobatis aquila
-several individuals of the rough ray Raja radula
-several individuals of the common stingray Dasyatis Pastinaca          
Q2: reached in 2022, so do not double count.
Q3: reached in 2022, so do not double count</t>
  </si>
  <si>
    <t>O.4.7</t>
  </si>
  <si>
    <t>ADDED ROW: influence national policy for sandbarshark protection</t>
  </si>
  <si>
    <t>Number of policy agreements influenced</t>
  </si>
  <si>
    <t>1.4.3</t>
  </si>
  <si>
    <t>influence of national policy on sandbar shark protection</t>
  </si>
  <si>
    <t>final scientific report will be sent to the Env. Minsitry for highlighting the urgency of sandbar shark conservation policies</t>
  </si>
  <si>
    <t xml:space="preserve">Q1: The Min. of the Environment has been informed successfully by the MPA, about the report’s content and actions suggested for limiting noise pollution to sandbar shark aggregation around Lampione island.
Q2: The Min. of the Environment has been informed successfully by the MPA, about the report’s content and actions suggested for limiting noise pollution to sandbar shark aggregation around Lampione island. 
Q3: not enacted in local policy so leaving as 0 </t>
  </si>
  <si>
    <t>Output 4 Activities</t>
  </si>
  <si>
    <t>A.4</t>
  </si>
  <si>
    <t>A.4.1</t>
  </si>
  <si>
    <t>A.4.2</t>
  </si>
  <si>
    <t>A.4.3</t>
  </si>
  <si>
    <t>Output 5</t>
  </si>
  <si>
    <t>O.5</t>
  </si>
  <si>
    <r>
      <t xml:space="preserve">Reduce bycatch of sharks and rays in </t>
    </r>
    <r>
      <rPr>
        <b/>
        <u/>
        <sz val="11"/>
        <rFont val="Calibri"/>
        <family val="2"/>
        <scheme val="minor"/>
      </rPr>
      <t>Egadi MPA</t>
    </r>
  </si>
  <si>
    <t>O.5.1</t>
  </si>
  <si>
    <t>Scientific evidence for improving fishing management plan and promote elasmobranchs' conservation, thus influencing national policy</t>
  </si>
  <si>
    <t>Pieces of evidence</t>
  </si>
  <si>
    <t>scientific surveys for improving fishing management plan and elasmobranchs' conservation  and influence national shark conservation policy</t>
  </si>
  <si>
    <t>final scientific relation sent to the Env. Minsitry for closing fishing in the eagle ray site during parturition and limiting diving access, (up to feb 2023)</t>
  </si>
  <si>
    <t>finalization of the scientific report aiming at improving MPA conservation effectiveness, by limiting human activities in the eagle ray parturition site</t>
  </si>
  <si>
    <r>
      <t xml:space="preserve">Q1:    The Min. of the Environment has been informed by the MPA authority about the report’s content and actions suggested for limiting human impacts on the common eagle ray aggregation, in Marettimo Island. As consequence, the Ministry is evaluating the rules and conservation actions for limiting human impacts in the bay where the common eagle rays congregate. Also, 1 scientific report was produced to describe the aggregation of the critically endangered common eagle ray </t>
    </r>
    <r>
      <rPr>
        <i/>
        <sz val="11"/>
        <color rgb="FF000000"/>
        <rFont val="Calibri"/>
        <family val="2"/>
      </rPr>
      <t xml:space="preserve">Myliobatis aquila.        
</t>
    </r>
    <r>
      <rPr>
        <sz val="11"/>
        <color rgb="FF000000"/>
        <rFont val="Calibri"/>
        <family val="2"/>
      </rPr>
      <t>Q2: 3 documents (in total):
- 1 new MPA rule - approved by the Italian Min. of the Environment, which will take place from August 2023.
- 1 diving Code of Conduct
- 1 report produced and sent to the IUCN SSC. To this end, The Egadi Islands were accepted, by the IUCN Shark Specialist Group, as candidates of an Important Shakand Ray Area (ISRA) for the Mediterranean and Black Sea region. The formal designation as ISRA will take place on August 2023, so this value has not counted here as it still has tbc.
Three main qualified species: 
1. the common eagle ray Myliobatis aquila (critically endangered for its vulnerability and riproduttive areas). 
2. the Rough Skate Raja radula (endangered for its vulnerability and range-restricted species)  
3. the small-spotted catshark Scyliorhinus canicula (for an unidentified aggregation).  
Other 10 supporting species:     
                   SHARKS   
1. Centrophorus uyato (endangered)  
2. little Gulper Shark (endangered)  
3. Galeus melastomus (least concern)  
4. blackmouth Catshark (LC)
5. Hexanchus griseus (nearly thereatened) 
6. Bluntnose Sixgill Shark (nearly thereatened)
7. Mustelus punctulatus (vulnerable)
8. Blackspotted Smoothhound (vulnerable)
9. Mustelus mustelus (vulnerable)
10. Common Smoothhound (vulnerable)
                    RAYS
1. Dipturus oxyrinchus (nearly threatened)
2. Longnosed Skate (nearly threatened)
3. Torpedo marmorata (vulnerable)
4. Marbled Torpedo Ray (vulnerable)                                                                                                           
TOTAL AREA MORE PROTECTED: 25 ha (0.25 km2).
Q3: on August, the ISRA area has been created, for implementing elasmobranchs’ protection and MPA conservation effectiveness in Egadi Islands.                                                           
Q4: NA already satisfied.</t>
    </r>
  </si>
  <si>
    <t>O.5.2</t>
  </si>
  <si>
    <t>New pieces of evidence to support sustainable fisheries management</t>
  </si>
  <si>
    <t>concrete actions for improving a new fishing management plan</t>
  </si>
  <si>
    <t xml:space="preserve">gear/catch control in harbours, fishing time restrictions, close the eagle ray parturition area (next summer 2023).
sharks and rays landing surveys, ray aggregation characterization &amp; overlap with fishing catch and diving interaction (july) </t>
  </si>
  <si>
    <t>Get changings on local artisanal fishery to limit the elasmobranchs' by-catch</t>
  </si>
  <si>
    <t>Q1:
UNIPA organized successfully the first small-scale fishing monitoring activities in Favignana Island, for monitoring fish landings addressed to by-catch phenomenon. A total 28 fishing operations were monitored by the MPA in Favignana. The by-catch landing surveys, made by UNIPA in Marettimo in summer 2022, allowed to get information on 8 threatened elasmobranch species listed in the IUCN red list.
Q2: NA
Q3: NA
Q4: already reached.</t>
  </si>
  <si>
    <t>O.5.3</t>
  </si>
  <si>
    <t xml:space="preserve">Increase training for fishers to promote best practice and others trained in monitoring. </t>
  </si>
  <si>
    <t>actions to involve local fishers into best practices</t>
  </si>
  <si>
    <t>fish surveys on elasmobranchs' by-catch (june) meetings for teaching how to handle and release by-catch by local artisanal fishers (next year 2023)
2 interns trained in underwater shark and eagle ray monitoring and by-catch landings, 
1 MSc student involved in activities in field (from may to october, beneficiary)</t>
  </si>
  <si>
    <t>already reached in 2022</t>
  </si>
  <si>
    <t>O.5.4</t>
  </si>
  <si>
    <t>Outreach activities/tools to raise awareness to educate and gain support from fishers, officials and local community</t>
  </si>
  <si>
    <t>sensitize local stakeholders to eagle ray parturition site and general elasmobranchs' conservation actions</t>
  </si>
  <si>
    <t>1 meeting with 3 local diving centres for introducing the initiative</t>
  </si>
  <si>
    <r>
      <t xml:space="preserve">Q1: 
UNIPA attended 1 national workshop on elasmobranchs in Naples. Project aims and results have been exposed to the Italian scientific community, national institutions and NGOs who attended the meeting.
</t>
    </r>
    <r>
      <rPr>
        <sz val="11"/>
        <color rgb="FF0070C0"/>
        <rFont val="Calibri"/>
        <family val="2"/>
        <scheme val="minor"/>
      </rPr>
      <t xml:space="preserve">Q2: NA
</t>
    </r>
    <r>
      <rPr>
        <sz val="11"/>
        <color rgb="FF000000"/>
        <rFont val="Calibri"/>
        <family val="2"/>
        <scheme val="minor"/>
      </rPr>
      <t>Q3: NA    
Q4:  already reached.</t>
    </r>
  </si>
  <si>
    <t>O.5.5</t>
  </si>
  <si>
    <t>Number of stakeholders reached through outcreach activities/tools</t>
  </si>
  <si>
    <t>involvement of local stakeholders into the conservation project</t>
  </si>
  <si>
    <t>3 diving centres and 12 fishers in Marettimo Island (July-oct, beneficiaries).</t>
  </si>
  <si>
    <r>
      <rPr>
        <strike/>
        <sz val="11"/>
        <color rgb="FF000000"/>
        <rFont val="Calibri"/>
        <family val="2"/>
      </rPr>
      <t xml:space="preserve"> We plan to reach the fleet of Favignana next spring 2023 </t>
    </r>
    <r>
      <rPr>
        <sz val="11"/>
        <color rgb="FF000000"/>
        <rFont val="Calibri"/>
        <family val="2"/>
      </rPr>
      <t>spread the voice about the by-catchphenomenon within the MPA and possible solutiuon to halt the elasmobrahcs' decline</t>
    </r>
  </si>
  <si>
    <t>Q1: 
number of stakeholders reached in the activity specified above: About 100 Italian scientists (48 in person and 52 on line) from more than 12 institutions. 
Q2:
- On May, 50 scientists reached from different national and international institutions.
- UNIPA attended the International Symposium of Ethology in Erice (Italy). Project results have been exposed to the scientific community successfully. 
Q3: NA   
Q4: on November UNIPA engaged 8 small-scale fishers and 2 diving operators of Marettimo Island to raise their awareness towards the protection of the common eagle ray aggregation.</t>
  </si>
  <si>
    <t>O.5.6</t>
  </si>
  <si>
    <r>
      <t>Number of fishers</t>
    </r>
    <r>
      <rPr>
        <sz val="11"/>
        <color theme="1"/>
        <rFont val="Calibri"/>
        <family val="2"/>
        <scheme val="minor"/>
      </rPr>
      <t xml:space="preserve"> in Favignana and Marettimo Islands </t>
    </r>
    <r>
      <rPr>
        <sz val="11"/>
        <color rgb="FF000000"/>
        <rFont val="Calibri"/>
        <family val="2"/>
        <scheme val="minor"/>
      </rPr>
      <t>engaged in monitoring activities</t>
    </r>
  </si>
  <si>
    <t>Stakeholders (Fishers)</t>
  </si>
  <si>
    <r>
      <rPr>
        <sz val="11"/>
        <color rgb="FF000000"/>
        <rFont val="Calibri"/>
        <family val="2"/>
        <scheme val="minor"/>
      </rPr>
      <t xml:space="preserve">Q1: NA
Q2: on May, UNIPA and the MPA engaged 24 small-scale fishers (15 boats) successfully in the monitoring activities, in Favignana and Marettimo Islands.
</t>
    </r>
    <r>
      <rPr>
        <sz val="11"/>
        <color rgb="FF0070C0"/>
        <rFont val="Calibri"/>
        <family val="2"/>
        <scheme val="minor"/>
      </rPr>
      <t xml:space="preserve">Q3: from July to September, UNIPA and the MPA engaged 28 small-scale fishers successfully in the monitoring activities, in Favignana and Marettimo Islands.
</t>
    </r>
    <r>
      <rPr>
        <sz val="11"/>
        <color rgb="FF000000"/>
        <rFont val="Calibri"/>
        <family val="2"/>
        <scheme val="minor"/>
      </rPr>
      <t>Q4: during the quarter, a total of 28 small-scale fishers were engaged successfully by UNIPA and the MPA in the fishing monitoring. NOTE DO NOT DOUBLE COUNT, SAME FISHERS AS PREVIOUS Qs.</t>
    </r>
  </si>
  <si>
    <t>O.5.7</t>
  </si>
  <si>
    <t xml:space="preserve">Influence conservation policy to increase protection of the common eagle ray aggregation </t>
  </si>
  <si>
    <t>3.4.3</t>
  </si>
  <si>
    <t>Q1: NA
Q2: NA
Q3: from August 1st, new rules (1 new MPA rule and 1 diving Code of Conduct), aiming at limiting diving activities within the common eagle ray aggregation spot, are active in the area towards. Assessment of their effectiveness is underway.
Q4: already satisfied.</t>
  </si>
  <si>
    <t>O.5.8</t>
  </si>
  <si>
    <t>Influence conservation policy at international level</t>
  </si>
  <si>
    <t>Reports/ Investigations/ surveys</t>
  </si>
  <si>
    <t>Q1: NA
Q2: NA
Q3: on August 2023, one ISRA report was produced and published by the IUCN SSC, which declared the Egadi Islands as an Important Shark and Ray Area (ISRA) for the Mediterranean and Black Sea region by the IUCN Shark Specialist Group.
Q4: already satisfied.</t>
  </si>
  <si>
    <t>O.5.9</t>
  </si>
  <si>
    <t>Number of scientists reached through participation to a scientific meeting</t>
  </si>
  <si>
    <t>Stakeholders
(Scientists)</t>
  </si>
  <si>
    <t xml:space="preserve">Q1: NA
Q2: NA
Q3: on September, the BOSE results have been presented to Tunisian researchers, fishers, NGOs and government representatives, during the Shark Experts’ workshop. Around 20 people reached
Q4: already satisfied. </t>
  </si>
  <si>
    <t>Output 5 Activities</t>
  </si>
  <si>
    <t>A.5</t>
  </si>
  <si>
    <t>A.5.1</t>
  </si>
  <si>
    <t>A.5.2</t>
  </si>
  <si>
    <t>A.5.3</t>
  </si>
  <si>
    <t>A.5.4</t>
  </si>
  <si>
    <t>A.5.5</t>
  </si>
  <si>
    <t>A.5.6</t>
  </si>
  <si>
    <t>A.5.7</t>
  </si>
  <si>
    <t>A.5.8</t>
  </si>
  <si>
    <t>Output 6</t>
  </si>
  <si>
    <t>O.6</t>
  </si>
  <si>
    <r>
      <rPr>
        <b/>
        <sz val="11"/>
        <color rgb="FF000000"/>
        <rFont val="Calibri"/>
        <family val="2"/>
      </rPr>
      <t xml:space="preserve">Prevent illegal trawling in </t>
    </r>
    <r>
      <rPr>
        <b/>
        <u/>
        <sz val="11"/>
        <color rgb="FF000000"/>
        <rFont val="Calibri"/>
        <family val="2"/>
      </rPr>
      <t>Torre Guaceto MPA</t>
    </r>
  </si>
  <si>
    <t>O.6.1</t>
  </si>
  <si>
    <t>Area of corridor across which illegal trawling has been banned</t>
  </si>
  <si>
    <t>3.1.3</t>
  </si>
  <si>
    <t xml:space="preserve">tackle illegal trawling along the outer margin of the MPA </t>
  </si>
  <si>
    <t>Protection to be achieved in 2023</t>
  </si>
  <si>
    <t>the external margin of the MPA will be protected by illegal trawling through the positioning of 8 underwater devices (from next Easter 2023)</t>
  </si>
  <si>
    <t>Q1: NA
Q2 (may):
The procedure for the ownership of the marine area for the anti-trawling positioning is completed successfully. The full protection from illegal trawling will start from this summer.       
Q3: NA.
Q4: NA</t>
  </si>
  <si>
    <t>O.6.2</t>
  </si>
  <si>
    <t>Improvement of MPA conservation effectiveness</t>
  </si>
  <si>
    <t>Number of species under improved protection</t>
  </si>
  <si>
    <t>1.3.2</t>
  </si>
  <si>
    <t xml:space="preserve">actions that tackle illegal trawling along the outer margin of the MPA </t>
  </si>
  <si>
    <t>final authorization for the device positioning obtained (nov). purchasing of anti-trawling components and their installment (planned early 2023).</t>
  </si>
  <si>
    <t>Q1: NA. 
Q2:  instalment still ongoing. 
Q3: NA 
Q4: NA</t>
  </si>
  <si>
    <t>O.6.3</t>
  </si>
  <si>
    <t>Conduct research on habitat distribution for anti-trawling device positioning</t>
  </si>
  <si>
    <t>Investigation</t>
  </si>
  <si>
    <t>env research for anti-trawling positioning</t>
  </si>
  <si>
    <t>environmental survey finalized and final (may) technical report for anti-devices positioning completed (june)</t>
  </si>
  <si>
    <t>Completed</t>
  </si>
  <si>
    <t>Completed in 2022.     
Q3: NA
Q4: NA</t>
  </si>
  <si>
    <t>O.6.4</t>
  </si>
  <si>
    <t>env. technicians involved in the project for its success</t>
  </si>
  <si>
    <t>1 marine biologist, 1 env. engineer (feb-june)</t>
  </si>
  <si>
    <t>Completed in 2022 .    
Q3: NA
Q4: NA</t>
  </si>
  <si>
    <t>O.6.5</t>
  </si>
  <si>
    <t xml:space="preserve">involvement and outreach with local stakeholders </t>
  </si>
  <si>
    <t>9 small-scale fishers authorized to fish inside the MPA boudnaries</t>
  </si>
  <si>
    <t>Q1: Same fishers as previous years so not double counted in 2023.
Q2: same as Q1.     
Q3: NA
Q4: NA</t>
  </si>
  <si>
    <t>O.6.6</t>
  </si>
  <si>
    <r>
      <rPr>
        <sz val="11"/>
        <color rgb="FF000000"/>
        <rFont val="Calibri"/>
        <family val="2"/>
      </rPr>
      <t xml:space="preserve">Number of </t>
    </r>
    <r>
      <rPr>
        <sz val="11"/>
        <color rgb="FFFF0000"/>
        <rFont val="Calibri"/>
        <family val="2"/>
      </rPr>
      <t xml:space="preserve">stakeholders </t>
    </r>
    <r>
      <rPr>
        <sz val="11"/>
        <color rgb="FF000000"/>
        <rFont val="Calibri"/>
        <family val="2"/>
      </rPr>
      <t>reached through outreach activities</t>
    </r>
  </si>
  <si>
    <t>reach local stakeholders through outreach activities</t>
  </si>
  <si>
    <t xml:space="preserve">2 MPA staff, 1 in the Apulia Region, 8 local small-scale fishers </t>
  </si>
  <si>
    <t>Awareness activities, aiming at presenting the underwater fishing devices, will be presented locally at the end of the project</t>
  </si>
  <si>
    <t>Q2: planned in end of the project
Q3: NA
Q4: NA</t>
  </si>
  <si>
    <t>Output 6 Activities</t>
  </si>
  <si>
    <t>A.6</t>
  </si>
  <si>
    <t>A.6.1</t>
  </si>
  <si>
    <t>A.6.2</t>
  </si>
  <si>
    <t>A.6.3</t>
  </si>
  <si>
    <t>Output 7</t>
  </si>
  <si>
    <t>O.7</t>
  </si>
  <si>
    <r>
      <rPr>
        <b/>
        <sz val="11"/>
        <color rgb="FF000000"/>
        <rFont val="Calibri"/>
        <family val="2"/>
      </rPr>
      <t>Map existing and new</t>
    </r>
    <r>
      <rPr>
        <b/>
        <sz val="11"/>
        <color rgb="FFFF0000"/>
        <rFont val="Calibri"/>
        <family val="2"/>
      </rPr>
      <t xml:space="preserve"> </t>
    </r>
    <r>
      <rPr>
        <b/>
        <sz val="11"/>
        <color rgb="FF000000"/>
        <rFont val="Calibri"/>
        <family val="2"/>
      </rPr>
      <t xml:space="preserve">marine caves in the </t>
    </r>
    <r>
      <rPr>
        <b/>
        <u/>
        <sz val="11"/>
        <color rgb="FF000000"/>
        <rFont val="Calibri"/>
        <family val="2"/>
      </rPr>
      <t xml:space="preserve">Tuscan National Park </t>
    </r>
    <r>
      <rPr>
        <b/>
        <sz val="11"/>
        <color rgb="FF000000"/>
        <rFont val="Calibri"/>
        <family val="2"/>
      </rPr>
      <t>for the restoration and protection of the monk seal</t>
    </r>
  </si>
  <si>
    <t>O.7.1</t>
  </si>
  <si>
    <t>New pieces of evidence to support monk seal protection</t>
  </si>
  <si>
    <t>Pieces of evidence (reports, surveys etc)</t>
  </si>
  <si>
    <t>2.4.1</t>
  </si>
  <si>
    <t>mapping and characterization of marine caves along the Tuscan Archipelago, for monk seal protection</t>
  </si>
  <si>
    <t>two sightings of a monk seal in Capraia Island has been detected (sept-and oct)</t>
  </si>
  <si>
    <t>mapping and characterization of the entire system of marine caves along the tuscan archipelago, ofr protecting monk seal</t>
  </si>
  <si>
    <t>Q1: NA
Q2: NA (We foresee to protect marine caves more effectively at the end of the project). 
Q3 (jul-sept): one collection of historical data through interviews + information processing
Q4: On November, the final technical report from ISPRA about the overall monitoring activities around the islands of the archipelago has been released successfully, revealing new potential sites that fit the monk seal needs. This activity and related report constitutes the first complete basis for the implementation of future monitoring and conservation programs of this species in the Tuscan Archipelago. The report will be forwarded to the Env. Ministry for encouraging new monk seal conservation measures in the area in the future. Indeed, the Park wants to enlarge the A Zone (no-entry/no-take) of the protected area around the marine cave of Capraia where the monk seal sighting has been now strongly documented.</t>
  </si>
  <si>
    <t>O.7.2</t>
  </si>
  <si>
    <t>Outreach activities/tools to raise awareness to educate and gain support from local community</t>
  </si>
  <si>
    <t>local awareness programs involving local community</t>
  </si>
  <si>
    <t>2 educational meetings with local schools 
5 laboratoy metings, involving a total of around 100 children.
98 events for tourists in 3 islands (from April on)</t>
  </si>
  <si>
    <t>distribution of flyers for sensitizing local community, stakeholders and tourists about monk seal</t>
  </si>
  <si>
    <r>
      <rPr>
        <sz val="11"/>
        <color rgb="FF000000"/>
        <rFont val="Calibri"/>
        <family val="2"/>
        <scheme val="minor"/>
      </rPr>
      <t xml:space="preserve">Q1: preparation of the first graphic material
</t>
    </r>
    <r>
      <rPr>
        <sz val="11"/>
        <color rgb="FF5BD4FF"/>
        <rFont val="Calibri"/>
        <family val="2"/>
        <scheme val="minor"/>
      </rPr>
      <t xml:space="preserve">Q2: (may-june):2.000 Monk seal brochures, distributed successfully in Elba, Capraia, Pianosa and Giglio.
Q3: NA
</t>
    </r>
    <r>
      <rPr>
        <sz val="11"/>
        <color rgb="FF000000"/>
        <rFont val="Calibri"/>
        <family val="2"/>
        <scheme val="minor"/>
      </rPr>
      <t>Q4:- On December, the preparation of new dissemination material is started. It will be distributed during the last event of the project, held in Portoferraio at the headquarters of the Coast Guard next January 2024.
- On December 14th, a workshop dedicated to the monk seal in the Mediterranean Sea, together with the presentation of the photographic book ‘Out of the blue’, was finalized successfully.</t>
    </r>
  </si>
  <si>
    <t>O.7.3</t>
  </si>
  <si>
    <t>Number of stakeholders/public entities reached through outreach activities</t>
  </si>
  <si>
    <t>local arwarness local Entities/reserach centres/</t>
  </si>
  <si>
    <t>30: marine stakeholders (fishers and marine operatos), 
10: environmental guides for local awareness and access, 
1: MPA staff from local administration, 
4: members from Coast Guard trained for monk seal patrolling (from april on),  
2: members of ISPRA (govern. agency for MPA studies), the Mayor,  
10:  local fishers
1014: visitors either adults and children (from April on)</t>
  </si>
  <si>
    <t>sensitize marine stakeholders, local authorities, children and tourists through outreach activities</t>
  </si>
  <si>
    <t>Q1: NA
Q2 (may): 10 park guides engaged for sensitizing children
Q3 (july): 5 park guides engaged.
Q3: (July-sept) 177 children + 321 tourists + 3.410 tools (brochures, posters) distributed successfully around the islands. 
Q4: Indicator already satisfied.
Q4: NA - Indicator finalized next January 2024, with the involvement of Park guides and Coast Guard staff.
On December 14th, a total of 26 people were reached during the workshop dedicated to the monk seal, held on December 14th.</t>
  </si>
  <si>
    <t>O.7.4</t>
  </si>
  <si>
    <t>Improvement of MPA conservation effectiveness for monk seal</t>
  </si>
  <si>
    <t>Number of species under increased protection</t>
  </si>
  <si>
    <t xml:space="preserve">collaboration with Coast Guard for improving patrolling, and committment of ISPRA (governmental isntitution for env monitorings) for leading the research activity                                                                               </t>
  </si>
  <si>
    <t xml:space="preserve">Coast Guard has implemented the summer patrolling and has supported ISPRA during the activities in the field                                  </t>
  </si>
  <si>
    <t>improve local patrolling during the year by local Coast Guard, and  implement knowledge of crucial key areas for monk seal protection for influencing National policy measures</t>
  </si>
  <si>
    <t>Q1: Local patrolling has been guaranteed also during this first quarter, through periodical monitoring at sea, giving particular attention to the caves in Capraia, Pianosa and Gorgona islands.     
Q2 (june): 
- 1 New record of the presence of the monk seal, for at least three different days, thus testifying how the protection measures adopted by PNAT guarantee the permanence of the specimen in the area 
- local patrolling has been guaranteed also during this quarter, through periodical monitoring at sea, giving particular attention to the caves in Capraia, Pianosa and Gorgona islands                  
Q3 (luly): 1 new recored of the monk seal presence at least in two different days.                                                                              
Q4: already satisfied.</t>
  </si>
  <si>
    <t>O.7.5</t>
  </si>
  <si>
    <t xml:space="preserve">Research for mapping marine and characterize marine caves around the archipelago </t>
  </si>
  <si>
    <t>new elements on monk seal knowledge and presence in the Tuscan National Park for mproving the MPA general protection plan</t>
  </si>
  <si>
    <t>ISPRA has successfully finalized the general mapping planned for the 1st year : 
1: bibliographic research of the area, 
1: in-situ investigation about local knowledge about monk seal, 
1: new caves have been individuated
1: camera traps have been positioned. 
1: Data collection about the morphology and suitability for monk seal have been detected. (june-oct)</t>
  </si>
  <si>
    <t>finalize the mapping of marine caves</t>
  </si>
  <si>
    <t>Q1: February 
- 1 fieldwork activity and 1 coastal inspection in Pianosa 
March 
- 1 fieldwork activity in Capraia 
Q2 may-june:
An in-depth characterization and mapping of marine caves potentially suitable for monk seal is going ahead successfully:    
A. Monitoring 
- 1 coastal inspection in Capraia
- 1 coastal inspection in Gorgona
- 1 coastal inspection in Elba
- 1 coastal inspection in Pianosa
- 1 coastal inspection in Giglio
B. Interventions:
- 3 traps anchor enforce
- 2 camera traps replaced.                                                               
Q3: July-sept:
* collection of historical data through interviews with local experts in the islands of Giglio and Pianosa
* processing the information in Giglio and Elba Islands, collected last June. 
Q4: Oct-dec: indicator already satisfied.</t>
  </si>
  <si>
    <t xml:space="preserve">
</t>
  </si>
  <si>
    <t>O.7.6</t>
  </si>
  <si>
    <t>Number of important habitats under increased protection</t>
  </si>
  <si>
    <t>Number of habitats</t>
  </si>
  <si>
    <t>1.3.3</t>
  </si>
  <si>
    <t>to have a wider and complete knowledge on marine caves around the archipelago and start procedures for protecting them more effectively</t>
  </si>
  <si>
    <t>Q1: NA
Q2 (may-june): 
2 new caves potentially suitable for monk seals have been found in Elba and Giglio. They will be further examined by ISPRA in next future. 
Q3: NA
Q4: Indicator already satisfied.</t>
  </si>
  <si>
    <t>O.7.7</t>
  </si>
  <si>
    <t xml:space="preserve">Number of non-monetary beneficiaries </t>
  </si>
  <si>
    <t xml:space="preserve">Q1: n. 49 National Park Guides reached and trained by ISPRA during a meeting on February.
Q2: (may-june):
- 1 naturalist photographer (gathering pictures on monk seal monitoring activity. Some pictures will be used for the production of a photographic book about the monk seal in the Med)
- 3 ISPRA researchers
- 15 visitors in env. centres
</t>
  </si>
  <si>
    <t xml:space="preserve">                                                                                   </t>
  </si>
  <si>
    <t>ADDED ROW, AS IN THE WOR TEMPLATE</t>
  </si>
  <si>
    <t>O.7.8</t>
  </si>
  <si>
    <t>Local schools’ students engaged in marine biology activities</t>
  </si>
  <si>
    <t>Students</t>
  </si>
  <si>
    <t>Q2 (MAY):
- 72 Local students (3 classroom sessions of 24 children each
- 30 students in the visitor centres.  
Q3: NA
Q4: NA</t>
  </si>
  <si>
    <t>0.7.9</t>
  </si>
  <si>
    <t>Stakeholders: general public and environmental experts</t>
  </si>
  <si>
    <r>
      <t>NEW INDICATOR FROM Q4: On December 14th, a total of 26 people were reached during the workshop dedicated to the monk seal, held on December 14</t>
    </r>
    <r>
      <rPr>
        <vertAlign val="superscript"/>
        <sz val="10"/>
        <color rgb="FFFF0000"/>
        <rFont val="Calibri"/>
        <family val="2"/>
      </rPr>
      <t>th</t>
    </r>
    <r>
      <rPr>
        <sz val="10"/>
        <color rgb="FFFF0000"/>
        <rFont val="Calibri"/>
        <family val="2"/>
      </rPr>
      <t>.</t>
    </r>
  </si>
  <si>
    <t>Output 7 Activities</t>
  </si>
  <si>
    <t>A.7</t>
  </si>
  <si>
    <t>A.7.1</t>
  </si>
  <si>
    <t>A.7.2</t>
  </si>
  <si>
    <t>A.7.3</t>
  </si>
  <si>
    <t>Output 8</t>
  </si>
  <si>
    <t>O.8</t>
  </si>
  <si>
    <t>A comprehensive education programme is delivered in the Aeolian Islands, with the aim of increasing local support for marine protection in the region</t>
  </si>
  <si>
    <t>O.8.1</t>
  </si>
  <si>
    <t>Number of non-monetary beneficiaries from education programmes (students)</t>
  </si>
  <si>
    <t>Attendence records, photos and feedback</t>
  </si>
  <si>
    <t>There is unmet demand for marine education in schools. Partners for delivers are available (teachers, scientists, fishers)</t>
  </si>
  <si>
    <r>
      <t>39: (</t>
    </r>
    <r>
      <rPr>
        <b/>
        <sz val="11"/>
        <color theme="1"/>
        <rFont val="Calibri"/>
        <family val="2"/>
        <scheme val="minor"/>
      </rPr>
      <t>ImpariAmo il Mare and Vivere il Mare</t>
    </r>
    <r>
      <rPr>
        <sz val="11"/>
        <color theme="1"/>
        <rFont val="Calibri"/>
        <family val="2"/>
        <scheme val="minor"/>
      </rPr>
      <t xml:space="preserve">): First block of teaching is to be completed Second block of teaching is planned for September 2022
</t>
    </r>
    <r>
      <rPr>
        <b/>
        <sz val="11"/>
        <color theme="1"/>
        <rFont val="Calibri"/>
        <family val="2"/>
        <scheme val="minor"/>
      </rPr>
      <t>All discover turtle beach programme</t>
    </r>
    <r>
      <rPr>
        <sz val="11"/>
        <color theme="1"/>
        <rFont val="Calibri"/>
        <family val="2"/>
        <scheme val="minor"/>
      </rPr>
      <t xml:space="preserve">s to be completed
</t>
    </r>
    <r>
      <rPr>
        <b/>
        <sz val="11"/>
        <color theme="1"/>
        <rFont val="Calibri"/>
        <family val="2"/>
        <scheme val="minor"/>
      </rPr>
      <t>Posidonia summer school: 10</t>
    </r>
    <r>
      <rPr>
        <sz val="11"/>
        <color theme="1"/>
        <rFont val="Calibri"/>
        <family val="2"/>
        <scheme val="minor"/>
      </rPr>
      <t xml:space="preserve">.  Summer schools planned for October 2022 
At least ten students per summerschool (which means 20 in total) accross the 2 courses </t>
    </r>
  </si>
  <si>
    <r>
      <rPr>
        <b/>
        <sz val="11"/>
        <color theme="1"/>
        <rFont val="Calibri"/>
        <family val="2"/>
        <scheme val="minor"/>
      </rPr>
      <t>ImpariAmo il Mare and Vivere il Mare: 66</t>
    </r>
    <r>
      <rPr>
        <sz val="11"/>
        <color theme="1"/>
        <rFont val="Calibri"/>
        <family val="2"/>
        <scheme val="minor"/>
      </rPr>
      <t xml:space="preserve"> First block of teaching was completed in June 2022, with more students than anticipated Second block of teaching was completed in September 2022, with more students than anticipated
</t>
    </r>
    <r>
      <rPr>
        <b/>
        <sz val="11"/>
        <color theme="1"/>
        <rFont val="Calibri"/>
        <family val="2"/>
        <scheme val="minor"/>
      </rPr>
      <t>Discover turtle beach: 83</t>
    </r>
    <r>
      <rPr>
        <sz val="11"/>
        <color theme="1"/>
        <rFont val="Calibri"/>
        <family val="2"/>
        <scheme val="minor"/>
      </rPr>
      <t xml:space="preserve">. Programme held on all 7 islands of the Aeolain archipelago
</t>
    </r>
    <r>
      <rPr>
        <b/>
        <sz val="11"/>
        <color theme="1"/>
        <rFont val="Calibri"/>
        <family val="2"/>
        <scheme val="minor"/>
      </rPr>
      <t>Posidonia summer school: 10.</t>
    </r>
    <r>
      <rPr>
        <sz val="11"/>
        <color theme="1"/>
        <rFont val="Calibri"/>
        <family val="2"/>
        <scheme val="minor"/>
      </rPr>
      <t xml:space="preserve"> Summer schools planned for October 2022
Of 21 applications recieved, 10 students were selected </t>
    </r>
  </si>
  <si>
    <t>Q1: Adopt a beach –  51 children from primary schools (A total of 22kg of waste collected, where cigarette butts were the most abundant litter - 154 pieces). 
Q2 (apr-june):
* Adopt a Beach: 66 students
* Taste the Aeolians: 63 students 
* Marine biology courses: 14 students.                                           
Q3: on September, the following activities have been carried out successfully:    
*	Summer schools: 14 teachers/researchers, 1 diving centre, 80 participants to the event from the local community, 1 mayor and 2 council members from Santa Marina
*	Dolphin explorers: 2 researchers, 4 teachers
*	Makerzine: 10 teachers, 1 artist sharing a prize
*	ResponSEAble seafood guide: all tourists visiting the islands by ship (not calculable)
*	Marine birds/sea turtles/lizard monitoring: 2 researchers
Q4: from october to december, as total of 174 beneficiaries have been involved, divided into the following courses:                             
*	Taste the Aeolians: 58 students (already counted, do not double count).
*	Wings of the sea: 24 new students.
*	Adopt a beach: 63 new students involved.
*	Marine biology courses: 12 new students.
*	Nature photography course: 75 new students.</t>
  </si>
  <si>
    <t>O.8.2</t>
  </si>
  <si>
    <t>Number of non-monetary beneficiaries from education programmes (non-students)</t>
  </si>
  <si>
    <t>Teachers/ fishers/ scientists</t>
  </si>
  <si>
    <t>16 expert marine biologists, 11 teachers, 6 fishermen, 5 professional divers, have coordinated all eduational programs</t>
  </si>
  <si>
    <t>Q1: Adopt a beach –  6 teachers.
Q2 (apr-june):
* Adopt a Beach: 5 teachers
*Taste the Aeolians: 9 teachers, 26 restauranteurs, 3 fishers
* Marine biology courses: 1 marine biologist
* An ocean adventure in the Aeolians: 14 local environmental NGOs and diving centres, as well as 7 Italian MPAs.                  
Q3:
* 9 students from Salina and 10 from Panarea (summer scghools) school
* 10 students from Filicudi and 45 from Lipari (Dolphins Explorers)
* 24 students from Lipari (Windgs of the Sea).
* 2 local girls form video animation.
* 500 copiets to children from local middle-school classes, 800 copies to local env. NGO and 700 copies to Italian MPA working with Blue (makerzine)
Q4: from october to december, as total of &gt;16 beneficiaries have been involved, divided into the following courses: 
*Taste the Aeolians: 9 teachers, 26 restaurants, 3 fishers. (already counted, do not double count).
*Wings of the sea: 2 new teachers.
*Adopt a beach: new: 1 teacher, 1 school Director, 1 captain of the coast guard, 2 council members.
*Marine biology courses: new: 3 teachers, 1 fisher.
*Nature photography course: 5 new teachers.
*Video animation: we’ll try to reach the whole local community (10k people - not counted yet).</t>
  </si>
  <si>
    <t>O.8.3</t>
  </si>
  <si>
    <t>Number of outreach activities (or educational programmes)</t>
  </si>
  <si>
    <t>Outreach activities</t>
  </si>
  <si>
    <t>Adopt a beach
Taste the Aeolians
Dolphin explorers
Posidonia summer schools
Marine biology courses
Nature Photography course
The Wings of the Sea
Video environmental education</t>
  </si>
  <si>
    <t xml:space="preserve">Q2: 4 activities: Adopt a Beach, Taste the Aeolian, Marine biology courses, Aeolian makerzine.
Q3: 7 activities: Adopt a beach, 2 summer schools, dolphin explorers, video animation, makerzines, ResponSEAble seafood guide, marine birds monitoring.
Q4: New: Wings of the sea, Nature photography course, Video Animation.  </t>
  </si>
  <si>
    <t>O.8.4</t>
  </si>
  <si>
    <t>Number of kg of waste removed through outreach activities</t>
  </si>
  <si>
    <t>kg</t>
  </si>
  <si>
    <t>Q1: 22kg waste removed from beach by primary school students (cigarette butts were the most abundant litter - 154 pieces).
Q2: During the course with Marevivo, a total of 5 plastic bags with 18.6 kilos of waste have been collected by local students. In particular: 0.8kg of glass, 0.925 kg of paper, 10 kg of iron, 4.9 kg of plastic, 2 kg other waste).
Q3:NA: Marevivo will plan other two cleanups next Oct and Nov.
Q4: a total of 60 new kg of waste collected during the cleanup initiative.</t>
  </si>
  <si>
    <t>Output 8 Activities</t>
  </si>
  <si>
    <t>A.8</t>
  </si>
  <si>
    <t>A.8.1</t>
  </si>
  <si>
    <t>Local education and scientific partners contacted and secured, and partnership expectations laid out</t>
  </si>
  <si>
    <t>Complete</t>
  </si>
  <si>
    <t>A.8.2</t>
  </si>
  <si>
    <t xml:space="preserve">Selection of appropriate guides, vessels, and saftey procedures for the practical field experience sessions  </t>
  </si>
  <si>
    <t>A.8.3</t>
  </si>
  <si>
    <t xml:space="preserve">Teachers, Blue Marine Team and partners plan and produce educational materials </t>
  </si>
  <si>
    <t>A.8.4</t>
  </si>
  <si>
    <t xml:space="preserve">Programmes advertised and school groups selected </t>
  </si>
  <si>
    <t>A.8.5</t>
  </si>
  <si>
    <t xml:space="preserve">Education timetable produced for the summer </t>
  </si>
  <si>
    <t>A.8.6</t>
  </si>
  <si>
    <t>Venues booked for teaching where necessary</t>
  </si>
  <si>
    <t>A.8.7</t>
  </si>
  <si>
    <t xml:space="preserve">Materials for teaching/fieldtrips/fieldwork sourced and distributed </t>
  </si>
  <si>
    <t>A.8.8</t>
  </si>
  <si>
    <t xml:space="preserve">Distribution of pre-course questioniare to measure baseline awareness and knowledge </t>
  </si>
  <si>
    <t>A.8.9</t>
  </si>
  <si>
    <t xml:space="preserve">Lessons and trips delivered </t>
  </si>
  <si>
    <t>A.8.10</t>
  </si>
  <si>
    <t xml:space="preserve">Education and scientific summary reports produced </t>
  </si>
  <si>
    <t>A.8.11</t>
  </si>
  <si>
    <t>Distribution of post-course questioniare to knowledge gain, transfer and behaviour change</t>
  </si>
  <si>
    <t>A.8.12</t>
  </si>
  <si>
    <t xml:space="preserve">Teachers provide feedback </t>
  </si>
  <si>
    <t>In Progress</t>
  </si>
  <si>
    <t>A.8.13</t>
  </si>
  <si>
    <t>Progress reports written and submitted to Swarovski</t>
  </si>
  <si>
    <t>Local school children engaged in marine biology courses (ImpariAmo il Mare and Vivere il Mare)</t>
  </si>
  <si>
    <t>First block of teaching is to be completed 
Second block of teaching is planned for September 2022</t>
  </si>
  <si>
    <t>First block of teaching was completed in June 2022, with more students than anticipated
Second block of teaching was completed in September 2022, with more students than anticipated</t>
  </si>
  <si>
    <t>Local school children display knowledge increase on marine biology topics after taking the ImpariAmo il Mare or Vivere il Mare course</t>
  </si>
  <si>
    <t>% increase</t>
  </si>
  <si>
    <t>4.4.1</t>
  </si>
  <si>
    <t xml:space="preserve">Student surveys </t>
  </si>
  <si>
    <t>Questionaires are fit for purpose and answered truthfully</t>
  </si>
  <si>
    <t xml:space="preserve">Questionaires completed by first block students </t>
  </si>
  <si>
    <t xml:space="preserve">Questionaires were completed by most first block students, next year we will push for all to complete these. This percentage is lower than expected, likley due to data collection methods 
Questionaires were completed by only a few second block students, next year we must push for all to complete these. Return rates too low for meaningful statistics. </t>
  </si>
  <si>
    <t xml:space="preserve">Questionaires completed by second block students </t>
  </si>
  <si>
    <t>Proportion of local middle school children who display intent to share new marine biology knowledge with families and friends</t>
  </si>
  <si>
    <t>%</t>
  </si>
  <si>
    <t>4.4.2</t>
  </si>
  <si>
    <t xml:space="preserve">Questionaires were completed by most first block students, next year we will push for all to complete these  
Questionaires were completed by only a few second block students, next year we must push for all to complete these. Return rates too low for meaningful statistics. </t>
  </si>
  <si>
    <t>Proportion of local middle school children who show indications of pro-environmental behaviour change after taking the courses</t>
  </si>
  <si>
    <t xml:space="preserve">Questionaires were completed by most first block students, next year we will push for all to complete these 
Questionaires were completed by only a few second block students, next year we must push for all to complete these. Return rates too low for meaningful statistics. </t>
  </si>
  <si>
    <t>O.8.5</t>
  </si>
  <si>
    <t xml:space="preserve">Local primary school students engaged in Discover turtle beach programme </t>
  </si>
  <si>
    <t>There is unmet demand for marine education in schools. Partners for delivers are available (teachers, scientists)</t>
  </si>
  <si>
    <t>Unspecified</t>
  </si>
  <si>
    <t>All discover turtle beach programmes to be completed</t>
  </si>
  <si>
    <t>Programme held on all 7 islands of the Aeolain archipelago</t>
  </si>
  <si>
    <t>O.8.6</t>
  </si>
  <si>
    <t xml:space="preserve">International early career marine professionals / recent graduates engaged in Posidona summer school </t>
  </si>
  <si>
    <t xml:space="preserve">Attendence records and scientific reports </t>
  </si>
  <si>
    <t xml:space="preserve">There is unmet demand for career-enhancing oppurtunities in the marine field. </t>
  </si>
  <si>
    <t xml:space="preserve">Summer schools planned for October 2022 
At least ten students per summerschool (which means 20 in total) accross the 2 courses </t>
  </si>
  <si>
    <t xml:space="preserve">Summer schools planned for October 2022
Of 21 applications recieved, 10 students were selected </t>
  </si>
  <si>
    <t>O.8.7</t>
  </si>
  <si>
    <t xml:space="preserve">Presentation delivered to Swarovski's Creatives For Our Future cohort </t>
  </si>
  <si>
    <t>Workshop</t>
  </si>
  <si>
    <t xml:space="preserve">Recording of online workshop </t>
  </si>
  <si>
    <t xml:space="preserve">Swarovski CFOF programme goes ahead and cohort are egaged effectively. </t>
  </si>
  <si>
    <t>Workshop planned for December 2022</t>
  </si>
  <si>
    <t>Workshop delivered by Clare and Giulia 13th December 2022</t>
  </si>
  <si>
    <t>O.8.8</t>
  </si>
  <si>
    <t>Non-monetary beneficiaries (fishers, teachers, scientists)</t>
  </si>
  <si>
    <t>People</t>
  </si>
  <si>
    <t>attendance records</t>
  </si>
  <si>
    <t>active involvement of expertise during the educational activities</t>
  </si>
  <si>
    <t>coordination of all eduational programs</t>
  </si>
  <si>
    <t>Students reached through educational programs</t>
  </si>
  <si>
    <t>finalization of all educational courses successfully</t>
  </si>
  <si>
    <t xml:space="preserve">Q1: Adopt a beach –  51 children from primary schools (A total of 22kg of waste collected, where cigarette butts were the most abundant litter - 154 pieces)
Q1: Taste the Aeolians – NA
Q1: Dolphin explorers – NA
Q1: Posidonia summer schools – NA
Q1: Marine biology courses – NA
Q1: Nature Photography course – NA
Q1: The Wings of the Sea - NA                       Q1: Video environmentla education - NA                    </t>
  </si>
  <si>
    <t>involvement of local children, teachers and fishers successfully</t>
  </si>
  <si>
    <t xml:space="preserve">Q1: Adopt a beach –  6 teachers
Q1: Taste the Aeolians – NA
Q1: Dolphin explorers – NA
Q1: Posidonia summer schools – NA
Q1: Marine biology courses – NA
Q1: Nature Photography course – NA
Q1: The Wings of the Sea - NA                       Q1: Video environmentla education - NA                    </t>
  </si>
  <si>
    <t>Animated video?</t>
  </si>
  <si>
    <t>Progress planned in 2021</t>
  </si>
  <si>
    <t>Progress planned in 2022</t>
  </si>
  <si>
    <t>Progress planned in 2023</t>
  </si>
  <si>
    <t>Output 9</t>
  </si>
  <si>
    <t>O.9</t>
  </si>
  <si>
    <t>Develop a sustainable fishing label with artisanal fishermen of Egadi MPA</t>
  </si>
  <si>
    <t>O.9.1</t>
  </si>
  <si>
    <t>Development of sustainable seafood label</t>
  </si>
  <si>
    <t>Number of labels</t>
  </si>
  <si>
    <t>Copies of documentation of new label</t>
  </si>
  <si>
    <t>Creation of a Responsible Fishery Code of Conduct and related documents rules for its use</t>
  </si>
  <si>
    <r>
      <rPr>
        <sz val="12"/>
        <color rgb="FF000000"/>
        <rFont val="Calibri"/>
        <family val="2"/>
      </rPr>
      <t>February - May 2021</t>
    </r>
    <r>
      <rPr>
        <b/>
        <sz val="12"/>
        <color rgb="FF000000"/>
        <rFont val="Calibri"/>
        <family val="2"/>
      </rPr>
      <t xml:space="preserve">:                                                                   </t>
    </r>
    <r>
      <rPr>
        <sz val="12"/>
        <color rgb="FF000000"/>
        <rFont val="Calibri"/>
        <family val="2"/>
      </rPr>
      <t>- 1 Code of Conduct has been prepared, discussed, accepted ad signed by local fishers. The code defines fishing practices in line to low-impact behaviors applied by local fishers. Parallelly, a sustainable seafood label has been realized to easily identify the promoters and fishers that adhered to the project.</t>
    </r>
  </si>
  <si>
    <t>indicator already reported</t>
  </si>
  <si>
    <t>O.9.2</t>
  </si>
  <si>
    <t>Number of fishers signed up to the code of conduct</t>
  </si>
  <si>
    <t>Number of fishers</t>
  </si>
  <si>
    <t>3.2.2</t>
  </si>
  <si>
    <t>List of signatories</t>
  </si>
  <si>
    <t>involvement of local fihsers in the Code of Conduct</t>
  </si>
  <si>
    <t>March- October 2022:
A total of 30 fishers joined successfully the resp. fishing label. 
 (in total):  10 Marettimo Isand, 17 Favignana Island, 3 Levanzo Island</t>
  </si>
  <si>
    <t>O.9.3</t>
  </si>
  <si>
    <t>Number of commercially exploited species across which improved management measures have been adopted</t>
  </si>
  <si>
    <t>Number of marine species</t>
  </si>
  <si>
    <t>3.3.3</t>
  </si>
  <si>
    <t>Fishing monitoring and identification of target species</t>
  </si>
  <si>
    <t xml:space="preserve">March - May 2022: 
During the fish monitoring program with the local fishery, three target species have been identified for the responsible fishing label: the sardines, the prawns and the bottarga of bluefin tuna caught locally.    </t>
  </si>
  <si>
    <t>O.9.4</t>
  </si>
  <si>
    <t>Number of fishermen receiving non-monetary benefits (i.e. ice boxes) as a result of being part of the code of conduct</t>
  </si>
  <si>
    <t>Number of beneficiaries (fishermen)</t>
  </si>
  <si>
    <t>Socio-economic study results</t>
  </si>
  <si>
    <t>Purchase and distribution of insulated fish boxes</t>
  </si>
  <si>
    <t>March - October 2022:
A total of 30 fishers have received a total of 33 insulated fish box for improving the freshness of the daily fish catch, which respect the national food security laws (HACCP).</t>
  </si>
  <si>
    <t>O.9.5</t>
  </si>
  <si>
    <t>Number of outreach activities completed to educate and inform people of the label and benefits</t>
  </si>
  <si>
    <t>Number of outreach activities (events/leaflets/presentations)</t>
  </si>
  <si>
    <t>Photos, attendance records, copies of materials used</t>
  </si>
  <si>
    <t>Socio-economic survey: drafting and distribution of questionnaires</t>
  </si>
  <si>
    <t>August - September 2020:                                                           4 different questionnaires have been prepared for local fishers, restaurateurs, fish mongers and consumers, for testing the local interest and the opportunities that the fish label can bring to local stakeholders. A total of 39 people (8 fishers, 5 restaurateur owners, 2 fish mongers, 24 consumers) have joined the initiative.</t>
  </si>
  <si>
    <t>graphic work for flyers creation</t>
  </si>
  <si>
    <t>On October and November, total of 700 flyers about the responsible fishing label have been distributed widely and successfully during three open events and one meeting with local schools.</t>
  </si>
  <si>
    <t>O.9.6</t>
  </si>
  <si>
    <t>Number of members of the public reached through these outreach activities</t>
  </si>
  <si>
    <t>Number of members of the public reached</t>
  </si>
  <si>
    <t>Attendance records, number of copies of materials distributed</t>
  </si>
  <si>
    <t>planning of awarenees meetings/events</t>
  </si>
  <si>
    <t xml:space="preserve">From September to November, a total of 1.350 people have been informed successfully about the responsible fishing label, either during open events and at local schools:
Coldiretti event: 100
EUDI event: 1000
Tuna Fish Event: 100
Local schools: 150
</t>
  </si>
  <si>
    <t>O.9.7</t>
  </si>
  <si>
    <t>Number of restaurants involved in the code of conduct scheme</t>
  </si>
  <si>
    <t>Number of restaurants</t>
  </si>
  <si>
    <t>Copies of menus referencing the sustainable seafood label</t>
  </si>
  <si>
    <t>Creation of a restaurateurs check list to be involved in the project</t>
  </si>
  <si>
    <t xml:space="preserve">July 2022:
the MPA staff organized several meetings with local restaurant owners for their direct involvement in the project, for including the targeted species in their menus. So far, a total of 4 restaurants have joined the initiative     </t>
  </si>
  <si>
    <t>involvement of local restaurants in the responsible fishing label</t>
  </si>
  <si>
    <t xml:space="preserve">From August to October, three (one in Marettimo and two in Favignana) of around twelve local restaurant owners joined the responsible menu successfully. In the island, few entrepreneurs manage local restaurants, so a good representative sample of the restaurants and restaurateurs was involved.
</t>
  </si>
  <si>
    <t>ADDED ROW: fish survey for general monitoring and selection of the species targeted for the label</t>
  </si>
  <si>
    <t>number of surveys</t>
  </si>
  <si>
    <t>days of activites at sea</t>
  </si>
  <si>
    <t>fish monitoring for general analysis of local fish stocks</t>
  </si>
  <si>
    <t>60 fish surveys were carried out successfully for monitoring the general status of local fish stocks, as well as for identifying the most proper species for the responsible fish label.</t>
  </si>
  <si>
    <t>ADDED ROW: production of video for local awareness</t>
  </si>
  <si>
    <t>numver of short videos</t>
  </si>
  <si>
    <t>From July to August, three short videos have been created for local awareness about sustainable fishing practices and the benefits of fish short supply chains.</t>
  </si>
  <si>
    <t xml:space="preserve">APPIN PLS SEE THIS ROW INSERTED NO IN END 2023: THIS DATA BELONG TO LAST AUGUST BUT IT HAS BEEN REPORTED ONLY NOW </t>
  </si>
  <si>
    <t>Output 9 Activities</t>
  </si>
  <si>
    <t>A.9</t>
  </si>
  <si>
    <t>A.9.1</t>
  </si>
  <si>
    <t>A.9.2</t>
  </si>
  <si>
    <t>A.9.3</t>
  </si>
  <si>
    <t>A.9.4</t>
  </si>
  <si>
    <t>A.9.5</t>
  </si>
  <si>
    <t>Output 10</t>
  </si>
  <si>
    <t>O.10</t>
  </si>
  <si>
    <t>Preserving endangered sharks and rays in their ultimate Mediterranean
hotspots – PRESTO</t>
  </si>
  <si>
    <t>O.10.1</t>
  </si>
  <si>
    <t>Evaluation of distribution patterns and abundance of endangered sharks and rays in Italy (Act 2)</t>
  </si>
  <si>
    <t>Reports/maps/investigations on elasmobranchs</t>
  </si>
  <si>
    <t>Q1: july-Aug: The first field survey was carried out successfully, aiming at monitoring and describing the distribution, abundance and diversity of threatened sharks and rays in the Italian study area
Q2: Sept-Oct: FROM SZN:
The second field survey was carried out successfully, aiming at monitoring and describing the distribution, abundance and diversity of threatened sharks and rays in the Italian study area. A novel experimental sampling technique has been successfully tested in the Pelagie Archipelago.</t>
  </si>
  <si>
    <t>O.10.2</t>
  </si>
  <si>
    <t>Socio-economic evaluation of elasmobranch fishery in the Archipelago in Italy and Tunisia (Act 3 and Act 4)</t>
  </si>
  <si>
    <t>Fishing/questionnaires/elasmobranchs interactions with fishery</t>
  </si>
  <si>
    <t>Q1: Administration of questionnaires to 15 local fishers in Lampedusa Island and collection of information on by-catch occurrence of sharks and rays in the Pelagie Archipelago, along with their perceived value. 
- 20 questionnaires carried out In the Gulf of Gabès to evaluate the socio-economic value of shark fishing in the area
Q2: Sept-mid Nov: FROM ASCOB-SYRTIS:
A total of 41 questionnaires (fishers) were done locally.</t>
  </si>
  <si>
    <t>O.10.3</t>
  </si>
  <si>
    <t>Development and distribution of maps and reports on species composition of elasmobranch communities in the Gulf of Gabes (Act 5)</t>
  </si>
  <si>
    <t>Reports/maps/investigations</t>
  </si>
  <si>
    <t>Q1: Two field surveys carried out successfully, to monitor and describe the distribution, abundance, and diversity of threatened sharks and rays in the Gulf of Gabès area.
Q2: sept-mid nov: FROM ASCOB-SYRTIS:
FROM ASCOB-SYRTIS:
To monitor and describe the distribution, abundance and diversity of threatened sharks and rays in the Gulf of Gabès area, a total of 20 fishing days were done locally.</t>
  </si>
  <si>
    <t>O.10.4</t>
  </si>
  <si>
    <t>1 short video documentary (Act 6)</t>
  </si>
  <si>
    <t>Outreach tool</t>
  </si>
  <si>
    <t>Q1 july-Aug: Photos and short videos documenting field activities and the sampling methods have been carried out successfully, both in Pelagie and in Gulf of Gabès.
Q2: sept-oct: BOTH SZN AND ASCOB-SYRTIS:
Photos and short videos documenting field activities and the sampling methods have been carried out both in Pelagie and in the Gulf of Gabès.</t>
  </si>
  <si>
    <t>O.10.5</t>
  </si>
  <si>
    <t>Presentation of the preliminary results and the aims of the project to local communities (Act 6)</t>
  </si>
  <si>
    <t>Outreach activity</t>
  </si>
  <si>
    <t>Q1: jul-sept:        
FROM SZN:
* 8th-19th Sept: one presentation of the project at the Shark Expert meeting. 12 people reached.
FROM ASCOB-SYRTIS:
*July 31th: one event during the Shark Awareness Day. 40 people reached 
*August 1st: one the experts meeting organized by the WWF North Africa. Around 15 experts attended.
*12th-16th Sept: one event in Sfax ‘Sustainable Management of Natural Ecosystems for an Ecological Transition Forum: Act before Suffering!’. About 40 attendees.
Q2: FROM SZN:
* 29th September: European Researcher’s Night in Lampione island
* 20th October: presentation of the project at the national radio broadcast
* 11th November:  presentation of the project at the main national newspaper in Italy</t>
  </si>
  <si>
    <t>O.10.6</t>
  </si>
  <si>
    <t>Number of people reached through presentation of the preliminary results and the aims of the project to local communities (Act 6)</t>
  </si>
  <si>
    <t>Stakeholders reached</t>
  </si>
  <si>
    <r>
      <t xml:space="preserve">Q1: jul-sept: Different stakeholders (Administration, NGOs, fishers, researchers) attended the four meetings in Tunisia: 12 people involved by SZN and 95 people involved by Ascob-Syrtis. 
Q2: sept-nov: FORM SZN:
- General public has been reached through the interviews released to the radio and newspaper, during October and November.
</t>
    </r>
    <r>
      <rPr>
        <b/>
        <sz val="11"/>
        <color theme="1"/>
        <rFont val="Calibri"/>
        <family val="2"/>
        <scheme val="minor"/>
      </rPr>
      <t>- A scientific paper dealing with an important area for the protection of the Critically Endangered Shortfin Mako has been published in a scientific journal, on November 1st.</t>
    </r>
    <r>
      <rPr>
        <sz val="11"/>
        <color theme="1"/>
        <rFont val="Calibri"/>
        <family val="2"/>
        <scheme val="minor"/>
      </rPr>
      <t xml:space="preserve">
- SZN researchers participated in the European Researcher’s Night held in the Pelagie MPA office, on the 29th of September. Around 70 people joined.
</t>
    </r>
  </si>
  <si>
    <t>Output 10 Activities</t>
  </si>
  <si>
    <t>A.10</t>
  </si>
  <si>
    <t>A.10.1</t>
  </si>
  <si>
    <t>A.10.2</t>
  </si>
  <si>
    <t>A.10.3</t>
  </si>
  <si>
    <t>Progress planned in 2024</t>
  </si>
  <si>
    <t>Progress achieved in 2024</t>
  </si>
  <si>
    <t>Output 11</t>
  </si>
  <si>
    <t>O.11</t>
  </si>
  <si>
    <t>O.11.1</t>
  </si>
  <si>
    <t>Posidonia meadows and coralligenous habitats are characterised</t>
  </si>
  <si>
    <t>Number of reports</t>
  </si>
  <si>
    <t>Q1: NA</t>
  </si>
  <si>
    <t>O.11.2</t>
  </si>
  <si>
    <t>Turtle nesting sites are characterised and monitored</t>
  </si>
  <si>
    <t>O.11.3</t>
  </si>
  <si>
    <t>SAC is expanded (number of km2 newly under protection)</t>
  </si>
  <si>
    <t>O.11.4</t>
  </si>
  <si>
    <t>Social media communication, general awareness is completed (people reached through presentations, workshops and other events)</t>
  </si>
  <si>
    <t>O.11.5</t>
  </si>
  <si>
    <t>Social media communication, general awareness is completed (number of outreach tools/activites/events held or attended)</t>
  </si>
  <si>
    <t>Outreach tools/activities</t>
  </si>
  <si>
    <t>Q1: A total of two social posts (on IG and FB) launched the project on social platforms; seven local newspapers spoke about the Blue Marine project and two project description have been reported on the MPA page.</t>
  </si>
  <si>
    <t>O.11.6</t>
  </si>
  <si>
    <t>Beneficiaries are reached about the project (school children, local students) reached through outreach activities</t>
  </si>
  <si>
    <t>Number of students</t>
  </si>
  <si>
    <t>Output 11 Activities</t>
  </si>
  <si>
    <t>A.11</t>
  </si>
  <si>
    <t>A.11.1</t>
  </si>
  <si>
    <t>A.11.2</t>
  </si>
  <si>
    <t>A.11.3</t>
  </si>
  <si>
    <t>Output</t>
  </si>
  <si>
    <t>U.1</t>
  </si>
  <si>
    <t>Stakeholders reached through social media</t>
  </si>
  <si>
    <t>Includes posts fro across all outputs and sites</t>
  </si>
  <si>
    <t>Reach statistics from BLUE social media channels</t>
  </si>
  <si>
    <t>Total reach: 146,228
Total engagements: 10,102</t>
  </si>
  <si>
    <t>U.2</t>
  </si>
  <si>
    <t>Stakeholders reached through outreach tools and activities</t>
  </si>
  <si>
    <t>O.3.3 Q2: (may). one webinar about how to preserve marine habitats, with one Blue member presenting theproject. 666 auditors recorded (online and in presence).</t>
  </si>
  <si>
    <t>U.3</t>
  </si>
  <si>
    <t>U.4</t>
  </si>
  <si>
    <t>U.5</t>
  </si>
  <si>
    <t>U.6</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</si>
  <si>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</si>
  <si>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</si>
  <si>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</si>
  <si>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</si>
  <si>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</si>
  <si>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</si>
  <si>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</si>
  <si>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</si>
  <si>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</si>
  <si>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</si>
  <si>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</si>
  <si>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</si>
  <si>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</si>
  <si>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</si>
  <si>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</si>
  <si>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</si>
  <si>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</si>
  <si>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</si>
  <si>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</si>
  <si>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</si>
  <si>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</si>
  <si>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</si>
  <si>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</si>
  <si>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</si>
  <si>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</si>
  <si>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</si>
  <si>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</si>
  <si>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</si>
  <si>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</si>
  <si>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1.1.2</t>
  </si>
  <si>
    <t>1.1.3</t>
  </si>
  <si>
    <t>1.2.1</t>
  </si>
  <si>
    <t>1.2.2</t>
  </si>
  <si>
    <t>1.2.3</t>
  </si>
  <si>
    <t>1.3.1</t>
  </si>
  <si>
    <t>1.4.2</t>
  </si>
  <si>
    <t>Outputs:</t>
  </si>
  <si>
    <t>2.1.2</t>
  </si>
  <si>
    <t>2.2.2</t>
  </si>
  <si>
    <t>2.2.3</t>
  </si>
  <si>
    <t>2.3.1</t>
  </si>
  <si>
    <t>2.3.2</t>
  </si>
  <si>
    <t>2.3.3</t>
  </si>
  <si>
    <t>2.4.2</t>
  </si>
  <si>
    <t>2.4.3</t>
  </si>
  <si>
    <t>3.1.1</t>
  </si>
  <si>
    <t>3.1.2</t>
  </si>
  <si>
    <t>3.2.3</t>
  </si>
  <si>
    <t>3.2.4</t>
  </si>
  <si>
    <t>3.3.1</t>
  </si>
  <si>
    <t>3.3.2</t>
  </si>
  <si>
    <t>3.4.2</t>
  </si>
  <si>
    <t>4.3.1</t>
  </si>
  <si>
    <t>5.1.1</t>
  </si>
  <si>
    <t>5.1.2</t>
  </si>
  <si>
    <t>5.1.3</t>
  </si>
  <si>
    <t>5.2.1</t>
  </si>
  <si>
    <t>5.2.2</t>
  </si>
  <si>
    <t>5.3.1</t>
  </si>
  <si>
    <t>5.3.2</t>
  </si>
  <si>
    <t>5.3.3</t>
  </si>
  <si>
    <t>5.4.1</t>
  </si>
  <si>
    <t>5.4.2</t>
  </si>
  <si>
    <t>5.4.3</t>
  </si>
  <si>
    <t>6.1.1</t>
  </si>
  <si>
    <t>6.1.2</t>
  </si>
  <si>
    <t>6.1.3</t>
  </si>
  <si>
    <t>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</si>
</sst>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
      <sz val="11"/>
      <color rgb="FF000000"/>
      <name val="Calibri"/>
      <family val="2"/>
      <scheme val="minor"/>
    </font>
    <font>
      <b/>
      <u/>
      <sz val="11"/>
      <name val="Calibri"/>
      <family val="2"/>
      <scheme val="minor"/>
    </font>
    <font>
      <sz val="11"/>
      <color rgb="FF000000"/>
      <name val="Calibri"/>
      <family val="2"/>
    </font>
    <font>
      <b/>
      <sz val="11"/>
      <color rgb="FF000000"/>
      <name val="Calibri"/>
      <family val="2"/>
    </font>
    <font>
      <b/>
      <sz val="11"/>
      <color rgb="FFFF0000"/>
      <name val="Calibri"/>
      <family val="2"/>
    </font>
    <font>
      <sz val="11"/>
      <name val="Calibri"/>
      <family val="2"/>
    </font>
    <font>
      <b/>
      <sz val="11"/>
      <name val="Calibri"/>
      <family val="2"/>
    </font>
    <font>
      <sz val="11"/>
      <color rgb="FFFF0000"/>
      <name val="Calibri"/>
      <family val="2"/>
    </font>
    <font>
      <sz val="11"/>
      <color rgb="FFFF0000"/>
      <name val="Calibri"/>
      <family val="2"/>
      <scheme val="minor"/>
    </font>
    <font>
      <b/>
      <sz val="11"/>
      <color rgb="FFFF0000"/>
      <name val="Calibri"/>
      <family val="2"/>
      <scheme val="minor"/>
    </font>
    <font>
      <sz val="11"/>
      <color theme="1"/>
      <name val="Calibri"/>
      <family val="2"/>
    </font>
    <font>
      <b/>
      <u/>
      <sz val="11"/>
      <color rgb="FF000000"/>
      <name val="Calibri"/>
      <family val="2"/>
    </font>
    <font>
      <strike/>
      <sz val="11"/>
      <name val="Calibri"/>
      <family val="2"/>
      <scheme val="minor"/>
    </font>
    <font>
      <sz val="10.5"/>
      <color rgb="FF242424"/>
      <name val="Calibri"/>
      <family val="2"/>
      <charset val="1"/>
    </font>
    <font>
      <strike/>
      <sz val="11"/>
      <color rgb="FF000000"/>
      <name val="Calibri"/>
      <family val="2"/>
    </font>
    <font>
      <sz val="11"/>
      <color rgb="FF000000"/>
      <name val="Calibri"/>
      <family val="2"/>
      <charset val="1"/>
    </font>
    <font>
      <sz val="11"/>
      <color rgb="FFFF0000"/>
      <name val="Calibri"/>
      <family val="2"/>
      <charset val="1"/>
    </font>
    <font>
      <strike/>
      <sz val="11"/>
      <color theme="1"/>
      <name val="Calibri"/>
      <family val="2"/>
      <scheme val="minor"/>
    </font>
    <font>
      <sz val="12"/>
      <color theme="1"/>
      <name val="Calibri"/>
      <family val="2"/>
      <charset val="1"/>
    </font>
    <font>
      <sz val="12"/>
      <color rgb="FF000000"/>
      <name val="Calibri"/>
      <family val="2"/>
    </font>
    <font>
      <b/>
      <sz val="12"/>
      <color rgb="FF000000"/>
      <name val="Calibri"/>
      <family val="2"/>
    </font>
    <font>
      <sz val="12"/>
      <color rgb="FF000000"/>
      <name val="Calibri"/>
      <family val="2"/>
      <charset val="1"/>
    </font>
    <font>
      <i/>
      <sz val="11"/>
      <color rgb="FF000000"/>
      <name val="Calibri"/>
      <family val="2"/>
    </font>
    <font>
      <sz val="11"/>
      <color rgb="FF0070C0"/>
      <name val="Calibri"/>
      <family val="2"/>
      <scheme val="minor"/>
    </font>
    <font>
      <sz val="10"/>
      <color rgb="FFFF0000"/>
      <name val="Calibri"/>
      <family val="2"/>
      <charset val="1"/>
    </font>
    <font>
      <sz val="10"/>
      <color rgb="FFFF0000"/>
      <name val="Calibri"/>
      <family val="2"/>
    </font>
    <font>
      <vertAlign val="superscript"/>
      <sz val="10"/>
      <color rgb="FFFF0000"/>
      <name val="Calibri"/>
      <family val="2"/>
    </font>
    <font>
      <sz val="11"/>
      <color rgb="FF5BD4FF"/>
      <name val="Calibri"/>
      <family val="2"/>
      <scheme val="minor"/>
    </font>
  </fonts>
  <fills count="16">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s>
  <cellStyleXfs count="3">
    <xf numFmtId="0" fontId="0" fillId="0" borderId="0"/>
    <xf numFmtId="9" fontId="9" fillId="0" borderId="0" applyFont="0" applyFill="0" applyBorder="0" applyAlignment="0" applyProtection="0"/>
    <xf numFmtId="0" fontId="18" fillId="0" borderId="0" applyNumberFormat="0" applyFill="0" applyBorder="0" applyAlignment="0" applyProtection="0"/>
  </cellStyleXfs>
  <cellXfs count="170">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10" fillId="2" borderId="0" xfId="0" applyFont="1" applyFill="1" applyAlignment="1">
      <alignment horizontal="center" vertical="center" wrapText="1"/>
    </xf>
    <xf numFmtId="0" fontId="3" fillId="3" borderId="0" xfId="0" applyFont="1" applyFill="1" applyAlignment="1">
      <alignment horizontal="center" vertical="center" wrapText="1"/>
    </xf>
    <xf numFmtId="0" fontId="7" fillId="3" borderId="0" xfId="0" applyFont="1" applyFill="1" applyAlignment="1">
      <alignment horizontal="center" vertical="center" wrapText="1"/>
    </xf>
    <xf numFmtId="0" fontId="8" fillId="3" borderId="0" xfId="0" applyFont="1" applyFill="1" applyAlignment="1">
      <alignment horizontal="left" vertical="center" wrapText="1"/>
    </xf>
    <xf numFmtId="0" fontId="3" fillId="4" borderId="0" xfId="0" applyFont="1" applyFill="1" applyAlignment="1">
      <alignment horizontal="center" vertical="center" wrapText="1"/>
    </xf>
    <xf numFmtId="0" fontId="2" fillId="3" borderId="0" xfId="0" applyFont="1" applyFill="1" applyAlignment="1">
      <alignment horizontal="center" vertical="center" wrapText="1"/>
    </xf>
    <xf numFmtId="0" fontId="7"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8" fillId="3" borderId="0" xfId="0" applyFont="1" applyFill="1" applyAlignment="1">
      <alignment horizontal="center" vertical="center" wrapText="1"/>
    </xf>
    <xf numFmtId="0" fontId="3" fillId="3" borderId="0" xfId="0" applyFont="1" applyFill="1" applyAlignment="1">
      <alignment vertical="center" wrapText="1"/>
    </xf>
    <xf numFmtId="0" fontId="2" fillId="4" borderId="0" xfId="0" applyFont="1" applyFill="1" applyAlignment="1">
      <alignment horizontal="center" vertical="center" wrapText="1"/>
    </xf>
    <xf numFmtId="0" fontId="3"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3"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3" borderId="0" xfId="0" applyFill="1" applyAlignment="1">
      <alignment horizontal="center"/>
    </xf>
    <xf numFmtId="0" fontId="16" fillId="2" borderId="0" xfId="0" applyFont="1" applyFill="1" applyAlignment="1">
      <alignment horizontal="center" vertical="center" wrapText="1"/>
    </xf>
    <xf numFmtId="0" fontId="14" fillId="0" borderId="0" xfId="0" applyFont="1"/>
    <xf numFmtId="9" fontId="14" fillId="0" borderId="0" xfId="0" applyNumberFormat="1" applyFont="1"/>
    <xf numFmtId="0" fontId="7" fillId="3" borderId="0" xfId="0" applyFont="1" applyFill="1" applyAlignment="1">
      <alignment horizontal="left" vertical="center" wrapText="1"/>
    </xf>
    <xf numFmtId="0" fontId="2" fillId="3" borderId="0" xfId="0" applyFont="1" applyFill="1" applyAlignment="1">
      <alignment horizontal="left" vertical="center" wrapText="1"/>
    </xf>
    <xf numFmtId="0" fontId="11" fillId="0" borderId="0" xfId="0" applyFont="1" applyAlignment="1">
      <alignment horizontal="left" vertical="center" wrapText="1"/>
    </xf>
    <xf numFmtId="0" fontId="14" fillId="0" borderId="0" xfId="0" applyFont="1" applyAlignment="1">
      <alignment horizontal="center"/>
    </xf>
    <xf numFmtId="0" fontId="2" fillId="3" borderId="0" xfId="0" applyFont="1" applyFill="1" applyAlignment="1">
      <alignment vertical="center" wrapText="1"/>
    </xf>
    <xf numFmtId="0" fontId="6" fillId="3" borderId="0" xfId="0" applyFont="1" applyFill="1" applyAlignment="1">
      <alignment horizontal="left" vertical="center" wrapText="1"/>
    </xf>
    <xf numFmtId="0" fontId="12" fillId="3" borderId="0" xfId="0" applyFont="1" applyFill="1" applyAlignment="1">
      <alignment vertical="center" wrapText="1"/>
    </xf>
    <xf numFmtId="0" fontId="7" fillId="3" borderId="0" xfId="0" applyFont="1" applyFill="1" applyAlignment="1">
      <alignment vertical="center" wrapText="1"/>
    </xf>
    <xf numFmtId="0" fontId="0" fillId="3" borderId="0" xfId="0" applyFill="1" applyAlignment="1">
      <alignment horizontal="center" vertical="center" wrapText="1"/>
    </xf>
    <xf numFmtId="0" fontId="17" fillId="2" borderId="0" xfId="0" applyFont="1" applyFill="1" applyAlignment="1">
      <alignment vertical="center"/>
    </xf>
    <xf numFmtId="0" fontId="17"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8" fillId="0" borderId="0" xfId="2" applyAlignment="1">
      <alignment vertical="top" wrapText="1"/>
    </xf>
    <xf numFmtId="0" fontId="2" fillId="0" borderId="0" xfId="0" applyFont="1" applyAlignment="1">
      <alignment vertical="top" wrapText="1"/>
    </xf>
    <xf numFmtId="0" fontId="18" fillId="0" borderId="0" xfId="2" applyFill="1" applyAlignment="1">
      <alignment wrapText="1"/>
    </xf>
    <xf numFmtId="0" fontId="18" fillId="0" borderId="0" xfId="2" applyAlignment="1">
      <alignment wrapText="1"/>
    </xf>
    <xf numFmtId="0" fontId="19" fillId="0" borderId="0" xfId="0" applyFont="1" applyAlignment="1">
      <alignment horizontal="center" vertical="center" wrapText="1"/>
    </xf>
    <xf numFmtId="0" fontId="10" fillId="8" borderId="0" xfId="0" applyFont="1" applyFill="1" applyAlignment="1">
      <alignment horizontal="center" vertical="center" wrapText="1"/>
    </xf>
    <xf numFmtId="0" fontId="14" fillId="0" borderId="0" xfId="0" applyFont="1" applyAlignment="1">
      <alignment horizontal="center" vertical="center"/>
    </xf>
    <xf numFmtId="0" fontId="16" fillId="8" borderId="0" xfId="0" applyFont="1" applyFill="1" applyAlignment="1">
      <alignment horizontal="center" vertical="center" wrapText="1"/>
    </xf>
    <xf numFmtId="0" fontId="20" fillId="10" borderId="0" xfId="0" applyFont="1" applyFill="1" applyAlignment="1">
      <alignment horizontal="center" vertical="center" wrapText="1"/>
    </xf>
    <xf numFmtId="0" fontId="10" fillId="11" borderId="0" xfId="0" applyFont="1" applyFill="1" applyAlignment="1">
      <alignment horizontal="center" vertical="center" wrapText="1"/>
    </xf>
    <xf numFmtId="0" fontId="16" fillId="11" borderId="0" xfId="0" applyFont="1" applyFill="1" applyAlignment="1">
      <alignment horizontal="center" vertical="center" wrapText="1"/>
    </xf>
    <xf numFmtId="0" fontId="10" fillId="3" borderId="0" xfId="0" applyFont="1" applyFill="1" applyAlignment="1">
      <alignment horizontal="center" vertical="center" wrapText="1"/>
    </xf>
    <xf numFmtId="0" fontId="13" fillId="3" borderId="0" xfId="0" applyFont="1" applyFill="1" applyAlignment="1">
      <alignment vertical="center"/>
    </xf>
    <xf numFmtId="0" fontId="0" fillId="3" borderId="0" xfId="0" applyFill="1" applyAlignment="1">
      <alignment horizontal="left" vertical="center" wrapText="1"/>
    </xf>
    <xf numFmtId="0" fontId="2" fillId="0" borderId="0" xfId="0" applyFont="1"/>
    <xf numFmtId="0" fontId="16" fillId="9" borderId="1" xfId="0" applyFont="1" applyFill="1" applyBorder="1" applyAlignment="1">
      <alignment horizontal="center" vertical="center" wrapText="1"/>
    </xf>
    <xf numFmtId="0" fontId="14" fillId="0" borderId="2" xfId="0" applyFont="1" applyBorder="1" applyAlignment="1">
      <alignment horizontal="center"/>
    </xf>
    <xf numFmtId="0" fontId="0" fillId="0" borderId="0" xfId="0" applyAlignment="1">
      <alignment horizontal="left" wrapText="1"/>
    </xf>
    <xf numFmtId="0" fontId="21" fillId="0" borderId="0" xfId="0" applyFont="1" applyAlignment="1">
      <alignment vertical="center" wrapText="1"/>
    </xf>
    <xf numFmtId="0" fontId="18" fillId="0" borderId="0" xfId="2" applyAlignment="1">
      <alignment horizontal="left" vertical="center" wrapText="1"/>
    </xf>
    <xf numFmtId="0" fontId="18" fillId="0" borderId="0" xfId="2" applyAlignment="1">
      <alignment vertical="center" wrapText="1"/>
    </xf>
    <xf numFmtId="0" fontId="26" fillId="0" borderId="0" xfId="0" applyFont="1" applyAlignment="1">
      <alignment horizontal="left" vertical="center" wrapText="1"/>
    </xf>
    <xf numFmtId="0" fontId="29" fillId="0" borderId="0" xfId="0" applyFont="1" applyAlignment="1">
      <alignment horizontal="center" vertical="center" wrapText="1"/>
    </xf>
    <xf numFmtId="0" fontId="29" fillId="0" borderId="0" xfId="0" applyFont="1" applyAlignment="1">
      <alignment horizontal="left" vertical="center" wrapText="1"/>
    </xf>
    <xf numFmtId="0" fontId="28" fillId="0" borderId="0" xfId="0" applyFont="1" applyAlignment="1">
      <alignment horizontal="left" vertical="center" wrapText="1"/>
    </xf>
    <xf numFmtId="0" fontId="29" fillId="0" borderId="0" xfId="0" applyFont="1" applyAlignment="1">
      <alignment horizontal="center" vertical="center"/>
    </xf>
    <xf numFmtId="0" fontId="30" fillId="3" borderId="0" xfId="0" applyFont="1" applyFill="1" applyAlignment="1">
      <alignment horizontal="center" vertical="center" wrapText="1"/>
    </xf>
    <xf numFmtId="0" fontId="31" fillId="0" borderId="0" xfId="0" applyFont="1" applyAlignment="1">
      <alignment horizontal="left" vertical="center" wrapText="1"/>
    </xf>
    <xf numFmtId="0" fontId="23" fillId="0" borderId="0" xfId="0" applyFont="1" applyAlignment="1">
      <alignment horizontal="left" vertical="center" wrapText="1"/>
    </xf>
    <xf numFmtId="0" fontId="26" fillId="0" borderId="0" xfId="0" applyFont="1" applyAlignment="1">
      <alignment vertical="center"/>
    </xf>
    <xf numFmtId="9" fontId="2" fillId="0" borderId="0" xfId="0" applyNumberFormat="1" applyFont="1" applyAlignment="1">
      <alignment horizontal="center" vertical="center" wrapText="1"/>
    </xf>
    <xf numFmtId="9" fontId="2" fillId="0" borderId="0" xfId="0" applyNumberFormat="1" applyFont="1" applyAlignment="1">
      <alignment horizontal="center" vertical="center"/>
    </xf>
    <xf numFmtId="9" fontId="29" fillId="0" borderId="0" xfId="0" applyNumberFormat="1" applyFont="1" applyAlignment="1">
      <alignment horizontal="center" vertical="center" wrapText="1"/>
    </xf>
    <xf numFmtId="0" fontId="28" fillId="0" borderId="0" xfId="0" applyFont="1" applyAlignment="1">
      <alignment vertical="center" wrapText="1"/>
    </xf>
    <xf numFmtId="0" fontId="28" fillId="0" borderId="0" xfId="0" applyFont="1" applyAlignment="1">
      <alignment wrapText="1"/>
    </xf>
    <xf numFmtId="0" fontId="28" fillId="0" borderId="0" xfId="0" applyFont="1" applyAlignment="1">
      <alignment horizontal="center" vertical="center" wrapText="1"/>
    </xf>
    <xf numFmtId="0" fontId="26" fillId="0" borderId="0" xfId="0" applyFont="1" applyAlignment="1">
      <alignment vertical="center" wrapText="1"/>
    </xf>
    <xf numFmtId="0" fontId="23" fillId="0" borderId="0" xfId="0" applyFont="1" applyAlignment="1">
      <alignment horizontal="center" vertical="center" wrapText="1"/>
    </xf>
    <xf numFmtId="0" fontId="2" fillId="0" borderId="0" xfId="0" applyFont="1" applyAlignment="1" applyProtection="1">
      <alignment horizontal="left" vertical="center" wrapText="1"/>
      <protection locked="0"/>
    </xf>
    <xf numFmtId="9" fontId="2" fillId="0" borderId="0" xfId="0" applyNumberFormat="1" applyFont="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horizontal="left" vertical="center" wrapText="1"/>
      <protection locked="0"/>
    </xf>
    <xf numFmtId="0" fontId="2" fillId="0" borderId="0" xfId="0" applyFont="1" applyAlignment="1">
      <alignment horizontal="left" vertical="top" wrapText="1"/>
    </xf>
    <xf numFmtId="9" fontId="0" fillId="0" borderId="0" xfId="0" applyNumberFormat="1" applyAlignment="1">
      <alignment horizontal="center" vertical="center" wrapText="1"/>
    </xf>
    <xf numFmtId="10" fontId="0" fillId="0" borderId="0" xfId="0" applyNumberFormat="1" applyAlignment="1">
      <alignment horizontal="center" vertical="center" wrapText="1"/>
    </xf>
    <xf numFmtId="0" fontId="26" fillId="0" borderId="0" xfId="0" applyFont="1" applyAlignment="1">
      <alignment wrapText="1"/>
    </xf>
    <xf numFmtId="0" fontId="2" fillId="0" borderId="0" xfId="0" applyFont="1" applyAlignment="1">
      <alignment vertical="center"/>
    </xf>
    <xf numFmtId="0" fontId="30" fillId="4" borderId="0" xfId="0" applyFont="1" applyFill="1" applyAlignment="1">
      <alignment horizontal="center" vertical="center" wrapText="1"/>
    </xf>
    <xf numFmtId="0" fontId="30" fillId="3" borderId="0" xfId="0" applyFont="1" applyFill="1" applyAlignment="1">
      <alignment horizontal="left" vertical="center" wrapText="1"/>
    </xf>
    <xf numFmtId="0" fontId="29" fillId="0" borderId="0" xfId="0" applyFont="1" applyAlignment="1">
      <alignment horizontal="left" vertical="center"/>
    </xf>
    <xf numFmtId="0" fontId="29" fillId="3" borderId="0" xfId="0" applyFont="1" applyFill="1"/>
    <xf numFmtId="0" fontId="21" fillId="0" borderId="0" xfId="0" applyFont="1" applyAlignment="1">
      <alignment horizontal="center" vertical="center"/>
    </xf>
    <xf numFmtId="0" fontId="23" fillId="0" borderId="0" xfId="0" applyFont="1" applyAlignment="1" applyProtection="1">
      <alignment horizontal="left" vertical="center" wrapText="1"/>
      <protection locked="0"/>
    </xf>
    <xf numFmtId="0" fontId="24" fillId="3" borderId="0" xfId="0" applyFont="1" applyFill="1"/>
    <xf numFmtId="0" fontId="33" fillId="0" borderId="0" xfId="0" applyFont="1"/>
    <xf numFmtId="0" fontId="0" fillId="13" borderId="0" xfId="0" applyFill="1" applyAlignment="1">
      <alignment horizontal="center" vertical="center" wrapText="1"/>
    </xf>
    <xf numFmtId="0" fontId="21" fillId="0" borderId="0" xfId="0" applyFont="1" applyAlignment="1">
      <alignment horizontal="center" vertical="center" wrapText="1"/>
    </xf>
    <xf numFmtId="0" fontId="34" fillId="0" borderId="0" xfId="0" applyFont="1"/>
    <xf numFmtId="0" fontId="21" fillId="0" borderId="0" xfId="0" applyFont="1" applyAlignment="1">
      <alignment horizontal="left" vertical="center" wrapText="1"/>
    </xf>
    <xf numFmtId="0" fontId="28" fillId="14" borderId="0" xfId="0" applyFont="1" applyFill="1" applyAlignment="1">
      <alignment horizontal="left" vertical="center" wrapText="1"/>
    </xf>
    <xf numFmtId="0" fontId="29" fillId="14" borderId="0" xfId="0" applyFont="1" applyFill="1" applyAlignment="1">
      <alignment horizontal="center" vertical="center" wrapText="1"/>
    </xf>
    <xf numFmtId="0" fontId="0" fillId="14" borderId="0" xfId="0" applyFill="1" applyAlignment="1">
      <alignment horizontal="center" vertical="center" wrapText="1"/>
    </xf>
    <xf numFmtId="0" fontId="0" fillId="14" borderId="0" xfId="0" applyFill="1" applyAlignment="1">
      <alignment horizontal="left" vertical="center" wrapText="1"/>
    </xf>
    <xf numFmtId="0" fontId="0" fillId="14" borderId="0" xfId="0" applyFill="1" applyAlignment="1">
      <alignment horizontal="center" vertical="center"/>
    </xf>
    <xf numFmtId="0" fontId="35" fillId="0" borderId="0" xfId="0" applyFont="1" applyAlignment="1">
      <alignment horizontal="left" vertical="center" wrapText="1"/>
    </xf>
    <xf numFmtId="0" fontId="30" fillId="3" borderId="0" xfId="0" applyFont="1" applyFill="1" applyAlignment="1">
      <alignment vertical="center" wrapText="1"/>
    </xf>
    <xf numFmtId="0" fontId="36" fillId="0" borderId="0" xfId="0" applyFont="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9" fillId="0" borderId="0" xfId="0" applyFont="1" applyAlignment="1">
      <alignment wrapText="1"/>
    </xf>
    <xf numFmtId="0" fontId="37" fillId="0" borderId="0" xfId="0" applyFont="1" applyAlignment="1">
      <alignment vertical="center" wrapText="1"/>
    </xf>
    <xf numFmtId="0" fontId="29" fillId="0" borderId="0" xfId="0" applyFont="1"/>
    <xf numFmtId="0" fontId="13" fillId="6" borderId="0" xfId="0" applyFont="1" applyFill="1" applyAlignment="1">
      <alignment horizontal="center" vertical="center"/>
    </xf>
    <xf numFmtId="0" fontId="19" fillId="14" borderId="0" xfId="0" applyFont="1" applyFill="1" applyAlignment="1">
      <alignment horizontal="center" vertical="center" wrapText="1"/>
    </xf>
    <xf numFmtId="0" fontId="38" fillId="0" borderId="0" xfId="0" applyFont="1" applyAlignment="1">
      <alignment horizontal="left" vertical="center" wrapText="1"/>
    </xf>
    <xf numFmtId="0" fontId="21" fillId="0" borderId="0" xfId="0" quotePrefix="1" applyFont="1" applyAlignment="1">
      <alignment horizontal="left" vertical="center" wrapText="1"/>
    </xf>
    <xf numFmtId="0" fontId="39" fillId="0" borderId="0" xfId="0" applyFont="1" applyAlignment="1">
      <alignment wrapText="1"/>
    </xf>
    <xf numFmtId="0" fontId="39" fillId="0" borderId="0" xfId="0" applyFont="1" applyAlignment="1">
      <alignment vertical="center" wrapText="1"/>
    </xf>
    <xf numFmtId="0" fontId="40" fillId="0" borderId="0" xfId="0" applyFont="1" applyAlignment="1">
      <alignment wrapText="1"/>
    </xf>
    <xf numFmtId="0" fontId="39" fillId="0" borderId="0" xfId="0" applyFont="1" applyAlignment="1">
      <alignment vertical="center"/>
    </xf>
    <xf numFmtId="0" fontId="40" fillId="0" borderId="0" xfId="0" applyFont="1" applyAlignment="1">
      <alignment vertical="center" wrapText="1"/>
    </xf>
    <xf numFmtId="0" fontId="42" fillId="0" borderId="0" xfId="0" applyFont="1" applyAlignment="1">
      <alignment wrapText="1"/>
    </xf>
    <xf numFmtId="0" fontId="0" fillId="15" borderId="0" xfId="0" applyFill="1" applyAlignment="1">
      <alignment wrapText="1"/>
    </xf>
    <xf numFmtId="0" fontId="25" fillId="0" borderId="0" xfId="0" applyFont="1" applyAlignment="1">
      <alignment horizontal="center" vertical="center" wrapText="1"/>
    </xf>
    <xf numFmtId="0" fontId="23" fillId="0" borderId="0" xfId="0" applyFont="1" applyAlignment="1">
      <alignment horizontal="left" vertical="center"/>
    </xf>
    <xf numFmtId="0" fontId="45" fillId="0" borderId="0" xfId="0" applyFont="1" applyAlignment="1">
      <alignment vertical="center" wrapText="1"/>
    </xf>
    <xf numFmtId="0" fontId="45" fillId="0" borderId="0" xfId="0" applyFont="1" applyAlignment="1">
      <alignment horizontal="left" vertical="center"/>
    </xf>
    <xf numFmtId="0" fontId="45" fillId="0" borderId="4" xfId="0" applyFont="1" applyBorder="1"/>
    <xf numFmtId="0" fontId="45" fillId="0" borderId="3" xfId="0" applyFont="1" applyBorder="1" applyAlignment="1">
      <alignment wrapText="1"/>
    </xf>
    <xf numFmtId="0" fontId="37" fillId="0" borderId="0" xfId="0" applyFont="1" applyAlignment="1">
      <alignment wrapText="1"/>
    </xf>
    <xf numFmtId="0" fontId="23" fillId="14" borderId="0" xfId="0" applyFont="1" applyFill="1" applyAlignment="1">
      <alignment horizontal="left" vertical="center" wrapText="1"/>
    </xf>
    <xf numFmtId="0" fontId="46" fillId="0" borderId="0" xfId="0" applyFont="1" applyAlignment="1">
      <alignment wrapText="1"/>
    </xf>
    <xf numFmtId="0" fontId="1" fillId="0" borderId="0" xfId="0" applyFont="1" applyAlignment="1">
      <alignment horizontal="left" vertical="center" wrapText="1"/>
    </xf>
    <xf numFmtId="0" fontId="48"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13" fillId="5" borderId="0" xfId="0" applyFont="1" applyFill="1" applyAlignment="1">
      <alignment horizontal="center" vertical="center"/>
    </xf>
    <xf numFmtId="0" fontId="13" fillId="6" borderId="0" xfId="0" applyFont="1" applyFill="1" applyAlignment="1">
      <alignment horizontal="center" vertical="center"/>
    </xf>
    <xf numFmtId="0" fontId="3" fillId="4" borderId="0" xfId="0" applyFont="1" applyFill="1" applyAlignment="1">
      <alignment horizontal="center" vertical="center" wrapText="1"/>
    </xf>
    <xf numFmtId="0" fontId="5" fillId="12" borderId="0" xfId="0" applyFont="1" applyFill="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left" vertical="center" wrapText="1"/>
    </xf>
    <xf numFmtId="0" fontId="11" fillId="0" borderId="0" xfId="0" applyFont="1" applyAlignment="1">
      <alignment horizontal="left" vertical="center" wrapText="1"/>
    </xf>
    <xf numFmtId="0" fontId="2" fillId="0" borderId="0" xfId="0" applyFont="1" applyAlignment="1">
      <alignment horizontal="center" vertical="center" wrapText="1"/>
    </xf>
    <xf numFmtId="0" fontId="13" fillId="7" borderId="0" xfId="0" applyFont="1" applyFill="1" applyAlignment="1">
      <alignment horizontal="center" vertical="center"/>
    </xf>
    <xf numFmtId="0" fontId="4" fillId="6" borderId="0" xfId="0" applyFont="1" applyFill="1" applyAlignment="1">
      <alignment horizontal="center" vertical="center" wrapText="1"/>
    </xf>
    <xf numFmtId="0" fontId="24" fillId="3" borderId="0" xfId="0" applyFont="1" applyFill="1" applyAlignment="1">
      <alignment horizontal="left" vertical="center" wrapText="1"/>
    </xf>
    <xf numFmtId="0" fontId="3" fillId="3" borderId="0" xfId="0" applyFont="1" applyFill="1" applyAlignment="1">
      <alignment horizontal="left" vertical="center" wrapText="1"/>
    </xf>
    <xf numFmtId="0" fontId="27" fillId="3" borderId="0" xfId="0" applyFont="1" applyFill="1" applyAlignment="1">
      <alignment horizontal="center" vertical="center" wrapText="1"/>
    </xf>
    <xf numFmtId="0" fontId="25" fillId="3" borderId="0" xfId="0" applyFont="1" applyFill="1" applyAlignment="1">
      <alignment vertical="center" wrapText="1"/>
    </xf>
    <xf numFmtId="0" fontId="3" fillId="3" borderId="0" xfId="0" applyFont="1" applyFill="1" applyAlignment="1">
      <alignment vertical="center" wrapText="1"/>
    </xf>
    <xf numFmtId="0" fontId="0" fillId="0" borderId="0" xfId="0" applyAlignment="1">
      <alignment horizontal="center" vertical="center"/>
    </xf>
    <xf numFmtId="0" fontId="27" fillId="3" borderId="0" xfId="0" applyFont="1" applyFill="1" applyAlignment="1">
      <alignment horizontal="left" vertical="center" wrapText="1"/>
    </xf>
    <xf numFmtId="0" fontId="0" fillId="0" borderId="0" xfId="0" applyAlignment="1">
      <alignment horizontal="left"/>
    </xf>
    <xf numFmtId="0" fontId="0" fillId="0" borderId="0" xfId="0" applyAlignment="1">
      <alignment horizontal="left" wrapText="1"/>
    </xf>
    <xf numFmtId="0" fontId="2" fillId="0" borderId="0" xfId="0" applyFont="1" applyAlignment="1">
      <alignment horizontal="left" vertical="top"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cellXfs>
  <cellStyles count="3">
    <cellStyle name="Hyperlink" xfId="2" builtinId="8"/>
    <cellStyle name="Normal" xfId="0" builtinId="0"/>
    <cellStyle name="Per cent" xfId="1" builtinId="5"/>
  </cellStyles>
  <dxfs count="40">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5BD4FF"/>
      <color rgb="FFE6A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ocumenttasks/documenttask1.xml><?xml version="1.0" encoding="utf-8"?>
<Tasks xmlns="http://schemas.microsoft.com/office/tasks/2019/documenttasks">
  <Task id="{B3F32452-B0BD-48E0-8B23-0C94908F12E6}">
    <Anchor>
      <Comment id="{4470CF94-7D40-40D3-AB82-60B808746109}"/>
    </Anchor>
    <History>
      <Event time="2023-07-04T10:08:41.68" id="{BEAA26A8-E258-4429-8D59-ADC3BB0B61E5}">
        <Attribution userId="S::giulia@bluemarinefoundation.com::526cc2b6-dc21-4aef-9c0a-d4ccf538c4b8" userName="Giulia Bernardi" userProvider="AD"/>
        <Anchor>
          <Comment id="{4470CF94-7D40-40D3-AB82-60B808746109}"/>
        </Anchor>
        <Create/>
      </Event>
      <Event time="2023-07-04T10:08:41.68" id="{883651FC-B67B-4E63-8010-C31B9ADF45C9}">
        <Attribution userId="S::giulia@bluemarinefoundation.com::526cc2b6-dc21-4aef-9c0a-d4ccf538c4b8" userName="Giulia Bernardi" userProvider="AD"/>
        <Anchor>
          <Comment id="{4470CF94-7D40-40D3-AB82-60B808746109}"/>
        </Anchor>
        <Assign userId="S::appin@bluemarinefoundation.com::c38de373-eec4-4d14-95b7-4fa24101c57b" userName="Appin Williamson" userProvider="AD"/>
      </Event>
      <Event time="2023-07-04T10:08:41.68" id="{A7F54FB4-086A-4B90-AC15-1005913FC5FD}">
        <Attribution userId="S::giulia@bluemarinefoundation.com::526cc2b6-dc21-4aef-9c0a-d4ccf538c4b8" userName="Giulia Bernardi" userProvider="AD"/>
        <Anchor>
          <Comment id="{4470CF94-7D40-40D3-AB82-60B808746109}"/>
        </Anchor>
        <SetTitle title="@Appin Williamson same as above, as these guides are the ones that managed the educ activities in 2022"/>
      </Event>
      <Event time="2023-07-31T08:26:49.68" id="{CA5A88FE-7088-472B-8556-FF8F86AAADB8}">
        <Attribution userId="S::giulia@bluemarinefoundation.com::526cc2b6-dc21-4aef-9c0a-d4ccf538c4b8" userName="Giulia Bernardi" userProvider="AD"/>
        <Progress percentComplete="100"/>
      </Event>
    </History>
  </Task>
  <Task id="{0C61FCA3-96B5-40D2-AB96-B63ED4250FC3}">
    <Anchor>
      <Comment id="{10339CA3-3C99-4B05-895B-4F0BAF38DB00}"/>
    </Anchor>
    <History>
      <Event time="2023-07-04T10:11:32.83" id="{DEFB5CA7-BCE9-4AFB-B407-974F28A3CF97}">
        <Attribution userId="S::giulia@bluemarinefoundation.com::526cc2b6-dc21-4aef-9c0a-d4ccf538c4b8" userName="Giulia Bernardi" userProvider="AD"/>
        <Anchor>
          <Comment id="{10339CA3-3C99-4B05-895B-4F0BAF38DB00}"/>
        </Anchor>
        <Create/>
      </Event>
      <Event time="2023-07-04T10:11:32.83" id="{63D4C170-EEA4-448F-93E2-00ACF3728396}">
        <Attribution userId="S::giulia@bluemarinefoundation.com::526cc2b6-dc21-4aef-9c0a-d4ccf538c4b8" userName="Giulia Bernardi" userProvider="AD"/>
        <Anchor>
          <Comment id="{10339CA3-3C99-4B05-895B-4F0BAF38DB00}"/>
        </Anchor>
        <Assign userId="S::appin@bluemarinefoundation.com::c38de373-eec4-4d14-95b7-4fa24101c57b" userName="Appin Williamson" userProvider="AD"/>
      </Event>
      <Event time="2023-07-04T10:11:32.83" id="{F7C9B744-5506-4905-BF6F-44D3675CB6AD}">
        <Attribution userId="S::giulia@bluemarinefoundation.com::526cc2b6-dc21-4aef-9c0a-d4ccf538c4b8" userName="Giulia Bernardi" userProvider="AD"/>
        <Anchor>
          <Comment id="{10339CA3-3C99-4B05-895B-4F0BAF38DB00}"/>
        </Anchor>
        <SetTitle title="@Appin Williamson I've added two new columns for reporting the Q2 data. Is it correct? I am not sure to remember properly...:-)"/>
      </Event>
      <Event time="2023-09-08T13:34:59.74" id="{3C980F7A-D164-4767-A6ED-C333A5086701}">
        <Attribution userId="S::appin@bluemarinefoundation.com::c38de373-eec4-4d14-95b7-4fa24101c57b" userName="Appin Williamson" userProvider="AD"/>
        <Progress percentComplete="100"/>
      </Event>
    </History>
  </Task>
  <Task id="{39A416CB-A0F7-40CC-802F-B6365937C270}">
    <Anchor>
      <Comment id="{3DC8704E-59F3-40D5-9452-CF1C0C38FA2F}"/>
    </Anchor>
    <History>
      <Event time="2023-07-04T10:08:10.54" id="{6D3ABD60-ACEF-46EE-B718-29AAFAE22804}">
        <Attribution userId="S::giulia@bluemarinefoundation.com::526cc2b6-dc21-4aef-9c0a-d4ccf538c4b8" userName="Giulia Bernardi" userProvider="AD"/>
        <Anchor>
          <Comment id="{3DC8704E-59F3-40D5-9452-CF1C0C38FA2F}"/>
        </Anchor>
        <Create/>
      </Event>
      <Event time="2023-07-04T10:08:10.54" id="{FC244FAC-7D6A-4DDE-838C-E023CADEBD80}">
        <Attribution userId="S::giulia@bluemarinefoundation.com::526cc2b6-dc21-4aef-9c0a-d4ccf538c4b8" userName="Giulia Bernardi" userProvider="AD"/>
        <Anchor>
          <Comment id="{3DC8704E-59F3-40D5-9452-CF1C0C38FA2F}"/>
        </Anchor>
        <Assign userId="S::appin@bluemarinefoundation.com::c38de373-eec4-4d14-95b7-4fa24101c57b" userName="Appin Williamson" userProvider="AD"/>
      </Event>
      <Event time="2023-07-04T10:08:10.54" id="{B4B8629D-2B83-4A8B-BE76-FA8872E3679D}">
        <Attribution userId="S::giulia@bluemarinefoundation.com::526cc2b6-dc21-4aef-9c0a-d4ccf538c4b8" userName="Giulia Bernardi" userProvider="AD"/>
        <Anchor>
          <Comment id="{3DC8704E-59F3-40D5-9452-CF1C0C38FA2F}"/>
        </Anchor>
        <SetTitle title="@Appin Williamson this indicator actually belongs to 2002, but it has been inserted in this report because it has not been documented last year. Should we move it elsewhere?"/>
      </Event>
      <Event time="2023-09-08T13:34:53.78" id="{59591E89-D239-4570-8549-02FD8577FE56}">
        <Attribution userId="S::appin@bluemarinefoundation.com::c38de373-eec4-4d14-95b7-4fa24101c57b" userName="Appin Williamson" userProvider="AD"/>
        <Progress percentComplete="100"/>
      </Event>
    </History>
  </Task>
</Tasks>
</file>

<file path=xl/documenttasks/documenttask2.xml><?xml version="1.0" encoding="utf-8"?>
<Tasks xmlns="http://schemas.microsoft.com/office/tasks/2019/documenttasks">
  <Task id="{10345F91-4A2C-47A1-B431-A6E2616AC6C5}">
    <Anchor>
      <Comment id="{F246F40A-A0A8-4BBF-9A4C-D9E8BD442753}"/>
    </Anchor>
    <History>
      <Event time="2023-12-18T15:57:33.58" id="{753B6323-2BDD-4E70-9B1A-0A1DE07E4C21}">
        <Attribution userId="S::appin@bluemarinefoundation.com::c38de373-eec4-4d14-95b7-4fa24101c57b" userName="Appin Williamson" userProvider="AD"/>
        <Anchor>
          <Comment id="{F246F40A-A0A8-4BBF-9A4C-D9E8BD442753}"/>
        </Anchor>
        <Create/>
      </Event>
      <Event time="2023-12-18T15:57:33.58" id="{16DB3F26-C033-493C-9726-960E3330073C}">
        <Attribution userId="S::appin@bluemarinefoundation.com::c38de373-eec4-4d14-95b7-4fa24101c57b" userName="Appin Williamson" userProvider="AD"/>
        <Anchor>
          <Comment id="{F246F40A-A0A8-4BBF-9A4C-D9E8BD442753}"/>
        </Anchor>
        <Assign userId="S::Giulia@bluemarinefoundation.com::526cc2b6-dc21-4aef-9c0a-d4ccf538c4b8" userName="Giulia Bernardi" userProvider="AD"/>
      </Event>
      <Event time="2023-12-18T15:57:33.58" id="{67FBCD4C-83EE-42EF-BCE2-E4540594F3AD}">
        <Attribution userId="S::appin@bluemarinefoundation.com::c38de373-eec4-4d14-95b7-4fa24101c57b" userName="Appin Williamson" userProvider="AD"/>
        <Anchor>
          <Comment id="{F246F40A-A0A8-4BBF-9A4C-D9E8BD442753}"/>
        </Anchor>
        <SetTitle title="@Giulia Bernardi do you know what the &gt;1000 is referring to? "/>
      </Event>
      <Event time="2023-12-21T11:04:11.80" id="{FDA16FB5-C86D-4F87-8CB1-6E97B4EAD2F2}">
        <Attribution userId="S::appin@bluemarinefoundation.com::c38de373-eec4-4d14-95b7-4fa24101c57b" userName="Appin Williamson" userProvider="AD"/>
        <Progress percentComplete="100"/>
      </Event>
    </History>
  </Task>
  <Task id="{2F9168A0-0B77-4C65-9A7C-9C6BDC1602B6}">
    <Anchor>
      <Comment id="{2A333F86-F423-4AB8-8469-D54F3E6E2FA3}"/>
    </Anchor>
    <History>
      <Event time="2023-12-18T15:56:02.63" id="{0900C025-69A5-4472-B1F2-38BE000F2C44}">
        <Attribution userId="S::appin@bluemarinefoundation.com::c38de373-eec4-4d14-95b7-4fa24101c57b" userName="Appin Williamson" userProvider="AD"/>
        <Anchor>
          <Comment id="{2A333F86-F423-4AB8-8469-D54F3E6E2FA3}"/>
        </Anchor>
        <Create/>
      </Event>
      <Event time="2023-12-18T15:56:02.63" id="{FDE3AF8B-FB96-4459-85F2-312F5DCE8368}">
        <Attribution userId="S::appin@bluemarinefoundation.com::c38de373-eec4-4d14-95b7-4fa24101c57b" userName="Appin Williamson" userProvider="AD"/>
        <Anchor>
          <Comment id="{2A333F86-F423-4AB8-8469-D54F3E6E2FA3}"/>
        </Anchor>
        <Assign userId="S::Giulia@bluemarinefoundation.com::526cc2b6-dc21-4aef-9c0a-d4ccf538c4b8" userName="Giulia Bernardi" userProvider="AD"/>
      </Event>
      <Event time="2023-12-18T15:56:02.63" id="{527E5281-55C2-4976-8A2C-744E229C9FE6}">
        <Attribution userId="S::appin@bluemarinefoundation.com::c38de373-eec4-4d14-95b7-4fa24101c57b" userName="Appin Williamson" userProvider="AD"/>
        <Anchor>
          <Comment id="{2A333F86-F423-4AB8-8469-D54F3E6E2FA3}"/>
        </Anchor>
        <SetTitle title="@Giulia Bernardi do you know when the reports in this cell were written/submitted? Just the month is fine!"/>
      </Event>
      <Event time="2023-12-20T13:02:00.88" id="{236BDD8C-8048-4523-866E-850421069DD2}">
        <Attribution userId="S::appin@bluemarinefoundation.com::c38de373-eec4-4d14-95b7-4fa24101c57b" userName="Appin Williamson" userProvider="AD"/>
        <Progress percentComplete="100"/>
      </Event>
    </History>
  </Task>
</Tasks>
</file>

<file path=xl/documenttasks/documenttask3.xml><?xml version="1.0" encoding="utf-8"?>
<Tasks xmlns="http://schemas.microsoft.com/office/tasks/2019/documenttasks">
  <Task id="{BB658C6F-6A72-4090-8EA6-D2D62708F0E6}">
    <Anchor>
      <Comment id="{A06FF393-0664-4D31-BB84-620A875A643F}"/>
    </Anchor>
    <History>
      <Event time="2023-12-18T16:43:43.92" id="{81F7C5A4-E712-4B25-A5A3-62AF4740E7A8}">
        <Attribution userId="S::appin@bluemarinefoundation.com::c38de373-eec4-4d14-95b7-4fa24101c57b" userName="Appin Williamson" userProvider="AD"/>
        <Anchor>
          <Comment id="{10227164-77CA-440A-B3EB-B5423A6E6DA8}"/>
        </Anchor>
        <Create/>
      </Event>
      <Event time="2023-12-18T16:43:43.92" id="{AAB778D2-1BF3-4442-8D99-7B7C605C6417}">
        <Attribution userId="S::appin@bluemarinefoundation.com::c38de373-eec4-4d14-95b7-4fa24101c57b" userName="Appin Williamson" userProvider="AD"/>
        <Anchor>
          <Comment id="{10227164-77CA-440A-B3EB-B5423A6E6DA8}"/>
        </Anchor>
        <Assign userId="S::Giulia@bluemarinefoundation.com::526cc2b6-dc21-4aef-9c0a-d4ccf538c4b8" userName="Giulia Bernardi" userProvider="AD"/>
      </Event>
      <Event time="2023-12-18T16:43:43.92" id="{4F84E618-06DD-448B-99F5-131E40181449}">
        <Attribution userId="S::appin@bluemarinefoundation.com::c38de373-eec4-4d14-95b7-4fa24101c57b" userName="Appin Williamson" userProvider="AD"/>
        <Anchor>
          <Comment id="{10227164-77CA-440A-B3EB-B5423A6E6DA8}"/>
        </Anchor>
        <SetTitle title="@Giulia Bernardi "/>
      </Event>
    </History>
  </Task>
  <Task id="{D073BEB5-BC2F-47F8-826E-65E8DC5B0D74}">
    <Anchor>
      <Comment id="{89033FA3-7735-4186-B1C2-501E5426BE69}"/>
    </Anchor>
    <History>
      <Event time="2023-07-04T13:25:09.75" id="{60EE9847-C622-4248-95F8-04400764087B}">
        <Attribution userId="S::Giulia@bluemarinefoundation.com::526cc2b6-dc21-4aef-9c0a-d4ccf538c4b8" userName="Giulia Bernardi" userProvider="AD"/>
        <Anchor>
          <Comment id="{89033FA3-7735-4186-B1C2-501E5426BE69}"/>
        </Anchor>
        <Create/>
      </Event>
      <Event time="2023-07-04T13:25:09.75" id="{3066E2D3-1802-467B-9D1C-08A2F1501D4D}">
        <Attribution userId="S::Giulia@bluemarinefoundation.com::526cc2b6-dc21-4aef-9c0a-d4ccf538c4b8" userName="Giulia Bernardi" userProvider="AD"/>
        <Anchor>
          <Comment id="{89033FA3-7735-4186-B1C2-501E5426BE69}"/>
        </Anchor>
        <Assign userId="S::appin@bluemarinefoundation.com::c38de373-eec4-4d14-95b7-4fa24101c57b" userName="Appin Williamson" userProvider="AD"/>
      </Event>
      <Event time="2023-07-04T13:25:09.75" id="{E4E992C5-A89E-487F-875F-5753209A1763}">
        <Attribution userId="S::Giulia@bluemarinefoundation.com::526cc2b6-dc21-4aef-9c0a-d4ccf538c4b8" userName="Giulia Bernardi" userProvider="AD"/>
        <Anchor>
          <Comment id="{89033FA3-7735-4186-B1C2-501E5426BE69}"/>
        </Anchor>
        <SetTitle title="@Appin Williamson I've noticed a slight difference between the measurable indicators of this page and the word template you've prepared for me. Could you please have a look for homogenizing them? I think it will be much easier to fill them in next Qs …"/>
      </Event>
      <Event time="2023-09-08T13:36:07.60" id="{01D22540-DEE0-4AB4-8DFF-8DC8AEEE1E97}">
        <Attribution userId="S::appin@bluemarinefoundation.com::c38de373-eec4-4d14-95b7-4fa24101c57b" userName="Appin Williamson" userProvider="AD"/>
        <Progress percentComplete="100"/>
      </Event>
    </History>
  </Task>
</Tasks>
</file>

<file path=xl/documenttasks/documenttask4.xml><?xml version="1.0" encoding="utf-8"?>
<Tasks xmlns="http://schemas.microsoft.com/office/tasks/2019/documenttasks">
  <Task id="{4AF2E066-9E50-4FB8-B058-12B196C853F3}">
    <Anchor>
      <Comment id="{1B4E8AB0-8B1D-4E3A-890C-9B3F667B1C96}"/>
    </Anchor>
    <History>
      <Event time="2023-12-18T19:24:42.24" id="{9CA07B5F-CCEE-4C16-8FC5-7454AC1816B0}">
        <Attribution userId="S::appin@bluemarinefoundation.com::c38de373-eec4-4d14-95b7-4fa24101c57b" userName="Appin Williamson" userProvider="AD"/>
        <Anchor>
          <Comment id="{19C78426-E80C-4EED-999C-7BA427DDA03A}"/>
        </Anchor>
        <Create/>
      </Event>
      <Event time="2023-12-18T19:24:42.24" id="{F295DD62-A0B9-4CD2-B955-3D2808B25990}">
        <Attribution userId="S::appin@bluemarinefoundation.com::c38de373-eec4-4d14-95b7-4fa24101c57b" userName="Appin Williamson" userProvider="AD"/>
        <Anchor>
          <Comment id="{19C78426-E80C-4EED-999C-7BA427DDA03A}"/>
        </Anchor>
        <Assign userId="S::Giulia@bluemarinefoundation.com::526cc2b6-dc21-4aef-9c0a-d4ccf538c4b8" userName="Giulia Bernardi" userProvider="AD"/>
      </Event>
      <Event time="2023-12-18T19:24:42.24" id="{6174A2F6-79C5-4EF7-AFB2-364082F64EB6}">
        <Attribution userId="S::appin@bluemarinefoundation.com::c38de373-eec4-4d14-95b7-4fa24101c57b" userName="Appin Williamson" userProvider="AD"/>
        <Anchor>
          <Comment id="{19C78426-E80C-4EED-999C-7BA427DDA03A}"/>
        </Anchor>
        <SetTitle title="Thanks @Giulia Bernardi - do you know if any reports were produced from this monitoring?"/>
      </Event>
    </History>
  </Task>
  <Task id="{13028580-4B8A-4952-812D-CC795E1F2DB5}">
    <Anchor>
      <Comment id="{EA74C2AA-4098-4D1D-9A5D-E2B9CBAE878F}"/>
    </Anchor>
    <History>
      <Event time="2023-12-18T19:23:03.31" id="{C0D78297-E92C-4241-A4F2-683F8F87983D}">
        <Attribution userId="S::appin@bluemarinefoundation.com::c38de373-eec4-4d14-95b7-4fa24101c57b" userName="Appin Williamson" userProvider="AD"/>
        <Anchor>
          <Comment id="{EA74C2AA-4098-4D1D-9A5D-E2B9CBAE878F}"/>
        </Anchor>
        <Create/>
      </Event>
      <Event time="2023-12-18T19:23:03.31" id="{D24B2634-F6C0-447D-BA1A-F26D96B48212}">
        <Attribution userId="S::appin@bluemarinefoundation.com::c38de373-eec4-4d14-95b7-4fa24101c57b" userName="Appin Williamson" userProvider="AD"/>
        <Anchor>
          <Comment id="{EA74C2AA-4098-4D1D-9A5D-E2B9CBAE878F}"/>
        </Anchor>
        <Assign userId="S::Giulia@bluemarinefoundation.com::526cc2b6-dc21-4aef-9c0a-d4ccf538c4b8" userName="Giulia Bernardi" userProvider="AD"/>
      </Event>
      <Event time="2023-12-18T19:23:03.31" id="{2ACE1269-5495-4FD5-A225-BA708829319B}">
        <Attribution userId="S::appin@bluemarinefoundation.com::c38de373-eec4-4d14-95b7-4fa24101c57b" userName="Appin Williamson" userProvider="AD"/>
        <Anchor>
          <Comment id="{EA74C2AA-4098-4D1D-9A5D-E2B9CBAE878F}"/>
        </Anchor>
        <SetTitle title="@Giulia Bernardi for this line, it is the number of tools or activities, so if there were 3000 brochures distributed of one booklet, this line should be 1, and the 3000 goes into the line below, as it reached 3000 stakeholders. Could you please check the…"/>
      </Event>
    </History>
  </Task>
</Tasks>
</file>

<file path=xl/documenttasks/documenttask5.xml><?xml version="1.0" encoding="utf-8"?>
<Tasks xmlns="http://schemas.microsoft.com/office/tasks/2019/documenttasks">
  <Task id="{33F88433-26D0-4BE9-BD86-44A1717AD82D}">
    <Anchor>
      <Comment id="{F29AD317-EAA6-4558-9907-8DA41A6E2E82}"/>
    </Anchor>
    <History>
      <Event time="2022-11-29T16:10:48.56" id="{5682B30D-6B94-421B-8E4F-5310E1A21161}">
        <Attribution userId="S::anna@bluemarinefoundation.com::cc44614d-785e-44a0-8df1-3a4d4c4d6d53" userName="Anna Hughes" userProvider="AD"/>
        <Anchor>
          <Comment id="{F29AD317-EAA6-4558-9907-8DA41A6E2E82}"/>
        </Anchor>
        <Create/>
      </Event>
      <Event time="2022-11-29T16:10:48.56" id="{886FF209-4B31-47B9-82BC-13256DF1FE07}">
        <Attribution userId="S::anna@bluemarinefoundation.com::cc44614d-785e-44a0-8df1-3a4d4c4d6d53" userName="Anna Hughes" userProvider="AD"/>
        <Anchor>
          <Comment id="{F29AD317-EAA6-4558-9907-8DA41A6E2E82}"/>
        </Anchor>
        <Assign userId="S::Giulia@bluemarinefoundation.com::526cc2b6-dc21-4aef-9c0a-d4ccf538c4b8" userName="Giulia Bernardi" userProvider="AD"/>
      </Event>
      <Event time="2022-11-29T16:10:48.56" id="{564895CD-65BC-4CDB-9FA9-2020CB369260}">
        <Attribution userId="S::anna@bluemarinefoundation.com::cc44614d-785e-44a0-8df1-3a4d4c4d6d53" userName="Anna Hughes" userProvider="AD"/>
        <Anchor>
          <Comment id="{F29AD317-EAA6-4558-9907-8DA41A6E2E82}"/>
        </Anchor>
        <SetTitle title="@Giulia Bernardi please could you check I have got the activities correct here? And add any I might have missed?"/>
      </Event>
      <Event time="2022-11-30T12:40:46.98" id="{1DA981BC-FC56-444C-A29D-AAC87525BD67}">
        <Attribution userId="S::appin@bluemarinefoundation.com::c38de373-eec4-4d14-95b7-4fa24101c57b" userName="Appin Williamson" userProvider="AD"/>
        <Progress percentComplete="100"/>
      </Event>
    </History>
  </Task>
</Tasks>
</file>

<file path=xl/documenttasks/documenttask6.xml><?xml version="1.0" encoding="utf-8"?>
<Tasks xmlns="http://schemas.microsoft.com/office/tasks/2019/documenttasks">
  <Task id="{EFA96475-527D-4869-9C67-A7C4C434094A}">
    <Anchor>
      <Comment id="{6483C42C-A4C3-4E3A-995F-C70222C468F2}"/>
    </Anchor>
    <History>
      <Event time="2022-11-30T12:52:08.23" id="{A0FF0A88-C499-4D9A-8992-EC54A301C2E0}">
        <Attribution userId="S::anna@bluemarinefoundation.com::cc44614d-785e-44a0-8df1-3a4d4c4d6d53" userName="Anna Hughes" userProvider="AD"/>
        <Anchor>
          <Comment id="{6483C42C-A4C3-4E3A-995F-C70222C468F2}"/>
        </Anchor>
        <Create/>
      </Event>
      <Event time="2022-11-30T12:52:08.23" id="{8828A978-F2C5-4AAE-8C1A-52303C6A13DA}">
        <Attribution userId="S::anna@bluemarinefoundation.com::cc44614d-785e-44a0-8df1-3a4d4c4d6d53" userName="Anna Hughes" userProvider="AD"/>
        <Anchor>
          <Comment id="{6483C42C-A4C3-4E3A-995F-C70222C468F2}"/>
        </Anchor>
        <Assign userId="S::Giulia@bluemarinefoundation.com::526cc2b6-dc21-4aef-9c0a-d4ccf538c4b8" userName="Giulia Bernardi" userProvider="AD"/>
      </Event>
      <Event time="2022-11-30T12:52:08.23" id="{527EEDE8-14B7-428B-B85F-9F021546EAF6}">
        <Attribution userId="S::anna@bluemarinefoundation.com::cc44614d-785e-44a0-8df1-3a4d4c4d6d53" userName="Anna Hughes" userProvider="AD"/>
        <Anchor>
          <Comment id="{6483C42C-A4C3-4E3A-995F-C70222C468F2}"/>
        </Anchor>
        <SetTitle title="@Giulia Bernardi so this is fishers/teacher etc (indirect beneficiaries?)"/>
      </Event>
      <Event time="2023-03-17T11:33:52.0" id="{EC01925F-9A13-4DBD-AA1E-91E5E8716AB8}">
        <Attribution userId="S::appin@bluemarinefoundation.com::c38de373-eec4-4d14-95b7-4fa24101c57b" userName="Appin Williamson" userProvider="AD"/>
        <Progress percentComplete="100"/>
      </Event>
    </History>
  </Task>
  <Task id="{83BC64BD-0456-41BF-A29B-AFB8A3590217}">
    <Anchor>
      <Comment id="{C7D6B479-6D4A-425F-B923-F3FDC36F38CD}"/>
    </Anchor>
    <History>
      <Event time="2022-11-29T16:10:48.56" id="{5682B30D-6B94-421B-8E4F-5310E1A21161}">
        <Attribution userId="S::anna@bluemarinefoundation.com::cc44614d-785e-44a0-8df1-3a4d4c4d6d53" userName="Anna Hughes" userProvider="AD"/>
        <Anchor>
          <Comment id="{C7D6B479-6D4A-425F-B923-F3FDC36F38CD}"/>
        </Anchor>
        <Create/>
      </Event>
      <Event time="2022-11-29T16:10:48.56" id="{886FF209-4B31-47B9-82BC-13256DF1FE07}">
        <Attribution userId="S::anna@bluemarinefoundation.com::cc44614d-785e-44a0-8df1-3a4d4c4d6d53" userName="Anna Hughes" userProvider="AD"/>
        <Anchor>
          <Comment id="{C7D6B479-6D4A-425F-B923-F3FDC36F38CD}"/>
        </Anchor>
        <Assign userId="S::Giulia@bluemarinefoundation.com::526cc2b6-dc21-4aef-9c0a-d4ccf538c4b8" userName="Giulia Bernardi" userProvider="AD"/>
      </Event>
      <Event time="2022-11-29T16:10:48.56" id="{564895CD-65BC-4CDB-9FA9-2020CB369260}">
        <Attribution userId="S::anna@bluemarinefoundation.com::cc44614d-785e-44a0-8df1-3a4d4c4d6d53" userName="Anna Hughes" userProvider="AD"/>
        <Anchor>
          <Comment id="{C7D6B479-6D4A-425F-B923-F3FDC36F38CD}"/>
        </Anchor>
        <SetTitle title="@Giulia Bernardi please could you check I have got the activities correct here? And add any I might have missed?"/>
      </Event>
      <Event time="2022-11-30T12:40:46.98" id="{1DA981BC-FC56-444C-A29D-AAC87525BD67}">
        <Attribution userId="S::appin@bluemarinefoundation.com::c38de373-eec4-4d14-95b7-4fa24101c57b" userName="Appin Williamson" userProvider="AD"/>
        <Progress percentComplete="100"/>
      </Event>
    </History>
  </Task>
  <Task id="{5A313CFF-851D-4015-9E6D-2C310AF64F34}">
    <Anchor>
      <Comment id="{3E5FCADA-F9EF-4DA5-AE4C-D778F813D3E3}"/>
    </Anchor>
    <History>
      <Event time="2022-11-30T12:52:08.23" id="{A0FF0A88-C499-4D9A-8992-EC54A301C2E0}">
        <Attribution userId="S::anna@bluemarinefoundation.com::cc44614d-785e-44a0-8df1-3a4d4c4d6d53" userName="Anna Hughes" userProvider="AD"/>
        <Anchor>
          <Comment id="{3E5FCADA-F9EF-4DA5-AE4C-D778F813D3E3}"/>
        </Anchor>
        <Create/>
      </Event>
      <Event time="2022-11-30T12:52:08.23" id="{8828A978-F2C5-4AAE-8C1A-52303C6A13DA}">
        <Attribution userId="S::anna@bluemarinefoundation.com::cc44614d-785e-44a0-8df1-3a4d4c4d6d53" userName="Anna Hughes" userProvider="AD"/>
        <Anchor>
          <Comment id="{3E5FCADA-F9EF-4DA5-AE4C-D778F813D3E3}"/>
        </Anchor>
        <Assign userId="S::Giulia@bluemarinefoundation.com::526cc2b6-dc21-4aef-9c0a-d4ccf538c4b8" userName="Giulia Bernardi" userProvider="AD"/>
      </Event>
      <Event time="2022-11-30T12:52:08.23" id="{527EEDE8-14B7-428B-B85F-9F021546EAF6}">
        <Attribution userId="S::anna@bluemarinefoundation.com::cc44614d-785e-44a0-8df1-3a4d4c4d6d53" userName="Anna Hughes" userProvider="AD"/>
        <Anchor>
          <Comment id="{3E5FCADA-F9EF-4DA5-AE4C-D778F813D3E3}"/>
        </Anchor>
        <SetTitle title="@Giulia Bernardi so this is fishers/teacher etc (indirect beneficiaries?)"/>
      </Event>
      <Event time="2023-03-17T11:33:52.0" id="{EC01925F-9A13-4DBD-AA1E-91E5E8716AB8}">
        <Attribution userId="S::appin@bluemarinefoundation.com::c38de373-eec4-4d14-95b7-4fa24101c57b" userName="Appin Williamson" userProvider="AD"/>
        <Progress percentComplete="100"/>
      </Event>
    </History>
  </Task>
</Tasks>
</file>

<file path=xl/documenttasks/documenttask7.xml><?xml version="1.0" encoding="utf-8"?>
<Tasks xmlns="http://schemas.microsoft.com/office/tasks/2019/documenttasks">
  <Task id="{384D24E5-7BC0-4EFF-A35E-CC97A47C7FC1}">
    <Anchor>
      <Comment id="{A5DD8DE5-68CE-4214-B859-1997A76EEC2C}"/>
    </Anchor>
    <History>
      <Event time="2023-12-18T19:33:13.19" id="{A9E81D3C-4977-4FF1-9401-7467B52C4C64}">
        <Attribution userId="S::appin@bluemarinefoundation.com::c38de373-eec4-4d14-95b7-4fa24101c57b" userName="Appin Williamson" userProvider="AD"/>
        <Anchor>
          <Comment id="{A5DD8DE5-68CE-4214-B859-1997A76EEC2C}"/>
        </Anchor>
        <Create/>
      </Event>
      <Event time="2023-12-18T19:33:13.19" id="{0C4410C4-84F9-415A-A055-F8DAE390C487}">
        <Attribution userId="S::appin@bluemarinefoundation.com::c38de373-eec4-4d14-95b7-4fa24101c57b" userName="Appin Williamson" userProvider="AD"/>
        <Anchor>
          <Comment id="{A5DD8DE5-68CE-4214-B859-1997A76EEC2C}"/>
        </Anchor>
        <Assign userId="S::Giulia@bluemarinefoundation.com::526cc2b6-dc21-4aef-9c0a-d4ccf538c4b8" userName="Giulia Bernardi" userProvider="AD"/>
      </Event>
      <Event time="2023-12-18T19:33:13.19" id="{A947B2E5-B0EA-4190-A3F6-37AA9E3B1527}">
        <Attribution userId="S::appin@bluemarinefoundation.com::c38de373-eec4-4d14-95b7-4fa24101c57b" userName="Appin Williamson" userProvider="AD"/>
        <Anchor>
          <Comment id="{A5DD8DE5-68CE-4214-B859-1997A76EEC2C}"/>
        </Anchor>
        <SetTitle title="@Giulia Bernardi has the documentary been produced?"/>
      </Event>
    </History>
  </Task>
</Task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luemarinefoundation.sharepoint.com/sites/Projects/General%20Documents/Project%20Monitoring%20and%20Evaluation%20(M&amp;E)/Logframes/LogframeInstructions.xlsx" TargetMode="External"/><Relationship Id="rId1" Type="http://schemas.openxmlformats.org/officeDocument/2006/relationships/externalLinkPath" Target="/sites/Projects/General%20Documents/Project%20Monitoring%20and%20Evaluation%20(M&amp;E)/Logframes/LogframeInstruc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FhPX1JH2uUeoIgiDc3eC-VdG8M6OtoJMiFt2a7_VsIYlkkfn9JajTJL-tMEydiKT" itemId="01RH2JOUTZ5WX3SWOSQVAJYLDB5D6NE2BY">
      <xxl21:absoluteUrl r:id="rId2"/>
    </xxl21:alternateUrls>
    <sheetNames>
      <sheetName val="Introduction"/>
      <sheetName val="Tab description"/>
      <sheetName val="Impact and Outcome tab example"/>
      <sheetName val="Output tab example"/>
      <sheetName val="Reporting Deadline Table"/>
    </sheetNames>
    <sheetDataSet>
      <sheetData sheetId="0">
        <row r="1">
          <cell r="A1" t="str">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ell>
          <cell r="E1">
            <v>1</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Anna Hughes" id="{A8AEB554-E5F3-4B1C-A0AB-49E451EDEECD}" userId="anna@bluemarinefoundation.com" providerId="PeoplePicker"/>
  <person displayName="Appin Williamson" id="{F16177FE-0FC8-4485-AC5C-C71A3860FD37}" userId="appin@bluemarinefoundation.com" providerId="PeoplePicker"/>
  <person displayName="Giulia Bernardi" id="{4471A717-461A-4C75-9787-DBB012F1A1A2}" userId="Giulia@bluemarinefoundation.com" providerId="PeoplePicker"/>
  <person displayName="Anna Hughes" id="{4E4C697A-22DF-4927-8218-500BAB0AD570}" userId="S::anna@bluemarinefoundation.com::cc44614d-785e-44a0-8df1-3a4d4c4d6d53" providerId="AD"/>
  <person displayName="Appin Williamson" id="{B21B375E-1358-4B9B-AF60-619C4C8D782D}" userId="S::appin@bluemarinefoundation.com::c38de373-eec4-4d14-95b7-4fa24101c57b" providerId="AD"/>
  <person displayName="Giulia Bernardi" id="{9E327114-281F-4CA8-9D47-9EA52F63D1ED}" userId="S::giulia@bluemarinefoundation.com::526cc2b6-dc21-4aef-9c0a-d4ccf538c4b8" providerId="AD"/>
  <person displayName="Guest User" id="{1BC5222E-EE0C-445F-B716-3BA8A847700C}" userId="S::urn:spo:anon#38fd483e5805a570a4be5ea0bef970c691ed953898b0b7c5acf420210d719f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 dT="2023-07-04T10:11:33.39" personId="{9E327114-281F-4CA8-9D47-9EA52F63D1ED}" id="{10339CA3-3C99-4B05-895B-4F0BAF38DB00}" done="1">
    <text>@Appin Williamson I've added two new columns for reporting the Q2 data. Is it correct? I am not sure to remember properly...:-)</text>
    <mentions>
      <mention mentionpersonId="{F16177FE-0FC8-4485-AC5C-C71A3860FD37}" mentionId="{FE39466B-75C5-4107-A55E-B3BEA1FBAC4A}" startIndex="0" length="17"/>
    </mentions>
  </threadedComment>
  <threadedComment ref="AA2" dT="2023-07-24T16:06:54.32" personId="{B21B375E-1358-4B9B-AF60-619C4C8D782D}" id="{B526FC66-C8D0-4272-8EDB-6A60A7F5DCB1}" parentId="{10339CA3-3C99-4B05-895B-4F0BAF38DB00}">
    <text>Hi Giulia - this should be in the same column as the previous one - I've combined them on this tab, to show what it should look like - are you ok to adjust the rest of the tabs?</text>
  </threadedComment>
  <threadedComment ref="AA2" dT="2023-07-24T16:10:09.97" personId="{B21B375E-1358-4B9B-AF60-619C4C8D782D}" id="{211A38B6-9031-46E9-8FF9-61ADB1A1AD39}" parentId="{10339CA3-3C99-4B05-895B-4F0BAF38DB00}">
    <text>I have left in the text that needs to go into the 2022 column so that you can easily see what to move</text>
  </threadedComment>
  <threadedComment ref="AA2" dT="2023-07-31T09:07:18.26" personId="{9E327114-281F-4CA8-9D47-9EA52F63D1ED}" id="{C0858B20-C947-4062-8700-A8B0C68B98D0}" parentId="{10339CA3-3C99-4B05-895B-4F0BAF38DB00}">
    <text>Hi Appin,
I've arranged all the Q2 content into one column, as you suggested. I did it for all the 9 sheets :-)</text>
  </threadedComment>
  <threadedComment ref="AA2" dT="2023-09-08T13:34:46.36" personId="{B21B375E-1358-4B9B-AF60-619C4C8D782D}" id="{9259A37A-7E9A-4D93-B10B-D21CB4A68864}" parentId="{10339CA3-3C99-4B05-895B-4F0BAF38DB00}">
    <text>Absolutely amazing, a mammoth effort!  Thanks Giulia!</text>
  </threadedComment>
  <threadedComment ref="Y4" dT="2023-03-17T12:42:48.25" personId="{B21B375E-1358-4B9B-AF60-619C4C8D782D}" id="{4F0B0300-3C9A-4274-B195-38017822E029}" done="1">
    <text>@Giulia Bernardi I have added in the detail from the form for output 6 here - hopefully this looks right to you?</text>
    <mentions>
      <mention mentionpersonId="{4471A717-461A-4C75-9787-DBB012F1A1A2}" mentionId="{0CDA385E-435A-422E-ADD5-B6537945D359}" startIndex="0" length="16"/>
    </mentions>
  </threadedComment>
  <threadedComment ref="Y4" dT="2023-03-17T12:49:26.92" personId="{9E327114-281F-4CA8-9D47-9EA52F63D1ED}" id="{01130D35-233C-405B-A2AA-4D8F66AB5F61}" parentId="{4F0B0300-3C9A-4274-B195-38017822E029}">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Y4" dT="2023-03-17T14:17:09.78" personId="{B21B375E-1358-4B9B-AF60-619C4C8D782D}" id="{8348FA52-67D1-4C7B-AC7A-27930DF98E88}" parentId="{4F0B0300-3C9A-4274-B195-38017822E029}">
    <text>Sounds good - thanks Giulia!</text>
  </threadedComment>
  <threadedComment ref="AB6" dT="2023-07-04T10:08:10.88" personId="{9E327114-281F-4CA8-9D47-9EA52F63D1ED}" id="{3DC8704E-59F3-40D5-9452-CF1C0C38FA2F}" done="1">
    <text>@Appin Williamson this indicator actually belongs to 2002, but it has been inserted in this report because it has not been documented last year. Should we move it elsewhere?</text>
    <mentions>
      <mention mentionpersonId="{F16177FE-0FC8-4485-AC5C-C71A3860FD37}" mentionId="{D6D682F0-7399-4951-A38F-CF5C0DDBEBDD}" startIndex="0" length="17"/>
    </mentions>
  </threadedComment>
  <threadedComment ref="AB6" dT="2023-07-24T16:08:07.56" personId="{B21B375E-1358-4B9B-AF60-619C4C8D782D}" id="{FA4403BF-956D-44F3-B169-3C1F92A377FA}" parentId="{3DC8704E-59F3-40D5-9452-CF1C0C38FA2F}">
    <text>Ah ok - yes this should then go under the 'progress achieved in 2022 column' ☺️</text>
  </threadedComment>
  <threadedComment ref="AB6" dT="2023-07-25T05:43:52.44" personId="{9E327114-281F-4CA8-9D47-9EA52F63D1ED}" id="{E3FB6B94-2A24-4526-8540-F780373E8054}" parentId="{3DC8704E-59F3-40D5-9452-CF1C0C38FA2F}">
    <text>oki - moved on the left side, pls check if I did well (in red) :-S</text>
  </threadedComment>
  <threadedComment ref="AB6" dT="2023-07-27T15:47:44.64" personId="{B21B375E-1358-4B9B-AF60-619C4C8D782D}" id="{F33D8FCB-958B-4019-9221-983D0452B97A}" parentId="{3DC8704E-59F3-40D5-9452-CF1C0C38FA2F}">
    <text>Looks perfect ☺️</text>
  </threadedComment>
  <threadedComment ref="V9" dT="2022-11-15T17:30:03.94" personId="{B21B375E-1358-4B9B-AF60-619C4C8D782D}" id="{C501AF76-BD82-4F05-BF63-FEA09DB27132}" done="1">
    <text>Are we contributing to the salary of this marine biologist?  If not, please remove</text>
  </threadedComment>
  <threadedComment ref="V9" dT="2023-03-17T10:43:34.98" personId="{B21B375E-1358-4B9B-AF60-619C4C8D782D}" id="{475DE800-3139-48E1-A782-8A63A43BE94E}" parentId="{C501AF76-BD82-4F05-BF63-FEA09DB27132}">
    <text>@Giulia Bernardi sorry I forgot to tag you, I am removing the marine biologist because I don't think we are funding (or part-funding) them, if we are then please do feel free to add back in!</text>
    <mentions>
      <mention mentionpersonId="{4471A717-461A-4C75-9787-DBB012F1A1A2}" mentionId="{94A96A91-C5B6-4E6B-99CE-0ED8A34D00AD}" startIndex="0" length="16"/>
    </mentions>
  </threadedComment>
  <threadedComment ref="V9" dT="2023-03-17T12:22:18.46" personId="{9E327114-281F-4CA8-9D47-9EA52F63D1ED}" id="{96CB7A7D-B58E-4DB2-9BF3-C1B39FFCBF3A}" parentId="{C501AF76-BD82-4F05-BF63-FEA09DB27132}">
    <text>hello - actually the situation is hybrid, as part of the salary is covered by Blue, and  part from Region Sardinia.  I would put it anyway, up to you if you want to include it or not.</text>
  </threadedComment>
  <threadedComment ref="V9" dT="2023-03-17T12:45:09.64" personId="{B21B375E-1358-4B9B-AF60-619C4C8D782D}" id="{D2533178-D9AD-457A-95FD-B6A70ED61343}" parentId="{C501AF76-BD82-4F05-BF63-FEA09DB27132}">
    <text>ah ok yes I think we can include that - thanks Giulia</text>
  </threadedComment>
  <threadedComment ref="Y9" dT="2023-12-18T16:31:15.59" personId="{B21B375E-1358-4B9B-AF60-619C4C8D782D}" id="{537D03A4-9690-4D19-9E22-24070809D64F}">
    <text>Have put as zero as the description doesn't sound like a beneficiary</text>
  </threadedComment>
  <threadedComment ref="AB9" dT="2023-07-04T10:08:41.99" personId="{9E327114-281F-4CA8-9D47-9EA52F63D1ED}" id="{4470CF94-7D40-40D3-AB82-60B808746109}" done="1">
    <text>@Appin Williamson  same as above, as these guides are the ones that managed the educ activities in 2022</text>
    <mentions>
      <mention mentionpersonId="{F16177FE-0FC8-4485-AC5C-C71A3860FD37}" mentionId="{94560527-F526-41A0-A11C-3B0124A60BD6}" startIndex="0" length="17"/>
    </mentions>
  </threadedComment>
  <threadedComment ref="AB9" dT="2023-07-24T16:09:39.03" personId="{B21B375E-1358-4B9B-AF60-619C4C8D782D}" id="{8447E656-3C26-4132-8DE1-74F4F94337D7}" parentId="{4470CF94-7D40-40D3-AB82-60B808746109}">
    <text>Ok - yes same again, please move to the 'progress achieved in 2022' column and remove from here</text>
  </threadedComment>
  <threadedComment ref="AB9" dT="2023-07-31T08:26:24.20" personId="{9E327114-281F-4CA8-9D47-9EA52F63D1ED}" id="{9EEAAB3E-12EB-4865-9A7B-2751867B9317}" parentId="{4470CF94-7D40-40D3-AB82-60B808746109}">
    <text>Ok - Added Q2 NA in Z9, and added the two guides in V9 :-)</text>
  </threadedComment>
  <threadedComment ref="Z11" dT="2023-12-15T14:21:28.32" personId="{1BC5222E-EE0C-445F-B716-3BA8A847700C}" id="{46F8EF03-2ECA-4F34-BB63-DB4502AAA314}">
    <text>Appin I've rearranged from zero this count, as it was not divided into quarters so I thought not clear to understand :-)</text>
  </threadedComment>
  <threadedComment ref="E12" dT="2023-12-18T16:33:14.37" personId="{B21B375E-1358-4B9B-AF60-619C4C8D782D}" id="{AE09FC7B-E826-4A7F-8E55-F8728E381609}">
    <text>@Giulia Bernardi this can be counted under the activities/tools row above so I will migrate the text up to that line</text>
    <mentions>
      <mention mentionpersonId="{4471A717-461A-4C75-9787-DBB012F1A1A2}" mentionId="{82B0F914-CD1A-4347-AEA9-BE66E8F34059}" startIndex="0" length="16"/>
    </mentions>
  </threadedComment>
  <threadedComment ref="Y12" dT="2023-12-18T16:33:52.93" personId="{B21B375E-1358-4B9B-AF60-619C4C8D782D}" id="{DC5314E9-49D7-4442-AF14-EA48628414A7}">
    <text>@Giulia Bernardi as it hasn't happened yet I have not counted it</text>
    <mentions>
      <mention mentionpersonId="{4471A717-461A-4C75-9787-DBB012F1A1A2}" mentionId="{A7FFF71C-84C6-4F15-A7D2-21EF863A1E8C}" startIndex="0" length="16"/>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H4" dT="2023-07-17T13:51:34.60" personId="{B21B375E-1358-4B9B-AF60-619C4C8D782D}" id="{E21778A6-353A-456C-A0E7-098F9FA3D001}" done="1">
    <text>New 2.2.3</text>
  </threadedComment>
  <threadedComment ref="H4" dT="2023-08-11T15:01:35.77" personId="{9E327114-281F-4CA8-9D47-9EA52F63D1ED}" id="{7BB0762B-26FD-4056-ABA4-91107172FE8D}" parentId="{E21778A6-353A-456C-A0E7-098F9FA3D001}">
    <text>Hi Appin! In delay, I've finally filled in this new sheet.                                              This project started in 2020 and, after Covid, is went on very slowly. I've reported here the activities carried out so far, divide in different years, from 2020 to 2023. I did not divide the actions into quarters, as it does not make too many sense to me in this case. But if you think I should organize the data differently just let me know.                                             we should finalize this project on December 2023.                                     Note - I've added a new arrow and I've charged the word template on sharepoint :-)</text>
  </threadedComment>
  <threadedComment ref="H4" dT="2023-09-08T13:39:18.25" personId="{B21B375E-1358-4B9B-AF60-619C4C8D782D}" id="{62BDA9C5-5809-4B5D-A4DE-0C12CACF241E}" parentId="{E21778A6-353A-456C-A0E7-098F9FA3D001}">
    <text>This looks great!  Thanks Giulia!!</text>
  </threadedComment>
  <threadedComment ref="H5" dT="2023-07-17T13:51:44.87" personId="{B21B375E-1358-4B9B-AF60-619C4C8D782D}" id="{DE392FB2-D0FA-4D7C-ACBD-0049B11632F5}">
    <text>New 5.6.2</text>
  </threadedComment>
  <threadedComment ref="H6" dT="2023-07-17T13:51:50.71" personId="{B21B375E-1358-4B9B-AF60-619C4C8D782D}" id="{7290DDFD-0486-4F04-90C6-6C0EAE70D0CC}">
    <text>New 2.2.2</text>
  </threadedComment>
  <threadedComment ref="H7" dT="2023-07-17T13:51:56.35" personId="{B21B375E-1358-4B9B-AF60-619C4C8D782D}" id="{E9ECF7F6-E301-4EDD-B8BA-283C57BA146D}">
    <text>New 5.2.2</text>
  </threadedComment>
  <threadedComment ref="H8" dT="2023-07-17T13:52:02.32" personId="{B21B375E-1358-4B9B-AF60-619C4C8D782D}" id="{CE313DA3-B3ED-49A3-A97D-5CCD5B22E24A}">
    <text>New 5.3.2</text>
  </threadedComment>
  <threadedComment ref="H9" dT="2023-07-17T13:52:07.42" personId="{B21B375E-1358-4B9B-AF60-619C4C8D782D}" id="{A6BFCFDC-FD24-42C7-9F1A-68562FF198E4}">
    <text>New 5.3.1</text>
  </threadedComment>
  <threadedComment ref="AA12" dT="2023-12-18T16:09:55.40" personId="{B21B375E-1358-4B9B-AF60-619C4C8D782D}" id="{7DD35FAD-B11E-4A20-9EB5-DF5B606EE9AA}">
    <text>Thanks @Giulia Bernardi!  I will put it into the 2022 column</text>
    <mentions>
      <mention mentionpersonId="{4471A717-461A-4C75-9787-DBB012F1A1A2}" mentionId="{9BCDD9AF-4ECC-42A2-B41C-53BDCAAAE59A}" startIndex="7" length="16"/>
    </mentions>
  </threadedComment>
</ThreadedComments>
</file>

<file path=xl/threadedComments/threadedComment11.xml><?xml version="1.0" encoding="utf-8"?>
<ThreadedComments xmlns="http://schemas.microsoft.com/office/spreadsheetml/2018/threadedcomments" xmlns:x="http://schemas.openxmlformats.org/spreadsheetml/2006/main">
  <threadedComment ref="E4" dT="2023-10-12T10:14:30.99" personId="{9E327114-281F-4CA8-9D47-9EA52F63D1ED}" id="{99E3053A-B649-46BA-9F05-6CD84D7536EE}">
    <text>the project leader changed this indicator, trying to be more in line with the scoping proposal, but pls let me know what you think :-)</text>
  </threadedComment>
  <threadedComment ref="Z7" dT="2023-12-18T19:33:13.19" personId="{B21B375E-1358-4B9B-AF60-619C4C8D782D}" id="{A5DD8DE5-68CE-4214-B859-1997A76EEC2C}">
    <text>@Giulia Bernardi has the documentary been produced?</text>
    <mentions>
      <mention mentionpersonId="{4471A717-461A-4C75-9787-DBB012F1A1A2}" mentionId="{154A7131-2742-46ED-B917-65CE2E21530A}" startIndex="0" length="16"/>
    </mentions>
  </threadedComment>
  <threadedComment ref="F9" dT="2023-09-08T11:47:07.61" personId="{B21B375E-1358-4B9B-AF60-619C4C8D782D}" id="{4E4C0251-9CB1-4389-80A6-E54418D1B29D}" done="1">
    <text>@Giulia Bernardi I have left this blank but in here should go how many people they are planning to reach with the documentary</text>
    <mentions>
      <mention mentionpersonId="{4471A717-461A-4C75-9787-DBB012F1A1A2}" mentionId="{FFB9B6F9-F21B-4CBB-B69C-B8AFADF6517B}" startIndex="0" length="16"/>
    </mentions>
  </threadedComment>
</ThreadedComments>
</file>

<file path=xl/threadedComments/threadedComment12.xml><?xml version="1.0" encoding="utf-8"?>
<ThreadedComments xmlns="http://schemas.microsoft.com/office/spreadsheetml/2018/threadedcomments" xmlns:x="http://schemas.openxmlformats.org/spreadsheetml/2006/main">
  <threadedComment ref="E4" dT="2023-10-25T14:04:25.16" personId="{B21B375E-1358-4B9B-AF60-619C4C8D782D}" id="{118F66C7-FF95-49AE-A1C2-6A2F5C3CD136}">
    <text>I have assumed that they are going to write reports on this data to summarise their findings - is this correct?</text>
  </threadedComment>
  <threadedComment ref="Z4" dT="2023-12-18T16:13:49.79" personId="{B21B375E-1358-4B9B-AF60-619C4C8D782D}" id="{75DE87B8-9EBA-41CC-BE16-9EE0569592B0}">
    <text>@Giulia Bernardi can I check with you that Q1 means Jan-march 2023?</text>
    <mentions>
      <mention mentionpersonId="{4471A717-461A-4C75-9787-DBB012F1A1A2}" mentionId="{BDBD102F-DA14-4B72-9CBC-0DF9D0DADBE9}" startIndex="0" length="16"/>
    </mentions>
  </threadedComment>
  <threadedComment ref="Z4" dT="2023-12-20T15:53:29.95" personId="{9E327114-281F-4CA8-9D47-9EA52F63D1ED}" id="{58A4EE9D-D09D-4C28-A4CF-5917BFC39E05}" parentId="{75DE87B8-9EBA-41CC-BE16-9EE0569592B0}">
    <text>Nope sorry, it is actually oct-dec. should we put Q4 then?</text>
  </threadedComment>
  <threadedComment ref="Z4" dT="2023-12-21T11:02:53.17" personId="{B21B375E-1358-4B9B-AF60-619C4C8D782D}" id="{85685151-F6C5-4BF3-8CCE-66A036F8BC59}" parentId="{75DE87B8-9EBA-41CC-BE16-9EE0569592B0}">
    <text>yes I think so - to keep it consistent across all the outputs we've got in this logframe :) thanks!</text>
  </threadedComment>
  <threadedComment ref="E5" dT="2023-10-25T14:04:32.69" personId="{B21B375E-1358-4B9B-AF60-619C4C8D782D}" id="{9293360B-98AD-4635-A275-3E193F228863}">
    <text xml:space="preserve">I have assumed that they are going to write reports on this data to summarise their findings - is this correct?
</text>
  </threadedComment>
  <threadedComment ref="F7" dT="2023-10-25T14:02:12.94" personId="{B21B375E-1358-4B9B-AF60-619C4C8D782D}" id="{8047CCD7-A6AE-4B9E-9832-52614F44031D}">
    <text>I've left these three blank because I'm not sure how many people they're planning to reach/events to hold etc</text>
  </threadedComment>
  <threadedComment ref="Y8" dT="2023-12-18T16:14:27.93" personId="{B21B375E-1358-4B9B-AF60-619C4C8D782D}" id="{5F615EAD-6E64-41B4-9A38-D7D25757FF9D}">
    <text>I have put this at zero because these are more like progress updates but still really good information to have!</text>
  </threadedComment>
  <threadedComment ref="E9" dT="2023-10-25T13:58:55.10" personId="{B21B375E-1358-4B9B-AF60-619C4C8D782D}" id="{4A3A8383-E281-4541-8575-86A6C1BE23B3}">
    <text>This is because the other lines talk about doing outreach in schools, we would count these separately to general public outreach</text>
  </threadedComment>
</ThreadedComments>
</file>

<file path=xl/threadedComments/threadedComment13.xml><?xml version="1.0" encoding="utf-8"?>
<ThreadedComments xmlns="http://schemas.microsoft.com/office/spreadsheetml/2018/threadedcomments" xmlns:x="http://schemas.openxmlformats.org/spreadsheetml/2006/main">
  <threadedComment ref="R5" dT="2023-12-18T19:34:55.34" personId="{B21B375E-1358-4B9B-AF60-619C4C8D782D}" id="{87648043-6891-410D-9CD9-3762D082D98F}">
    <text>Have put to zero because I ended up including this in the relevant output tab so we don't duplicate the number ☺️</text>
  </threadedComment>
</ThreadedComments>
</file>

<file path=xl/threadedComments/threadedComment2.xml><?xml version="1.0" encoding="utf-8"?>
<ThreadedComments xmlns="http://schemas.microsoft.com/office/spreadsheetml/2018/threadedcomments" xmlns:x="http://schemas.openxmlformats.org/spreadsheetml/2006/main">
  <threadedComment ref="Y4" dT="2023-03-17T12:42:48.25" personId="{B21B375E-1358-4B9B-AF60-619C4C8D782D}" id="{65758593-4139-48B3-95DF-A63B4AD8FD66}" done="1">
    <text>@Giulia Bernardi I have added in the detail from the form for output 6 here - hopefully this looks right to you?</text>
    <mentions>
      <mention mentionpersonId="{4471A717-461A-4C75-9787-DBB012F1A1A2}" mentionId="{D21FC88A-0A0F-45CA-863D-8CD93A3E5668}" startIndex="0" length="16"/>
    </mentions>
  </threadedComment>
  <threadedComment ref="Y4" dT="2023-03-17T12:49:26.92" personId="{9E327114-281F-4CA8-9D47-9EA52F63D1ED}" id="{9EC46FB0-5336-46D8-BB83-2CE5932D37B3}" parentId="{65758593-4139-48B3-95DF-A63B4AD8FD66}">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Y4" dT="2023-03-17T14:17:09.78" personId="{B21B375E-1358-4B9B-AF60-619C4C8D782D}" id="{BFA12236-D454-4538-95F5-96ADDE2620F8}" parentId="{65758593-4139-48B3-95DF-A63B4AD8FD66}">
    <text>Sounds good - thanks Giulia!</text>
  </threadedComment>
  <threadedComment ref="V7" dT="2022-12-05T18:08:55.39" personId="{B21B375E-1358-4B9B-AF60-619C4C8D782D}" id="{8D330FDC-4380-4661-BC8F-8E2EBC9481AC}" done="1">
    <text>@Giulia Bernardi just thinking about this - are they benefitting from our work?</text>
    <mentions>
      <mention mentionpersonId="{4471A717-461A-4C75-9787-DBB012F1A1A2}" mentionId="{37F470EB-68B1-469C-A51F-BF565F9A1743}" startIndex="0" length="16"/>
    </mentions>
  </threadedComment>
  <threadedComment ref="V7" dT="2022-12-06T10:33:35.85" personId="{9E327114-281F-4CA8-9D47-9EA52F63D1ED}" id="{6C443DC5-7CBE-4959-A2B2-A21F71CBAA29}" parentId="{8D330FDC-4380-4661-BC8F-8E2EBC9481AC}">
    <text>yes I think so</text>
  </threadedComment>
  <threadedComment ref="V7" dT="2022-12-06T10:55:18.01" personId="{B21B375E-1358-4B9B-AF60-619C4C8D782D}" id="{C50BC25F-3768-4EC3-AC38-3A32541ACDD5}" parentId="{8D330FDC-4380-4661-BC8F-8E2EBC9481AC}">
    <text>OK cool I will leave in in that case.  Do you have a few words of explanation as to how they're benefitting from our work that could go into that cell?</text>
  </threadedComment>
  <threadedComment ref="V7" dT="2023-03-16T16:06:37.04" personId="{B21B375E-1358-4B9B-AF60-619C4C8D782D}" id="{1CD6AFB8-DA5E-4141-9D7A-61FE48E046DB}" parentId="{8D330FDC-4380-4661-BC8F-8E2EBC9481AC}">
    <text xml:space="preserve">@Giulia Bernardi </text>
    <mentions>
      <mention mentionpersonId="{4471A717-461A-4C75-9787-DBB012F1A1A2}" mentionId="{8AADBFCA-9984-485A-AB7E-EAA0B1B5E6DE}" startIndex="0" length="16"/>
    </mentions>
  </threadedComment>
  <threadedComment ref="V7" dT="2023-03-16T17:18:16.55" personId="{9E327114-281F-4CA8-9D47-9EA52F63D1ED}" id="{722B5718-F7DC-4E04-82ED-7D8C08125A1D}" parentId="{8D330FDC-4380-4661-BC8F-8E2EBC9481AC}">
    <text>actually I would cancel the fishers, while local diving centres will benefit as they will: 
1. have a safe anchoring in a wave exposed area;
2: the seabed surrounding the marine caves hosts a rich community of corralligenous, so halting free anchoring will help for more thriving marine habitats.</text>
  </threadedComment>
  <threadedComment ref="V7" dT="2023-03-17T10:42:28.11" personId="{B21B375E-1358-4B9B-AF60-619C4C8D782D}" id="{2A36F71A-379B-4A56-B44C-B4B4D54C9BA1}" parentId="{8D330FDC-4380-4661-BC8F-8E2EBC9481AC}">
    <text>Perfect, thanks Giulia!</text>
  </threadedComment>
  <threadedComment ref="V8" dT="2022-12-05T18:04:58.32" personId="{B21B375E-1358-4B9B-AF60-619C4C8D782D}" id="{B9069183-0799-4FB3-BF2B-D8FB04B20471}" done="1">
    <text>@Giulia Bernardi I've just realised that this is not the number of km2 now protected, so I have changed to zero and we can fix next year</text>
    <mentions>
      <mention mentionpersonId="{4471A717-461A-4C75-9787-DBB012F1A1A2}" mentionId="{3F549CDC-0C20-4AF7-91F8-E667EBD14E40}" startIndex="0" length="16"/>
    </mentions>
  </threadedComment>
  <threadedComment ref="V8" dT="2022-12-06T10:33:25.24" personId="{9E327114-281F-4CA8-9D47-9EA52F63D1ED}" id="{5C605910-9DA5-4C28-B8E9-BBFE819988FC}" parentId="{B9069183-0799-4FB3-BF2B-D8FB04B20471}">
    <text>oki</text>
  </threadedComment>
  <threadedComment ref="V8" dT="2023-03-17T11:36:06.29" personId="{B21B375E-1358-4B9B-AF60-619C4C8D782D}" id="{C3A7D94E-B826-42F2-AD99-31FC2A78913D}" parentId="{B9069183-0799-4FB3-BF2B-D8FB04B20471}">
    <text>@Giulia Bernardi have now moved to this line and deleted from the first line above which is for when an area becomes protected (and should be in km2)</text>
    <mentions>
      <mention mentionpersonId="{4471A717-461A-4C75-9787-DBB012F1A1A2}" mentionId="{51E2FD48-339B-4F0E-95F2-B1EC20DE17AB}" startIndex="0" length="16"/>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Y4" dT="2023-03-17T12:42:48.25" personId="{B21B375E-1358-4B9B-AF60-619C4C8D782D}" id="{12CFAD5D-8256-42EF-80C2-387F340BDE0A}" done="1">
    <text>@Giulia Bernardi I have added in the detail from the form for output 6 here - hopefully this looks right to you?</text>
    <mentions>
      <mention mentionpersonId="{4471A717-461A-4C75-9787-DBB012F1A1A2}" mentionId="{4FC32A49-F695-4A5A-B61E-1663A12332BC}" startIndex="0" length="16"/>
    </mentions>
  </threadedComment>
  <threadedComment ref="Y4" dT="2023-03-17T12:49:26.92" personId="{9E327114-281F-4CA8-9D47-9EA52F63D1ED}" id="{F66D3169-417C-42DC-8088-478E7356469C}" parentId="{12CFAD5D-8256-42EF-80C2-387F340BDE0A}">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Y4" dT="2023-03-17T14:17:09.78" personId="{B21B375E-1358-4B9B-AF60-619C4C8D782D}" id="{76F27E21-8E16-4D1D-8130-7E63B85A18CB}" parentId="{12CFAD5D-8256-42EF-80C2-387F340BDE0A}">
    <text>Sounds good - thanks Giulia!</text>
  </threadedComment>
  <threadedComment ref="AA4" dT="2023-03-17T12:42:48.25" personId="{B21B375E-1358-4B9B-AF60-619C4C8D782D}" id="{59537568-D276-4D0C-85BE-76AE37507C00}" done="1">
    <text>@Giulia Bernardi I have added in the detail from the form for output 6 here - hopefully this looks right to you?</text>
    <mentions>
      <mention mentionpersonId="{4471A717-461A-4C75-9787-DBB012F1A1A2}" mentionId="{37A73F0D-A0B8-4341-B961-EFE5F833B09B}" startIndex="0" length="16"/>
    </mentions>
  </threadedComment>
  <threadedComment ref="AA4" dT="2023-03-17T12:49:26.92" personId="{9E327114-281F-4CA8-9D47-9EA52F63D1ED}" id="{33848B1A-FAD8-4CEA-A386-AC56FDE9318A}" parentId="{59537568-D276-4D0C-85BE-76AE37507C00}">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AA4" dT="2023-03-17T14:17:09.78" personId="{B21B375E-1358-4B9B-AF60-619C4C8D782D}" id="{B70C7CBD-E866-496A-B584-6D7F24887E50}" parentId="{59537568-D276-4D0C-85BE-76AE37507C00}">
    <text>Sounds good - thanks Giulia!</text>
  </threadedComment>
  <threadedComment ref="Z5" dT="2023-12-12T08:09:55.67" personId="{1BC5222E-EE0C-445F-B716-3BA8A847700C}" id="{5AD7CAB1-E549-4B28-B14D-D0D283B0A02A}">
    <text xml:space="preserve">@Appin I would move this number '17' down  in line 7, where we have reported stakeholders. Here I would simply leave the number '1', which better represents the unit. What you think? </text>
  </threadedComment>
  <threadedComment ref="Z5" dT="2023-12-21T11:19:20.11" personId="{B21B375E-1358-4B9B-AF60-619C4C8D782D}" id="{DC7B6273-5D4D-4D08-ACE3-5DFAA8E5F726}" parentId="{5AD7CAB1-E549-4B28-B14D-D0D283B0A02A}">
    <text>Hi Giulia - I agree, however, as the management plan is not finished yet I've left it at a zero, and we can put in a 1 when the management is finished :) thanks for checking!</text>
  </threadedComment>
  <threadedComment ref="V7" dT="2022-11-29T10:22:35.26" personId="{9E327114-281F-4CA8-9D47-9EA52F63D1ED}" id="{268E9A0A-789E-4FE7-B98B-30F9FB15320A}" done="1">
    <text>I've added the number of boats that justify the high number of 700 children involved: we can deduct that every boat involved has onboard ten children :-)</text>
  </threadedComment>
  <threadedComment ref="V7" dT="2023-03-17T11:46:03.45" personId="{B21B375E-1358-4B9B-AF60-619C4C8D782D}" id="{DF6857BD-EFD4-43E2-8BA4-9BB1B14E97EB}" parentId="{268E9A0A-789E-4FE7-B98B-30F9FB15320A}">
    <text>Perfect - thank you!</text>
  </threadedComment>
  <threadedComment ref="Z7" dT="2023-12-18T16:40:20.36" personId="{B21B375E-1358-4B9B-AF60-619C4C8D782D}" id="{D15DD17D-0B17-481B-B1C5-54579E27E7DF}">
    <text>@Giulia Bernardi there were attendees in some of the lines above so I have copied them into this cell too ☺️</text>
    <mentions>
      <mention mentionpersonId="{4471A717-461A-4C75-9787-DBB012F1A1A2}" mentionId="{D7F24CC6-EFFF-45DB-958C-C1A02A78A266}" startIndex="0" length="16"/>
    </mentions>
  </threadedComment>
  <threadedComment ref="AB7" dT="2023-07-27T15:56:14.75" personId="{B21B375E-1358-4B9B-AF60-619C4C8D782D}" id="{B3452D0E-DBA4-4A9F-9F7E-F14611441DBF}" done="1">
    <text>@Giulia Bernardi are these the same people in cell Y5?</text>
    <mentions>
      <mention mentionpersonId="{4471A717-461A-4C75-9787-DBB012F1A1A2}" mentionId="{290892EF-0AEB-49AB-BFBA-F75E1B218ED2}" startIndex="0" length="16"/>
    </mentions>
  </threadedComment>
  <threadedComment ref="AB7" dT="2023-07-27T16:32:25.27" personId="{9E327114-281F-4CA8-9D47-9EA52F63D1ED}" id="{30E1E7E1-86B4-4A9A-A108-5179036F5E09}" parentId="{B3452D0E-DBA4-4A9F-9F7E-F14611441DBF}">
    <text>YES: these are the total number of local stakeholders that have been involved in the 4 meetings organized with the MPA management entity. In the last line I've specified the real total number, for avoiding redundancies.</text>
  </threadedComment>
  <threadedComment ref="E8" dT="2023-02-23T10:01:14.62" personId="{B21B375E-1358-4B9B-AF60-619C4C8D782D}" id="{5706A59F-5793-4F85-A89D-C62D3075346C}" done="1">
    <text>@Giulia Bernardi I'm not 100% sure what this is, could you provide some more detail and I can see if it fits into one of our existing impact indicators?</text>
    <mentions>
      <mention mentionpersonId="{4471A717-461A-4C75-9787-DBB012F1A1A2}" mentionId="{E3ABA844-80D3-4B9C-8062-0E121DF932E5}" startIndex="0" length="16"/>
    </mentions>
  </threadedComment>
  <threadedComment ref="E8" dT="2023-02-23T14:34:18.99" personId="{9E327114-281F-4CA8-9D47-9EA52F63D1ED}" id="{8EB7DE1A-4C4F-4377-8B1B-D6BD8E31B5B6}" parentId="{5706A59F-5793-4F85-A89D-C62D3075346C}">
    <text>sure. pls read in the box :-)</text>
  </threadedComment>
  <threadedComment ref="U8" dT="2023-03-01T15:14:04.07" personId="{B21B375E-1358-4B9B-AF60-619C4C8D782D}" id="{3E24AF5C-CC30-4004-AF5B-4CA7A089206A}" done="1">
    <text>@Giulia Bernardi I think I'm right in saying this is the number of people involved, is that right?  So this row is never going to be reporting on things like number of pieces of evidence?  IF so, then let's change what the measurable indicator is to reflect that it's the number of people</text>
    <mentions>
      <mention mentionpersonId="{4471A717-461A-4C75-9787-DBB012F1A1A2}" mentionId="{A936C49B-2ED3-4F95-8364-1A764B58B678}" startIndex="0" length="16"/>
    </mentions>
  </threadedComment>
  <threadedComment ref="U8" dT="2023-03-01T16:39:37.34" personId="{9E327114-281F-4CA8-9D47-9EA52F63D1ED}" id="{AAFC7B87-35E9-4035-81A3-640978CF53A5}" parentId="{3E24AF5C-CC30-4004-AF5B-4CA7A089206A}">
    <text>yes, you are right (topt number of fishers involved in the fish monitoring). I would leave to you the final changing, as I am sure you will do it in the best way :-)</text>
  </threadedComment>
  <threadedComment ref="U8" dT="2023-03-17T11:48:05.73" personId="{B21B375E-1358-4B9B-AF60-619C4C8D782D}" id="{BF72A13C-B5C6-4BBD-9E96-ED79C8CFCE29}" parentId="{3E24AF5C-CC30-4004-AF5B-4CA7A089206A}">
    <text>Thanks @Giulia Bernardi I have changed to stakeholders contacted.  Will there be a report from this data?  If so I will add in another line below that we can report on when the report comes out ☺️</text>
    <mentions>
      <mention mentionpersonId="{4471A717-461A-4C75-9787-DBB012F1A1A2}" mentionId="{B7D95F05-AD06-43C4-86CC-DB7C62E9D77E}" startIndex="7" length="16"/>
    </mentions>
  </threadedComment>
  <threadedComment ref="U8" dT="2023-03-17T12:33:19.11" personId="{9E327114-281F-4CA8-9D47-9EA52F63D1ED}" id="{A9C0E0E3-2EF9-4650-A5D9-794B8768139D}" parentId="{3E24AF5C-CC30-4004-AF5B-4CA7A089206A}">
    <text>we will have a new progression report for end of May :-)</text>
  </threadedComment>
  <threadedComment ref="U8" dT="2023-03-17T14:18:01.41" personId="{B21B375E-1358-4B9B-AF60-619C4C8D782D}" id="{6C6EC617-CF18-42DE-BB35-64199A140E22}" parentId="{3E24AF5C-CC30-4004-AF5B-4CA7A089206A}">
    <text>Sorry @Giulia Bernardi I meant a technical report that summarises the findings of this monitoring</text>
    <mentions>
      <mention mentionpersonId="{4471A717-461A-4C75-9787-DBB012F1A1A2}" mentionId="{C5534BCF-0479-49CD-AEFE-6757EC5917A4}" startIndex="6" length="16"/>
    </mentions>
  </threadedComment>
  <threadedComment ref="U8" dT="2023-03-17T15:59:09.87" personId="{9E327114-281F-4CA8-9D47-9EA52F63D1ED}" id="{BFD56B02-DEDE-43EF-9E2C-B401F1D36405}" parentId="{3E24AF5C-CC30-4004-AF5B-4CA7A089206A}">
    <text>mmm not really. We plan to have progression reports every three months. The deadline of thius project will be March 2024. At the end of it, MPA and fishers will write up a new fishing regulation plan within the MPA, also on the basis of the current status of local fish populations. So perhaps this could be the final indicator?</text>
  </threadedComment>
  <threadedComment ref="AB8" dT="2023-07-27T15:53:05.56" personId="{B21B375E-1358-4B9B-AF60-619C4C8D782D}" id="{D8F4A051-54B6-4B7C-B763-19E342C72313}" done="1">
    <text>@Giulia Bernardi this line should be number of people - but the 29+19 looks like it's number of nets, so should this be 48?  Or just four?</text>
    <mentions>
      <mention mentionpersonId="{4471A717-461A-4C75-9787-DBB012F1A1A2}" mentionId="{B2E8F6C1-70DD-445A-81FB-9D7B88310F48}" startIndex="0" length="16"/>
    </mentions>
  </threadedComment>
  <threadedComment ref="AB8" dT="2023-07-27T16:00:30.95" personId="{9E327114-281F-4CA8-9D47-9EA52F63D1ED}" id="{BB4E7D2E-CADF-4504-909C-1EE34796FDE7}" parentId="{D8F4A051-54B6-4B7C-B763-19E342C72313}">
    <text>so if we consider the people 4 is correct. I've also reported the fishing gear operations in case we would consider them as a human activity effort. But fine for me if is more coherent to report the n. of people !</text>
  </threadedComment>
  <threadedComment ref="Y9" dT="2023-09-08T13:00:40.32" personId="{B21B375E-1358-4B9B-AF60-619C4C8D782D}" id="{C738A1D3-B620-4638-98C9-47C2C1866EEF}">
    <text>We have recently stopped counting our number of samples taken so I have changed this to 0 but left the wording in the cell next to it so that we can still see it because it's a cool stat!</text>
  </threadedComment>
</ThreadedComments>
</file>

<file path=xl/threadedComments/threadedComment4.xml><?xml version="1.0" encoding="utf-8"?>
<ThreadedComments xmlns="http://schemas.microsoft.com/office/spreadsheetml/2018/threadedcomments" xmlns:x="http://schemas.openxmlformats.org/spreadsheetml/2006/main">
  <threadedComment ref="Z4" dT="2023-12-18T15:56:02.63" personId="{B21B375E-1358-4B9B-AF60-619C4C8D782D}" id="{2A333F86-F423-4AB8-8469-D54F3E6E2FA3}" done="1">
    <text>@Giulia Bernardi do you know when the reports in this cell were written/submitted?    Just the month is fine!</text>
    <mentions>
      <mention mentionpersonId="{4471A717-461A-4C75-9787-DBB012F1A1A2}" mentionId="{DF1CB559-E811-46CB-AA48-FB07E7EB5810}" startIndex="0" length="16"/>
    </mentions>
  </threadedComment>
  <threadedComment ref="Z4" dT="2023-12-18T16:07:29.23" personId="{9E327114-281F-4CA8-9D47-9EA52F63D1ED}" id="{2F1FE3CD-EDFC-4DB6-946F-49D127F01D02}" parentId="{2A333F86-F423-4AB8-8469-D54F3E6E2FA3}">
    <text>sure - done! I've also changed the value, as the paper of the mako was doublecounted :-)</text>
  </threadedComment>
  <threadedComment ref="Z4" dT="2023-12-20T13:01:59.19" personId="{B21B375E-1358-4B9B-AF60-619C4C8D782D}" id="{AD22384F-679D-4C95-AE73-72F2A5097E99}" parentId="{2A333F86-F423-4AB8-8469-D54F3E6E2FA3}">
    <text>Amazing - thank you!</text>
  </threadedComment>
  <threadedComment ref="Z5" dT="2023-09-08T13:14:13.64" personId="{B21B375E-1358-4B9B-AF60-619C4C8D782D}" id="{7131CA53-BA01-40A4-8F19-712E1E86203A}">
    <text>@Giulia Bernardi I think this should be 4 (4 outreach activities in the form of meetings) and then the number of attendees should go in the row below under 'stakeholders reached' - could you move this across?  I'm not sure exactly how many to put in the row below</text>
    <mentions>
      <mention mentionpersonId="{4471A717-461A-4C75-9787-DBB012F1A1A2}" mentionId="{47F1B332-80A8-46AA-9FA6-4BC6ED2919FA}" startIndex="0" length="16"/>
    </mentions>
  </threadedComment>
  <threadedComment ref="Z5" dT="2023-09-09T13:30:11.09" personId="{9E327114-281F-4CA8-9D47-9EA52F63D1ED}" id="{6CCE487B-011F-41FA-9C5B-5DE68A38607D}" parentId="{7131CA53-BA01-40A4-8F19-712E1E86203A}">
    <text>ok done - I've also move one the international worshop up (before in the row below)</text>
  </threadedComment>
  <threadedComment ref="Z5" dT="2023-12-18T16:00:27.61" personId="{B21B375E-1358-4B9B-AF60-619C4C8D782D}" id="{A432DA0B-C7C9-42D5-B17D-3F340DE3379A}" parentId="{7131CA53-BA01-40A4-8F19-712E1E86203A}">
    <text>@Giulia Bernardi have the partners said which months these occurred in?</text>
    <mentions>
      <mention mentionpersonId="{4471A717-461A-4C75-9787-DBB012F1A1A2}" mentionId="{316B757B-2F1B-4BA6-A405-8A3C38AD4DF3}" startIndex="0" length="16"/>
    </mentions>
  </threadedComment>
  <threadedComment ref="Z6" dT="2023-12-18T15:57:33.59" personId="{B21B375E-1358-4B9B-AF60-619C4C8D782D}" id="{F246F40A-A0A8-4BBF-9A4C-D9E8BD442753}" done="1">
    <text xml:space="preserve">@Giulia Bernardi do you know what the &gt;1000 is referring to?  </text>
    <mentions>
      <mention mentionpersonId="{4471A717-461A-4C75-9787-DBB012F1A1A2}" mentionId="{507F595B-9B5B-42BE-A737-F32C89C7013C}" startIndex="0" length="16"/>
    </mentions>
  </threadedComment>
  <threadedComment ref="Z6" dT="2023-12-20T15:52:14.40" personId="{9E327114-281F-4CA8-9D47-9EA52F63D1ED}" id="{50B48CAF-FD9D-4950-A010-5727940C0EEF}" parentId="{F246F40A-A0A8-4BBF-9A4C-D9E8BD442753}">
    <text>Hi Appin, you r right: on August, the Pelagie Archipelago was accepted as an ISRA (important shark and rays aggregation) area. After, it was included by the Shark Specialist Group of the IUCN in the list of relevant conservation areas for elasmobranchs, in the Mediterranean Sea. Thousands of people have been reached, as the ISRA Atlas is online. I've added few words in red, to be more clear.</text>
  </threadedComment>
  <threadedComment ref="Z6" dT="2023-12-21T11:04:10.14" personId="{B21B375E-1358-4B9B-AF60-619C4C8D782D}" id="{198DE17E-DB81-4546-8A48-3DB12B563168}" parentId="{F246F40A-A0A8-4BBF-9A4C-D9E8BD442753}">
    <text>ok perfect, thanks Giulia!</text>
  </threadedComment>
  <threadedComment ref="AB6" dT="2023-07-27T16:07:01.17" personId="{B21B375E-1358-4B9B-AF60-619C4C8D782D}" id="{A21C2109-EDC8-4283-ADFF-F78DF0206B6C}" done="1">
    <text xml:space="preserve">@Giulia Bernardi these are numbers of stakeholders, which is the row below, while this row is for outreach activities - could you move these down one line?  And then include the outreach activities here?  </text>
    <mentions>
      <mention mentionpersonId="{4471A717-461A-4C75-9787-DBB012F1A1A2}" mentionId="{B0874968-1DAB-4E58-B332-DECEE0ED83F4}" startIndex="0" length="16"/>
    </mentions>
  </threadedComment>
  <threadedComment ref="AB6" dT="2023-07-27T16:19:42.36" personId="{9E327114-281F-4CA8-9D47-9EA52F63D1ED}" id="{1A10E52B-D809-4FDE-8702-E4869336DFE6}" parentId="{A21C2109-EDC8-4283-ADFF-F78DF0206B6C}">
    <text>done - lines moved!</text>
  </threadedComment>
  <threadedComment ref="E8" dT="2022-11-24T09:58:50.32" personId="{B21B375E-1358-4B9B-AF60-619C4C8D782D}" id="{EB79ABE4-4ACD-4EE3-99BB-39C840928FE5}">
    <text>@Giulia Bernardi - I've noticed that this is the same across a couple of outputs, are these the same people?  If so, then we only need to count them once, so let me know which output we should include them in</text>
    <mentions>
      <mention mentionpersonId="{4471A717-461A-4C75-9787-DBB012F1A1A2}" mentionId="{E0B52A3F-A79F-46AF-9266-9F4AE9518003}" startIndex="0" length="16"/>
    </mentions>
  </threadedComment>
  <threadedComment ref="E8" dT="2023-03-17T10:44:41.70" personId="{B21B375E-1358-4B9B-AF60-619C4C8D782D}" id="{31BF9079-C3D7-4537-A13B-09AAB62D5C49}" parentId="{EB79ABE4-4ACD-4EE3-99BB-39C840928FE5}">
    <text xml:space="preserve">@Giulia Bernardi </text>
    <mentions>
      <mention mentionpersonId="{4471A717-461A-4C75-9787-DBB012F1A1A2}" mentionId="{12436728-8DE5-4082-8661-1E97FAACFB39}" startIndex="0" length="16"/>
    </mentions>
  </threadedComment>
  <threadedComment ref="AB8" dT="2023-07-24T16:11:07.34" personId="{B21B375E-1358-4B9B-AF60-619C4C8D782D}" id="{7EB3043F-CC1D-4384-BAE5-AB4F342FF13F}" done="1">
    <text>@Giulia Bernardi I have changed this to zero to reflect the text</text>
    <mentions>
      <mention mentionpersonId="{4471A717-461A-4C75-9787-DBB012F1A1A2}" mentionId="{FC542A3C-D8BE-483B-90EB-DD874A080EAB}" startIndex="0" length="16"/>
    </mentions>
  </threadedComment>
  <threadedComment ref="AB8" dT="2023-07-25T05:57:15.21" personId="{9E327114-281F-4CA8-9D47-9EA52F63D1ED}" id="{E69724AC-3D8F-4107-B5D1-6807A997FC34}" parentId="{7EB3043F-CC1D-4384-BAE5-AB4F342FF13F}">
    <text>ok</text>
  </threadedComment>
  <threadedComment ref="Z10" dT="2023-04-19T15:20:33.27" personId="{B21B375E-1358-4B9B-AF60-619C4C8D782D}" id="{8D24C8CE-04D8-44DD-B98F-F9EE21A2914A}" done="1">
    <text>@Giulia Bernardi have the recommendations been taken up and changed local policy?  If so we can report a 1, but if they haven't changed policy documents (yet) we will put this as zero for now (but let's leave the text in this cell to show the progress against this goal)</text>
    <mentions>
      <mention mentionpersonId="{4471A717-461A-4C75-9787-DBB012F1A1A2}" mentionId="{533D5286-493C-4186-9DEC-BFB90B51FEF0}" startIndex="0" length="16"/>
    </mentions>
  </threadedComment>
  <threadedComment ref="Z10" dT="2023-04-23T14:53:27.81" personId="{9E327114-281F-4CA8-9D47-9EA52F63D1ED}" id="{38A84926-FFB5-48F8-87C2-F8F0D997BAB6}" parentId="{8D24C8CE-04D8-44DD-B98F-F9EE21A2914A}">
    <text>no local policy still did not make any changes. so ok I will put zero here.</text>
  </threadedComment>
  <threadedComment ref="AB10" dT="2023-04-19T15:20:33.27" personId="{B21B375E-1358-4B9B-AF60-619C4C8D782D}" id="{9EE1ED99-9A8B-48F4-A42A-713DE718BBF7}" done="1">
    <text>@Giulia Bernardi have the recommendations been taken up and changed local policy?  If so we can report a 1, but if they haven't changed policy documents (yet) we will put this as zero for now (but let's leave the text in this cell to show the progress against this goal)</text>
    <mentions>
      <mention mentionpersonId="{4471A717-461A-4C75-9787-DBB012F1A1A2}" mentionId="{C2C1880A-7AFC-4F6B-BBB8-755A13ACC46B}" startIndex="0" length="16"/>
    </mentions>
  </threadedComment>
  <threadedComment ref="AB10" dT="2023-04-23T14:53:27.81" personId="{9E327114-281F-4CA8-9D47-9EA52F63D1ED}" id="{37E703C3-F16D-4062-8EBC-C2A21F999CB6}" parentId="{9EE1ED99-9A8B-48F4-A42A-713DE718BBF7}">
    <text>no local policy still did not make any changes. so ok I will put zero here.</text>
  </threadedComment>
</ThreadedComments>
</file>

<file path=xl/threadedComments/threadedComment5.xml><?xml version="1.0" encoding="utf-8"?>
<ThreadedComments xmlns="http://schemas.microsoft.com/office/spreadsheetml/2018/threadedcomments" xmlns:x="http://schemas.openxmlformats.org/spreadsheetml/2006/main">
  <threadedComment ref="E4" dT="2023-07-04T13:25:10.23" personId="{9E327114-281F-4CA8-9D47-9EA52F63D1ED}" id="{89033FA3-7735-4186-B1C2-501E5426BE69}" done="1">
    <text>@Appin Williamson I've noticed a slight difference between the measurable indicators of this page and the word template you've prepared for me. Could you please have a look for homogenizing them? I think it will be much easier to fill them in next Qs if I will have same indicators?</text>
    <mentions>
      <mention mentionpersonId="{F16177FE-0FC8-4485-AC5C-C71A3860FD37}" mentionId="{B476B85A-57AC-4C61-860B-91C5F62CC438}" startIndex="0" length="17"/>
    </mentions>
  </threadedComment>
  <threadedComment ref="Y4" dT="2023-03-17T12:42:48.25" personId="{B21B375E-1358-4B9B-AF60-619C4C8D782D}" id="{7488BF20-AD95-4143-8281-C18DF5231424}" done="1">
    <text>@Giulia Bernardi I have added in the detail from the form for output 6 here - hopefully this looks right to you?</text>
    <mentions>
      <mention mentionpersonId="{4471A717-461A-4C75-9787-DBB012F1A1A2}" mentionId="{0BD032E8-57AE-4E0F-8B6B-58D01057199D}" startIndex="0" length="16"/>
    </mentions>
  </threadedComment>
  <threadedComment ref="Y4" dT="2023-03-17T12:49:26.92" personId="{9E327114-281F-4CA8-9D47-9EA52F63D1ED}" id="{3ED9D2EA-66B4-4BDF-9679-0E9E9E9DB79D}" parentId="{7488BF20-AD95-4143-8281-C18DF5231424}">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Y4" dT="2023-03-17T14:17:09.78" personId="{B21B375E-1358-4B9B-AF60-619C4C8D782D}" id="{4A35972C-4D1F-4714-BA6B-5B0F1E25BD9F}" parentId="{7488BF20-AD95-4143-8281-C18DF5231424}">
    <text>Sounds good - thanks Giulia!</text>
  </threadedComment>
  <threadedComment ref="Z4" dT="2023-09-08T13:18:17.14" personId="{B21B375E-1358-4B9B-AF60-619C4C8D782D}" id="{97481239-429D-4949-AA00-7799CC92B59D}">
    <text>@Giulia Bernardi this is amazing!  So much information!  As it's all different things, I'm going to split them here in the comments of what I think is right, could you please confirm whether I have understood correctly?
* 3.4.1 (pieces of evidence) - 1: 1 report produced and sent to IUCN
* 3.4.3 (changes in rules due to the evidence) - 3: 1 new MPA rule, 1 diving code of conduct, 1 designation of ISRA (if that has now happened)
* 1.1.3 (area of new MPA) - 0.25km2 
Is that right?  If so, I will split this into multiple lines</text>
    <mentions>
      <mention mentionpersonId="{4471A717-461A-4C75-9787-DBB012F1A1A2}" mentionId="{F1EF7696-D3FB-45F4-8322-C1D0D22948D0}" startIndex="0" length="16"/>
    </mentions>
  </threadedComment>
  <threadedComment ref="Z4" dT="2023-12-18T16:43:05.73" personId="{B21B375E-1358-4B9B-AF60-619C4C8D782D}" id="{E7A652E7-6979-44E2-89B1-9E06D1427968}" parentId="{97481239-429D-4949-AA00-7799CC92B59D}">
    <text>@Giulia Bernardi Im going to leave this as is as we're moving to a new software but I think this needs splitting out when I move the data across so let me know if the above seems right!</text>
    <mentions>
      <mention mentionpersonId="{4471A717-461A-4C75-9787-DBB012F1A1A2}" mentionId="{BEA80A0C-26C2-4F4C-BE90-5F6133216B4D}" startIndex="0" length="16"/>
    </mentions>
  </threadedComment>
  <threadedComment ref="V5" dT="2022-11-28T17:20:27.76" personId="{B21B375E-1358-4B9B-AF60-619C4C8D782D}" id="{12B05225-C420-4947-9379-ED7F656FD894}">
    <text>@Giulia Bernardi this was in the above, but I have moved down to here because it is a piece of evidence rather than a legal agreement</text>
    <mentions>
      <mention mentionpersonId="{4471A717-461A-4C75-9787-DBB012F1A1A2}" mentionId="{6104CE52-12C8-439C-9FDB-027965EA3BD2}" startIndex="0" length="16"/>
    </mentions>
  </threadedComment>
  <threadedComment ref="V5" dT="2022-11-29T09:40:21.86" personId="{9E327114-281F-4CA8-9D47-9EA52F63D1ED}" id="{CF9ADA15-A948-4E17-BC1B-98516348FFCB}" parentId="{12B05225-C420-4947-9379-ED7F656FD894}">
    <text>oki</text>
  </threadedComment>
  <threadedComment ref="V5" dT="2023-12-07T14:27:46.97" personId="{B21B375E-1358-4B9B-AF60-619C4C8D782D}" id="{FD7DE933-FD95-4D16-87E6-EFE9F2B9A9C8}" parentId="{12B05225-C420-4947-9379-ED7F656FD894}">
    <text>Hi @Giulia Bernardi actually looking at this again now, I'm confused as to how this makes up 6 - were 6 reports released?</text>
    <mentions>
      <mention mentionpersonId="{4471A717-461A-4C75-9787-DBB012F1A1A2}" mentionId="{95F4DF09-EB03-4722-B3BF-4C677465D245}" startIndex="3" length="16"/>
    </mentions>
  </threadedComment>
  <threadedComment ref="V5" dT="2023-12-13T08:49:32.03" personId="{1BC5222E-EE0C-445F-B716-3BA8A847700C}" id="{B8E73149-9037-4B2A-B298-5ACE749A720B}" parentId="{12B05225-C420-4947-9379-ED7F656FD894}">
    <text>Hi Appin. The numbers are referring to the pieces of evidence, which means: gear control (1), fishing time restrictions (1), close eagle area (1), etc.   :-)</text>
  </threadedComment>
  <threadedComment ref="Z5" dT="2023-09-08T13:18:58.41" personId="{B21B375E-1358-4B9B-AF60-619C4C8D782D}" id="{A06FF393-0664-4D31-BB84-620A875A643F}">
    <text>@Giulia Bernardi did these results get published anywhere (for example in a report?)</text>
    <mentions>
      <mention mentionpersonId="{4471A717-461A-4C75-9787-DBB012F1A1A2}" mentionId="{DD8B6420-F00B-4623-8CAC-8A3E8F888CB1}" startIndex="0" length="16"/>
    </mentions>
  </threadedComment>
  <threadedComment ref="Z5" dT="2023-12-18T16:43:43.92" personId="{B21B375E-1358-4B9B-AF60-619C4C8D782D}" id="{10227164-77CA-440A-B3EB-B5423A6E6DA8}" parentId="{A06FF393-0664-4D31-BB84-620A875A643F}">
    <text xml:space="preserve">@Giulia Bernardi </text>
    <mentions>
      <mention mentionpersonId="{4471A717-461A-4C75-9787-DBB012F1A1A2}" mentionId="{7AB15097-189A-4561-A5FC-84C7FCEC4856}" startIndex="0" length="16"/>
    </mentions>
  </threadedComment>
  <threadedComment ref="Z5" dT="2023-12-21T14:15:11.15" personId="{9E327114-281F-4CA8-9D47-9EA52F63D1ED}" id="{8629D766-1822-49BA-A426-3D783166D302}" parentId="{A06FF393-0664-4D31-BB84-620A875A643F}">
    <text>I do not think we have an official report for this, as it is art of the field work. But if needed, perhaps I can ask for a synthesis of the results early necxt year?</text>
  </threadedComment>
  <threadedComment ref="Z5" dT="2023-12-22T10:00:45.13" personId="{B21B375E-1358-4B9B-AF60-619C4C8D782D}" id="{30CB433D-689C-450E-9579-1969D150931E}" parentId="{A06FF393-0664-4D31-BB84-620A875A643F}">
    <text>No worries - no need to ask them for further work, it just means that we will put a 0 here as we are starting to just count the number of reports issued.  This is still useful progress information though!</text>
  </threadedComment>
  <threadedComment ref="E6" dT="2022-11-24T09:48:56.67" personId="{B21B375E-1358-4B9B-AF60-619C4C8D782D}" id="{1EE96F32-0FA4-4537-8359-D553BF2FB8B7}" done="1">
    <text>@Giulia Bernardi this line specifically refers to whether the fishermen have benefitted from our actions (in this case training), and if so how many?  Is that relevant here?  If not I can delete</text>
    <mentions>
      <mention mentionpersonId="{4471A717-461A-4C75-9787-DBB012F1A1A2}" mentionId="{AA8520BE-76D0-42D9-8BFE-4A4047B838C0}" startIndex="0" length="16"/>
    </mentions>
  </threadedComment>
  <threadedComment ref="E6" dT="2022-11-24T09:50:05.81" personId="{B21B375E-1358-4B9B-AF60-619C4C8D782D}" id="{CE1FD33E-4ACA-473B-8755-B4C57E6DEFFE}" parentId="{1EE96F32-0FA4-4537-8359-D553BF2FB8B7}">
    <text>We can also combine this with the bottom row - non monetary beneficiaries of local diving centres</text>
  </threadedComment>
  <threadedComment ref="E6" dT="2022-11-29T09:31:02.79" personId="{9E327114-281F-4CA8-9D47-9EA52F63D1ED}" id="{3C8E6150-52BF-4DD4-84EC-C5CE7DE23751}" parentId="{1EE96F32-0FA4-4537-8359-D553BF2FB8B7}">
    <text>ok for me to combine, if this makes more sense and simplify a bit the general output</text>
  </threadedComment>
  <threadedComment ref="U6" dT="2022-11-28T17:20:59.01" personId="{B21B375E-1358-4B9B-AF60-619C4C8D782D}" id="{8AC0929A-0032-4165-81D1-44B06F545873}" done="1">
    <text>@Giulia Bernardi just checking this is the number of beneficiaries yes?</text>
    <mentions>
      <mention mentionpersonId="{4471A717-461A-4C75-9787-DBB012F1A1A2}" mentionId="{57BB2D6C-14A3-410A-B347-512E32B29C00}" startIndex="0" length="16"/>
    </mentions>
  </threadedComment>
  <threadedComment ref="U6" dT="2022-11-29T09:37:30.05" personId="{9E327114-281F-4CA8-9D47-9EA52F63D1ED}" id="{83BFB5BF-A5C9-4721-B47F-50E6272F26F3}" parentId="{8AC0929A-0032-4165-81D1-44B06F545873}">
    <text>yes, but I would also consider beneficiaries the box R8, what u think? Also, why we have the value as 22+3?</text>
  </threadedComment>
  <threadedComment ref="U6" dT="2022-11-29T18:17:15.09" personId="{B21B375E-1358-4B9B-AF60-619C4C8D782D}" id="{DF586A1D-F469-4DF0-AB99-0D22A66B1B1E}" parentId="{8AC0929A-0032-4165-81D1-44B06F545873}">
    <text>Judging by the numbers in the comments, is it 22 fishers?  I think it might have been 22 fishers plus 2 interns plus 1 MSc.  I've written that into the box now but let me know if this is wrong ☺️</text>
  </threadedComment>
  <threadedComment ref="U6" dT="2022-11-30T08:37:18.59" personId="{9E327114-281F-4CA8-9D47-9EA52F63D1ED}" id="{93C18084-8247-4852-AC01-1BC40195D84A}" parentId="{8AC0929A-0032-4165-81D1-44B06F545873}">
    <text>I am seeing 12 fishers (R8), so i would say 12+1+2 in total?</text>
  </threadedComment>
  <threadedComment ref="U6" dT="2022-11-30T12:42:05.39" personId="{B21B375E-1358-4B9B-AF60-619C4C8D782D}" id="{E4FB1CEB-0286-48D7-B3FE-C8414AF7885A}" parentId="{8AC0929A-0032-4165-81D1-44B06F545873}">
    <text xml:space="preserve">OK great - I have changed, maybe I've spent too much time in logframes recently ;) </text>
  </threadedComment>
  <threadedComment ref="V6" dT="2022-11-28T17:22:07.30" personId="{B21B375E-1358-4B9B-AF60-619C4C8D782D}" id="{B589DCE2-E98E-4703-B1B4-E91409D26279}" done="1">
    <text>I have moved the bottom bit of text up from monetary beneficiaries as I think these are non-monetary</text>
  </threadedComment>
  <threadedComment ref="V6" dT="2022-11-29T09:35:24.76" personId="{9E327114-281F-4CA8-9D47-9EA52F63D1ED}" id="{FE593242-0746-4F96-BCFF-A0905ECB243C}" parentId="{B589DCE2-E98E-4703-B1B4-E91409D26279}">
    <text>ok</text>
  </threadedComment>
  <threadedComment ref="Z7" dT="2023-04-19T15:23:07.78" personId="{B21B375E-1358-4B9B-AF60-619C4C8D782D}" id="{2ADAB705-03AC-452C-A252-A8C142047CC0}">
    <text>@Giulia Bernardi I have moved this up one line as this line is 'number of activities' and the line below is 'number of stakeholders reached'.  For that - do you know mhow many people attended the workshop?  If so we can include below ☺️</text>
    <mentions>
      <mention mentionpersonId="{4471A717-461A-4C75-9787-DBB012F1A1A2}" mentionId="{EB3FBDF1-FDE1-4B69-A427-87B965BA3BEB}" startIndex="0" length="16"/>
    </mentions>
  </threadedComment>
  <threadedComment ref="Z7" dT="2023-04-23T14:57:45.45" personId="{9E327114-281F-4CA8-9D47-9EA52F63D1ED}" id="{149A522C-9D1B-46E1-BD41-9C288246D8A7}" parentId="{2ADAB705-03AC-452C-A252-A8C142047CC0}">
    <text>ok great - so I've added below the number of stakeholders reached :-)</text>
  </threadedComment>
  <threadedComment ref="Z7" dT="2023-09-08T13:23:04.58" personId="{B21B375E-1358-4B9B-AF60-619C4C8D782D}" id="{2E7AEACB-441C-40F1-85C1-F9195523422A}" parentId="{2ADAB705-03AC-452C-A252-A8C142047CC0}">
    <text xml:space="preserve">Hello again!  Just looking at this and it seems like we have the number of stakeholders reached in Y7, but as this is outreach activities, I think this should be 2 - is that correct?  @Giulia Bernardi </text>
    <mentions>
      <mention mentionpersonId="{4471A717-461A-4C75-9787-DBB012F1A1A2}" mentionId="{F8370544-6E27-4256-A901-80943779B68C}" startIndex="184" length="16"/>
    </mentions>
  </threadedComment>
  <threadedComment ref="Z9" dT="2023-12-15T13:40:04.85" personId="{1BC5222E-EE0C-445F-B716-3BA8A847700C}" id="{1126E1C9-B63D-43AE-AA2D-92FE6DD66697}">
    <text>Hi Appin, I moved here the info in blue that were previously reported in line 7 (see blue reference in line 7-Q2 blue). I think is more appropriate to insert this info here, because is monitoring and not outreach. What u think?</text>
  </threadedComment>
</ThreadedComments>
</file>

<file path=xl/threadedComments/threadedComment6.xml><?xml version="1.0" encoding="utf-8"?>
<ThreadedComments xmlns="http://schemas.microsoft.com/office/spreadsheetml/2018/threadedcomments" xmlns:x="http://schemas.openxmlformats.org/spreadsheetml/2006/main">
  <threadedComment ref="Y4" dT="2023-03-17T12:42:48.25" personId="{B21B375E-1358-4B9B-AF60-619C4C8D782D}" id="{2D72313E-F270-4E0E-AF1F-A8E52A7D4879}" done="1">
    <text>@Giulia Bernardi I have added in the detail from the form for output 6 here - hopefully this looks right to you?</text>
    <mentions>
      <mention mentionpersonId="{4471A717-461A-4C75-9787-DBB012F1A1A2}" mentionId="{3DEEBA46-83E9-45C9-9BFF-E24468BF9948}" startIndex="0" length="16"/>
    </mentions>
  </threadedComment>
  <threadedComment ref="Y4" dT="2023-03-17T12:49:26.92" personId="{9E327114-281F-4CA8-9D47-9EA52F63D1ED}" id="{D5BEE00F-FF5D-4D5B-A68F-2951074761DB}" parentId="{2D72313E-F270-4E0E-AF1F-A8E52A7D4879}">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Y4" dT="2023-03-17T14:17:09.78" personId="{B21B375E-1358-4B9B-AF60-619C4C8D782D}" id="{DBDF48C7-6BB1-4254-A841-3637C74260CF}" parentId="{2D72313E-F270-4E0E-AF1F-A8E52A7D4879}">
    <text>Sounds good - thanks Giulia!</text>
  </threadedComment>
  <threadedComment ref="Z4" dT="2023-09-08T13:23:43.13" personId="{B21B375E-1358-4B9B-AF60-619C4C8D782D}" id="{1FADB4FD-E90E-4C19-B4F2-DEAC14604092}">
    <text>@Giulia Bernardi YAAAYYYY - good news!</text>
    <mentions>
      <mention mentionpersonId="{4471A717-461A-4C75-9787-DBB012F1A1A2}" mentionId="{DF0ED308-C87F-49F1-A610-99CADC4C525F}" startIndex="0" length="16"/>
    </mentions>
  </threadedComment>
  <threadedComment ref="Z4" dT="2023-12-18T16:55:43.64" personId="{B21B375E-1358-4B9B-AF60-619C4C8D782D}" id="{E6CEC69F-53E4-45FB-94B5-C218D5725C97}" parentId="{1FADB4FD-E90E-4C19-B4F2-DEAC14604092}">
    <text>@Giulia Bernardi could I double check what the 0.047 is covering?</text>
    <mentions>
      <mention mentionpersonId="{4471A717-461A-4C75-9787-DBB012F1A1A2}" mentionId="{C42CC453-2350-474B-98F8-EB00934CA526}" startIndex="0" length="16"/>
    </mentions>
  </threadedComment>
  <threadedComment ref="AA4" dT="2023-03-17T12:42:48.25" personId="{B21B375E-1358-4B9B-AF60-619C4C8D782D}" id="{6769D4D1-126B-4B10-B535-C9FCBF7DAF1B}" done="1">
    <text>@Giulia Bernardi I have added in the detail from the form for output 6 here - hopefully this looks right to you?</text>
    <mentions>
      <mention mentionpersonId="{4471A717-461A-4C75-9787-DBB012F1A1A2}" mentionId="{B1DF089F-58AF-4573-9408-C02747977464}" startIndex="0" length="16"/>
    </mentions>
  </threadedComment>
  <threadedComment ref="AA4" dT="2023-03-17T12:49:26.92" personId="{9E327114-281F-4CA8-9D47-9EA52F63D1ED}" id="{E6E249F2-0208-402C-B0A0-A63FB53F2B52}" parentId="{6769D4D1-126B-4B10-B535-C9FCBF7DAF1B}">
    <text>Yes, it's right, as we have purchased the devices but still not installed.   
If you agree, I will put you in copy when I will send the Ita reports to Rory on a quarter basis, so you can check directly the new values and indicators directly into the new table we've done together. Sounds good for you?</text>
  </threadedComment>
  <threadedComment ref="AA4" dT="2023-03-17T14:17:09.78" personId="{B21B375E-1358-4B9B-AF60-619C4C8D782D}" id="{6889F516-A710-4447-B0A5-6A1CD634E9EC}" parentId="{6769D4D1-126B-4B10-B535-C9FCBF7DAF1B}">
    <text>Sounds good - thanks Giulia!</text>
  </threadedComment>
  <threadedComment ref="X5" dT="2022-11-29T18:22:13.97" personId="{B21B375E-1358-4B9B-AF60-619C4C8D782D}" id="{0A8F19A1-DC98-4524-A142-A119D921A783}" done="1">
    <text>Not urgent (so not required by 30th Nov) but do you know how many species we are hoping to protect through this?  The impact indicator is looking at this (see G5) but we might want to examine something else</text>
  </threadedComment>
  <threadedComment ref="X5" dT="2023-03-17T10:46:44.54" personId="{B21B375E-1358-4B9B-AF60-619C4C8D782D}" id="{A5B0CAF2-1EC7-4A4D-8B95-CC300CDAB5D8}" parentId="{0A8F19A1-DC98-4524-A142-A119D921A783}">
    <text>@Giulia Bernardi sorry, looks like I forgot to tag you in this one too</text>
    <mentions>
      <mention mentionpersonId="{4471A717-461A-4C75-9787-DBB012F1A1A2}" mentionId="{DC47257E-C514-4BB8-B96D-B438756EECE3}" startIndex="0" length="16"/>
    </mentions>
  </threadedComment>
  <threadedComment ref="X5" dT="2023-03-17T12:24:10.41" personId="{9E327114-281F-4CA8-9D47-9EA52F63D1ED}" id="{8C667DA1-DDF7-477F-8475-F67D8B024B76}" parentId="{0A8F19A1-DC98-4524-A142-A119D921A783}">
    <text>no idea ab out the number of species, ubt I can ask if the MPA has some previous investigations about it. I can say for sure we will protect two priority habitats , which are coralligenous and posidonia oceanica. I'll let you know if we have num of species somewhere...</text>
  </threadedComment>
  <threadedComment ref="X5" dT="2023-03-17T14:18:45.20" personId="{B21B375E-1358-4B9B-AF60-619C4C8D782D}" id="{19CE148D-72FC-4BF7-B0EB-F52A24E1B294}" parentId="{0A8F19A1-DC98-4524-A142-A119D921A783}">
    <text>Ok sounds great, thanks Giulia!  And no rush</text>
  </threadedComment>
  <threadedComment ref="X5" dT="2023-05-15T11:26:32.38" personId="{B21B375E-1358-4B9B-AF60-619C4C8D782D}" id="{23965660-A0E9-42F8-94FC-51AC595AB80F}" parentId="{0A8F19A1-DC98-4524-A142-A119D921A783}">
    <text>@Giulia Bernardi were you every able to find out the number of species?</text>
    <mentions>
      <mention mentionpersonId="{4471A717-461A-4C75-9787-DBB012F1A1A2}" mentionId="{D5310DD8-6E1E-4009-ADB8-F14BAF52D98F}" startIndex="0" length="16"/>
    </mentions>
  </threadedComment>
  <threadedComment ref="X5" dT="2023-05-15T12:34:03.46" personId="{9E327114-281F-4CA8-9D47-9EA52F63D1ED}" id="{67C7C3C3-7ABA-44D7-8369-B4E78DED2B1A}" parentId="{0A8F19A1-DC98-4524-A142-A119D921A783}">
    <text>Hi Appin, sorry I forgot to ask. But looking around the web, I've found that                                   'Coralligenous habitats are considered one of the most important biodiversity hotspots in the Mediterranean. HOSTING OVER 1700 SPECIES, coralligenous assemblages provide key spawning grounds for commercial fish and invertebrates, from porifera, to anthozoans, bryozoans, hydroids, and many other organisms to coexist'.                                             
I can ask more details to the MPA, but the general values should be these ones. Let me know!  :-)</text>
  </threadedComment>
  <threadedComment ref="X5" dT="2023-05-15T15:45:12.58" personId="{B21B375E-1358-4B9B-AF60-619C4C8D782D}" id="{CFA2B54A-9638-42BA-8CE9-C5F7145D7C5B}" parentId="{0A8F19A1-DC98-4524-A142-A119D921A783}">
    <text>Thanks Giulia!  Sorry I was not very clear why I was asking!  I meant whether we had specific species in mind that we were looking to protect i.e. seagrass/seahorses/other species, sounds like coralligenous habitats are one in particular, but whether we had any other specific species we were aiming to provide better protection for by this work</text>
  </threadedComment>
  <threadedComment ref="X5" dT="2023-05-16T10:20:15.83" personId="{9E327114-281F-4CA8-9D47-9EA52F63D1ED}" id="{EC9AB751-8F1D-43FA-9987-3AB5B1D75B58}" parentId="{0A8F19A1-DC98-4524-A142-A119D921A783}">
    <text>we will guarantee a better protection of two EU priority habitats, mainly the coralligenous abut also some margins of posidonia seagrass meadows. Both habitats hosts tons of species. Perhaps you would like to have a list of some iconic species that use to live there?</text>
  </threadedComment>
  <threadedComment ref="X5" dT="2023-05-19T07:31:58.57" personId="{B21B375E-1358-4B9B-AF60-619C4C8D782D}" id="{2961A272-5AE5-476D-9C01-67F997F1800E}" parentId="{0A8F19A1-DC98-4524-A142-A119D921A783}">
    <text>OK great thank you - just those two species are great facts so that's plenty - thank you!</text>
  </threadedComment>
  <threadedComment ref="F7" dT="2022-11-24T09:28:46.01" personId="{B21B375E-1358-4B9B-AF60-619C4C8D782D}" id="{E5730130-5734-4398-BC54-AEB9A772980F}" done="1">
    <text>@Giulia Bernardi - the unit for this one will be number of beneficiaries, do you know how many people at the environmental agency will be benefitting?</text>
    <mentions>
      <mention mentionpersonId="{4471A717-461A-4C75-9787-DBB012F1A1A2}" mentionId="{E72A14EB-7D6E-4806-BE2C-D84420BAD0A7}" startIndex="0" length="16"/>
    </mentions>
  </threadedComment>
  <threadedComment ref="F7" dT="2022-11-24T09:28:59.30" personId="{B21B375E-1358-4B9B-AF60-619C4C8D782D}" id="{9C346EA2-1949-4057-B076-0133152A034B}" parentId="{E5730130-5734-4398-BC54-AEB9A772980F}">
    <text>Same question for row below</text>
  </threadedComment>
  <threadedComment ref="F7" dT="2022-11-26T09:44:33.16" personId="{9E327114-281F-4CA8-9D47-9EA52F63D1ED}" id="{A6CEA0C2-4E38-44F4-B014-C2260AB5EB05}" parentId="{E5730130-5734-4398-BC54-AEB9A772980F}">
    <text>yes</text>
  </threadedComment>
  <threadedComment ref="V7" dT="2022-11-29T18:22:55.81" personId="{B21B375E-1358-4B9B-AF60-619C4C8D782D}" id="{5F95D8E5-C4BA-484B-86E5-1924DAF2032C}" done="1">
    <text>Have not counted these because I think they might be contractors rather than beneficiaries</text>
  </threadedComment>
  <threadedComment ref="E9" dT="2022-11-24T09:47:40.55" personId="{B21B375E-1358-4B9B-AF60-619C4C8D782D}" id="{A7614D55-AB1A-453F-8F98-D43A0E0C7AF7}" done="1">
    <text>@Giulia Bernardi - 4.2.1 represents number of stakeholders, so within these groups of people, do you have a rough idea of how many</text>
  </threadedComment>
  <threadedComment ref="E9" dT="2022-11-26T09:44:54.60" personId="{9E327114-281F-4CA8-9D47-9EA52F63D1ED}" id="{A77530CB-943F-4E7B-A1E0-440A5E6A4979}" parentId="{A7614D55-AB1A-453F-8F98-D43A0E0C7AF7}">
    <text>yes</text>
  </threadedComment>
  <threadedComment ref="E9" dT="2022-11-28T09:40:48.79" personId="{B21B375E-1358-4B9B-AF60-619C4C8D782D}" id="{187809EE-D0A9-4C44-AB31-C3FC1A4FC47A}" parentId="{A7614D55-AB1A-453F-8F98-D43A0E0C7AF7}">
    <text>OK great - is this the number (11) that's in the column now?</text>
  </threadedComment>
  <threadedComment ref="E9" dT="2022-11-28T13:52:38.70" personId="{9E327114-281F-4CA8-9D47-9EA52F63D1ED}" id="{EFFDAFA9-3826-4986-8C42-9B98BDE0CF12}" parentId="{A7614D55-AB1A-453F-8F98-D43A0E0C7AF7}">
    <text>yeah, 11 is the final number of people reached, I did't update the number on the left side, but I did it now, sorry!</text>
  </threadedComment>
  <threadedComment ref="T9" dT="2022-11-24T09:47:40.55" personId="{B21B375E-1358-4B9B-AF60-619C4C8D782D}" id="{522D38AD-115C-455B-997D-6971169FAA51}" done="1">
    <text>@Giulia Bernardi - 4.2.1 represents number of stakeholders, so within these groups of people, do you have a rough idea of how many</text>
  </threadedComment>
</ThreadedComments>
</file>

<file path=xl/threadedComments/threadedComment7.xml><?xml version="1.0" encoding="utf-8"?>
<ThreadedComments xmlns="http://schemas.microsoft.com/office/spreadsheetml/2018/threadedcomments" xmlns:x="http://schemas.openxmlformats.org/spreadsheetml/2006/main">
  <threadedComment ref="Y4" dT="2023-12-18T16:57:34.22" personId="{B21B375E-1358-4B9B-AF60-619C4C8D782D}" id="{8F5B6FF9-049A-45AD-9825-CB01CE461FB6}">
    <text>Have changed to 1 for now - previously 3 but think this might have been incorrect</text>
  </threadedComment>
  <threadedComment ref="Z4" dT="2023-12-18T16:57:08.11" personId="{B21B375E-1358-4B9B-AF60-619C4C8D782D}" id="{D2371CB1-1E6C-45D8-B3EC-390018627992}">
    <text>@Giulia Bernardi this looks like one report submitted, is that right?</text>
    <mentions>
      <mention mentionpersonId="{4471A717-461A-4C75-9787-DBB012F1A1A2}" mentionId="{67E212A1-BE39-48C1-ABD1-1147DEE35D42}" startIndex="0" length="16"/>
    </mentions>
  </threadedComment>
  <threadedComment ref="Z4" dT="2023-12-21T14:16:29.68" personId="{9E327114-281F-4CA8-9D47-9EA52F63D1ED}" id="{3586046E-54B3-4557-A30A-0A06AD948E4D}" parentId="{D2371CB1-1E6C-45D8-B3EC-390018627992}">
    <text>yes, submitted and soon sent to the env. ministry!</text>
  </threadedComment>
  <threadedComment ref="E5" dT="2022-11-24T09:44:39.57" personId="{B21B375E-1358-4B9B-AF60-619C4C8D782D}" id="{1B21A3B4-12EB-4567-A9C6-D3951255E259}" done="1">
    <text>@Giulia Bernardi some of these numbers can go into the next row down (98 events can stay in this row, and get put into the years they were done, then 600 visitors can go into next year down, into the right columns for the years they were done)</text>
    <mentions>
      <mention mentionpersonId="{4471A717-461A-4C75-9787-DBB012F1A1A2}" mentionId="{60EE6943-2396-4233-8445-AEBB560BE49E}" startIndex="0" length="16"/>
    </mentions>
  </threadedComment>
  <threadedComment ref="E5" dT="2022-11-26T09:44:16.10" personId="{9E327114-281F-4CA8-9D47-9EA52F63D1ED}" id="{DAB286A4-1F7F-452F-A5E5-94DF87BD2C11}" parentId="{1B21A3B4-12EB-4567-A9C6-D3951255E259}">
    <text>ok I've rearranged them, I hope in the right way!</text>
  </threadedComment>
  <threadedComment ref="E5" dT="2023-03-17T12:02:15.04" personId="{B21B375E-1358-4B9B-AF60-619C4C8D782D}" id="{46E9BEB9-8F74-41E4-A089-CE69F867178E}" parentId="{1B21A3B4-12EB-4567-A9C6-D3951255E259}">
    <text>Perfect, thanks Giulia!</text>
  </threadedComment>
  <threadedComment ref="Z5" dT="2023-12-18T19:23:03.31" personId="{B21B375E-1358-4B9B-AF60-619C4C8D782D}" id="{EA74C2AA-4098-4D1D-9A5D-E2B9CBAE878F}">
    <text>@Giulia Bernardi for this line, it is the number of tools or activities, so if there were 3000 brochures distributed of one booklet, this line should be 1, and the 3000 goes into the line below, as it reached 3000 stakeholders.  Could you please check the number that should go in this one with that in mind?  Thanks!</text>
    <mentions>
      <mention mentionpersonId="{4471A717-461A-4C75-9787-DBB012F1A1A2}" mentionId="{1412C559-6095-466E-9EF2-F2D606565F7D}" startIndex="0" length="16"/>
    </mentions>
  </threadedComment>
  <threadedComment ref="AB5" dT="2023-07-27T16:11:12.28" personId="{B21B375E-1358-4B9B-AF60-619C4C8D782D}" id="{D23DE983-5DA6-4F4F-B78C-78555CF9FA7D}">
    <text>@Giulia Bernardi this line is for outreach activities, which looks like 1 (brochures released) - and then 2000 can go in the line below as that is stakeholders
Do we know that these have definitely reached 2000 people or is this the amount printed?</text>
    <mentions>
      <mention mentionpersonId="{4471A717-461A-4C75-9787-DBB012F1A1A2}" mentionId="{AE24F7EB-2F96-48D7-BF14-C9DD672192B4}" startIndex="0" length="16"/>
    </mentions>
  </threadedComment>
  <threadedComment ref="AB5" dT="2023-07-27T16:34:16.43" personId="{9E327114-281F-4CA8-9D47-9EA52F63D1ED}" id="{0BDDF770-2F52-4B77-877E-1F21D9B69B46}" parentId="{D23DE983-5DA6-4F4F-B78C-78555CF9FA7D}">
    <text>This is the amount printed and already distributed in the various educational centres. Can we presume they will reach the same number of people?</text>
  </threadedComment>
  <threadedComment ref="AB5" dT="2023-09-08T13:24:54.18" personId="{B21B375E-1358-4B9B-AF60-619C4C8D782D}" id="{1F3412CE-5251-4678-A70E-3F882A6A15BB}" parentId="{D23DE983-5DA6-4F4F-B78C-78555CF9FA7D}">
    <text>@Giulia Bernardi yes I think so - so let's put leaflets released in the next row down and in this row just 1?  Is that right?</text>
    <mentions>
      <mention mentionpersonId="{4471A717-461A-4C75-9787-DBB012F1A1A2}" mentionId="{726BEEAA-1B1B-4AB1-AE7D-027C39655848}" startIndex="0" length="16"/>
    </mentions>
  </threadedComment>
  <threadedComment ref="E6" dT="2022-11-24T09:47:03.34" personId="{B21B375E-1358-4B9B-AF60-619C4C8D782D}" id="{1BE7DE28-4059-4F64-871D-9C96A75AA3E8}" done="1">
    <text>@Giulia Bernardi - 4.2.1 represents number of stakeholders, so within these groups of people, do you have a rough idea of how many?</text>
    <mentions>
      <mention mentionpersonId="{4471A717-461A-4C75-9787-DBB012F1A1A2}" mentionId="{2FAA9806-D86C-4A55-A465-3F7A1D5DEA0E}" startIndex="0" length="16"/>
    </mentions>
  </threadedComment>
  <threadedComment ref="E6" dT="2022-11-26T09:43:48.72" personId="{9E327114-281F-4CA8-9D47-9EA52F63D1ED}" id="{A8AAE18F-CBE4-4066-B081-2FCEC356793D}" parentId="{1BE7DE28-4059-4F64-871D-9C96A75AA3E8}">
    <text>ok</text>
  </threadedComment>
  <threadedComment ref="Z6" dT="2023-09-08T13:25:53.22" personId="{B21B375E-1358-4B9B-AF60-619C4C8D782D}" id="{F2D9F4BB-2E3F-4270-AA48-366F63E8F6B1}">
    <text>@Giulia Bernardi I think this can go in the row above - are they ten different documents?  If you look at column G - this shows whether this is the number of stakeholders or the number of outreach tools</text>
    <mentions>
      <mention mentionpersonId="{4471A717-461A-4C75-9787-DBB012F1A1A2}" mentionId="{D21C1A8D-BFE0-4B6E-97E7-6DCE9BF9C982}" startIndex="0" length="16"/>
    </mentions>
  </threadedComment>
  <threadedComment ref="Z6" dT="2023-12-21T14:23:02.40" personId="{9E327114-281F-4CA8-9D47-9EA52F63D1ED}" id="{DDFD064F-6B31-43FA-9DCE-92ED2121C1CB}" parentId="{F2D9F4BB-2E3F-4270-AA48-366F63E8F6B1}">
    <text>done! :-)</text>
  </threadedComment>
  <threadedComment ref="E7" dT="2022-11-24T09:43:26.61" personId="{B21B375E-1358-4B9B-AF60-619C4C8D782D}" id="{BB46C52C-BD92-4E89-9BC5-31866112634A}" done="1">
    <text>@Giulia Bernardi - is this different from the improvement for monk seals in Output 6?  If so we can leave this in and report, but if they are the same we can remove one of these to avoid double counting.  Let me know which you'd like it to be removed from</text>
    <mentions>
      <mention mentionpersonId="{4471A717-461A-4C75-9787-DBB012F1A1A2}" mentionId="{5497B71C-8558-47D8-8AF5-749F9A1B5C32}" startIndex="0" length="16"/>
    </mentions>
  </threadedComment>
  <threadedComment ref="E7" dT="2022-11-26T09:43:34.47" personId="{9E327114-281F-4CA8-9D47-9EA52F63D1ED}" id="{D4069379-82EB-4C05-9CCC-13E6CD7595E9}" parentId="{BB46C52C-BD92-4E89-9BC5-31866112634A}">
    <text>it was a mistake in output 6, it is present only here in output 7 :-)</text>
  </threadedComment>
  <threadedComment ref="Z8" dT="2023-09-08T13:27:14.10" personId="{B21B375E-1358-4B9B-AF60-619C4C8D782D}" id="{1B4E8AB0-8B1D-4E3A-890C-9B3F667B1C96}">
    <text>@Giulia Bernardi this indicator is changing slightly to things like reports or similar - have there been any reports issued to show the results of these inspections?  If not, we can't count them here but we can leave the text in as a good record!</text>
    <mentions>
      <mention mentionpersonId="{4471A717-461A-4C75-9787-DBB012F1A1A2}" mentionId="{F28B742E-469C-430A-B1D0-917A562D224B}" startIndex="0" length="16"/>
    </mentions>
  </threadedComment>
  <threadedComment ref="Z8" dT="2023-09-09T13:33:15.21" personId="{9E327114-281F-4CA8-9D47-9EA52F63D1ED}" id="{FAB7C5B5-A827-49C7-B94E-9FADAF73DDF1}" parentId="{1B4E8AB0-8B1D-4E3A-890C-9B3F667B1C96}">
    <text>Hey Appin, not sure what you are intending :-S. pls pls explain again?</text>
  </threadedComment>
  <threadedComment ref="Z8" dT="2023-12-15T15:17:26.73" personId="{1BC5222E-EE0C-445F-B716-3BA8A847700C}" id="{CA3C5492-EDC0-4189-BA6F-543AF8649434}" parentId="{1B4E8AB0-8B1D-4E3A-890C-9B3F667B1C96}">
    <text>I made integration in Q3 here :-)</text>
  </threadedComment>
  <threadedComment ref="Z8" dT="2023-12-18T19:24:42.25" personId="{B21B375E-1358-4B9B-AF60-619C4C8D782D}" id="{19C78426-E80C-4EED-999C-7BA427DDA03A}" parentId="{1B4E8AB0-8B1D-4E3A-890C-9B3F667B1C96}">
    <text>Thanks @Giulia Bernardi - do you know if any reports were produced from this monitoring?</text>
    <mentions>
      <mention mentionpersonId="{4471A717-461A-4C75-9787-DBB012F1A1A2}" mentionId="{BDDA587E-7156-41DA-8973-42D470434A58}" startIndex="7" length="16"/>
    </mentions>
  </threadedComment>
  <threadedComment ref="Z9" dT="2023-09-08T13:27:29.06" personId="{B21B375E-1358-4B9B-AF60-619C4C8D782D}" id="{882AFB55-BAC4-40D6-A95B-69FC66236482}">
    <text>@Giulia Bernardi same as comment above</text>
    <mentions>
      <mention mentionpersonId="{4471A717-461A-4C75-9787-DBB012F1A1A2}" mentionId="{266909EC-F654-43BE-B5A6-33FEAA4BFC3C}" startIndex="0" length="16"/>
    </mentions>
  </threadedComment>
  <threadedComment ref="Z10" dT="2023-04-19T15:25:26.52" personId="{B21B375E-1358-4B9B-AF60-619C4C8D782D}" id="{24F887E9-F584-4F46-A0D2-595B4C668F3A}" done="1">
    <text>@Giulia Bernardi I think we can call these people beneficiaries, so I will move the national park guides to a new line ☺️ I will also update the partner form to include a beneificiaries line</text>
    <mentions>
      <mention mentionpersonId="{4471A717-461A-4C75-9787-DBB012F1A1A2}" mentionId="{167199E6-FAB1-4C32-AE0F-F862795CE73F}" startIndex="0" length="16"/>
    </mentions>
  </threadedComment>
  <threadedComment ref="Z10" dT="2023-04-19T15:30:06.99" personId="{B21B375E-1358-4B9B-AF60-619C4C8D782D}" id="{64F07826-9D75-440E-948C-87CBDD3A91A2}" parentId="{24F887E9-F584-4F46-A0D2-595B4C668F3A}">
    <text xml:space="preserve">New updated partner form is here: Italy_ProgressionReport_Output7.docx </text>
    <extLst>
      <x:ext xmlns:xltc2="http://schemas.microsoft.com/office/spreadsheetml/2020/threadedcomments2" uri="{F7C98A9C-CBB3-438F-8F68-D28B6AF4A901}">
        <xltc2:checksum>1792891359</xltc2:checksum>
        <xltc2:hyperlink startIndex="34" length="36" url="https://bluemarinefoundation.sharepoint.com/:w:/s/Projects/Eb7OTYWdbyxBkWo_9e7dptsB9UPfRcMu3v6VrwCb2NCrOg?e=H13kj8"/>
      </x:ext>
    </extLst>
  </threadedComment>
  <threadedComment ref="Z10" dT="2023-04-23T15:06:11.97" personId="{9E327114-281F-4CA8-9D47-9EA52F63D1ED}" id="{8A61DB24-6BDB-4A5C-888D-76D523D67A01}" parentId="{24F887E9-F584-4F46-A0D2-595B4C668F3A}">
    <text>ok thanks!</text>
  </threadedComment>
  <threadedComment ref="Z12" dT="2023-12-18T19:28:31.47" personId="{B21B375E-1358-4B9B-AF60-619C4C8D782D}" id="{B19716D0-3D45-437A-83AE-A66E160C17DB}">
    <text>@Giulia Bernardi this can go up to O.7.3 so I have moved the text up there and will remove once you've seen this ☺️</text>
    <mentions>
      <mention mentionpersonId="{4471A717-461A-4C75-9787-DBB012F1A1A2}" mentionId="{193BFF7F-8779-40F3-8FC6-FF9880368981}" startIndex="0" length="16"/>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F4" dT="2023-07-20T12:57:59.27" personId="{4E4C697A-22DF-4927-8218-500BAB0AD570}" id="{C965DB3C-EA61-4921-9BCE-D91BF4A1FD69}">
    <text>Where did these figures come from?</text>
  </threadedComment>
  <threadedComment ref="F4" dT="2023-09-08T13:37:22.74" personId="{B21B375E-1358-4B9B-AF60-619C4C8D782D}" id="{A890CB3A-FDEF-4B06-8CA7-D8E4809AC121}" parentId="{C965DB3C-EA61-4921-9BCE-D91BF4A1FD69}">
    <text>Not sure but this is what we aim to reach, so this can be whatever we'd like to achieve - if you're feeling like you want to change it then please do to something that seems more aligned with project plans</text>
  </threadedComment>
  <threadedComment ref="Z4" dT="2023-12-16T17:42:52.80" personId="{1BC5222E-EE0C-445F-B716-3BA8A847700C}" id="{A5B99691-44D7-4159-8480-217D4E486957}">
    <text>Hello - I've added the activities carried out during Q3...which were not reported before (do not know why) :-)</text>
  </threadedComment>
  <threadedComment ref="Z4" dT="2023-12-20T13:59:53.43" personId="{B21B375E-1358-4B9B-AF60-619C4C8D782D}" id="{FDD12574-6ED1-4772-8B72-B9D1DA08B5F3}" parentId="{A5B99691-44D7-4159-8480-217D4E486957}">
    <text>Thanks Giulia - these stats are amazing!!</text>
  </threadedComment>
  <threadedComment ref="U5" dT="2022-12-08T17:10:25.97" personId="{4E4C697A-22DF-4927-8218-500BAB0AD570}" id="{B77B6D6E-A473-4B24-9BAC-05D551CF7B25}" done="1">
    <text>@Giulia Bernardi I have 38 for this figure</text>
    <mentions>
      <mention mentionpersonId="{4471A717-461A-4C75-9787-DBB012F1A1A2}" mentionId="{8A6F944F-033A-4562-A001-59B15875B428}" startIndex="0" length="16"/>
    </mentions>
  </threadedComment>
  <threadedComment ref="U5" dT="2022-12-09T08:14:19.61" personId="{9E327114-281F-4CA8-9D47-9EA52F63D1ED}" id="{A599D9CC-F032-48D3-B7B3-4A0747E20FA3}" parentId="{B77B6D6E-A473-4B24-9BAC-05D551CF7B25}">
    <text>the calculation in R11 is 34. which other numbers are you considering?</text>
  </threadedComment>
  <threadedComment ref="U5" dT="2022-12-09T09:41:05.95" personId="{4E4C697A-22DF-4927-8218-500BAB0AD570}" id="{5A3D60F1-8286-4416-A2DC-B69162203D8C}" parentId="{B77B6D6E-A473-4B24-9BAC-05D551CF7B25}">
    <text>From Ambra I have: 11 teachers, 6 fishers, 16 scientists and 5 divers! Let me know if any of those are wrong as these stats are going in the impact report too :)</text>
  </threadedComment>
  <threadedComment ref="U5" dT="2022-12-09T13:11:56.88" personId="{9E327114-281F-4CA8-9D47-9EA52F63D1ED}" id="{4A0457E3-9EF0-40F6-B17B-BBDA5AA4DF84}" parentId="{B77B6D6E-A473-4B24-9BAC-05D551CF7B25}">
    <text>ok I spoke with Ambra and she added +4 biologists, so yes, the final number is 38!</text>
  </threadedComment>
  <threadedComment ref="U5" dT="2022-12-09T13:25:33.12" personId="{4E4C697A-22DF-4927-8218-500BAB0AD570}" id="{00D52365-6802-42A3-A127-26C1311DEB2A}" parentId="{B77B6D6E-A473-4B24-9BAC-05D551CF7B25}">
    <text>perfect!</text>
  </threadedComment>
  <threadedComment ref="E6" dT="2023-04-19T16:31:39.17" personId="{B21B375E-1358-4B9B-AF60-619C4C8D782D}" id="{740FB3ED-6EBE-44AB-9196-BD2CEAF85D9D}" done="1">
    <text>@Giulia Bernardi I can see you've written about an animated video below as well - that can come under here ☺️</text>
    <mentions>
      <mention mentionpersonId="{4471A717-461A-4C75-9787-DBB012F1A1A2}" mentionId="{7AC96D03-0507-428D-A7CF-A3667B50254F}" startIndex="0" length="16"/>
    </mentions>
  </threadedComment>
  <threadedComment ref="E6" dT="2023-04-23T15:09:44.49" personId="{9E327114-281F-4CA8-9D47-9EA52F63D1ED}" id="{DC994C64-57A0-4259-81CE-1711CAC34D97}" parentId="{740FB3ED-6EBE-44AB-9196-BD2CEAF85D9D}">
    <text>oki</text>
  </threadedComment>
  <threadedComment ref="E7" dT="2023-04-19T16:35:01.15" personId="{B21B375E-1358-4B9B-AF60-619C4C8D782D}" id="{CD2D028B-4FA2-4038-BDD7-0B5423E1E5E5}" done="1">
    <text>@Giulia Bernardi and @Anna Hughes I have added in this line - we don't have an impact indicator for it yet but it's a great stat to keep collecting I think ☺️</text>
    <mentions>
      <mention mentionpersonId="{4471A717-461A-4C75-9787-DBB012F1A1A2}" mentionId="{2B2A5509-84B5-4AEC-AD43-238DEA6082A4}" startIndex="0" length="16"/>
      <mention mentionpersonId="{A8AEB554-E5F3-4B1C-A0AB-49E451EDEECD}" mentionId="{B587C285-C8A4-40C1-BF0E-5A10221DFD65}" startIndex="21" length="12"/>
    </mentions>
  </threadedComment>
  <threadedComment ref="E7" dT="2023-04-23T15:10:08.93" personId="{9E327114-281F-4CA8-9D47-9EA52F63D1ED}" id="{D841512D-2A6A-4CE3-A073-E940F669898C}" parentId="{CD2D028B-4FA2-4038-BDD7-0B5423E1E5E5}">
    <text>ooook!</text>
  </threadedComment>
  <threadedComment ref="D10" dT="2022-11-29T16:10:48.92" personId="{4E4C697A-22DF-4927-8218-500BAB0AD570}" id="{F29AD317-EAA6-4558-9907-8DA41A6E2E82}" done="1">
    <text>@Giulia Bernardi please could you check I have got the activities correct here? And add any I might have missed?</text>
    <mentions>
      <mention mentionpersonId="{4471A717-461A-4C75-9787-DBB012F1A1A2}" mentionId="{EB98A611-7C2A-4AAB-8060-C166115B9E3A}" startIndex="0" length="16"/>
    </mentions>
  </threadedComment>
  <threadedComment ref="D10" dT="2022-11-30T11:51:42.80" personId="{9E327114-281F-4CA8-9D47-9EA52F63D1ED}" id="{0D3C72F0-0FF7-4018-9B1F-505AF9AADC6A}" parentId="{F29AD317-EAA6-4558-9907-8DA41A6E2E82}">
    <text>I've corrected some value indicators, and I've added a new line, hoping that this could be an item of interest. Up to you to  keep it. Check it out!   NB re. percentages, I will leave them to Anna :-)</text>
  </threadedComment>
  <threadedComment ref="D10" dT="2022-11-30T11:55:02.17" personId="{9E327114-281F-4CA8-9D47-9EA52F63D1ED}" id="{95264535-AFED-492B-B1DB-4EB11CECDF8A}" parentId="{F29AD317-EAA6-4558-9907-8DA41A6E2E82}">
    <text>@Appin Williamson Emma Stanley sent me the stats for our 2022 Italy social media:
Total reach: 146,228
Total engagements: 10,102
These are amazing and probably the highest project stats for this year 😊 Do you think it could be useful to put them somewhere? 
 </text>
    <mentions>
      <mention mentionpersonId="{F16177FE-0FC8-4485-AC5C-C71A3860FD37}" mentionId="{A4FEEF06-0C83-4B31-B366-14A31C2D963B}" startIndex="0" length="17"/>
    </mentions>
  </threadedComment>
  <threadedComment ref="D10" dT="2022-11-30T12:29:41.56" personId="{B21B375E-1358-4B9B-AF60-619C4C8D782D}" id="{DC78C803-1AB2-46E5-9060-A2ADA8E0FF8F}" parentId="{F29AD317-EAA6-4558-9907-8DA41A6E2E82}">
    <text>yes this is fab!  If this is across all of the different sites (and therefore outputs) I would recommend we include this in the unplanned outputs.  I will add them in now so you can see how I've done it</text>
  </threadedComment>
  <threadedComment ref="D10" dT="2022-11-30T12:34:54.21" personId="{9E327114-281F-4CA8-9D47-9EA52F63D1ED}" id="{01D92FF2-E0F7-44AE-9D6F-CAD89A506C71}" parentId="{F29AD317-EAA6-4558-9907-8DA41A6E2E82}">
    <text>brill !</text>
  </threadedComment>
</ThreadedComments>
</file>

<file path=xl/threadedComments/threadedComment9.xml><?xml version="1.0" encoding="utf-8"?>
<ThreadedComments xmlns="http://schemas.microsoft.com/office/spreadsheetml/2018/threadedcomments" xmlns:x="http://schemas.openxmlformats.org/spreadsheetml/2006/main">
  <threadedComment ref="D10" dT="2022-11-29T16:09:35.87" personId="{4E4C697A-22DF-4927-8218-500BAB0AD570}" id="{F8E01DD1-F59A-4FCC-93DD-9ECD4E653916}" done="1">
    <text>@Appin Williamson and @Giulia Bernardi the makerzines are not an output here as they are covered under the education unit logframe. Although much of the funding came from Swarovski this time, I feel its a continuation of a project already sitting in the education unit - what do you both think?</text>
    <mentions>
      <mention mentionpersonId="{F16177FE-0FC8-4485-AC5C-C71A3860FD37}" mentionId="{A7B67BCC-FA7D-4E35-9303-D7C246BF4DCF}" startIndex="0" length="17"/>
      <mention mentionpersonId="{4471A717-461A-4C75-9787-DBB012F1A1A2}" mentionId="{60B06251-1BF3-48E2-8A82-C3DB8E755605}" startIndex="22" length="16"/>
    </mentions>
  </threadedComment>
  <threadedComment ref="D10" dT="2022-11-29T16:24:21.88" personId="{B21B375E-1358-4B9B-AF60-619C4C8D782D}" id="{AFAD3D7B-96EA-4654-BA4D-BBEB59BB052B}" parentId="{F8E01DD1-F59A-4FCC-93DD-9ECD4E653916}">
    <text>Hey Anna - I feel like if you feel more comfortable with it sitting in the education logframe then let's just go with that.  I don't know quite enough about it to say, but as long as we have a record of where things sit then that's fine by me :)</text>
  </threadedComment>
  <threadedComment ref="D10" dT="2022-11-30T09:28:00.02" personId="{9E327114-281F-4CA8-9D47-9EA52F63D1ED}" id="{C36E94B2-B366-47A8-8AB8-CC108F4B1BD2}" parentId="{F8E01DD1-F59A-4FCC-93DD-9ECD4E653916}">
    <text>Yeah I agree with Anna, they are in the frame of the SW educational initiative!</text>
  </threadedComment>
  <threadedComment ref="E11" dT="2022-11-30T12:52:07.81" personId="{4E4C697A-22DF-4927-8218-500BAB0AD570}" id="{6483C42C-A4C3-4E3A-995F-C70222C468F2}" done="1">
    <text>@Giulia Bernardi so this is fishers/teacher etc (indirect beneficiaries?)</text>
    <mentions>
      <mention mentionpersonId="{4471A717-461A-4C75-9787-DBB012F1A1A2}" mentionId="{F75FB282-F973-4269-9EC8-3299360EADCE}" startIndex="0" length="16"/>
    </mentions>
  </threadedComment>
  <threadedComment ref="E11" dT="2022-11-30T13:07:16.54" personId="{9E327114-281F-4CA8-9D47-9EA52F63D1ED}" id="{3C7043AD-42F3-493B-8966-E818F91F33A7}" parentId="{6483C42C-A4C3-4E3A-995F-C70222C468F2}">
    <text>perhaps better non-monetary beneficiaries?</text>
  </threadedComment>
  <threadedComment ref="E11" dT="2022-11-30T13:37:12.98" personId="{4E4C697A-22DF-4927-8218-500BAB0AD570}" id="{3B68AD1A-FD01-43F1-B9CA-5E793BFF5B5F}" parentId="{6483C42C-A4C3-4E3A-995F-C70222C468F2}">
    <text>sounds good</text>
  </threadedComment>
  <threadedComment ref="F11" dT="2022-12-08T17:10:25.97" personId="{4E4C697A-22DF-4927-8218-500BAB0AD570}" id="{3A8862C6-8B17-4F05-9095-F509BB3E9863}" done="1">
    <text>@Giulia Bernardi I have 38 for this figure</text>
    <mentions>
      <mention mentionpersonId="{4471A717-461A-4C75-9787-DBB012F1A1A2}" mentionId="{EF4F17C6-2A89-428D-9F53-D0BEDAC20848}" startIndex="0" length="16"/>
    </mentions>
  </threadedComment>
  <threadedComment ref="F11" dT="2022-12-09T08:14:19.61" personId="{9E327114-281F-4CA8-9D47-9EA52F63D1ED}" id="{964ACA1E-7326-453A-AE5F-A0AB54714C8E}" parentId="{3A8862C6-8B17-4F05-9095-F509BB3E9863}">
    <text>the calculation in R11 is 34. which other numbers are you considering?</text>
  </threadedComment>
  <threadedComment ref="F11" dT="2022-12-09T09:41:05.95" personId="{4E4C697A-22DF-4927-8218-500BAB0AD570}" id="{D65BC599-0092-41B6-A5D4-3C557059A3EB}" parentId="{3A8862C6-8B17-4F05-9095-F509BB3E9863}">
    <text>From Ambra I have: 11 teachers, 6 fishers, 16 scientists and 5 divers! Let me know if any of those are wrong as these stats are going in the impact report too :)</text>
  </threadedComment>
  <threadedComment ref="F11" dT="2022-12-09T13:11:56.88" personId="{9E327114-281F-4CA8-9D47-9EA52F63D1ED}" id="{8E317720-6D51-4A60-9D69-6BFBB48F86CB}" parentId="{3A8862C6-8B17-4F05-9095-F509BB3E9863}">
    <text>ok I spoke with Ambra and she added +4 biologists, so yes, the final number is 38!</text>
  </threadedComment>
  <threadedComment ref="F11" dT="2022-12-09T13:25:33.12" personId="{4E4C697A-22DF-4927-8218-500BAB0AD570}" id="{E8917E72-D44F-455B-8FC0-30B2EF14465B}" parentId="{3A8862C6-8B17-4F05-9095-F509BB3E9863}">
    <text>perfect!</text>
  </threadedComment>
  <threadedComment ref="D14" dT="2022-11-29T16:10:48.92" personId="{4E4C697A-22DF-4927-8218-500BAB0AD570}" id="{C7D6B479-6D4A-425F-B923-F3FDC36F38CD}" done="1">
    <text>@Giulia Bernardi please could you check I have got the activities correct here? And add any I might have missed?</text>
    <mentions>
      <mention mentionpersonId="{4471A717-461A-4C75-9787-DBB012F1A1A2}" mentionId="{5B663FC5-B278-4E87-82ED-5458F6513AB1}" startIndex="0" length="16"/>
    </mentions>
  </threadedComment>
  <threadedComment ref="D14" dT="2022-11-30T11:51:42.80" personId="{9E327114-281F-4CA8-9D47-9EA52F63D1ED}" id="{409ABA25-2DEA-4718-9361-ADF83773E8F1}" parentId="{C7D6B479-6D4A-425F-B923-F3FDC36F38CD}">
    <text>I've corrected some value indicators, and I've added a new line, hoping that this could be an item of interest. Up to you to  keep it. Check it out!   NB re. percentages, I will leave them to Anna :-)</text>
  </threadedComment>
  <threadedComment ref="D14" dT="2022-11-30T11:55:02.17" personId="{9E327114-281F-4CA8-9D47-9EA52F63D1ED}" id="{482317E5-7528-4B23-9008-0F201CD26404}" parentId="{C7D6B479-6D4A-425F-B923-F3FDC36F38CD}">
    <text>@Appin Williamson Emma Stanley sent me the stats for our 2022 Italy social media:
Total reach: 146,228
Total engagements: 10,102
These are amazing and probably the highest project stats for this year 😊 Do you think it could be useful to put them somewhere? 
 </text>
    <mentions>
      <mention mentionpersonId="{F16177FE-0FC8-4485-AC5C-C71A3860FD37}" mentionId="{666C9605-9A0F-468A-9293-1583A7832793}" startIndex="0" length="17"/>
    </mentions>
  </threadedComment>
  <threadedComment ref="D14" dT="2022-11-30T12:29:41.56" personId="{B21B375E-1358-4B9B-AF60-619C4C8D782D}" id="{62EA2B0C-6CDB-48BA-A6E9-B08AF49C4743}" parentId="{C7D6B479-6D4A-425F-B923-F3FDC36F38CD}">
    <text>yes this is fab!  If this is across all of the different sites (and therefore outputs) I would recommend we include this in the unplanned outputs.  I will add them in now so you can see how I've done it</text>
  </threadedComment>
  <threadedComment ref="D14" dT="2022-11-30T12:34:54.21" personId="{9E327114-281F-4CA8-9D47-9EA52F63D1ED}" id="{BB0ACEB3-8C24-4DC7-BACD-7E5E9711CB28}" parentId="{C7D6B479-6D4A-425F-B923-F3FDC36F38CD}">
    <text>brill !</text>
  </threadedComment>
  <threadedComment ref="E32" dT="2022-11-30T12:52:07.81" personId="{4E4C697A-22DF-4927-8218-500BAB0AD570}" id="{3E5FCADA-F9EF-4DA5-AE4C-D778F813D3E3}" done="1">
    <text>@Giulia Bernardi so this is fishers/teacher etc (indirect beneficiaries?)</text>
    <mentions>
      <mention mentionpersonId="{4471A717-461A-4C75-9787-DBB012F1A1A2}" mentionId="{9A68F6B4-0133-416D-9549-C49D426AFE0C}" startIndex="0" length="16"/>
    </mentions>
  </threadedComment>
  <threadedComment ref="E32" dT="2022-11-30T13:07:16.54" personId="{9E327114-281F-4CA8-9D47-9EA52F63D1ED}" id="{0E34BCFD-347B-4498-9111-3022260721A6}" parentId="{3E5FCADA-F9EF-4DA5-AE4C-D778F813D3E3}">
    <text>perhaps better non-monetary beneficiaries?</text>
  </threadedComment>
  <threadedComment ref="E32" dT="2022-11-30T13:37:12.98" personId="{4E4C697A-22DF-4927-8218-500BAB0AD570}" id="{B6D8D651-C008-4DD1-912D-673D366A4EDC}" parentId="{3E5FCADA-F9EF-4DA5-AE4C-D778F813D3E3}">
    <text>sounds good</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w:/s/Projects/EbGbDNmws1ZPrPLa7rSAyOcB2yuPEqaqa4Xn8Ur-lsWWxg?e=e09GLT" TargetMode="External"/><Relationship Id="rId2" Type="http://schemas.openxmlformats.org/officeDocument/2006/relationships/hyperlink" Target="../../../../../../:x:/s/Projects/EWTIRHwIgDBFtWnNVRLHR4sBLABoGSlkeUC8a7oixCS9PQ?e=nGMgsJ" TargetMode="External"/><Relationship Id="rId1" Type="http://schemas.openxmlformats.org/officeDocument/2006/relationships/hyperlink" Target="../../../../../../:x:/s/Projects/EXntr7lZ0oVAnCxh6PzSaDgBVEY5WTUS8_2W4v2a895KwA?e=6EwyD5" TargetMode="External"/><Relationship Id="rId5" Type="http://schemas.openxmlformats.org/officeDocument/2006/relationships/printerSettings" Target="../printerSettings/printerSettings1.bin"/><Relationship Id="rId4" Type="http://schemas.openxmlformats.org/officeDocument/2006/relationships/hyperlink" Target="../../../../../../:b:/s/Projects/ERxu__TRKMRNrxoCS_W6wgQBmg5Z2yUVdPuvqSh0GPlRzQ?e=xDFegg"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microsoft.com/office/2019/04/relationships/documenttask" Target="../documenttasks/documenttask4.xml"/><Relationship Id="rId4" Type="http://schemas.microsoft.com/office/2017/10/relationships/threadedComment" Target="../threadedComments/threadedComment7.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 Id="rId4" Type="http://schemas.microsoft.com/office/2019/04/relationships/documenttask" Target="../documenttasks/documenttask5.x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 Id="rId4" Type="http://schemas.microsoft.com/office/2019/04/relationships/documenttask" Target="../documenttasks/documenttask6.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 Id="rId4" Type="http://schemas.microsoft.com/office/2019/04/relationships/documenttask" Target="../documenttasks/documenttask7.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5" Type="http://schemas.microsoft.com/office/2019/04/relationships/documenttask" Target="../documenttasks/documenttask2.x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 Id="rId4" Type="http://schemas.microsoft.com/office/2019/04/relationships/documenttask" Target="../documenttasks/documenttask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H31"/>
  <sheetViews>
    <sheetView workbookViewId="0">
      <selection activeCell="F4" sqref="F4"/>
    </sheetView>
  </sheetViews>
  <sheetFormatPr defaultRowHeight="14.45"/>
  <cols>
    <col min="1" max="1" width="21.140625" customWidth="1"/>
    <col min="2" max="2" width="24.5703125" style="21" customWidth="1"/>
    <col min="3" max="3" width="17.42578125" customWidth="1"/>
    <col min="4" max="4" width="35.28515625" customWidth="1"/>
    <col min="5" max="5" width="6.5703125" customWidth="1"/>
    <col min="6" max="6" width="20.85546875" customWidth="1"/>
    <col min="7" max="8" width="16.5703125" customWidth="1"/>
    <col min="9" max="9" width="15.5703125" customWidth="1"/>
    <col min="10" max="10" width="43.28515625" customWidth="1"/>
  </cols>
  <sheetData>
    <row r="1" spans="1:7" s="6" customFormat="1" ht="42.95" customHeight="1">
      <c r="A1" s="145" t="str">
        <f>[1]Introduction!$A$1</f>
        <v>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(1), look at the logframe instructions (2) and see the example logframe (3).
To see all the Impact Indicators listed in a word doc, please see the Imapact Indicator list (4).</v>
      </c>
      <c r="B1" s="145"/>
      <c r="C1" s="145"/>
      <c r="D1" s="145"/>
      <c r="E1" s="29">
        <f>[1]Introduction!E1</f>
        <v>1</v>
      </c>
      <c r="F1" s="68" t="s">
        <v>0</v>
      </c>
      <c r="G1" s="67"/>
    </row>
    <row r="2" spans="1:7" s="6" customFormat="1" ht="42.95" customHeight="1">
      <c r="A2" s="145"/>
      <c r="B2" s="145"/>
      <c r="C2" s="145"/>
      <c r="D2" s="145"/>
      <c r="E2" s="29">
        <v>2</v>
      </c>
      <c r="F2" s="67" t="s">
        <v>1</v>
      </c>
      <c r="G2" s="67"/>
    </row>
    <row r="3" spans="1:7" s="6" customFormat="1" ht="42.95" customHeight="1">
      <c r="A3" s="145"/>
      <c r="B3" s="145"/>
      <c r="C3" s="145"/>
      <c r="D3" s="145"/>
      <c r="E3" s="29">
        <v>3</v>
      </c>
      <c r="F3" s="67" t="s">
        <v>2</v>
      </c>
    </row>
    <row r="4" spans="1:7" s="6" customFormat="1" ht="42.95" customHeight="1">
      <c r="A4" s="145"/>
      <c r="B4" s="145"/>
      <c r="C4" s="145"/>
      <c r="D4" s="145"/>
      <c r="E4" s="29">
        <v>4</v>
      </c>
      <c r="F4" s="67" t="s">
        <v>3</v>
      </c>
    </row>
    <row r="10" spans="1:7">
      <c r="B10"/>
    </row>
    <row r="11" spans="1:7">
      <c r="B11"/>
    </row>
    <row r="12" spans="1:7">
      <c r="B12"/>
    </row>
    <row r="13" spans="1:7">
      <c r="B13"/>
    </row>
    <row r="14" spans="1:7">
      <c r="B14"/>
    </row>
    <row r="15" spans="1:7" ht="14.45" customHeight="1">
      <c r="B15"/>
    </row>
    <row r="16" spans="1:7" ht="18" customHeight="1">
      <c r="B16"/>
    </row>
    <row r="17" spans="2:8">
      <c r="B17"/>
    </row>
    <row r="18" spans="2:8" ht="15" customHeight="1">
      <c r="B18"/>
    </row>
    <row r="19" spans="2:8">
      <c r="B19"/>
    </row>
    <row r="20" spans="2:8">
      <c r="B20"/>
    </row>
    <row r="21" spans="2:8">
      <c r="B21"/>
    </row>
    <row r="22" spans="2:8">
      <c r="B22"/>
    </row>
    <row r="23" spans="2:8" ht="30.75" customHeight="1">
      <c r="B23"/>
    </row>
    <row r="24" spans="2:8">
      <c r="B24"/>
    </row>
    <row r="25" spans="2:8">
      <c r="B25"/>
    </row>
    <row r="26" spans="2:8">
      <c r="B26"/>
    </row>
    <row r="27" spans="2:8">
      <c r="D27" s="66"/>
      <c r="E27" s="66"/>
      <c r="F27" s="66"/>
      <c r="G27" s="66"/>
      <c r="H27" s="66"/>
    </row>
    <row r="28" spans="2:8">
      <c r="D28" s="66"/>
      <c r="E28" s="66"/>
      <c r="F28" s="66"/>
      <c r="G28" s="66"/>
      <c r="H28" s="66"/>
    </row>
    <row r="29" spans="2:8">
      <c r="D29" s="66"/>
      <c r="E29" s="66"/>
      <c r="F29" s="66"/>
      <c r="G29" s="66"/>
      <c r="H29" s="66"/>
    </row>
    <row r="30" spans="2:8">
      <c r="D30" s="66"/>
      <c r="E30" s="66"/>
      <c r="F30" s="66"/>
      <c r="G30" s="66"/>
      <c r="H30" s="66"/>
    </row>
    <row r="31" spans="2:8">
      <c r="D31" s="66"/>
      <c r="E31" s="66"/>
      <c r="F31" s="66"/>
      <c r="G31" s="66"/>
      <c r="H31" s="66"/>
    </row>
  </sheetData>
  <mergeCells count="1">
    <mergeCell ref="A1:D4"/>
  </mergeCells>
  <hyperlinks>
    <hyperlink ref="F2" r:id="rId1" xr:uid="{B5B2B639-45E9-47C2-8F30-B4667CF3FA48}"/>
    <hyperlink ref="F3" r:id="rId2" xr:uid="{6FB70AED-FBE8-42C6-9A23-45F4B9222552}"/>
    <hyperlink ref="F4" r:id="rId3" xr:uid="{315B6911-BFC0-4EDB-96DE-BDD17406B031}"/>
    <hyperlink ref="F1" r:id="rId4" xr:uid="{57BFFFBD-0E0E-45E7-A64F-D827C2E95B84}"/>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AB17"/>
  <sheetViews>
    <sheetView zoomScale="74" zoomScaleNormal="85" workbookViewId="0">
      <pane xSplit="8" ySplit="3" topLeftCell="Y4" activePane="bottomRight" state="frozen"/>
      <selection pane="bottomRight" activeCell="C4" sqref="C4:C6"/>
      <selection pane="bottomLeft" activeCell="V17" sqref="V17"/>
      <selection pane="topRight" activeCell="V17" sqref="V17"/>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7.5703125" style="15" bestFit="1" customWidth="1"/>
    <col min="6" max="6" width="10.42578125" style="15" customWidth="1"/>
    <col min="7" max="7" width="15" style="15" customWidth="1"/>
    <col min="8" max="8" width="11.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5" hidden="1" customWidth="1"/>
    <col min="16" max="16" width="55" style="15" hidden="1" customWidth="1"/>
    <col min="17" max="17" width="9.85546875" style="15" hidden="1" customWidth="1"/>
    <col min="18" max="18" width="55.7109375" style="15" hidden="1" customWidth="1"/>
    <col min="19" max="19" width="9.85546875" style="15" customWidth="1"/>
    <col min="20" max="20" width="55.42578125" style="15" customWidth="1"/>
    <col min="21" max="21" width="10" style="15" customWidth="1"/>
    <col min="22" max="22" width="55.28515625" style="15" customWidth="1"/>
    <col min="23" max="23" width="10.140625" style="15" customWidth="1"/>
    <col min="24" max="24" width="56" style="15" customWidth="1"/>
    <col min="25" max="25" width="10.140625" style="15" customWidth="1"/>
    <col min="26" max="26" width="55.42578125" style="15" customWidth="1"/>
    <col min="27" max="27" width="8.7109375" style="15"/>
    <col min="28" max="28" width="60.5703125" style="15" customWidth="1"/>
    <col min="29" max="16384" width="8.7109375" style="15"/>
  </cols>
  <sheetData>
    <row r="1" spans="1:28"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8"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c r="AA2" s="150" t="s">
        <v>45</v>
      </c>
      <c r="AB2" s="150"/>
    </row>
    <row r="3" spans="1:28">
      <c r="A3" s="19">
        <f>COUNTIF(D4:D13,"&lt;&gt;")</f>
        <v>9</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9" t="s">
        <v>46</v>
      </c>
      <c r="AB3" s="9" t="s">
        <v>12</v>
      </c>
    </row>
    <row r="4" spans="1:28" s="16" customFormat="1" ht="244.9">
      <c r="A4" s="148" t="s">
        <v>375</v>
      </c>
      <c r="B4" s="150" t="s">
        <v>376</v>
      </c>
      <c r="C4" s="162" t="s">
        <v>377</v>
      </c>
      <c r="D4" s="23" t="s">
        <v>378</v>
      </c>
      <c r="E4" s="75" t="s">
        <v>379</v>
      </c>
      <c r="F4" s="7">
        <v>1</v>
      </c>
      <c r="G4" s="29" t="s">
        <v>380</v>
      </c>
      <c r="H4" s="7" t="s">
        <v>381</v>
      </c>
      <c r="I4" s="25"/>
      <c r="J4" s="161"/>
      <c r="K4" s="7"/>
      <c r="L4" s="7"/>
      <c r="M4" s="7"/>
      <c r="N4" s="7"/>
      <c r="O4" s="29"/>
      <c r="P4" s="25"/>
      <c r="Q4" s="29"/>
      <c r="R4" s="25"/>
      <c r="S4" s="29"/>
      <c r="T4" s="81" t="s">
        <v>382</v>
      </c>
      <c r="U4" s="30">
        <v>2</v>
      </c>
      <c r="V4" s="27" t="s">
        <v>383</v>
      </c>
      <c r="W4" s="7">
        <v>1</v>
      </c>
      <c r="X4" s="25" t="s">
        <v>384</v>
      </c>
      <c r="Y4" s="29">
        <v>1</v>
      </c>
      <c r="Z4" s="25" t="s">
        <v>385</v>
      </c>
      <c r="AA4" s="29"/>
      <c r="AB4" s="25"/>
    </row>
    <row r="5" spans="1:28" ht="158.44999999999999">
      <c r="A5" s="148"/>
      <c r="B5" s="150"/>
      <c r="C5" s="157"/>
      <c r="D5" s="18" t="s">
        <v>386</v>
      </c>
      <c r="E5" s="75" t="s">
        <v>387</v>
      </c>
      <c r="F5" s="73">
        <v>100</v>
      </c>
      <c r="G5" s="29" t="s">
        <v>180</v>
      </c>
      <c r="H5" s="7" t="s">
        <v>70</v>
      </c>
      <c r="I5" s="26"/>
      <c r="J5" s="161"/>
      <c r="K5" s="7"/>
      <c r="L5" s="7"/>
      <c r="M5" s="7"/>
      <c r="N5" s="7"/>
      <c r="O5" s="29"/>
      <c r="P5" s="25"/>
      <c r="Q5" s="29"/>
      <c r="R5" s="25"/>
      <c r="S5" s="29"/>
      <c r="T5" s="71" t="s">
        <v>388</v>
      </c>
      <c r="U5" s="2">
        <f>2+5+98</f>
        <v>105</v>
      </c>
      <c r="V5" s="95" t="s">
        <v>389</v>
      </c>
      <c r="W5" s="29" t="s">
        <v>64</v>
      </c>
      <c r="X5" s="25" t="s">
        <v>390</v>
      </c>
      <c r="Y5" s="143">
        <f>2000+1</f>
        <v>2001</v>
      </c>
      <c r="Z5" s="142" t="s">
        <v>391</v>
      </c>
      <c r="AA5" s="29"/>
      <c r="AB5" s="25"/>
    </row>
    <row r="6" spans="1:28" ht="144">
      <c r="A6" s="148"/>
      <c r="B6" s="150"/>
      <c r="C6" s="157"/>
      <c r="D6" s="18" t="s">
        <v>392</v>
      </c>
      <c r="E6" s="69" t="s">
        <v>393</v>
      </c>
      <c r="F6" s="73">
        <v>58</v>
      </c>
      <c r="G6" s="7" t="s">
        <v>77</v>
      </c>
      <c r="H6" s="7" t="s">
        <v>78</v>
      </c>
      <c r="I6" s="26"/>
      <c r="J6" s="161"/>
      <c r="K6" s="7"/>
      <c r="L6" s="7"/>
      <c r="M6" s="7"/>
      <c r="N6" s="7"/>
      <c r="O6" s="29"/>
      <c r="P6" s="25"/>
      <c r="Q6" s="29"/>
      <c r="R6" s="25"/>
      <c r="S6" s="29"/>
      <c r="T6" s="71" t="s">
        <v>394</v>
      </c>
      <c r="U6" s="2">
        <f>30+10+1+4+2+10+1014</f>
        <v>1071</v>
      </c>
      <c r="V6" s="84" t="s">
        <v>395</v>
      </c>
      <c r="W6" s="29" t="s">
        <v>64</v>
      </c>
      <c r="X6" s="25" t="s">
        <v>396</v>
      </c>
      <c r="Y6" s="29">
        <f>10+15+177+321+3410+26</f>
        <v>3959</v>
      </c>
      <c r="Z6" s="117" t="s">
        <v>397</v>
      </c>
      <c r="AA6" s="29"/>
      <c r="AB6" s="116"/>
    </row>
    <row r="7" spans="1:28" ht="215.25" customHeight="1">
      <c r="A7" s="12"/>
      <c r="B7" s="9"/>
      <c r="C7" s="23"/>
      <c r="D7" s="23" t="s">
        <v>398</v>
      </c>
      <c r="E7" s="77" t="s">
        <v>399</v>
      </c>
      <c r="F7" s="30">
        <v>1</v>
      </c>
      <c r="G7" s="29" t="s">
        <v>400</v>
      </c>
      <c r="H7" s="7" t="s">
        <v>345</v>
      </c>
      <c r="I7" s="26"/>
      <c r="J7" s="7"/>
      <c r="K7" s="7"/>
      <c r="L7" s="7"/>
      <c r="M7" s="7"/>
      <c r="N7" s="7"/>
      <c r="O7" s="29"/>
      <c r="P7" s="25"/>
      <c r="Q7" s="29"/>
      <c r="R7" s="25"/>
      <c r="S7" s="29"/>
      <c r="T7" s="72" t="s">
        <v>401</v>
      </c>
      <c r="U7" s="2">
        <v>1</v>
      </c>
      <c r="V7" s="27" t="s">
        <v>402</v>
      </c>
      <c r="W7" s="101">
        <v>2</v>
      </c>
      <c r="X7" s="25" t="s">
        <v>403</v>
      </c>
      <c r="Y7" s="29">
        <v>0</v>
      </c>
      <c r="Z7" s="25" t="s">
        <v>404</v>
      </c>
      <c r="AA7" s="29"/>
      <c r="AB7" s="25"/>
    </row>
    <row r="8" spans="1:28" ht="285.75" customHeight="1">
      <c r="A8" s="12"/>
      <c r="B8" s="9"/>
      <c r="C8" s="23"/>
      <c r="D8" s="18" t="s">
        <v>405</v>
      </c>
      <c r="E8" s="76" t="s">
        <v>406</v>
      </c>
      <c r="F8" s="73">
        <v>6</v>
      </c>
      <c r="G8" s="7" t="s">
        <v>351</v>
      </c>
      <c r="H8" s="7" t="s">
        <v>152</v>
      </c>
      <c r="I8" s="26"/>
      <c r="J8" s="7"/>
      <c r="K8" s="7"/>
      <c r="L8" s="7"/>
      <c r="M8" s="7"/>
      <c r="N8" s="7"/>
      <c r="O8" s="29"/>
      <c r="P8" s="25"/>
      <c r="Q8" s="29"/>
      <c r="R8" s="25"/>
      <c r="S8" s="29"/>
      <c r="T8" s="81" t="s">
        <v>407</v>
      </c>
      <c r="U8" s="2">
        <v>5</v>
      </c>
      <c r="V8" s="84" t="s">
        <v>408</v>
      </c>
      <c r="W8" s="7">
        <v>1</v>
      </c>
      <c r="X8" s="25" t="s">
        <v>409</v>
      </c>
      <c r="Y8" s="29">
        <f>2+10+2</f>
        <v>14</v>
      </c>
      <c r="Z8" s="25" t="s">
        <v>410</v>
      </c>
      <c r="AA8" s="29"/>
      <c r="AB8" s="75" t="s">
        <v>411</v>
      </c>
    </row>
    <row r="9" spans="1:28" ht="100.9">
      <c r="A9" s="12"/>
      <c r="B9" s="9"/>
      <c r="C9" s="23"/>
      <c r="D9" s="23" t="s">
        <v>412</v>
      </c>
      <c r="E9" s="76" t="s">
        <v>413</v>
      </c>
      <c r="F9" s="30">
        <v>1</v>
      </c>
      <c r="G9" s="29" t="s">
        <v>414</v>
      </c>
      <c r="H9" s="7" t="s">
        <v>415</v>
      </c>
      <c r="I9" s="26"/>
      <c r="J9" s="7"/>
      <c r="K9" s="7"/>
      <c r="L9" s="7"/>
      <c r="M9" s="7"/>
      <c r="N9" s="7"/>
      <c r="O9" s="29"/>
      <c r="P9" s="25"/>
      <c r="Q9" s="29"/>
      <c r="R9" s="25"/>
      <c r="S9" s="29"/>
      <c r="T9" s="81"/>
      <c r="U9" s="2"/>
      <c r="V9" s="84"/>
      <c r="W9" s="7">
        <v>1</v>
      </c>
      <c r="X9" s="21" t="s">
        <v>416</v>
      </c>
      <c r="Y9" s="29">
        <v>1</v>
      </c>
      <c r="Z9" s="25" t="s">
        <v>417</v>
      </c>
      <c r="AA9" s="7"/>
      <c r="AB9" s="25"/>
    </row>
    <row r="10" spans="1:28" ht="129.6">
      <c r="A10" s="12"/>
      <c r="B10" s="9"/>
      <c r="C10" s="23"/>
      <c r="D10" s="23" t="s">
        <v>418</v>
      </c>
      <c r="E10" s="76" t="s">
        <v>419</v>
      </c>
      <c r="F10" s="30">
        <v>10</v>
      </c>
      <c r="G10" s="29" t="s">
        <v>90</v>
      </c>
      <c r="H10" s="7" t="s">
        <v>145</v>
      </c>
      <c r="I10" s="26"/>
      <c r="J10" s="7"/>
      <c r="K10" s="7"/>
      <c r="L10" s="7"/>
      <c r="M10" s="7"/>
      <c r="N10" s="7"/>
      <c r="O10" s="29"/>
      <c r="P10" s="25"/>
      <c r="Q10" s="29"/>
      <c r="R10" s="25"/>
      <c r="S10" s="29"/>
      <c r="T10" s="81"/>
      <c r="U10" s="2"/>
      <c r="V10" s="84"/>
      <c r="W10" s="7"/>
      <c r="X10" s="21"/>
      <c r="Y10" s="29">
        <f>49+1+3+15</f>
        <v>68</v>
      </c>
      <c r="Z10" s="116" t="s">
        <v>420</v>
      </c>
      <c r="AA10"/>
      <c r="AB10" s="21" t="s">
        <v>421</v>
      </c>
    </row>
    <row r="11" spans="1:28" ht="72">
      <c r="A11" s="12"/>
      <c r="B11" s="9"/>
      <c r="C11" s="98" t="s">
        <v>422</v>
      </c>
      <c r="D11" s="98" t="s">
        <v>423</v>
      </c>
      <c r="E11" s="72" t="s">
        <v>424</v>
      </c>
      <c r="F11" s="73"/>
      <c r="G11" s="70" t="s">
        <v>425</v>
      </c>
      <c r="H11" s="73" t="s">
        <v>91</v>
      </c>
      <c r="I11" s="99"/>
      <c r="J11" s="73"/>
      <c r="K11" s="73"/>
      <c r="L11" s="73"/>
      <c r="M11" s="73"/>
      <c r="N11" s="73"/>
      <c r="O11" s="70"/>
      <c r="P11" s="71"/>
      <c r="Q11" s="70"/>
      <c r="R11" s="71"/>
      <c r="S11" s="70"/>
      <c r="T11" s="81"/>
      <c r="U11" s="70"/>
      <c r="V11" s="81"/>
      <c r="W11" s="73"/>
      <c r="X11" s="119"/>
      <c r="Y11" s="106">
        <v>102</v>
      </c>
      <c r="Z11" s="117" t="s">
        <v>426</v>
      </c>
      <c r="AA11" s="121"/>
      <c r="AB11" s="119"/>
    </row>
    <row r="12" spans="1:28" ht="72">
      <c r="A12" s="12"/>
      <c r="B12" s="9"/>
      <c r="C12" s="98"/>
      <c r="D12" s="98" t="s">
        <v>427</v>
      </c>
      <c r="E12" s="120" t="s">
        <v>393</v>
      </c>
      <c r="F12" s="73"/>
      <c r="G12" s="139" t="s">
        <v>428</v>
      </c>
      <c r="H12" s="73"/>
      <c r="I12" s="99"/>
      <c r="J12" s="73"/>
      <c r="K12" s="73"/>
      <c r="L12" s="73"/>
      <c r="M12" s="73"/>
      <c r="N12" s="73"/>
      <c r="O12" s="70"/>
      <c r="P12" s="71"/>
      <c r="Q12" s="70"/>
      <c r="R12" s="71"/>
      <c r="S12" s="70"/>
      <c r="T12" s="81"/>
      <c r="U12" s="70"/>
      <c r="V12" s="81"/>
      <c r="W12" s="73"/>
      <c r="X12" s="119"/>
      <c r="Y12" s="70">
        <v>0</v>
      </c>
      <c r="Z12" s="141" t="s">
        <v>429</v>
      </c>
      <c r="AA12" s="121"/>
      <c r="AB12" s="119"/>
    </row>
    <row r="13" spans="1:28" ht="30.75" customHeight="1">
      <c r="A13" s="155" t="s">
        <v>5</v>
      </c>
      <c r="B13" s="155"/>
      <c r="C13" s="155"/>
      <c r="D13" s="155"/>
      <c r="E13" s="155"/>
      <c r="F13" s="155"/>
      <c r="G13" s="155"/>
      <c r="H13" s="155"/>
      <c r="I13" s="155"/>
      <c r="O13" s="16"/>
      <c r="P13" s="16"/>
      <c r="Q13" s="16"/>
      <c r="R13" s="16"/>
      <c r="S13" s="16"/>
      <c r="W13" s="16"/>
      <c r="X13" s="16"/>
      <c r="Y13" s="16"/>
      <c r="Z13" s="16"/>
    </row>
    <row r="14" spans="1:28" ht="30.75" customHeight="1">
      <c r="A14" s="12"/>
      <c r="B14" s="12" t="s">
        <v>109</v>
      </c>
      <c r="C14" s="20"/>
      <c r="D14" s="12" t="s">
        <v>110</v>
      </c>
      <c r="E14" s="12" t="s">
        <v>12</v>
      </c>
      <c r="F14" s="12"/>
      <c r="G14" s="12"/>
      <c r="H14" s="12" t="s">
        <v>111</v>
      </c>
      <c r="I14" s="12" t="s">
        <v>112</v>
      </c>
    </row>
    <row r="15" spans="1:28">
      <c r="A15" s="148" t="s">
        <v>430</v>
      </c>
      <c r="B15" s="150" t="s">
        <v>431</v>
      </c>
      <c r="C15" s="157"/>
      <c r="D15" s="18" t="s">
        <v>432</v>
      </c>
      <c r="E15" s="151"/>
      <c r="F15" s="151"/>
      <c r="G15" s="151"/>
      <c r="H15" s="1"/>
      <c r="I15" s="1"/>
    </row>
    <row r="16" spans="1:28" ht="43.5" customHeight="1">
      <c r="A16" s="148"/>
      <c r="B16" s="150"/>
      <c r="C16" s="157"/>
      <c r="D16" s="23" t="s">
        <v>433</v>
      </c>
      <c r="E16" s="151"/>
      <c r="F16" s="151"/>
      <c r="G16" s="151"/>
      <c r="H16" s="1"/>
      <c r="I16" s="1"/>
    </row>
    <row r="17" spans="1:9" ht="70.5" customHeight="1">
      <c r="A17" s="148"/>
      <c r="B17" s="150"/>
      <c r="C17" s="157"/>
      <c r="D17" s="23" t="s">
        <v>434</v>
      </c>
      <c r="E17" s="151"/>
      <c r="F17" s="151"/>
      <c r="G17" s="151"/>
      <c r="H17" s="1"/>
      <c r="I17" s="1"/>
    </row>
  </sheetData>
  <mergeCells count="32">
    <mergeCell ref="AA2:AB2"/>
    <mergeCell ref="J4:J6"/>
    <mergeCell ref="W2:X2"/>
    <mergeCell ref="Y2:Z2"/>
    <mergeCell ref="H2:H3"/>
    <mergeCell ref="I2:I3"/>
    <mergeCell ref="J2:J3"/>
    <mergeCell ref="Q2:R2"/>
    <mergeCell ref="S2:T2"/>
    <mergeCell ref="K2:L2"/>
    <mergeCell ref="M2:N2"/>
    <mergeCell ref="C2:C3"/>
    <mergeCell ref="D2:D3"/>
    <mergeCell ref="E2:E3"/>
    <mergeCell ref="F2:F3"/>
    <mergeCell ref="G2:G3"/>
    <mergeCell ref="D1:J1"/>
    <mergeCell ref="E17:G17"/>
    <mergeCell ref="U2:V2"/>
    <mergeCell ref="A13:I13"/>
    <mergeCell ref="O2:P2"/>
    <mergeCell ref="C4:C6"/>
    <mergeCell ref="A4:A6"/>
    <mergeCell ref="B4:B6"/>
    <mergeCell ref="A15:A17"/>
    <mergeCell ref="B15:B17"/>
    <mergeCell ref="C15:C17"/>
    <mergeCell ref="E15:G15"/>
    <mergeCell ref="E16:G16"/>
    <mergeCell ref="A1:C1"/>
    <mergeCell ref="O1:Z1"/>
    <mergeCell ref="B2:B3"/>
  </mergeCells>
  <phoneticPr fontId="15" type="noConversion"/>
  <conditionalFormatting sqref="H15:H17">
    <cfRule type="containsText" dxfId="21" priority="1" operator="containsText" text="Not Started">
      <formula>NOT(ISERROR(SEARCH("Not Started",H15)))</formula>
    </cfRule>
    <cfRule type="containsText" dxfId="20" priority="2" operator="containsText" text="In Progress">
      <formula>NOT(ISERROR(SEARCH("In Progress",H15)))</formula>
    </cfRule>
    <cfRule type="containsText" dxfId="19" priority="3" operator="containsText" text="Complete">
      <formula>NOT(ISERROR(SEARCH("Complete",H15)))</formula>
    </cfRule>
  </conditionalFormatting>
  <dataValidations count="1">
    <dataValidation type="list" allowBlank="1" showInputMessage="1" showErrorMessage="1" sqref="H15:H17" xr:uid="{7AC3B6A7-1DAC-4513-932E-6C4484A5C2B2}">
      <formula1>"Not started, In Progress, Complete"</formula1>
    </dataValidation>
  </dataValidation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AB25"/>
  <sheetViews>
    <sheetView zoomScale="70" zoomScaleNormal="70" workbookViewId="0">
      <pane xSplit="8" ySplit="3" topLeftCell="S4" activePane="bottomRight" state="frozen"/>
      <selection pane="bottomRight" activeCell="E7" sqref="E7"/>
      <selection pane="bottomLeft" activeCell="V17" sqref="V17"/>
      <selection pane="topRight" activeCell="V17" sqref="V17"/>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39" style="15" customWidth="1"/>
    <col min="10" max="10" width="44.7109375" style="15" customWidth="1"/>
    <col min="11" max="11" width="10.85546875" style="15" customWidth="1"/>
    <col min="12" max="12" width="44.7109375" style="15" customWidth="1"/>
    <col min="13" max="13" width="9.140625" style="15" customWidth="1"/>
    <col min="14" max="14" width="44.7109375" style="15" customWidth="1"/>
    <col min="15" max="15" width="9.85546875" style="15" customWidth="1"/>
    <col min="16" max="16" width="55" style="15" customWidth="1"/>
    <col min="17" max="17" width="9.85546875" style="15" customWidth="1"/>
    <col min="18" max="18" width="55.7109375" style="15" customWidth="1"/>
    <col min="19" max="19" width="12.140625" style="15" customWidth="1"/>
    <col min="20" max="20" width="55.42578125" style="15" customWidth="1"/>
    <col min="21" max="21" width="10" style="15" customWidth="1"/>
    <col min="22" max="22" width="55.28515625" style="15" customWidth="1"/>
    <col min="23" max="23" width="10.140625" style="15" customWidth="1"/>
    <col min="24" max="24" width="56" style="15" customWidth="1"/>
    <col min="25" max="25" width="10.140625" style="15" customWidth="1"/>
    <col min="26" max="26" width="55.42578125" style="15" customWidth="1"/>
    <col min="27" max="27" width="8.7109375" style="15"/>
    <col min="28" max="28" width="40.5703125" style="15" customWidth="1"/>
    <col min="29" max="16384" width="8.7109375" style="15"/>
  </cols>
  <sheetData>
    <row r="1" spans="1:28"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8"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c r="AA2" s="150" t="s">
        <v>45</v>
      </c>
      <c r="AB2" s="150"/>
    </row>
    <row r="3" spans="1:28">
      <c r="A3" s="19">
        <f>COUNTIF(D4:D8,"&lt;&gt;")</f>
        <v>4</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9" t="s">
        <v>46</v>
      </c>
      <c r="AB3" s="9" t="s">
        <v>12</v>
      </c>
    </row>
    <row r="4" spans="1:28" s="16" customFormat="1" ht="360">
      <c r="A4" s="148" t="s">
        <v>435</v>
      </c>
      <c r="B4" s="150" t="s">
        <v>436</v>
      </c>
      <c r="C4" s="157" t="s">
        <v>437</v>
      </c>
      <c r="D4" s="23" t="s">
        <v>438</v>
      </c>
      <c r="E4" s="27" t="s">
        <v>439</v>
      </c>
      <c r="F4" s="106">
        <v>98</v>
      </c>
      <c r="G4" s="2" t="s">
        <v>425</v>
      </c>
      <c r="H4" s="2" t="s">
        <v>78</v>
      </c>
      <c r="I4" s="27" t="s">
        <v>440</v>
      </c>
      <c r="J4" s="25" t="s">
        <v>441</v>
      </c>
      <c r="K4" s="25"/>
      <c r="L4" s="25"/>
      <c r="M4" s="25"/>
      <c r="N4" s="25"/>
      <c r="O4" s="29"/>
      <c r="P4" s="25"/>
      <c r="Q4" s="29"/>
      <c r="R4" s="25"/>
      <c r="S4" s="29">
        <f>25+14</f>
        <v>39</v>
      </c>
      <c r="T4" s="25" t="s">
        <v>442</v>
      </c>
      <c r="U4" s="29">
        <f>66+83+10</f>
        <v>159</v>
      </c>
      <c r="V4" s="25" t="s">
        <v>443</v>
      </c>
      <c r="W4" s="29"/>
      <c r="X4" s="25"/>
      <c r="Y4" s="29">
        <f>51+143+174+120</f>
        <v>488</v>
      </c>
      <c r="Z4" s="76" t="s">
        <v>444</v>
      </c>
      <c r="AA4" s="29"/>
      <c r="AB4" s="76" t="s">
        <v>411</v>
      </c>
    </row>
    <row r="5" spans="1:28" s="16" customFormat="1" ht="388.9">
      <c r="A5" s="148"/>
      <c r="B5" s="150"/>
      <c r="C5" s="157"/>
      <c r="D5" s="23" t="s">
        <v>445</v>
      </c>
      <c r="E5" s="27" t="s">
        <v>446</v>
      </c>
      <c r="F5" s="106">
        <v>10</v>
      </c>
      <c r="G5" s="88" t="s">
        <v>447</v>
      </c>
      <c r="H5" s="89" t="s">
        <v>78</v>
      </c>
      <c r="I5" s="90"/>
      <c r="J5" s="91"/>
      <c r="K5" s="91"/>
      <c r="L5" s="91"/>
      <c r="M5" s="91"/>
      <c r="N5" s="91"/>
      <c r="O5" s="29"/>
      <c r="P5" s="25"/>
      <c r="Q5" s="29"/>
      <c r="R5" s="25"/>
      <c r="S5" s="87"/>
      <c r="T5" s="25"/>
      <c r="U5" s="73">
        <v>38</v>
      </c>
      <c r="V5" s="71" t="s">
        <v>448</v>
      </c>
      <c r="W5" s="87"/>
      <c r="X5" s="25"/>
      <c r="Y5" s="29">
        <f>6+65+545+16</f>
        <v>632</v>
      </c>
      <c r="Z5" s="76" t="s">
        <v>449</v>
      </c>
      <c r="AA5" s="29"/>
      <c r="AB5" s="25" t="s">
        <v>411</v>
      </c>
    </row>
    <row r="6" spans="1:28" s="16" customFormat="1" ht="115.15">
      <c r="A6" s="148"/>
      <c r="B6" s="150"/>
      <c r="C6" s="157"/>
      <c r="D6" s="23" t="s">
        <v>450</v>
      </c>
      <c r="E6" s="86" t="s">
        <v>451</v>
      </c>
      <c r="F6" s="106">
        <v>8</v>
      </c>
      <c r="G6" s="88" t="s">
        <v>452</v>
      </c>
      <c r="H6" s="89" t="s">
        <v>70</v>
      </c>
      <c r="I6" s="90"/>
      <c r="J6" s="91"/>
      <c r="K6" s="91"/>
      <c r="L6" s="91"/>
      <c r="M6" s="91"/>
      <c r="N6" s="91"/>
      <c r="O6" s="29"/>
      <c r="P6" s="25"/>
      <c r="Q6" s="29"/>
      <c r="R6" s="25"/>
      <c r="S6" s="87"/>
      <c r="T6" s="25"/>
      <c r="U6" s="93"/>
      <c r="V6" s="25"/>
      <c r="W6" s="29">
        <v>8</v>
      </c>
      <c r="X6" s="25" t="s">
        <v>453</v>
      </c>
      <c r="Y6" s="29">
        <f>4+7+3</f>
        <v>14</v>
      </c>
      <c r="Z6" s="25" t="s">
        <v>454</v>
      </c>
      <c r="AA6" s="29"/>
      <c r="AB6" s="25"/>
    </row>
    <row r="7" spans="1:28" s="16" customFormat="1" ht="129.6">
      <c r="A7" s="148"/>
      <c r="B7" s="150"/>
      <c r="C7" s="157"/>
      <c r="D7" s="23" t="s">
        <v>455</v>
      </c>
      <c r="E7" s="102" t="s">
        <v>456</v>
      </c>
      <c r="F7" s="7">
        <v>20</v>
      </c>
      <c r="G7" s="88" t="s">
        <v>457</v>
      </c>
      <c r="H7" s="89" t="s">
        <v>64</v>
      </c>
      <c r="I7" s="90"/>
      <c r="J7" s="91"/>
      <c r="K7" s="91"/>
      <c r="L7" s="91"/>
      <c r="M7" s="91"/>
      <c r="N7" s="91"/>
      <c r="O7" s="29"/>
      <c r="P7" s="25"/>
      <c r="Q7" s="29"/>
      <c r="R7" s="25"/>
      <c r="S7" s="87"/>
      <c r="T7" s="25"/>
      <c r="U7" s="94"/>
      <c r="V7" s="25"/>
      <c r="W7" s="87"/>
      <c r="X7" s="25"/>
      <c r="Y7" s="29">
        <f>22+18.6+60</f>
        <v>100.6</v>
      </c>
      <c r="Z7" s="25" t="s">
        <v>458</v>
      </c>
      <c r="AA7" s="29"/>
      <c r="AB7" s="25"/>
    </row>
    <row r="8" spans="1:28" ht="30.75" customHeight="1">
      <c r="A8" s="155" t="s">
        <v>5</v>
      </c>
      <c r="B8" s="155"/>
      <c r="C8" s="155"/>
      <c r="D8" s="155"/>
      <c r="E8" s="155"/>
      <c r="F8" s="155"/>
      <c r="G8" s="155"/>
      <c r="H8" s="155"/>
      <c r="I8" s="155"/>
      <c r="O8" s="16"/>
      <c r="P8" s="16"/>
      <c r="Q8" s="16"/>
      <c r="R8" s="16"/>
      <c r="S8" s="16"/>
      <c r="T8" s="16"/>
      <c r="U8" s="16"/>
      <c r="V8" s="16"/>
      <c r="W8" s="16"/>
      <c r="X8" s="16"/>
      <c r="Y8" s="16"/>
      <c r="Z8" s="16"/>
    </row>
    <row r="9" spans="1:28" ht="30.75" customHeight="1">
      <c r="A9" s="12"/>
      <c r="B9" s="12" t="s">
        <v>109</v>
      </c>
      <c r="C9" s="20"/>
      <c r="D9" s="12" t="s">
        <v>110</v>
      </c>
      <c r="E9" s="12" t="s">
        <v>12</v>
      </c>
      <c r="F9" s="12"/>
      <c r="G9" s="12"/>
      <c r="H9" s="12" t="s">
        <v>111</v>
      </c>
      <c r="I9" s="12" t="s">
        <v>112</v>
      </c>
    </row>
    <row r="10" spans="1:28" ht="36" customHeight="1">
      <c r="A10" s="148" t="s">
        <v>459</v>
      </c>
      <c r="B10" s="150" t="s">
        <v>460</v>
      </c>
      <c r="C10" s="157"/>
      <c r="D10" s="18" t="s">
        <v>461</v>
      </c>
      <c r="E10" s="151" t="s">
        <v>462</v>
      </c>
      <c r="F10" s="151"/>
      <c r="G10" s="151"/>
      <c r="H10" s="1" t="s">
        <v>463</v>
      </c>
      <c r="I10" s="1"/>
    </row>
    <row r="11" spans="1:28" ht="29.25" customHeight="1">
      <c r="A11" s="148"/>
      <c r="B11" s="150"/>
      <c r="C11" s="157"/>
      <c r="D11" s="18" t="s">
        <v>464</v>
      </c>
      <c r="E11" s="164" t="s">
        <v>465</v>
      </c>
      <c r="F11" s="164"/>
      <c r="G11" s="164"/>
      <c r="H11" s="1" t="s">
        <v>463</v>
      </c>
      <c r="I11" s="1"/>
    </row>
    <row r="12" spans="1:28">
      <c r="A12" s="148"/>
      <c r="B12" s="150"/>
      <c r="C12" s="157"/>
      <c r="D12" s="18" t="s">
        <v>466</v>
      </c>
      <c r="E12" s="151" t="s">
        <v>467</v>
      </c>
      <c r="F12" s="151"/>
      <c r="G12" s="151"/>
      <c r="H12" s="1" t="s">
        <v>463</v>
      </c>
      <c r="I12" s="1"/>
    </row>
    <row r="13" spans="1:28">
      <c r="A13" s="148"/>
      <c r="B13" s="150"/>
      <c r="C13" s="157"/>
      <c r="D13" s="18" t="s">
        <v>468</v>
      </c>
      <c r="E13" s="151" t="s">
        <v>469</v>
      </c>
      <c r="F13" s="145"/>
      <c r="G13" s="145"/>
      <c r="H13" s="1" t="s">
        <v>463</v>
      </c>
      <c r="I13" s="1"/>
    </row>
    <row r="14" spans="1:28">
      <c r="A14" s="148"/>
      <c r="B14" s="150"/>
      <c r="C14" s="157"/>
      <c r="D14" s="18" t="s">
        <v>470</v>
      </c>
      <c r="E14" s="151" t="s">
        <v>471</v>
      </c>
      <c r="F14" s="145"/>
      <c r="G14" s="145"/>
      <c r="H14" s="1" t="s">
        <v>463</v>
      </c>
      <c r="I14" s="1"/>
    </row>
    <row r="15" spans="1:28" ht="18" customHeight="1">
      <c r="A15" s="148"/>
      <c r="B15" s="150"/>
      <c r="C15" s="157"/>
      <c r="D15" s="18" t="s">
        <v>472</v>
      </c>
      <c r="E15" s="151" t="s">
        <v>473</v>
      </c>
      <c r="F15" s="145"/>
      <c r="G15" s="145"/>
      <c r="H15" s="1" t="s">
        <v>463</v>
      </c>
      <c r="I15" s="1"/>
    </row>
    <row r="16" spans="1:28" ht="17.25" customHeight="1">
      <c r="A16" s="148"/>
      <c r="B16" s="150"/>
      <c r="C16" s="157"/>
      <c r="D16" s="18" t="s">
        <v>474</v>
      </c>
      <c r="E16" s="165" t="s">
        <v>475</v>
      </c>
      <c r="F16" s="165"/>
      <c r="G16" s="165"/>
      <c r="H16" s="1" t="s">
        <v>463</v>
      </c>
      <c r="I16" s="1"/>
    </row>
    <row r="17" spans="1:9" ht="36" customHeight="1">
      <c r="A17" s="148"/>
      <c r="B17" s="150"/>
      <c r="C17" s="157"/>
      <c r="D17" s="18" t="s">
        <v>476</v>
      </c>
      <c r="E17" s="165" t="s">
        <v>477</v>
      </c>
      <c r="F17" s="165"/>
      <c r="G17" s="165"/>
      <c r="H17" s="1" t="s">
        <v>463</v>
      </c>
      <c r="I17" s="1"/>
    </row>
    <row r="18" spans="1:9" ht="18" customHeight="1">
      <c r="A18" s="148"/>
      <c r="B18" s="150"/>
      <c r="C18" s="157"/>
      <c r="D18" s="18" t="s">
        <v>478</v>
      </c>
      <c r="E18" s="151" t="s">
        <v>479</v>
      </c>
      <c r="F18" s="151"/>
      <c r="G18" s="151"/>
      <c r="H18" s="1" t="s">
        <v>463</v>
      </c>
      <c r="I18" s="1"/>
    </row>
    <row r="19" spans="1:9" ht="18" customHeight="1">
      <c r="A19" s="148"/>
      <c r="B19" s="150"/>
      <c r="C19" s="157"/>
      <c r="D19" s="18" t="s">
        <v>480</v>
      </c>
      <c r="E19" s="151" t="s">
        <v>481</v>
      </c>
      <c r="F19" s="151"/>
      <c r="G19" s="151"/>
      <c r="H19" s="1" t="s">
        <v>463</v>
      </c>
      <c r="I19" s="1"/>
    </row>
    <row r="20" spans="1:9">
      <c r="A20" s="148"/>
      <c r="B20" s="150"/>
      <c r="C20" s="157"/>
      <c r="D20" s="18" t="s">
        <v>482</v>
      </c>
      <c r="E20" s="165" t="s">
        <v>483</v>
      </c>
      <c r="F20" s="165"/>
      <c r="G20" s="165"/>
      <c r="H20" s="1" t="s">
        <v>463</v>
      </c>
      <c r="I20" s="1"/>
    </row>
    <row r="21" spans="1:9">
      <c r="A21" s="148"/>
      <c r="B21" s="150"/>
      <c r="C21" s="157"/>
      <c r="D21" s="18" t="s">
        <v>484</v>
      </c>
      <c r="E21" s="151" t="s">
        <v>485</v>
      </c>
      <c r="F21" s="151"/>
      <c r="G21" s="151"/>
      <c r="H21" s="1" t="s">
        <v>486</v>
      </c>
      <c r="I21" s="1"/>
    </row>
    <row r="22" spans="1:9">
      <c r="D22" s="18" t="s">
        <v>487</v>
      </c>
      <c r="E22" s="163" t="s">
        <v>488</v>
      </c>
      <c r="F22" s="163"/>
      <c r="G22" s="163"/>
      <c r="H22" s="1" t="s">
        <v>486</v>
      </c>
      <c r="I22"/>
    </row>
    <row r="25" spans="1:9" ht="15" customHeight="1"/>
  </sheetData>
  <mergeCells count="41">
    <mergeCell ref="AA2:AB2"/>
    <mergeCell ref="I2:I3"/>
    <mergeCell ref="J2:J3"/>
    <mergeCell ref="Q2:R2"/>
    <mergeCell ref="S2:T2"/>
    <mergeCell ref="Y2:Z2"/>
    <mergeCell ref="O2:P2"/>
    <mergeCell ref="K2:L2"/>
    <mergeCell ref="M2:N2"/>
    <mergeCell ref="D2:D3"/>
    <mergeCell ref="E2:E3"/>
    <mergeCell ref="F2:F3"/>
    <mergeCell ref="G2:G3"/>
    <mergeCell ref="H2:H3"/>
    <mergeCell ref="D1:J1"/>
    <mergeCell ref="E10:G10"/>
    <mergeCell ref="E21:G21"/>
    <mergeCell ref="U2:V2"/>
    <mergeCell ref="W2:X2"/>
    <mergeCell ref="A8:I8"/>
    <mergeCell ref="C4:C7"/>
    <mergeCell ref="A4:A7"/>
    <mergeCell ref="B4:B7"/>
    <mergeCell ref="A10:A21"/>
    <mergeCell ref="B10:B21"/>
    <mergeCell ref="C10:C21"/>
    <mergeCell ref="A1:C1"/>
    <mergeCell ref="O1:Z1"/>
    <mergeCell ref="B2:B3"/>
    <mergeCell ref="C2:C3"/>
    <mergeCell ref="E18:G18"/>
    <mergeCell ref="E22:G22"/>
    <mergeCell ref="E11:G11"/>
    <mergeCell ref="E17:G17"/>
    <mergeCell ref="E16:G16"/>
    <mergeCell ref="E20:G20"/>
    <mergeCell ref="E12:G12"/>
    <mergeCell ref="E19:G19"/>
    <mergeCell ref="E13:G13"/>
    <mergeCell ref="E14:G14"/>
    <mergeCell ref="E15:G15"/>
  </mergeCells>
  <conditionalFormatting sqref="H10:H22">
    <cfRule type="containsText" dxfId="18" priority="1" operator="containsText" text="Not Started">
      <formula>NOT(ISERROR(SEARCH("Not Started",H10)))</formula>
    </cfRule>
    <cfRule type="containsText" dxfId="17" priority="2" operator="containsText" text="In Progress">
      <formula>NOT(ISERROR(SEARCH("In Progress",H10)))</formula>
    </cfRule>
    <cfRule type="containsText" dxfId="16" priority="3" operator="containsText" text="Complete">
      <formula>NOT(ISERROR(SEARCH("Complete",H10)))</formula>
    </cfRule>
  </conditionalFormatting>
  <dataValidations count="1">
    <dataValidation type="list" allowBlank="1" showInputMessage="1" showErrorMessage="1" sqref="H10:H22" xr:uid="{52A09006-7B3E-4C2E-ABFB-467071583882}">
      <formula1>"Not started, In Progress, Complete"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0AF3-F4B2-4C49-9B38-5CC569D726A1}">
  <sheetPr>
    <tabColor theme="4"/>
  </sheetPr>
  <dimension ref="A1:V38"/>
  <sheetViews>
    <sheetView topLeftCell="K1" zoomScale="85" zoomScaleNormal="85" workbookViewId="0">
      <selection activeCell="P9" sqref="P9"/>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39"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12.14062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16384" width="8.7109375" style="15"/>
  </cols>
  <sheetData>
    <row r="1" spans="1:22" ht="30" customHeight="1">
      <c r="A1" s="146" t="s">
        <v>29</v>
      </c>
      <c r="B1" s="146"/>
      <c r="C1" s="146"/>
      <c r="D1" s="147" t="s">
        <v>10</v>
      </c>
      <c r="E1" s="147"/>
      <c r="F1" s="147"/>
      <c r="G1" s="147"/>
      <c r="H1" s="147"/>
      <c r="I1" s="147"/>
      <c r="J1" s="147"/>
      <c r="K1" s="154" t="s">
        <v>30</v>
      </c>
      <c r="L1" s="154"/>
      <c r="M1" s="154"/>
      <c r="N1" s="154"/>
      <c r="O1" s="154"/>
      <c r="P1" s="154"/>
      <c r="Q1" s="154"/>
      <c r="R1" s="154"/>
      <c r="S1" s="154"/>
      <c r="T1" s="154"/>
      <c r="U1" s="154"/>
      <c r="V1" s="154"/>
    </row>
    <row r="2" spans="1:22" ht="15" customHeight="1">
      <c r="A2" s="19" t="s">
        <v>31</v>
      </c>
      <c r="B2" s="148" t="s">
        <v>32</v>
      </c>
      <c r="C2" s="148" t="s">
        <v>12</v>
      </c>
      <c r="D2" s="148" t="s">
        <v>33</v>
      </c>
      <c r="E2" s="150" t="s">
        <v>14</v>
      </c>
      <c r="F2" s="150" t="s">
        <v>34</v>
      </c>
      <c r="G2" s="150" t="s">
        <v>35</v>
      </c>
      <c r="H2" s="150" t="s">
        <v>36</v>
      </c>
      <c r="I2" s="150" t="s">
        <v>18</v>
      </c>
      <c r="J2" s="150" t="s">
        <v>37</v>
      </c>
      <c r="K2" s="148" t="s">
        <v>40</v>
      </c>
      <c r="L2" s="148"/>
      <c r="M2" s="150" t="s">
        <v>41</v>
      </c>
      <c r="N2" s="150"/>
      <c r="O2" s="148" t="s">
        <v>42</v>
      </c>
      <c r="P2" s="148"/>
      <c r="Q2" s="150" t="s">
        <v>43</v>
      </c>
      <c r="R2" s="150"/>
      <c r="S2" s="148" t="s">
        <v>44</v>
      </c>
      <c r="T2" s="148"/>
      <c r="U2" s="150" t="s">
        <v>45</v>
      </c>
      <c r="V2" s="150"/>
    </row>
    <row r="3" spans="1:22">
      <c r="A3" s="19">
        <f>COUNTIF(D4:D12,"&lt;&gt;")</f>
        <v>8</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row>
    <row r="4" spans="1:22" s="16" customFormat="1" ht="57.6">
      <c r="A4" s="148" t="s">
        <v>435</v>
      </c>
      <c r="B4" s="150" t="s">
        <v>436</v>
      </c>
      <c r="C4" s="157" t="s">
        <v>437</v>
      </c>
      <c r="D4" s="23" t="s">
        <v>438</v>
      </c>
      <c r="E4" s="27" t="s">
        <v>489</v>
      </c>
      <c r="F4" s="106">
        <v>98</v>
      </c>
      <c r="G4" s="2" t="s">
        <v>425</v>
      </c>
      <c r="H4" s="2" t="s">
        <v>145</v>
      </c>
      <c r="I4" s="27" t="s">
        <v>440</v>
      </c>
      <c r="J4" s="25" t="s">
        <v>441</v>
      </c>
      <c r="K4" s="29"/>
      <c r="L4" s="25"/>
      <c r="M4" s="29"/>
      <c r="N4" s="25"/>
      <c r="O4" s="29">
        <f>25+14</f>
        <v>39</v>
      </c>
      <c r="P4" s="25" t="s">
        <v>490</v>
      </c>
      <c r="Q4" s="29">
        <f>36+30</f>
        <v>66</v>
      </c>
      <c r="R4" s="25" t="s">
        <v>491</v>
      </c>
      <c r="S4" s="29"/>
      <c r="T4" s="25"/>
      <c r="U4" s="29"/>
      <c r="V4" s="25"/>
    </row>
    <row r="5" spans="1:22" s="16" customFormat="1" ht="86.45">
      <c r="A5" s="148"/>
      <c r="B5" s="150"/>
      <c r="C5" s="157"/>
      <c r="D5" s="23" t="s">
        <v>445</v>
      </c>
      <c r="E5" s="86" t="s">
        <v>492</v>
      </c>
      <c r="F5" s="87">
        <v>0.75</v>
      </c>
      <c r="G5" s="88" t="s">
        <v>493</v>
      </c>
      <c r="H5" s="89" t="s">
        <v>494</v>
      </c>
      <c r="I5" s="90" t="s">
        <v>495</v>
      </c>
      <c r="J5" s="91" t="s">
        <v>496</v>
      </c>
      <c r="K5" s="29"/>
      <c r="L5" s="25"/>
      <c r="M5" s="29"/>
      <c r="N5" s="25"/>
      <c r="O5" s="87">
        <v>0.75</v>
      </c>
      <c r="P5" s="25" t="s">
        <v>497</v>
      </c>
      <c r="Q5" s="94">
        <v>0.309</v>
      </c>
      <c r="R5" s="25" t="s">
        <v>498</v>
      </c>
      <c r="S5" s="87">
        <v>0.75</v>
      </c>
      <c r="T5" s="25" t="s">
        <v>499</v>
      </c>
      <c r="U5" s="29" t="s">
        <v>64</v>
      </c>
      <c r="V5" s="25"/>
    </row>
    <row r="6" spans="1:22" s="16" customFormat="1" ht="51" customHeight="1">
      <c r="A6" s="148"/>
      <c r="B6" s="150"/>
      <c r="C6" s="157"/>
      <c r="D6" s="23" t="s">
        <v>450</v>
      </c>
      <c r="E6" s="86" t="s">
        <v>500</v>
      </c>
      <c r="F6" s="87">
        <v>0.6</v>
      </c>
      <c r="G6" s="88" t="s">
        <v>501</v>
      </c>
      <c r="H6" s="89" t="s">
        <v>502</v>
      </c>
      <c r="I6" s="90" t="s">
        <v>495</v>
      </c>
      <c r="J6" s="91" t="s">
        <v>496</v>
      </c>
      <c r="K6" s="29"/>
      <c r="L6" s="25"/>
      <c r="M6" s="29"/>
      <c r="N6" s="25"/>
      <c r="O6" s="87">
        <v>0.6</v>
      </c>
      <c r="P6" s="25" t="s">
        <v>497</v>
      </c>
      <c r="Q6" s="93">
        <v>0.59</v>
      </c>
      <c r="R6" s="25" t="s">
        <v>503</v>
      </c>
      <c r="S6" s="87">
        <v>0.6</v>
      </c>
      <c r="T6" s="25" t="s">
        <v>499</v>
      </c>
      <c r="U6" s="29" t="s">
        <v>64</v>
      </c>
      <c r="V6" s="25"/>
    </row>
    <row r="7" spans="1:22" s="16" customFormat="1" ht="51" customHeight="1">
      <c r="A7" s="148"/>
      <c r="B7" s="150"/>
      <c r="C7" s="157"/>
      <c r="D7" s="23" t="s">
        <v>455</v>
      </c>
      <c r="E7" s="102" t="s">
        <v>504</v>
      </c>
      <c r="F7" s="87">
        <v>0.6</v>
      </c>
      <c r="G7" s="88" t="s">
        <v>501</v>
      </c>
      <c r="H7" s="89" t="s">
        <v>86</v>
      </c>
      <c r="I7" s="90" t="s">
        <v>495</v>
      </c>
      <c r="J7" s="91" t="s">
        <v>496</v>
      </c>
      <c r="K7" s="29"/>
      <c r="L7" s="25"/>
      <c r="M7" s="29"/>
      <c r="N7" s="25"/>
      <c r="O7" s="87">
        <v>0.6</v>
      </c>
      <c r="P7" s="25" t="s">
        <v>497</v>
      </c>
      <c r="Q7" s="94">
        <v>0.61599999999999999</v>
      </c>
      <c r="R7" s="25" t="s">
        <v>505</v>
      </c>
      <c r="S7" s="87">
        <v>0.6</v>
      </c>
      <c r="T7" s="25" t="s">
        <v>499</v>
      </c>
      <c r="U7" s="29" t="s">
        <v>64</v>
      </c>
      <c r="V7" s="25"/>
    </row>
    <row r="8" spans="1:22" ht="44.25" customHeight="1">
      <c r="A8" s="148"/>
      <c r="B8" s="150"/>
      <c r="C8" s="157"/>
      <c r="D8" s="18" t="s">
        <v>506</v>
      </c>
      <c r="E8" s="25" t="s">
        <v>507</v>
      </c>
      <c r="F8" s="101">
        <v>83</v>
      </c>
      <c r="G8" s="2" t="s">
        <v>425</v>
      </c>
      <c r="H8" s="7" t="s">
        <v>145</v>
      </c>
      <c r="I8" s="27" t="s">
        <v>440</v>
      </c>
      <c r="J8" s="25" t="s">
        <v>508</v>
      </c>
      <c r="K8" s="29"/>
      <c r="L8" s="25"/>
      <c r="M8" s="29"/>
      <c r="N8" s="25"/>
      <c r="O8" s="29" t="s">
        <v>509</v>
      </c>
      <c r="P8" s="25" t="s">
        <v>510</v>
      </c>
      <c r="Q8" s="29">
        <v>83</v>
      </c>
      <c r="R8" s="25" t="s">
        <v>511</v>
      </c>
      <c r="S8" s="29">
        <v>0</v>
      </c>
      <c r="T8" s="25" t="s">
        <v>64</v>
      </c>
      <c r="U8" s="29">
        <v>0</v>
      </c>
      <c r="V8" s="25" t="s">
        <v>64</v>
      </c>
    </row>
    <row r="9" spans="1:22" ht="45" customHeight="1">
      <c r="A9" s="148"/>
      <c r="B9" s="9"/>
      <c r="C9" s="157"/>
      <c r="D9" s="18" t="s">
        <v>512</v>
      </c>
      <c r="E9" s="25" t="s">
        <v>513</v>
      </c>
      <c r="F9" s="106">
        <v>18</v>
      </c>
      <c r="G9" s="2" t="s">
        <v>425</v>
      </c>
      <c r="H9" s="7" t="s">
        <v>145</v>
      </c>
      <c r="I9" s="27" t="s">
        <v>514</v>
      </c>
      <c r="J9" s="25" t="s">
        <v>515</v>
      </c>
      <c r="K9" s="29"/>
      <c r="L9" s="25"/>
      <c r="M9" s="29"/>
      <c r="N9" s="25"/>
      <c r="O9" s="29">
        <v>10</v>
      </c>
      <c r="P9" s="25" t="s">
        <v>516</v>
      </c>
      <c r="Q9" s="29">
        <v>10</v>
      </c>
      <c r="R9" s="25" t="s">
        <v>517</v>
      </c>
      <c r="S9" s="29"/>
      <c r="T9" s="75"/>
      <c r="U9" s="29"/>
      <c r="V9" s="25"/>
    </row>
    <row r="10" spans="1:22" ht="39" customHeight="1">
      <c r="A10" s="148"/>
      <c r="B10" s="9"/>
      <c r="C10" s="157"/>
      <c r="D10" s="103" t="s">
        <v>518</v>
      </c>
      <c r="E10" s="24" t="s">
        <v>519</v>
      </c>
      <c r="F10" s="7">
        <v>1</v>
      </c>
      <c r="G10" s="7" t="s">
        <v>520</v>
      </c>
      <c r="H10" s="7" t="s">
        <v>70</v>
      </c>
      <c r="I10" s="26" t="s">
        <v>521</v>
      </c>
      <c r="J10" s="25" t="s">
        <v>522</v>
      </c>
      <c r="K10" s="29"/>
      <c r="L10" s="25"/>
      <c r="M10" s="29"/>
      <c r="N10" s="25"/>
      <c r="O10" s="29">
        <v>0</v>
      </c>
      <c r="P10" s="25" t="s">
        <v>523</v>
      </c>
      <c r="Q10" s="29">
        <v>1</v>
      </c>
      <c r="R10" s="25" t="s">
        <v>524</v>
      </c>
      <c r="S10" s="29"/>
      <c r="T10" s="25"/>
      <c r="U10" s="29"/>
      <c r="V10" s="25"/>
    </row>
    <row r="11" spans="1:22" s="100" customFormat="1" ht="39" customHeight="1">
      <c r="A11" s="97"/>
      <c r="B11" s="74"/>
      <c r="C11" s="98"/>
      <c r="D11" s="23" t="s">
        <v>525</v>
      </c>
      <c r="E11" s="66" t="s">
        <v>526</v>
      </c>
      <c r="F11" s="73">
        <v>38</v>
      </c>
      <c r="G11" s="101" t="s">
        <v>527</v>
      </c>
      <c r="H11" s="73" t="s">
        <v>145</v>
      </c>
      <c r="I11" s="99" t="s">
        <v>528</v>
      </c>
      <c r="J11" s="71" t="s">
        <v>529</v>
      </c>
      <c r="K11" s="70"/>
      <c r="L11" s="71"/>
      <c r="M11" s="70"/>
      <c r="N11" s="71"/>
      <c r="O11" s="70"/>
      <c r="P11" s="71" t="s">
        <v>530</v>
      </c>
      <c r="Q11" s="70">
        <v>38</v>
      </c>
      <c r="R11" s="71" t="s">
        <v>448</v>
      </c>
      <c r="S11" s="70"/>
      <c r="T11" s="71"/>
      <c r="U11" s="70"/>
      <c r="V11" s="71"/>
    </row>
    <row r="12" spans="1:22" ht="30.75" customHeight="1">
      <c r="A12" s="155" t="s">
        <v>5</v>
      </c>
      <c r="B12" s="155"/>
      <c r="C12" s="155"/>
      <c r="D12" s="155"/>
      <c r="E12" s="155"/>
      <c r="F12" s="155"/>
      <c r="G12" s="155"/>
      <c r="H12" s="155"/>
      <c r="I12" s="155"/>
      <c r="K12" s="16"/>
      <c r="L12" s="16"/>
      <c r="M12" s="16"/>
      <c r="N12" s="16"/>
      <c r="O12" s="16"/>
      <c r="P12" s="16"/>
      <c r="Q12" s="16"/>
      <c r="R12" s="16"/>
      <c r="S12" s="16"/>
      <c r="T12" s="16"/>
      <c r="U12" s="16"/>
      <c r="V12" s="16"/>
    </row>
    <row r="13" spans="1:22" ht="30.75" customHeight="1">
      <c r="A13" s="12"/>
      <c r="B13" s="12" t="s">
        <v>109</v>
      </c>
      <c r="C13" s="20"/>
      <c r="D13" s="12" t="s">
        <v>110</v>
      </c>
      <c r="E13" s="12" t="s">
        <v>12</v>
      </c>
      <c r="F13" s="12"/>
      <c r="G13" s="12"/>
      <c r="H13" s="12" t="s">
        <v>111</v>
      </c>
      <c r="I13" s="12" t="s">
        <v>112</v>
      </c>
    </row>
    <row r="14" spans="1:22" ht="36" customHeight="1">
      <c r="A14" s="148" t="s">
        <v>459</v>
      </c>
      <c r="B14" s="150" t="s">
        <v>460</v>
      </c>
      <c r="C14" s="157"/>
      <c r="D14" s="18" t="s">
        <v>461</v>
      </c>
      <c r="E14" s="151" t="s">
        <v>462</v>
      </c>
      <c r="F14" s="151"/>
      <c r="G14" s="151"/>
      <c r="H14" s="1" t="s">
        <v>463</v>
      </c>
      <c r="I14" s="1"/>
    </row>
    <row r="15" spans="1:22" ht="29.25" customHeight="1">
      <c r="A15" s="148"/>
      <c r="B15" s="150"/>
      <c r="C15" s="157"/>
      <c r="D15" s="18" t="s">
        <v>464</v>
      </c>
      <c r="E15" s="164" t="s">
        <v>465</v>
      </c>
      <c r="F15" s="164"/>
      <c r="G15" s="164"/>
      <c r="H15" s="1" t="s">
        <v>463</v>
      </c>
      <c r="I15" s="1"/>
    </row>
    <row r="16" spans="1:22">
      <c r="A16" s="148"/>
      <c r="B16" s="150"/>
      <c r="C16" s="157"/>
      <c r="D16" s="18" t="s">
        <v>466</v>
      </c>
      <c r="E16" s="151" t="s">
        <v>467</v>
      </c>
      <c r="F16" s="151"/>
      <c r="G16" s="151"/>
      <c r="H16" s="1" t="s">
        <v>463</v>
      </c>
      <c r="I16" s="1"/>
    </row>
    <row r="17" spans="1:22">
      <c r="A17" s="148"/>
      <c r="B17" s="150"/>
      <c r="C17" s="157"/>
      <c r="D17" s="18" t="s">
        <v>468</v>
      </c>
      <c r="E17" s="92" t="s">
        <v>469</v>
      </c>
      <c r="F17" s="92"/>
      <c r="G17" s="92"/>
      <c r="H17" s="1" t="s">
        <v>463</v>
      </c>
      <c r="I17" s="1"/>
    </row>
    <row r="18" spans="1:22">
      <c r="A18" s="148"/>
      <c r="B18" s="150"/>
      <c r="C18" s="157"/>
      <c r="D18" s="18" t="s">
        <v>470</v>
      </c>
      <c r="E18" s="27" t="s">
        <v>471</v>
      </c>
      <c r="F18" s="27"/>
      <c r="G18" s="27"/>
      <c r="H18" s="1" t="s">
        <v>463</v>
      </c>
      <c r="I18" s="1"/>
    </row>
    <row r="19" spans="1:22" ht="18" customHeight="1">
      <c r="A19" s="148"/>
      <c r="B19" s="150"/>
      <c r="C19" s="157"/>
      <c r="D19" s="18" t="s">
        <v>472</v>
      </c>
      <c r="E19" s="27" t="s">
        <v>473</v>
      </c>
      <c r="F19" s="27"/>
      <c r="G19" s="27"/>
      <c r="H19" s="1" t="s">
        <v>463</v>
      </c>
      <c r="I19" s="1"/>
    </row>
    <row r="20" spans="1:22" ht="17.25" customHeight="1">
      <c r="A20" s="148"/>
      <c r="B20" s="150"/>
      <c r="C20" s="157"/>
      <c r="D20" s="18" t="s">
        <v>474</v>
      </c>
      <c r="E20" s="165" t="s">
        <v>475</v>
      </c>
      <c r="F20" s="165"/>
      <c r="G20" s="165"/>
      <c r="H20" s="1" t="s">
        <v>463</v>
      </c>
      <c r="I20" s="1"/>
    </row>
    <row r="21" spans="1:22" ht="18" customHeight="1">
      <c r="A21" s="148"/>
      <c r="B21" s="150"/>
      <c r="C21" s="157"/>
      <c r="D21" s="18" t="s">
        <v>476</v>
      </c>
      <c r="E21" s="165" t="s">
        <v>477</v>
      </c>
      <c r="F21" s="165"/>
      <c r="G21" s="165"/>
      <c r="H21" s="1" t="s">
        <v>463</v>
      </c>
      <c r="I21" s="1"/>
    </row>
    <row r="22" spans="1:22" ht="18" customHeight="1">
      <c r="A22" s="148"/>
      <c r="B22" s="150"/>
      <c r="C22" s="157"/>
      <c r="D22" s="18" t="s">
        <v>478</v>
      </c>
      <c r="E22" s="151" t="s">
        <v>479</v>
      </c>
      <c r="F22" s="151"/>
      <c r="G22" s="151"/>
      <c r="H22" s="1" t="s">
        <v>463</v>
      </c>
      <c r="I22" s="1"/>
    </row>
    <row r="23" spans="1:22" ht="18" customHeight="1">
      <c r="A23" s="148"/>
      <c r="B23" s="150"/>
      <c r="C23" s="157"/>
      <c r="D23" s="18" t="s">
        <v>480</v>
      </c>
      <c r="E23" s="27" t="s">
        <v>481</v>
      </c>
      <c r="F23" s="27"/>
      <c r="G23" s="27"/>
      <c r="H23" s="1" t="s">
        <v>463</v>
      </c>
      <c r="I23" s="1"/>
    </row>
    <row r="24" spans="1:22">
      <c r="A24" s="148"/>
      <c r="B24" s="150"/>
      <c r="C24" s="157"/>
      <c r="D24" s="18" t="s">
        <v>482</v>
      </c>
      <c r="E24" s="165" t="s">
        <v>483</v>
      </c>
      <c r="F24" s="165"/>
      <c r="G24" s="165"/>
      <c r="H24" s="1" t="s">
        <v>463</v>
      </c>
      <c r="I24" s="1"/>
    </row>
    <row r="25" spans="1:22">
      <c r="A25" s="148"/>
      <c r="B25" s="150"/>
      <c r="C25" s="157"/>
      <c r="D25" s="18" t="s">
        <v>484</v>
      </c>
      <c r="E25" s="151" t="s">
        <v>485</v>
      </c>
      <c r="F25" s="151"/>
      <c r="G25" s="151"/>
      <c r="H25" s="1" t="s">
        <v>486</v>
      </c>
      <c r="I25" s="1"/>
    </row>
    <row r="26" spans="1:22">
      <c r="D26" s="18" t="s">
        <v>487</v>
      </c>
      <c r="E26" s="163" t="s">
        <v>488</v>
      </c>
      <c r="F26" s="163"/>
      <c r="G26" s="163"/>
      <c r="H26" s="1" t="s">
        <v>486</v>
      </c>
      <c r="I26"/>
    </row>
    <row r="28" spans="1:22" ht="15.6">
      <c r="A28" s="146" t="s">
        <v>29</v>
      </c>
      <c r="B28" s="146"/>
      <c r="C28" s="146"/>
      <c r="D28" s="147" t="s">
        <v>10</v>
      </c>
      <c r="E28" s="147"/>
      <c r="F28" s="147"/>
      <c r="G28" s="147"/>
      <c r="H28" s="147"/>
      <c r="I28" s="147"/>
      <c r="J28" s="147"/>
      <c r="K28" s="154" t="s">
        <v>30</v>
      </c>
      <c r="L28" s="154"/>
      <c r="M28" s="154"/>
      <c r="N28" s="154"/>
      <c r="O28" s="154"/>
      <c r="P28" s="154"/>
      <c r="Q28" s="154"/>
      <c r="R28" s="154"/>
      <c r="S28" s="154"/>
      <c r="T28" s="154"/>
      <c r="U28" s="154"/>
      <c r="V28" s="154"/>
    </row>
    <row r="29" spans="1:22" ht="15" customHeight="1">
      <c r="A29" s="19" t="s">
        <v>31</v>
      </c>
      <c r="B29" s="148" t="s">
        <v>32</v>
      </c>
      <c r="C29" s="148" t="s">
        <v>12</v>
      </c>
      <c r="D29" s="148" t="s">
        <v>33</v>
      </c>
      <c r="E29" s="150" t="s">
        <v>14</v>
      </c>
      <c r="F29" s="148" t="s">
        <v>44</v>
      </c>
      <c r="G29" s="148"/>
      <c r="H29" s="150" t="s">
        <v>45</v>
      </c>
      <c r="I29" s="150"/>
    </row>
    <row r="30" spans="1:22">
      <c r="A30" s="19">
        <f>COUNTIF(D31:D33,"&lt;&gt;")</f>
        <v>2</v>
      </c>
      <c r="B30" s="148"/>
      <c r="C30" s="148"/>
      <c r="D30" s="148"/>
      <c r="E30" s="150"/>
      <c r="F30" s="12" t="s">
        <v>46</v>
      </c>
      <c r="G30" s="12" t="s">
        <v>12</v>
      </c>
      <c r="H30" s="9" t="s">
        <v>46</v>
      </c>
      <c r="I30" s="9" t="s">
        <v>12</v>
      </c>
    </row>
    <row r="31" spans="1:22" ht="158.44999999999999">
      <c r="A31" s="148" t="s">
        <v>435</v>
      </c>
      <c r="B31" s="150" t="s">
        <v>436</v>
      </c>
      <c r="C31" s="157" t="s">
        <v>437</v>
      </c>
      <c r="D31" s="23" t="s">
        <v>438</v>
      </c>
      <c r="E31" s="107" t="s">
        <v>531</v>
      </c>
      <c r="F31" s="29" t="s">
        <v>64</v>
      </c>
      <c r="G31" s="25" t="s">
        <v>532</v>
      </c>
      <c r="H31" s="29" t="s">
        <v>64</v>
      </c>
      <c r="I31" s="25" t="s">
        <v>533</v>
      </c>
    </row>
    <row r="32" spans="1:22" ht="115.15">
      <c r="A32" s="148"/>
      <c r="B32" s="150"/>
      <c r="C32" s="157"/>
      <c r="D32" s="23" t="s">
        <v>525</v>
      </c>
      <c r="E32" s="66" t="s">
        <v>526</v>
      </c>
      <c r="F32" s="106" t="s">
        <v>64</v>
      </c>
      <c r="G32" s="108" t="s">
        <v>534</v>
      </c>
      <c r="H32" s="85" t="s">
        <v>64</v>
      </c>
      <c r="I32" s="25" t="s">
        <v>535</v>
      </c>
    </row>
    <row r="33" spans="1:5">
      <c r="A33" s="148"/>
      <c r="B33" s="150"/>
      <c r="C33" s="157"/>
      <c r="E33" s="15" t="s">
        <v>536</v>
      </c>
    </row>
    <row r="34" spans="1:5">
      <c r="A34" s="148"/>
      <c r="B34" s="150"/>
      <c r="C34" s="157"/>
    </row>
    <row r="35" spans="1:5">
      <c r="A35" s="148"/>
      <c r="B35" s="150"/>
      <c r="C35" s="157"/>
    </row>
    <row r="36" spans="1:5">
      <c r="A36" s="148"/>
      <c r="B36" s="9"/>
      <c r="C36" s="157"/>
    </row>
    <row r="37" spans="1:5">
      <c r="A37" s="148"/>
      <c r="B37" s="9"/>
      <c r="C37" s="157"/>
    </row>
    <row r="38" spans="1:5">
      <c r="A38" s="97"/>
      <c r="B38" s="74"/>
      <c r="C38" s="98"/>
    </row>
  </sheetData>
  <mergeCells count="46">
    <mergeCell ref="A31:A37"/>
    <mergeCell ref="B31:B35"/>
    <mergeCell ref="C31:C37"/>
    <mergeCell ref="E25:G25"/>
    <mergeCell ref="E26:G26"/>
    <mergeCell ref="A28:C28"/>
    <mergeCell ref="D28:J28"/>
    <mergeCell ref="A14:A25"/>
    <mergeCell ref="B14:B25"/>
    <mergeCell ref="C14:C25"/>
    <mergeCell ref="E14:G14"/>
    <mergeCell ref="E15:G15"/>
    <mergeCell ref="E16:G16"/>
    <mergeCell ref="E20:G20"/>
    <mergeCell ref="E21:G21"/>
    <mergeCell ref="E22:G22"/>
    <mergeCell ref="K28:V28"/>
    <mergeCell ref="B29:B30"/>
    <mergeCell ref="C29:C30"/>
    <mergeCell ref="D29:D30"/>
    <mergeCell ref="E29:E30"/>
    <mergeCell ref="F29:G29"/>
    <mergeCell ref="H29:I29"/>
    <mergeCell ref="E24:G24"/>
    <mergeCell ref="S2:T2"/>
    <mergeCell ref="U2:V2"/>
    <mergeCell ref="A4:A10"/>
    <mergeCell ref="B4:B8"/>
    <mergeCell ref="C4:C10"/>
    <mergeCell ref="A12:I12"/>
    <mergeCell ref="I2:I3"/>
    <mergeCell ref="J2:J3"/>
    <mergeCell ref="K2:L2"/>
    <mergeCell ref="M2:N2"/>
    <mergeCell ref="O2:P2"/>
    <mergeCell ref="Q2:R2"/>
    <mergeCell ref="A1:C1"/>
    <mergeCell ref="D1:J1"/>
    <mergeCell ref="K1:V1"/>
    <mergeCell ref="B2:B3"/>
    <mergeCell ref="C2:C3"/>
    <mergeCell ref="D2:D3"/>
    <mergeCell ref="E2:E3"/>
    <mergeCell ref="F2:F3"/>
    <mergeCell ref="G2:G3"/>
    <mergeCell ref="H2:H3"/>
  </mergeCells>
  <conditionalFormatting sqref="H14:H26">
    <cfRule type="containsText" dxfId="15" priority="1" operator="containsText" text="Not Started">
      <formula>NOT(ISERROR(SEARCH("Not Started",H14)))</formula>
    </cfRule>
    <cfRule type="containsText" dxfId="14" priority="2" operator="containsText" text="In Progress">
      <formula>NOT(ISERROR(SEARCH("In Progress",H14)))</formula>
    </cfRule>
    <cfRule type="containsText" dxfId="13" priority="3" operator="containsText" text="Complete">
      <formula>NOT(ISERROR(SEARCH("Complete",H14)))</formula>
    </cfRule>
  </conditionalFormatting>
  <dataValidations count="1">
    <dataValidation type="list" allowBlank="1" showInputMessage="1" showErrorMessage="1" sqref="H14:H26" xr:uid="{AEC28AA3-A071-4253-89C2-5D3618E3FDB5}">
      <formula1>"Not started, In Progress, Complete"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AA27"/>
  <sheetViews>
    <sheetView zoomScale="70" zoomScaleNormal="70" workbookViewId="0">
      <pane xSplit="8" ySplit="3" topLeftCell="X4" activePane="bottomRight" state="frozen"/>
      <selection pane="bottomRight" activeCell="Z11" sqref="Z11"/>
      <selection pane="bottomLeft" activeCell="A4" sqref="A4"/>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1.85546875" style="15" customWidth="1"/>
    <col min="5" max="5" width="52.42578125" style="15" customWidth="1"/>
    <col min="6" max="6" width="10.42578125" style="15" customWidth="1"/>
    <col min="7" max="7" width="21.42578125" style="15" customWidth="1"/>
    <col min="8" max="8" width="11.7109375" style="15" customWidth="1"/>
    <col min="9" max="9" width="50.42578125" style="15" customWidth="1"/>
    <col min="10" max="10" width="38.14062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23" width="10.140625" style="15" customWidth="1"/>
    <col min="24" max="24" width="56" style="15" customWidth="1"/>
    <col min="25" max="25" width="10.140625" style="15" customWidth="1"/>
    <col min="26" max="26" width="55.42578125" style="15" customWidth="1"/>
    <col min="27" max="27" width="32.140625" style="15" customWidth="1"/>
    <col min="28" max="16384" width="8.7109375" style="15"/>
  </cols>
  <sheetData>
    <row r="1" spans="1:27" ht="30" customHeight="1">
      <c r="A1" s="146" t="s">
        <v>29</v>
      </c>
      <c r="B1" s="146"/>
      <c r="C1" s="146"/>
      <c r="D1" s="147" t="s">
        <v>10</v>
      </c>
      <c r="E1" s="147"/>
      <c r="F1" s="147"/>
      <c r="G1" s="147"/>
      <c r="H1" s="147"/>
      <c r="I1" s="147"/>
      <c r="J1" s="147"/>
      <c r="K1" s="154" t="s">
        <v>30</v>
      </c>
      <c r="L1" s="154"/>
      <c r="M1" s="154"/>
      <c r="N1" s="154"/>
      <c r="O1" s="154"/>
      <c r="P1" s="154"/>
      <c r="Q1" s="154"/>
      <c r="R1" s="154"/>
      <c r="S1" s="154"/>
      <c r="T1" s="154"/>
      <c r="U1" s="154"/>
      <c r="V1" s="154"/>
      <c r="W1" s="154"/>
      <c r="X1" s="154"/>
      <c r="Y1" s="154"/>
      <c r="Z1" s="154"/>
    </row>
    <row r="2" spans="1:27"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537</v>
      </c>
      <c r="P2" s="148"/>
      <c r="Q2" s="150" t="s">
        <v>41</v>
      </c>
      <c r="R2" s="150"/>
      <c r="S2" s="148" t="s">
        <v>538</v>
      </c>
      <c r="T2" s="148"/>
      <c r="U2" s="150" t="s">
        <v>43</v>
      </c>
      <c r="V2" s="150"/>
      <c r="W2" s="148" t="s">
        <v>539</v>
      </c>
      <c r="X2" s="148"/>
      <c r="Y2" s="150" t="s">
        <v>45</v>
      </c>
      <c r="Z2" s="150"/>
    </row>
    <row r="3" spans="1:27">
      <c r="A3" s="19">
        <f>COUNTIF(D4:D13,"&lt;&gt;")</f>
        <v>7</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row>
    <row r="4" spans="1:27" s="16" customFormat="1" ht="109.15">
      <c r="A4" s="148" t="s">
        <v>540</v>
      </c>
      <c r="B4" s="150" t="s">
        <v>541</v>
      </c>
      <c r="C4" s="150" t="s">
        <v>542</v>
      </c>
      <c r="D4" s="23" t="s">
        <v>543</v>
      </c>
      <c r="E4" s="26" t="s">
        <v>544</v>
      </c>
      <c r="F4" s="7">
        <v>1</v>
      </c>
      <c r="G4" s="29" t="s">
        <v>545</v>
      </c>
      <c r="H4" s="123" t="s">
        <v>64</v>
      </c>
      <c r="I4" s="26" t="s">
        <v>546</v>
      </c>
      <c r="J4" s="26"/>
      <c r="K4" s="29"/>
      <c r="L4" s="25"/>
      <c r="M4" s="29"/>
      <c r="N4" s="25"/>
      <c r="O4" s="29"/>
      <c r="P4" s="126" t="s">
        <v>547</v>
      </c>
      <c r="Q4" s="29">
        <v>1</v>
      </c>
      <c r="R4" s="128" t="s">
        <v>548</v>
      </c>
      <c r="S4" s="29"/>
      <c r="T4" s="129"/>
      <c r="U4" s="29" t="s">
        <v>64</v>
      </c>
      <c r="V4" s="25" t="s">
        <v>549</v>
      </c>
      <c r="W4" s="29"/>
      <c r="X4" s="25"/>
      <c r="Y4" s="29" t="s">
        <v>64</v>
      </c>
      <c r="Z4" s="25" t="s">
        <v>549</v>
      </c>
    </row>
    <row r="5" spans="1:27" ht="57.6">
      <c r="A5" s="148"/>
      <c r="B5" s="150"/>
      <c r="C5" s="150"/>
      <c r="D5" s="18" t="s">
        <v>550</v>
      </c>
      <c r="E5" s="25" t="s">
        <v>551</v>
      </c>
      <c r="F5" s="7"/>
      <c r="G5" s="29" t="s">
        <v>552</v>
      </c>
      <c r="H5" s="7" t="s">
        <v>553</v>
      </c>
      <c r="I5" s="25" t="s">
        <v>554</v>
      </c>
      <c r="J5" s="26"/>
      <c r="K5" s="29"/>
      <c r="L5" s="25"/>
      <c r="M5" s="29"/>
      <c r="N5" s="25"/>
      <c r="O5" s="29"/>
      <c r="P5" s="25"/>
      <c r="Q5" s="29"/>
      <c r="R5" s="25"/>
      <c r="S5" s="29"/>
      <c r="T5" s="25" t="s">
        <v>555</v>
      </c>
      <c r="U5" s="29">
        <v>30</v>
      </c>
      <c r="V5" s="25" t="s">
        <v>556</v>
      </c>
      <c r="W5" s="29"/>
      <c r="X5" s="25"/>
      <c r="Y5" s="29" t="s">
        <v>64</v>
      </c>
      <c r="Z5" s="25" t="s">
        <v>549</v>
      </c>
    </row>
    <row r="6" spans="1:27" ht="78">
      <c r="A6" s="148"/>
      <c r="B6" s="150"/>
      <c r="C6" s="150"/>
      <c r="D6" s="18" t="s">
        <v>557</v>
      </c>
      <c r="E6" s="25" t="s">
        <v>558</v>
      </c>
      <c r="F6" s="7"/>
      <c r="G6" s="29" t="s">
        <v>559</v>
      </c>
      <c r="H6" s="7" t="s">
        <v>560</v>
      </c>
      <c r="I6" s="25"/>
      <c r="J6" s="26"/>
      <c r="K6" s="29"/>
      <c r="L6" s="25"/>
      <c r="M6" s="29"/>
      <c r="N6" s="25"/>
      <c r="O6" s="29"/>
      <c r="P6" s="25"/>
      <c r="Q6" s="29"/>
      <c r="R6" s="25"/>
      <c r="S6" s="29"/>
      <c r="T6" s="129" t="s">
        <v>561</v>
      </c>
      <c r="U6" s="29">
        <v>3</v>
      </c>
      <c r="V6" s="128" t="s">
        <v>562</v>
      </c>
      <c r="W6" s="29"/>
      <c r="X6" s="25"/>
      <c r="Y6" s="29" t="s">
        <v>64</v>
      </c>
      <c r="Z6" s="25" t="s">
        <v>549</v>
      </c>
    </row>
    <row r="7" spans="1:27" ht="57.6">
      <c r="A7" s="148"/>
      <c r="B7" s="150"/>
      <c r="C7" s="150"/>
      <c r="D7" s="23" t="s">
        <v>563</v>
      </c>
      <c r="E7" s="25" t="s">
        <v>564</v>
      </c>
      <c r="F7" s="7"/>
      <c r="G7" s="29" t="s">
        <v>565</v>
      </c>
      <c r="H7" s="7" t="s">
        <v>145</v>
      </c>
      <c r="I7" s="25" t="s">
        <v>566</v>
      </c>
      <c r="J7" s="26"/>
      <c r="K7" s="29"/>
      <c r="L7" s="25"/>
      <c r="M7" s="29"/>
      <c r="N7" s="25"/>
      <c r="O7" s="29"/>
      <c r="P7" s="25"/>
      <c r="Q7" s="29"/>
      <c r="R7" s="25"/>
      <c r="S7" s="29"/>
      <c r="T7" s="129" t="s">
        <v>567</v>
      </c>
      <c r="U7" s="29">
        <v>30</v>
      </c>
      <c r="V7" s="25" t="s">
        <v>568</v>
      </c>
      <c r="W7" s="29"/>
      <c r="X7" s="25"/>
      <c r="Y7" s="29" t="s">
        <v>64</v>
      </c>
      <c r="Z7" s="25" t="s">
        <v>549</v>
      </c>
    </row>
    <row r="8" spans="1:27" ht="109.15">
      <c r="A8" s="148"/>
      <c r="B8" s="150"/>
      <c r="C8" s="150"/>
      <c r="D8" s="18" t="s">
        <v>569</v>
      </c>
      <c r="E8" s="25" t="s">
        <v>570</v>
      </c>
      <c r="F8" s="7"/>
      <c r="G8" s="29" t="s">
        <v>571</v>
      </c>
      <c r="H8" s="7" t="s">
        <v>70</v>
      </c>
      <c r="I8" s="25" t="s">
        <v>572</v>
      </c>
      <c r="J8" s="26"/>
      <c r="K8" s="29"/>
      <c r="L8" s="127" t="s">
        <v>573</v>
      </c>
      <c r="M8" s="29">
        <v>39</v>
      </c>
      <c r="N8" s="126" t="s">
        <v>574</v>
      </c>
      <c r="O8" s="29"/>
      <c r="P8" s="25"/>
      <c r="Q8" s="29"/>
      <c r="R8" s="25"/>
      <c r="S8" s="29"/>
      <c r="T8" s="25"/>
      <c r="U8" s="29"/>
      <c r="V8" s="25"/>
      <c r="W8" s="29"/>
      <c r="X8" s="127" t="s">
        <v>575</v>
      </c>
      <c r="Y8" s="29">
        <v>4</v>
      </c>
      <c r="Z8" s="130" t="s">
        <v>576</v>
      </c>
    </row>
    <row r="9" spans="1:27" ht="115.15">
      <c r="A9" s="148"/>
      <c r="B9" s="150"/>
      <c r="C9" s="150"/>
      <c r="D9" s="18" t="s">
        <v>577</v>
      </c>
      <c r="E9" s="25" t="s">
        <v>578</v>
      </c>
      <c r="F9" s="7"/>
      <c r="G9" s="29" t="s">
        <v>579</v>
      </c>
      <c r="H9" s="7" t="s">
        <v>78</v>
      </c>
      <c r="I9" s="25" t="s">
        <v>580</v>
      </c>
      <c r="J9" s="26"/>
      <c r="K9" s="29"/>
      <c r="L9" s="25"/>
      <c r="M9" s="29"/>
      <c r="N9" s="25"/>
      <c r="O9" s="29"/>
      <c r="P9" s="25"/>
      <c r="Q9" s="29"/>
      <c r="R9" s="25"/>
      <c r="S9" s="29"/>
      <c r="T9" s="25"/>
      <c r="U9" s="29"/>
      <c r="V9" s="25"/>
      <c r="W9" s="29"/>
      <c r="X9" s="25" t="s">
        <v>581</v>
      </c>
      <c r="Y9" s="29">
        <v>1350</v>
      </c>
      <c r="Z9" s="25" t="s">
        <v>582</v>
      </c>
    </row>
    <row r="10" spans="1:27" ht="93.6">
      <c r="A10" s="12"/>
      <c r="B10" s="9"/>
      <c r="C10" s="9"/>
      <c r="D10" s="18" t="s">
        <v>583</v>
      </c>
      <c r="E10" s="25" t="s">
        <v>584</v>
      </c>
      <c r="F10" s="7"/>
      <c r="G10" s="29" t="s">
        <v>585</v>
      </c>
      <c r="H10" s="7" t="s">
        <v>64</v>
      </c>
      <c r="I10" s="25" t="s">
        <v>586</v>
      </c>
      <c r="J10" s="26"/>
      <c r="K10" s="29"/>
      <c r="L10" s="25"/>
      <c r="M10" s="29"/>
      <c r="N10" s="25"/>
      <c r="O10" s="29"/>
      <c r="P10" s="25"/>
      <c r="Q10" s="29"/>
      <c r="R10" s="25"/>
      <c r="S10" s="29"/>
      <c r="T10" s="127" t="s">
        <v>587</v>
      </c>
      <c r="U10" s="29">
        <v>4</v>
      </c>
      <c r="V10" s="130" t="s">
        <v>588</v>
      </c>
      <c r="W10" s="29"/>
      <c r="X10" s="25" t="s">
        <v>589</v>
      </c>
      <c r="Y10" s="29">
        <v>3</v>
      </c>
      <c r="Z10" s="25" t="s">
        <v>590</v>
      </c>
    </row>
    <row r="11" spans="1:27" ht="62.45">
      <c r="A11" s="12"/>
      <c r="B11" s="9"/>
      <c r="C11" s="9"/>
      <c r="D11" s="18"/>
      <c r="E11" s="71" t="s">
        <v>591</v>
      </c>
      <c r="F11" s="73"/>
      <c r="G11" s="70" t="s">
        <v>592</v>
      </c>
      <c r="H11" s="73" t="s">
        <v>64</v>
      </c>
      <c r="I11" s="71" t="s">
        <v>593</v>
      </c>
      <c r="J11" s="26"/>
      <c r="K11" s="29"/>
      <c r="L11" s="25"/>
      <c r="M11" s="29"/>
      <c r="N11" s="25"/>
      <c r="O11" s="29"/>
      <c r="P11" s="25"/>
      <c r="Q11" s="29"/>
      <c r="R11" s="25"/>
      <c r="S11" s="29"/>
      <c r="T11" s="127" t="s">
        <v>594</v>
      </c>
      <c r="U11" s="29">
        <v>60</v>
      </c>
      <c r="V11" s="131" t="s">
        <v>595</v>
      </c>
      <c r="W11" s="29"/>
      <c r="X11" s="25"/>
      <c r="Y11" s="29" t="s">
        <v>64</v>
      </c>
      <c r="Z11" s="25" t="s">
        <v>549</v>
      </c>
    </row>
    <row r="12" spans="1:27" ht="63.75" customHeight="1">
      <c r="A12" s="12"/>
      <c r="B12" s="9"/>
      <c r="C12" s="9"/>
      <c r="D12" s="18"/>
      <c r="E12" s="71" t="s">
        <v>596</v>
      </c>
      <c r="F12" s="73"/>
      <c r="G12" s="70" t="s">
        <v>597</v>
      </c>
      <c r="H12" s="73"/>
      <c r="I12" s="71"/>
      <c r="J12" s="26"/>
      <c r="K12" s="29"/>
      <c r="L12" s="25"/>
      <c r="M12" s="29"/>
      <c r="N12" s="25"/>
      <c r="O12" s="29"/>
      <c r="P12" s="25"/>
      <c r="Q12" s="29"/>
      <c r="R12" s="25"/>
      <c r="S12" s="29"/>
      <c r="T12" s="127"/>
      <c r="U12" s="29">
        <v>3</v>
      </c>
      <c r="V12" s="132" t="s">
        <v>598</v>
      </c>
      <c r="W12" s="29"/>
      <c r="X12" s="25"/>
      <c r="Y12" s="29"/>
      <c r="Z12" s="25"/>
      <c r="AA12" s="71" t="s">
        <v>599</v>
      </c>
    </row>
    <row r="13" spans="1:27" ht="30.75" customHeight="1">
      <c r="A13" s="155" t="s">
        <v>5</v>
      </c>
      <c r="B13" s="155"/>
      <c r="C13" s="155"/>
      <c r="D13" s="155"/>
      <c r="E13" s="155"/>
      <c r="F13" s="155"/>
      <c r="G13" s="155"/>
      <c r="H13" s="155"/>
      <c r="I13" s="155"/>
      <c r="K13" s="16"/>
      <c r="L13" s="16"/>
      <c r="M13" s="16"/>
      <c r="N13" s="16"/>
      <c r="O13" s="16"/>
      <c r="P13" s="16"/>
      <c r="Q13" s="16"/>
      <c r="R13" s="16"/>
      <c r="S13" s="16"/>
      <c r="T13" s="16"/>
      <c r="U13" s="16"/>
      <c r="V13" s="16"/>
      <c r="W13" s="16"/>
      <c r="X13" s="16"/>
      <c r="Y13" s="16"/>
      <c r="Z13" s="16"/>
    </row>
    <row r="14" spans="1:27" ht="30.75" customHeight="1">
      <c r="A14" s="12"/>
      <c r="B14" s="12" t="s">
        <v>109</v>
      </c>
      <c r="C14" s="20"/>
      <c r="D14" s="12" t="s">
        <v>110</v>
      </c>
      <c r="E14" s="12" t="s">
        <v>12</v>
      </c>
      <c r="F14" s="12"/>
      <c r="G14" s="12"/>
      <c r="H14" s="12" t="s">
        <v>111</v>
      </c>
      <c r="I14" s="12" t="s">
        <v>112</v>
      </c>
    </row>
    <row r="15" spans="1:27">
      <c r="A15" s="148" t="s">
        <v>600</v>
      </c>
      <c r="B15" s="150" t="s">
        <v>601</v>
      </c>
      <c r="C15" s="157"/>
      <c r="D15" s="18" t="s">
        <v>602</v>
      </c>
      <c r="E15" s="151"/>
      <c r="F15" s="151"/>
      <c r="G15" s="151"/>
      <c r="H15" s="1"/>
      <c r="I15" s="1"/>
    </row>
    <row r="16" spans="1:27" ht="29.25" customHeight="1">
      <c r="A16" s="148"/>
      <c r="B16" s="150"/>
      <c r="C16" s="157"/>
      <c r="D16" s="23" t="s">
        <v>603</v>
      </c>
      <c r="E16" s="151"/>
      <c r="F16" s="151"/>
      <c r="G16" s="151"/>
      <c r="H16" s="1"/>
      <c r="I16" s="1"/>
    </row>
    <row r="17" spans="1:9" ht="28.5" customHeight="1">
      <c r="A17" s="148"/>
      <c r="B17" s="150"/>
      <c r="C17" s="157"/>
      <c r="D17" s="23" t="s">
        <v>604</v>
      </c>
      <c r="E17" s="151"/>
      <c r="F17" s="151"/>
      <c r="G17" s="151"/>
      <c r="H17" s="1"/>
      <c r="I17" s="1"/>
    </row>
    <row r="18" spans="1:9" ht="30" customHeight="1">
      <c r="A18" s="148"/>
      <c r="B18" s="150"/>
      <c r="C18" s="157"/>
      <c r="D18" s="23" t="s">
        <v>605</v>
      </c>
      <c r="E18" s="151"/>
      <c r="F18" s="151"/>
      <c r="G18" s="151"/>
      <c r="H18" s="1"/>
      <c r="I18" s="1"/>
    </row>
    <row r="19" spans="1:9" ht="30.75" customHeight="1">
      <c r="A19" s="148"/>
      <c r="B19" s="150"/>
      <c r="C19" s="157"/>
      <c r="D19" s="23" t="s">
        <v>606</v>
      </c>
      <c r="E19" s="151"/>
      <c r="F19" s="151"/>
      <c r="G19" s="151"/>
      <c r="H19" s="1"/>
      <c r="I19" s="1"/>
    </row>
    <row r="24" spans="1:9">
      <c r="A24" s="13"/>
    </row>
    <row r="25" spans="1:9">
      <c r="A25" s="13"/>
    </row>
    <row r="26" spans="1:9">
      <c r="A26" s="39"/>
    </row>
    <row r="27" spans="1:9">
      <c r="A27" s="13"/>
    </row>
  </sheetData>
  <mergeCells count="32">
    <mergeCell ref="A13:I13"/>
    <mergeCell ref="A1:C1"/>
    <mergeCell ref="B2:B3"/>
    <mergeCell ref="C2:C3"/>
    <mergeCell ref="D2:D3"/>
    <mergeCell ref="E2:E3"/>
    <mergeCell ref="F2:F3"/>
    <mergeCell ref="G2:G3"/>
    <mergeCell ref="H2:H3"/>
    <mergeCell ref="I2:I3"/>
    <mergeCell ref="A4:A9"/>
    <mergeCell ref="A15:A19"/>
    <mergeCell ref="B15:B19"/>
    <mergeCell ref="C15:C19"/>
    <mergeCell ref="E15:G15"/>
    <mergeCell ref="E16:G16"/>
    <mergeCell ref="E17:G17"/>
    <mergeCell ref="E18:G18"/>
    <mergeCell ref="E19:G19"/>
    <mergeCell ref="W2:X2"/>
    <mergeCell ref="Y2:Z2"/>
    <mergeCell ref="K1:Z1"/>
    <mergeCell ref="C4:C9"/>
    <mergeCell ref="B4:B9"/>
    <mergeCell ref="K2:L2"/>
    <mergeCell ref="D1:J1"/>
    <mergeCell ref="O2:P2"/>
    <mergeCell ref="Q2:R2"/>
    <mergeCell ref="S2:T2"/>
    <mergeCell ref="U2:V2"/>
    <mergeCell ref="J2:J3"/>
    <mergeCell ref="M2:N2"/>
  </mergeCells>
  <phoneticPr fontId="15" type="noConversion"/>
  <conditionalFormatting sqref="H15:H19">
    <cfRule type="containsText" dxfId="12" priority="1" operator="containsText" text="Not Started">
      <formula>NOT(ISERROR(SEARCH("Not Started",H15)))</formula>
    </cfRule>
    <cfRule type="containsText" dxfId="11" priority="2" operator="containsText" text="In Progress">
      <formula>NOT(ISERROR(SEARCH("In Progress",H15)))</formula>
    </cfRule>
    <cfRule type="containsText" dxfId="10" priority="3" operator="containsText" text="Complete">
      <formula>NOT(ISERROR(SEARCH("Complete",H15)))</formula>
    </cfRule>
  </conditionalFormatting>
  <dataValidations count="1">
    <dataValidation type="list" allowBlank="1" showInputMessage="1" showErrorMessage="1" sqref="H15:H19" xr:uid="{FCBB26DE-B9BB-480C-B5E0-4B07B02194CB}">
      <formula1>"Not started, In Progress, Complete"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BD1A8-29A1-41BA-9571-A212512B3FF7}">
  <sheetPr codeName="Sheet14">
    <tabColor theme="4"/>
  </sheetPr>
  <dimension ref="A1:Z26"/>
  <sheetViews>
    <sheetView topLeftCell="C1" zoomScale="70" zoomScaleNormal="70" workbookViewId="0">
      <pane xSplit="6" ySplit="3" topLeftCell="W4" activePane="bottomRight" state="frozen"/>
      <selection pane="bottomRight" activeCell="E5" sqref="E5"/>
      <selection pane="bottomLeft" activeCell="C4" sqref="C4"/>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7.42578125" style="15" customWidth="1"/>
    <col min="8" max="8" width="11.7109375" style="15" customWidth="1"/>
    <col min="9" max="9" width="67" style="15" customWidth="1"/>
    <col min="10" max="10" width="44.7109375" style="15" customWidth="1"/>
    <col min="11" max="11" width="9.85546875" style="15" customWidth="1"/>
    <col min="12" max="12" width="55" style="15" customWidth="1"/>
    <col min="13" max="13" width="9.85546875" style="15" customWidth="1"/>
    <col min="14" max="14" width="55.7109375" style="15" customWidth="1"/>
    <col min="15" max="15" width="9.85546875" style="15" customWidth="1"/>
    <col min="16" max="16" width="55.42578125" style="15" customWidth="1"/>
    <col min="17" max="17" width="10" style="15" customWidth="1"/>
    <col min="18" max="18" width="55.28515625" style="15" customWidth="1"/>
    <col min="19" max="19" width="10.140625" style="15" customWidth="1"/>
    <col min="20" max="20" width="56" style="15" customWidth="1"/>
    <col min="21" max="21" width="10.140625" style="15" customWidth="1"/>
    <col min="22" max="22" width="55.42578125" style="15" customWidth="1"/>
    <col min="23" max="23" width="10.140625" style="15" customWidth="1"/>
    <col min="24" max="24" width="56" style="15" customWidth="1"/>
    <col min="25" max="25" width="10.140625" style="15" customWidth="1"/>
    <col min="26" max="26" width="55.42578125" style="15" customWidth="1"/>
    <col min="27" max="16384" width="8.7109375" style="15"/>
  </cols>
  <sheetData>
    <row r="1" spans="1:26" ht="30" customHeight="1">
      <c r="A1" s="146" t="s">
        <v>29</v>
      </c>
      <c r="B1" s="146"/>
      <c r="C1" s="146"/>
      <c r="D1" s="147" t="s">
        <v>10</v>
      </c>
      <c r="E1" s="147"/>
      <c r="F1" s="147"/>
      <c r="G1" s="147"/>
      <c r="H1" s="147"/>
      <c r="I1" s="147"/>
      <c r="J1" s="147"/>
      <c r="K1" s="154" t="s">
        <v>30</v>
      </c>
      <c r="L1" s="154"/>
      <c r="M1" s="154"/>
      <c r="N1" s="154"/>
      <c r="O1" s="154"/>
      <c r="P1" s="154"/>
      <c r="Q1" s="154"/>
      <c r="R1" s="154"/>
      <c r="S1" s="154"/>
      <c r="T1" s="154"/>
      <c r="U1" s="154"/>
      <c r="V1" s="154"/>
      <c r="W1" s="154"/>
      <c r="X1" s="154"/>
      <c r="Y1" s="154"/>
      <c r="Z1" s="154"/>
    </row>
    <row r="2" spans="1:26"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537</v>
      </c>
      <c r="P2" s="148"/>
      <c r="Q2" s="150" t="s">
        <v>41</v>
      </c>
      <c r="R2" s="150"/>
      <c r="S2" s="148" t="s">
        <v>538</v>
      </c>
      <c r="T2" s="148"/>
      <c r="U2" s="150" t="s">
        <v>43</v>
      </c>
      <c r="V2" s="150"/>
      <c r="W2" s="148" t="s">
        <v>539</v>
      </c>
      <c r="X2" s="148"/>
      <c r="Y2" s="150" t="s">
        <v>45</v>
      </c>
      <c r="Z2" s="150"/>
    </row>
    <row r="3" spans="1:26">
      <c r="A3" s="19">
        <f>COUNTIF(D4:D6,"&lt;&gt;")</f>
        <v>3</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row>
    <row r="4" spans="1:26" s="16" customFormat="1" ht="185.25" customHeight="1">
      <c r="A4" s="148" t="s">
        <v>607</v>
      </c>
      <c r="B4" s="150" t="s">
        <v>608</v>
      </c>
      <c r="C4" s="150" t="s">
        <v>609</v>
      </c>
      <c r="D4" s="23" t="s">
        <v>610</v>
      </c>
      <c r="E4" s="108" t="s">
        <v>611</v>
      </c>
      <c r="F4" s="7">
        <v>2</v>
      </c>
      <c r="G4" s="106" t="s">
        <v>612</v>
      </c>
      <c r="H4" s="7" t="s">
        <v>152</v>
      </c>
      <c r="I4" s="26"/>
      <c r="J4" s="26"/>
      <c r="K4" s="29"/>
      <c r="L4" s="25"/>
      <c r="M4" s="29"/>
      <c r="N4" s="25"/>
      <c r="O4" s="29"/>
      <c r="P4" s="25"/>
      <c r="Q4" s="29"/>
      <c r="R4" s="25"/>
      <c r="S4" s="29"/>
      <c r="T4" s="25"/>
      <c r="U4" s="29"/>
      <c r="V4" s="25"/>
      <c r="W4" s="29"/>
      <c r="X4" s="25"/>
      <c r="Y4" s="29">
        <f>1+1</f>
        <v>2</v>
      </c>
      <c r="Z4" s="25" t="s">
        <v>613</v>
      </c>
    </row>
    <row r="5" spans="1:26" s="16" customFormat="1" ht="152.25" customHeight="1">
      <c r="A5" s="148"/>
      <c r="B5" s="150"/>
      <c r="C5" s="150"/>
      <c r="D5" s="23" t="s">
        <v>614</v>
      </c>
      <c r="E5" s="25" t="s">
        <v>615</v>
      </c>
      <c r="F5" s="7">
        <v>2</v>
      </c>
      <c r="G5" s="106" t="s">
        <v>616</v>
      </c>
      <c r="H5" s="7" t="s">
        <v>64</v>
      </c>
      <c r="I5" s="26"/>
      <c r="J5" s="26"/>
      <c r="K5" s="29"/>
      <c r="L5" s="25"/>
      <c r="M5" s="29"/>
      <c r="N5" s="25"/>
      <c r="O5" s="29"/>
      <c r="P5" s="25"/>
      <c r="Q5" s="29"/>
      <c r="R5" s="25"/>
      <c r="S5" s="29"/>
      <c r="T5" s="25"/>
      <c r="U5" s="29"/>
      <c r="V5" s="25"/>
      <c r="W5" s="29"/>
      <c r="X5" s="25"/>
      <c r="Y5" s="29">
        <f>35+41</f>
        <v>76</v>
      </c>
      <c r="Z5" s="108" t="s">
        <v>617</v>
      </c>
    </row>
    <row r="6" spans="1:26" s="16" customFormat="1" ht="115.15">
      <c r="A6" s="148"/>
      <c r="B6" s="150"/>
      <c r="C6" s="150"/>
      <c r="D6" s="23" t="s">
        <v>618</v>
      </c>
      <c r="E6" s="25" t="s">
        <v>619</v>
      </c>
      <c r="F6" s="7">
        <v>2</v>
      </c>
      <c r="G6" s="29" t="s">
        <v>620</v>
      </c>
      <c r="H6" s="7" t="s">
        <v>152</v>
      </c>
      <c r="I6" s="26"/>
      <c r="J6" s="26"/>
      <c r="K6" s="29"/>
      <c r="L6" s="25"/>
      <c r="M6" s="29"/>
      <c r="N6" s="25"/>
      <c r="O6" s="29"/>
      <c r="P6" s="25"/>
      <c r="Q6" s="29"/>
      <c r="R6" s="25"/>
      <c r="S6" s="29"/>
      <c r="T6" s="25"/>
      <c r="U6" s="29"/>
      <c r="V6" s="25"/>
      <c r="W6" s="29"/>
      <c r="X6" s="25"/>
      <c r="Y6" s="29">
        <v>0</v>
      </c>
      <c r="Z6" s="142" t="s">
        <v>621</v>
      </c>
    </row>
    <row r="7" spans="1:26" s="16" customFormat="1" ht="100.9">
      <c r="A7" s="148"/>
      <c r="B7" s="150"/>
      <c r="C7" s="150"/>
      <c r="D7" s="23" t="s">
        <v>622</v>
      </c>
      <c r="E7" s="25" t="s">
        <v>623</v>
      </c>
      <c r="F7" s="7">
        <v>1</v>
      </c>
      <c r="G7" s="29" t="s">
        <v>624</v>
      </c>
      <c r="H7" s="7" t="s">
        <v>70</v>
      </c>
      <c r="I7" s="26"/>
      <c r="J7" s="26"/>
      <c r="K7" s="29"/>
      <c r="L7" s="25"/>
      <c r="M7" s="29"/>
      <c r="N7" s="25"/>
      <c r="O7" s="29"/>
      <c r="P7" s="25"/>
      <c r="Q7" s="29"/>
      <c r="R7" s="25"/>
      <c r="S7" s="29"/>
      <c r="T7" s="25"/>
      <c r="U7" s="29"/>
      <c r="V7" s="25"/>
      <c r="W7" s="29"/>
      <c r="X7" s="25"/>
      <c r="Y7" s="29">
        <f>0+0</f>
        <v>0</v>
      </c>
      <c r="Z7" s="25" t="s">
        <v>625</v>
      </c>
    </row>
    <row r="8" spans="1:26" s="16" customFormat="1" ht="273.60000000000002">
      <c r="A8" s="148"/>
      <c r="B8" s="150"/>
      <c r="C8" s="150"/>
      <c r="D8" s="23" t="s">
        <v>626</v>
      </c>
      <c r="E8" s="25" t="s">
        <v>627</v>
      </c>
      <c r="F8" s="7">
        <v>1</v>
      </c>
      <c r="G8" s="29" t="s">
        <v>628</v>
      </c>
      <c r="H8" s="7" t="s">
        <v>70</v>
      </c>
      <c r="I8" s="26"/>
      <c r="J8" s="26"/>
      <c r="K8" s="29"/>
      <c r="L8" s="25"/>
      <c r="M8" s="29"/>
      <c r="N8" s="25"/>
      <c r="O8" s="29"/>
      <c r="P8" s="25"/>
      <c r="Q8" s="29"/>
      <c r="R8" s="25"/>
      <c r="S8" s="29"/>
      <c r="T8" s="25"/>
      <c r="U8" s="29"/>
      <c r="V8" s="25"/>
      <c r="W8" s="29"/>
      <c r="X8" s="25"/>
      <c r="Y8" s="29">
        <f>4+3</f>
        <v>7</v>
      </c>
      <c r="Z8" s="25" t="s">
        <v>629</v>
      </c>
    </row>
    <row r="9" spans="1:26" s="16" customFormat="1" ht="216">
      <c r="A9" s="148"/>
      <c r="B9" s="150"/>
      <c r="C9" s="150"/>
      <c r="D9" s="23" t="s">
        <v>630</v>
      </c>
      <c r="E9" s="25" t="s">
        <v>631</v>
      </c>
      <c r="F9" s="7"/>
      <c r="G9" s="29" t="s">
        <v>632</v>
      </c>
      <c r="H9" s="7" t="s">
        <v>78</v>
      </c>
      <c r="I9" s="26"/>
      <c r="J9" s="26"/>
      <c r="K9" s="29"/>
      <c r="L9" s="25"/>
      <c r="M9" s="29"/>
      <c r="N9" s="25"/>
      <c r="O9" s="29"/>
      <c r="P9" s="25"/>
      <c r="Q9" s="29"/>
      <c r="R9" s="25"/>
      <c r="S9" s="29"/>
      <c r="T9" s="25"/>
      <c r="U9" s="29"/>
      <c r="V9" s="25"/>
      <c r="W9" s="29"/>
      <c r="X9" s="25"/>
      <c r="Y9" s="29">
        <f>107+72</f>
        <v>179</v>
      </c>
      <c r="Z9" s="25" t="s">
        <v>633</v>
      </c>
    </row>
    <row r="10" spans="1:26" ht="30.75" customHeight="1">
      <c r="A10" s="155" t="s">
        <v>5</v>
      </c>
      <c r="B10" s="155"/>
      <c r="C10" s="155"/>
      <c r="D10" s="155"/>
      <c r="E10" s="155"/>
      <c r="F10" s="155"/>
      <c r="G10" s="155"/>
      <c r="H10" s="155"/>
      <c r="I10" s="155"/>
      <c r="K10" s="16"/>
      <c r="L10" s="16"/>
      <c r="M10" s="16"/>
      <c r="N10" s="16"/>
      <c r="O10" s="16"/>
      <c r="P10" s="16"/>
      <c r="Q10" s="16"/>
      <c r="R10" s="16"/>
      <c r="S10" s="16"/>
      <c r="T10" s="16"/>
      <c r="U10" s="16"/>
      <c r="V10" s="16"/>
      <c r="W10" s="16"/>
      <c r="X10" s="16"/>
      <c r="Y10" s="16"/>
      <c r="Z10" s="16"/>
    </row>
    <row r="11" spans="1:26" ht="30.75" customHeight="1">
      <c r="A11" s="12"/>
      <c r="B11" s="12" t="s">
        <v>109</v>
      </c>
      <c r="C11" s="20"/>
      <c r="D11" s="12" t="s">
        <v>110</v>
      </c>
      <c r="E11" s="12" t="s">
        <v>12</v>
      </c>
      <c r="F11" s="12"/>
      <c r="G11" s="12"/>
      <c r="H11" s="12" t="s">
        <v>111</v>
      </c>
      <c r="I11" s="12" t="s">
        <v>112</v>
      </c>
    </row>
    <row r="12" spans="1:26">
      <c r="A12" s="148" t="s">
        <v>634</v>
      </c>
      <c r="B12" s="150" t="s">
        <v>635</v>
      </c>
      <c r="C12" s="157"/>
      <c r="D12" s="18" t="s">
        <v>636</v>
      </c>
      <c r="E12" s="151"/>
      <c r="F12" s="151"/>
      <c r="G12" s="151"/>
      <c r="H12" s="1"/>
      <c r="I12" s="1"/>
    </row>
    <row r="13" spans="1:26">
      <c r="A13" s="148"/>
      <c r="B13" s="150"/>
      <c r="C13" s="157"/>
      <c r="D13" s="23" t="s">
        <v>637</v>
      </c>
      <c r="E13" s="151"/>
      <c r="F13" s="151"/>
      <c r="G13" s="151"/>
      <c r="H13" s="1"/>
      <c r="I13" s="1"/>
    </row>
    <row r="14" spans="1:26">
      <c r="A14" s="148"/>
      <c r="B14" s="150"/>
      <c r="C14" s="157"/>
      <c r="D14" s="23" t="s">
        <v>638</v>
      </c>
      <c r="E14" s="151"/>
      <c r="F14" s="151"/>
      <c r="G14" s="151"/>
      <c r="H14" s="1"/>
      <c r="I14" s="1"/>
    </row>
    <row r="18" spans="1:1" ht="15" customHeight="1"/>
    <row r="23" spans="1:1">
      <c r="A23" s="13"/>
    </row>
    <row r="24" spans="1:1">
      <c r="A24" s="13"/>
    </row>
    <row r="25" spans="1:1">
      <c r="A25" s="13"/>
    </row>
    <row r="26" spans="1:1">
      <c r="A26" s="13"/>
    </row>
  </sheetData>
  <mergeCells count="30">
    <mergeCell ref="A1:C1"/>
    <mergeCell ref="B2:B3"/>
    <mergeCell ref="C2:C3"/>
    <mergeCell ref="D2:D3"/>
    <mergeCell ref="E2:E3"/>
    <mergeCell ref="D1:J1"/>
    <mergeCell ref="J2:J3"/>
    <mergeCell ref="I2:I3"/>
    <mergeCell ref="M2:N2"/>
    <mergeCell ref="F2:F3"/>
    <mergeCell ref="K2:L2"/>
    <mergeCell ref="B4:B9"/>
    <mergeCell ref="A4:A9"/>
    <mergeCell ref="C4:C9"/>
    <mergeCell ref="W2:X2"/>
    <mergeCell ref="Y2:Z2"/>
    <mergeCell ref="K1:Z1"/>
    <mergeCell ref="A12:A14"/>
    <mergeCell ref="B12:B14"/>
    <mergeCell ref="C12:C14"/>
    <mergeCell ref="E12:G12"/>
    <mergeCell ref="E13:G13"/>
    <mergeCell ref="E14:G14"/>
    <mergeCell ref="A10:I10"/>
    <mergeCell ref="O2:P2"/>
    <mergeCell ref="Q2:R2"/>
    <mergeCell ref="S2:T2"/>
    <mergeCell ref="U2:V2"/>
    <mergeCell ref="G2:G3"/>
    <mergeCell ref="H2:H3"/>
  </mergeCells>
  <phoneticPr fontId="15" type="noConversion"/>
  <conditionalFormatting sqref="H12:H14">
    <cfRule type="containsText" dxfId="9" priority="1" operator="containsText" text="Not Started">
      <formula>NOT(ISERROR(SEARCH("Not Started",H12)))</formula>
    </cfRule>
    <cfRule type="containsText" dxfId="8" priority="2" operator="containsText" text="In Progress">
      <formula>NOT(ISERROR(SEARCH("In Progress",H12)))</formula>
    </cfRule>
    <cfRule type="containsText" dxfId="7" priority="3" operator="containsText" text="Complete">
      <formula>NOT(ISERROR(SEARCH("Complete",H12)))</formula>
    </cfRule>
  </conditionalFormatting>
  <dataValidations count="1">
    <dataValidation type="list" allowBlank="1" showInputMessage="1" showErrorMessage="1" sqref="H12:H14" xr:uid="{6CCD8E39-F9B7-44A5-AD23-4818ECD2417F}">
      <formula1>"Not started, In Progress, Complete"</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2A7D9-3146-4BF1-9FC0-E88495F296C1}">
  <sheetPr>
    <tabColor theme="4"/>
  </sheetPr>
  <dimension ref="A1:AD26"/>
  <sheetViews>
    <sheetView zoomScale="85" zoomScaleNormal="85" workbookViewId="0">
      <pane xSplit="8" ySplit="3" topLeftCell="I4" activePane="bottomRight" state="frozen"/>
      <selection pane="bottomRight" activeCell="E4" sqref="E4:E8"/>
      <selection pane="bottomLeft" activeCell="A4" sqref="A4"/>
      <selection pane="topRight" activeCell="I1" sqref="I1"/>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85546875" style="15" hidden="1" customWidth="1"/>
    <col min="12" max="12" width="55" style="15" hidden="1" customWidth="1"/>
    <col min="13" max="13" width="9.85546875" style="15" hidden="1" customWidth="1"/>
    <col min="14" max="14" width="55.7109375" style="15" hidden="1" customWidth="1"/>
    <col min="15" max="15" width="9.85546875" style="15" hidden="1" customWidth="1"/>
    <col min="16" max="16" width="55.42578125" style="15" hidden="1" customWidth="1"/>
    <col min="17" max="17" width="10" style="15" hidden="1" customWidth="1"/>
    <col min="18" max="18" width="55.28515625" style="15" hidden="1" customWidth="1"/>
    <col min="19" max="19" width="10.140625" style="15" hidden="1" customWidth="1"/>
    <col min="20" max="20" width="56" style="15" hidden="1" customWidth="1"/>
    <col min="21" max="21" width="10.140625" style="15" hidden="1" customWidth="1"/>
    <col min="22" max="22" width="55.42578125" style="15" hidden="1" customWidth="1"/>
    <col min="23" max="23" width="10.140625" style="15" customWidth="1"/>
    <col min="24" max="24" width="56" style="15" customWidth="1"/>
    <col min="25" max="25" width="10.140625" style="15" customWidth="1"/>
    <col min="26" max="26" width="55.42578125" style="15" customWidth="1"/>
    <col min="27" max="27" width="10.140625" style="15" customWidth="1"/>
    <col min="28" max="28" width="56" style="15" customWidth="1"/>
    <col min="29" max="29" width="10.140625" style="15" customWidth="1"/>
    <col min="30" max="30" width="55.42578125" style="15" customWidth="1"/>
    <col min="31" max="16384" width="8.7109375" style="15"/>
  </cols>
  <sheetData>
    <row r="1" spans="1:30" ht="30" customHeight="1">
      <c r="A1" s="146" t="s">
        <v>29</v>
      </c>
      <c r="B1" s="146"/>
      <c r="C1" s="146"/>
      <c r="D1" s="147" t="s">
        <v>10</v>
      </c>
      <c r="E1" s="147"/>
      <c r="F1" s="147"/>
      <c r="G1" s="147"/>
      <c r="H1" s="147"/>
      <c r="I1" s="147"/>
      <c r="J1" s="147"/>
      <c r="K1" s="154" t="s">
        <v>30</v>
      </c>
      <c r="L1" s="154"/>
      <c r="M1" s="154"/>
      <c r="N1" s="154"/>
      <c r="O1" s="154"/>
      <c r="P1" s="154"/>
      <c r="Q1" s="154"/>
      <c r="R1" s="154"/>
      <c r="S1" s="154"/>
      <c r="T1" s="154"/>
      <c r="U1" s="154"/>
      <c r="V1" s="154"/>
      <c r="W1" s="154"/>
      <c r="X1" s="154"/>
      <c r="Y1" s="154"/>
      <c r="Z1" s="154"/>
      <c r="AA1" s="154"/>
      <c r="AB1" s="154"/>
      <c r="AC1" s="154"/>
      <c r="AD1" s="154"/>
    </row>
    <row r="2" spans="1:30"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537</v>
      </c>
      <c r="P2" s="148"/>
      <c r="Q2" s="150" t="s">
        <v>41</v>
      </c>
      <c r="R2" s="150"/>
      <c r="S2" s="148" t="s">
        <v>538</v>
      </c>
      <c r="T2" s="148"/>
      <c r="U2" s="150" t="s">
        <v>43</v>
      </c>
      <c r="V2" s="150"/>
      <c r="W2" s="148" t="s">
        <v>539</v>
      </c>
      <c r="X2" s="148"/>
      <c r="Y2" s="150" t="s">
        <v>45</v>
      </c>
      <c r="Z2" s="150"/>
      <c r="AA2" s="148" t="s">
        <v>639</v>
      </c>
      <c r="AB2" s="148"/>
      <c r="AC2" s="150" t="s">
        <v>640</v>
      </c>
      <c r="AD2" s="150"/>
    </row>
    <row r="3" spans="1:30">
      <c r="A3" s="19">
        <f>COUNTIF(D4:D6,"&lt;&gt;")</f>
        <v>3</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12" t="s">
        <v>46</v>
      </c>
      <c r="AB3" s="12" t="s">
        <v>12</v>
      </c>
      <c r="AC3" s="9" t="s">
        <v>46</v>
      </c>
      <c r="AD3" s="9" t="s">
        <v>12</v>
      </c>
    </row>
    <row r="4" spans="1:30" s="16" customFormat="1" ht="28.9">
      <c r="A4" s="148" t="s">
        <v>641</v>
      </c>
      <c r="B4" s="150" t="s">
        <v>642</v>
      </c>
      <c r="C4" s="150"/>
      <c r="D4" s="23" t="s">
        <v>643</v>
      </c>
      <c r="E4" s="108" t="s">
        <v>644</v>
      </c>
      <c r="F4" s="7" t="s">
        <v>106</v>
      </c>
      <c r="G4" s="144" t="s">
        <v>645</v>
      </c>
      <c r="H4" s="7" t="s">
        <v>152</v>
      </c>
      <c r="I4" s="26"/>
      <c r="J4" s="26"/>
      <c r="K4" s="29"/>
      <c r="L4" s="25"/>
      <c r="M4" s="29"/>
      <c r="N4" s="25"/>
      <c r="O4" s="29"/>
      <c r="P4" s="25"/>
      <c r="Q4" s="29"/>
      <c r="R4" s="25"/>
      <c r="S4" s="29"/>
      <c r="T4" s="25"/>
      <c r="U4" s="29"/>
      <c r="V4" s="25"/>
      <c r="W4" s="29"/>
      <c r="X4" s="25"/>
      <c r="Y4" s="29"/>
      <c r="Z4" s="25" t="s">
        <v>646</v>
      </c>
      <c r="AA4" s="29"/>
      <c r="AB4" s="25"/>
      <c r="AC4" s="29"/>
      <c r="AD4" s="25"/>
    </row>
    <row r="5" spans="1:30" s="16" customFormat="1" ht="28.9">
      <c r="A5" s="148"/>
      <c r="B5" s="150"/>
      <c r="C5" s="150"/>
      <c r="D5" s="23" t="s">
        <v>647</v>
      </c>
      <c r="E5" s="25" t="s">
        <v>648</v>
      </c>
      <c r="F5" s="7" t="s">
        <v>106</v>
      </c>
      <c r="G5" s="144" t="s">
        <v>645</v>
      </c>
      <c r="H5" s="7" t="s">
        <v>152</v>
      </c>
      <c r="I5" s="26"/>
      <c r="J5" s="26"/>
      <c r="K5" s="29"/>
      <c r="L5" s="25"/>
      <c r="M5" s="29"/>
      <c r="N5" s="25"/>
      <c r="O5" s="29"/>
      <c r="P5" s="25"/>
      <c r="Q5" s="29"/>
      <c r="R5" s="25"/>
      <c r="S5" s="29"/>
      <c r="T5" s="25"/>
      <c r="U5" s="29"/>
      <c r="V5" s="25"/>
      <c r="W5" s="29"/>
      <c r="X5" s="25"/>
      <c r="Y5" s="29"/>
      <c r="Z5" s="25" t="s">
        <v>646</v>
      </c>
      <c r="AA5" s="29"/>
      <c r="AB5" s="25"/>
      <c r="AC5" s="29"/>
      <c r="AD5" s="25"/>
    </row>
    <row r="6" spans="1:30" s="16" customFormat="1">
      <c r="A6" s="148"/>
      <c r="B6" s="150"/>
      <c r="C6" s="150"/>
      <c r="D6" s="23" t="s">
        <v>649</v>
      </c>
      <c r="E6" s="25" t="s">
        <v>650</v>
      </c>
      <c r="F6" s="7">
        <v>19.2</v>
      </c>
      <c r="G6" s="29" t="s">
        <v>127</v>
      </c>
      <c r="H6" s="7" t="s">
        <v>167</v>
      </c>
      <c r="I6" s="26"/>
      <c r="J6" s="26"/>
      <c r="K6" s="29"/>
      <c r="L6" s="25"/>
      <c r="M6" s="29"/>
      <c r="N6" s="25"/>
      <c r="O6" s="29"/>
      <c r="P6" s="25"/>
      <c r="Q6" s="29"/>
      <c r="R6" s="25"/>
      <c r="S6" s="29"/>
      <c r="T6" s="25"/>
      <c r="U6" s="29"/>
      <c r="V6" s="25"/>
      <c r="W6" s="29"/>
      <c r="X6" s="25"/>
      <c r="Y6" s="29"/>
      <c r="Z6" s="25" t="s">
        <v>646</v>
      </c>
      <c r="AA6" s="29"/>
      <c r="AB6" s="25"/>
      <c r="AC6" s="29"/>
      <c r="AD6" s="25"/>
    </row>
    <row r="7" spans="1:30" s="16" customFormat="1" ht="43.15">
      <c r="A7" s="148"/>
      <c r="B7" s="150"/>
      <c r="C7" s="150"/>
      <c r="D7" s="23" t="s">
        <v>651</v>
      </c>
      <c r="E7" s="25" t="s">
        <v>652</v>
      </c>
      <c r="F7" s="7" t="s">
        <v>106</v>
      </c>
      <c r="G7" s="29" t="s">
        <v>632</v>
      </c>
      <c r="H7" s="7" t="s">
        <v>78</v>
      </c>
      <c r="I7" s="26"/>
      <c r="J7" s="26"/>
      <c r="K7" s="29"/>
      <c r="L7" s="25"/>
      <c r="M7" s="29"/>
      <c r="N7" s="25"/>
      <c r="O7" s="29"/>
      <c r="P7" s="25"/>
      <c r="Q7" s="29"/>
      <c r="R7" s="25"/>
      <c r="S7" s="29"/>
      <c r="T7" s="25"/>
      <c r="U7" s="29"/>
      <c r="V7" s="25"/>
      <c r="W7" s="29"/>
      <c r="X7" s="25"/>
      <c r="Y7" s="29"/>
      <c r="Z7" s="25" t="s">
        <v>646</v>
      </c>
      <c r="AA7" s="29"/>
      <c r="AB7" s="25"/>
      <c r="AC7" s="29"/>
      <c r="AD7" s="25"/>
    </row>
    <row r="8" spans="1:30" s="16" customFormat="1" ht="57.6">
      <c r="A8" s="148"/>
      <c r="B8" s="150"/>
      <c r="C8" s="150"/>
      <c r="D8" s="23" t="s">
        <v>653</v>
      </c>
      <c r="E8" s="25" t="s">
        <v>654</v>
      </c>
      <c r="F8" s="7" t="s">
        <v>106</v>
      </c>
      <c r="G8" s="29" t="s">
        <v>655</v>
      </c>
      <c r="H8" s="7" t="s">
        <v>70</v>
      </c>
      <c r="I8" s="26"/>
      <c r="J8" s="26"/>
      <c r="K8" s="29"/>
      <c r="L8" s="25"/>
      <c r="M8" s="29"/>
      <c r="N8" s="25"/>
      <c r="O8" s="29"/>
      <c r="P8" s="25"/>
      <c r="Q8" s="29"/>
      <c r="R8" s="25"/>
      <c r="S8" s="29"/>
      <c r="T8" s="25"/>
      <c r="U8" s="29"/>
      <c r="V8" s="25"/>
      <c r="W8" s="29"/>
      <c r="X8" s="25"/>
      <c r="Y8" s="29">
        <v>0</v>
      </c>
      <c r="Z8" s="25" t="s">
        <v>656</v>
      </c>
      <c r="AA8" s="29"/>
      <c r="AB8" s="25"/>
      <c r="AC8" s="29"/>
      <c r="AD8" s="25"/>
    </row>
    <row r="9" spans="1:30" s="16" customFormat="1" ht="28.9">
      <c r="A9" s="148"/>
      <c r="B9" s="150"/>
      <c r="C9" s="150"/>
      <c r="D9" s="23" t="s">
        <v>657</v>
      </c>
      <c r="E9" s="25" t="s">
        <v>658</v>
      </c>
      <c r="F9" s="7" t="s">
        <v>106</v>
      </c>
      <c r="G9" s="29" t="s">
        <v>659</v>
      </c>
      <c r="H9" s="7" t="s">
        <v>145</v>
      </c>
      <c r="I9" s="26"/>
      <c r="J9" s="26"/>
      <c r="K9" s="29"/>
      <c r="L9" s="25"/>
      <c r="M9" s="29"/>
      <c r="N9" s="25"/>
      <c r="O9" s="29"/>
      <c r="P9" s="25"/>
      <c r="Q9" s="29"/>
      <c r="R9" s="25"/>
      <c r="S9" s="29"/>
      <c r="T9" s="25"/>
      <c r="U9" s="29"/>
      <c r="V9" s="25"/>
      <c r="W9" s="29"/>
      <c r="X9" s="25"/>
      <c r="Y9" s="29"/>
      <c r="Z9" s="25" t="s">
        <v>646</v>
      </c>
      <c r="AA9" s="29"/>
      <c r="AB9" s="25"/>
      <c r="AC9" s="29"/>
      <c r="AD9" s="25"/>
    </row>
    <row r="10" spans="1:30" ht="30.75" customHeight="1">
      <c r="A10" s="155" t="s">
        <v>5</v>
      </c>
      <c r="B10" s="155"/>
      <c r="C10" s="155"/>
      <c r="D10" s="155"/>
      <c r="E10" s="155"/>
      <c r="F10" s="155"/>
      <c r="G10" s="155"/>
      <c r="H10" s="155"/>
      <c r="I10" s="155"/>
      <c r="K10" s="16"/>
      <c r="L10" s="16"/>
      <c r="M10" s="16"/>
      <c r="N10" s="16"/>
      <c r="O10" s="16"/>
      <c r="P10" s="16"/>
      <c r="Q10" s="16"/>
      <c r="R10" s="16"/>
      <c r="S10" s="16"/>
      <c r="T10" s="16"/>
      <c r="U10" s="16"/>
      <c r="V10" s="16"/>
      <c r="W10" s="16"/>
      <c r="X10" s="16"/>
      <c r="Y10" s="16"/>
      <c r="Z10" s="16"/>
      <c r="AA10" s="16"/>
      <c r="AB10" s="16"/>
      <c r="AC10" s="16"/>
      <c r="AD10" s="16"/>
    </row>
    <row r="11" spans="1:30" ht="30.75" customHeight="1">
      <c r="A11" s="12"/>
      <c r="B11" s="12" t="s">
        <v>109</v>
      </c>
      <c r="C11" s="20"/>
      <c r="D11" s="12" t="s">
        <v>110</v>
      </c>
      <c r="E11" s="12" t="s">
        <v>12</v>
      </c>
      <c r="F11" s="12"/>
      <c r="G11" s="12"/>
      <c r="H11" s="12" t="s">
        <v>111</v>
      </c>
      <c r="I11" s="12" t="s">
        <v>112</v>
      </c>
    </row>
    <row r="12" spans="1:30">
      <c r="A12" s="148" t="s">
        <v>660</v>
      </c>
      <c r="B12" s="150" t="s">
        <v>661</v>
      </c>
      <c r="C12" s="157"/>
      <c r="D12" s="18" t="s">
        <v>662</v>
      </c>
      <c r="E12" s="151"/>
      <c r="F12" s="151"/>
      <c r="G12" s="151"/>
      <c r="H12" s="1"/>
      <c r="I12" s="1"/>
    </row>
    <row r="13" spans="1:30">
      <c r="A13" s="148"/>
      <c r="B13" s="150"/>
      <c r="C13" s="157"/>
      <c r="D13" s="23" t="s">
        <v>663</v>
      </c>
      <c r="E13" s="151"/>
      <c r="F13" s="151"/>
      <c r="G13" s="151"/>
      <c r="H13" s="1"/>
      <c r="I13" s="1"/>
    </row>
    <row r="14" spans="1:30">
      <c r="A14" s="148"/>
      <c r="B14" s="150"/>
      <c r="C14" s="157"/>
      <c r="D14" s="23" t="s">
        <v>664</v>
      </c>
      <c r="E14" s="151"/>
      <c r="F14" s="151"/>
      <c r="G14" s="151"/>
      <c r="H14" s="1"/>
      <c r="I14" s="1"/>
    </row>
    <row r="18" spans="1:1" ht="15" customHeight="1"/>
    <row r="23" spans="1:1">
      <c r="A23" s="13"/>
    </row>
    <row r="24" spans="1:1">
      <c r="A24" s="13"/>
    </row>
    <row r="25" spans="1:1">
      <c r="A25" s="13"/>
    </row>
    <row r="26" spans="1:1">
      <c r="A26" s="13"/>
    </row>
  </sheetData>
  <mergeCells count="32">
    <mergeCell ref="O2:P2"/>
    <mergeCell ref="Q2:R2"/>
    <mergeCell ref="A1:C1"/>
    <mergeCell ref="D1:J1"/>
    <mergeCell ref="B2:B3"/>
    <mergeCell ref="C2:C3"/>
    <mergeCell ref="D2:D3"/>
    <mergeCell ref="E2:E3"/>
    <mergeCell ref="F2:F3"/>
    <mergeCell ref="G2:G3"/>
    <mergeCell ref="H2:H3"/>
    <mergeCell ref="C4:C9"/>
    <mergeCell ref="I2:I3"/>
    <mergeCell ref="J2:J3"/>
    <mergeCell ref="K2:L2"/>
    <mergeCell ref="M2:N2"/>
    <mergeCell ref="AA2:AB2"/>
    <mergeCell ref="AC2:AD2"/>
    <mergeCell ref="K1:AD1"/>
    <mergeCell ref="A10:I10"/>
    <mergeCell ref="A12:A14"/>
    <mergeCell ref="B12:B14"/>
    <mergeCell ref="C12:C14"/>
    <mergeCell ref="E12:G12"/>
    <mergeCell ref="E13:G13"/>
    <mergeCell ref="E14:G14"/>
    <mergeCell ref="S2:T2"/>
    <mergeCell ref="U2:V2"/>
    <mergeCell ref="W2:X2"/>
    <mergeCell ref="Y2:Z2"/>
    <mergeCell ref="A4:A9"/>
    <mergeCell ref="B4:B9"/>
  </mergeCells>
  <phoneticPr fontId="15" type="noConversion"/>
  <conditionalFormatting sqref="H12:H14">
    <cfRule type="containsText" dxfId="6" priority="1" operator="containsText" text="Not Started">
      <formula>NOT(ISERROR(SEARCH("Not Started",H12)))</formula>
    </cfRule>
    <cfRule type="containsText" dxfId="5" priority="2" operator="containsText" text="In Progress">
      <formula>NOT(ISERROR(SEARCH("In Progress",H12)))</formula>
    </cfRule>
    <cfRule type="containsText" dxfId="4" priority="3" operator="containsText" text="Complete">
      <formula>NOT(ISERROR(SEARCH("Complete",H12)))</formula>
    </cfRule>
  </conditionalFormatting>
  <dataValidations count="1">
    <dataValidation type="list" allowBlank="1" showInputMessage="1" showErrorMessage="1" sqref="H12:H14" xr:uid="{35B6556B-2689-44E3-8074-9AD19677A8F5}">
      <formula1>"Not started, In Progress, Complete"</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S34"/>
  <sheetViews>
    <sheetView topLeftCell="I1" zoomScale="70" zoomScaleNormal="70" workbookViewId="0">
      <selection activeCell="S5" sqref="S5"/>
    </sheetView>
  </sheetViews>
  <sheetFormatPr defaultRowHeight="14.45"/>
  <cols>
    <col min="2" max="2" width="32.85546875" style="6" bestFit="1" customWidth="1"/>
    <col min="3" max="3" width="8.7109375" style="7"/>
    <col min="4" max="4" width="32.85546875" style="21" bestFit="1" customWidth="1"/>
    <col min="6" max="6" width="51.7109375" style="24" customWidth="1"/>
    <col min="7" max="7" width="30.42578125" style="26" customWidth="1"/>
    <col min="8" max="8" width="9.140625" customWidth="1"/>
    <col min="9" max="9" width="22.5703125" customWidth="1"/>
    <col min="10" max="10" width="9.140625" customWidth="1"/>
    <col min="11" max="11" width="22.5703125" customWidth="1"/>
    <col min="12" max="12" width="9.140625" customWidth="1"/>
    <col min="13" max="13" width="22.5703125" customWidth="1"/>
    <col min="15" max="15" width="31.5703125" customWidth="1"/>
    <col min="17" max="17" width="34.140625" customWidth="1"/>
    <col min="19" max="19" width="31.5703125" customWidth="1"/>
  </cols>
  <sheetData>
    <row r="1" spans="1:19" ht="15.6" customHeight="1">
      <c r="A1" s="146" t="s">
        <v>29</v>
      </c>
      <c r="B1" s="146"/>
      <c r="C1" s="146"/>
      <c r="D1" s="146"/>
      <c r="E1" s="146"/>
      <c r="F1" s="146"/>
      <c r="G1" s="146"/>
      <c r="H1" s="154" t="s">
        <v>30</v>
      </c>
      <c r="I1" s="154"/>
      <c r="J1" s="154"/>
      <c r="K1" s="154"/>
      <c r="L1" s="154"/>
      <c r="M1" s="154"/>
      <c r="N1" s="154"/>
      <c r="O1" s="154"/>
      <c r="P1" s="154"/>
      <c r="Q1" s="154"/>
      <c r="R1" s="154"/>
      <c r="S1" s="154"/>
    </row>
    <row r="2" spans="1:19" ht="30" customHeight="1">
      <c r="A2" s="150" t="s">
        <v>665</v>
      </c>
      <c r="B2" s="150" t="s">
        <v>12</v>
      </c>
      <c r="C2" s="150" t="s">
        <v>34</v>
      </c>
      <c r="D2" s="150" t="s">
        <v>35</v>
      </c>
      <c r="E2" s="150" t="s">
        <v>36</v>
      </c>
      <c r="F2" s="150" t="s">
        <v>112</v>
      </c>
      <c r="G2" s="150" t="s">
        <v>18</v>
      </c>
      <c r="H2" s="148" t="s">
        <v>40</v>
      </c>
      <c r="I2" s="148"/>
      <c r="J2" s="150" t="s">
        <v>41</v>
      </c>
      <c r="K2" s="150"/>
      <c r="L2" s="148" t="s">
        <v>42</v>
      </c>
      <c r="M2" s="148"/>
      <c r="N2" s="150" t="s">
        <v>43</v>
      </c>
      <c r="O2" s="150"/>
      <c r="P2" s="148" t="s">
        <v>44</v>
      </c>
      <c r="Q2" s="148"/>
      <c r="R2" s="150" t="s">
        <v>45</v>
      </c>
      <c r="S2" s="150"/>
    </row>
    <row r="3" spans="1:19">
      <c r="A3" s="150"/>
      <c r="B3" s="150"/>
      <c r="C3" s="150"/>
      <c r="D3" s="150"/>
      <c r="E3" s="150"/>
      <c r="F3" s="150"/>
      <c r="G3" s="150"/>
      <c r="H3" s="12" t="s">
        <v>46</v>
      </c>
      <c r="I3" s="12" t="s">
        <v>12</v>
      </c>
      <c r="J3" s="9" t="s">
        <v>46</v>
      </c>
      <c r="K3" s="9" t="s">
        <v>12</v>
      </c>
      <c r="L3" s="12" t="s">
        <v>46</v>
      </c>
      <c r="M3" s="12" t="s">
        <v>12</v>
      </c>
      <c r="N3" s="9" t="s">
        <v>46</v>
      </c>
      <c r="O3" s="9" t="s">
        <v>12</v>
      </c>
      <c r="P3" s="12" t="s">
        <v>46</v>
      </c>
      <c r="Q3" s="12" t="s">
        <v>12</v>
      </c>
      <c r="R3" s="9" t="s">
        <v>46</v>
      </c>
      <c r="S3" s="9" t="s">
        <v>12</v>
      </c>
    </row>
    <row r="4" spans="1:19" ht="28.9">
      <c r="A4" s="7" t="s">
        <v>666</v>
      </c>
      <c r="B4" s="25" t="s">
        <v>667</v>
      </c>
      <c r="C4" s="7">
        <v>1000</v>
      </c>
      <c r="D4" s="24" t="s">
        <v>77</v>
      </c>
      <c r="E4" s="22" t="s">
        <v>78</v>
      </c>
      <c r="F4" s="24" t="s">
        <v>668</v>
      </c>
      <c r="G4" s="25" t="s">
        <v>669</v>
      </c>
      <c r="H4" s="2"/>
      <c r="I4" s="25"/>
      <c r="J4" s="2"/>
      <c r="K4" s="25"/>
      <c r="L4" s="2"/>
      <c r="M4" s="25"/>
      <c r="N4" s="2">
        <f>146228+10102</f>
        <v>156330</v>
      </c>
      <c r="O4" s="25" t="s">
        <v>670</v>
      </c>
      <c r="P4" s="2"/>
      <c r="Q4" s="25"/>
      <c r="R4" s="2"/>
      <c r="S4" s="25"/>
    </row>
    <row r="5" spans="1:19" ht="72">
      <c r="A5" s="7" t="s">
        <v>671</v>
      </c>
      <c r="B5" s="25" t="s">
        <v>672</v>
      </c>
      <c r="D5" s="24" t="s">
        <v>77</v>
      </c>
      <c r="E5" s="22" t="s">
        <v>78</v>
      </c>
      <c r="G5" s="25"/>
      <c r="H5" s="2"/>
      <c r="I5" s="25"/>
      <c r="J5" s="29"/>
      <c r="K5" s="25"/>
      <c r="L5" s="29"/>
      <c r="M5" s="25"/>
      <c r="N5" s="2"/>
      <c r="O5" s="25"/>
      <c r="P5" s="29"/>
      <c r="Q5" s="25"/>
      <c r="R5" s="14">
        <v>0</v>
      </c>
      <c r="S5" s="25" t="s">
        <v>673</v>
      </c>
    </row>
    <row r="6" spans="1:19">
      <c r="A6" s="7" t="s">
        <v>674</v>
      </c>
      <c r="B6" s="25"/>
      <c r="D6" s="24"/>
      <c r="E6" s="22"/>
      <c r="H6" s="2"/>
      <c r="I6" s="25"/>
      <c r="J6" s="29"/>
      <c r="K6" s="25"/>
      <c r="L6" s="29"/>
      <c r="M6" s="25"/>
      <c r="N6" s="29"/>
      <c r="O6" s="25"/>
      <c r="P6" s="29"/>
      <c r="Q6" s="25"/>
      <c r="R6" s="2"/>
      <c r="S6" s="27"/>
    </row>
    <row r="7" spans="1:19">
      <c r="A7" s="7" t="s">
        <v>675</v>
      </c>
      <c r="B7" s="25"/>
      <c r="D7" s="24"/>
      <c r="E7" s="22"/>
      <c r="H7" s="2"/>
      <c r="I7" s="25"/>
      <c r="J7" s="2"/>
      <c r="K7" s="25"/>
      <c r="L7" s="29"/>
      <c r="M7" s="25"/>
      <c r="N7" s="2"/>
      <c r="O7" s="27"/>
      <c r="P7" s="2"/>
      <c r="Q7" s="27"/>
      <c r="R7" s="2"/>
      <c r="S7" s="27"/>
    </row>
    <row r="8" spans="1:19">
      <c r="A8" s="7" t="s">
        <v>676</v>
      </c>
      <c r="B8" s="25"/>
      <c r="D8" s="24"/>
      <c r="E8" s="22"/>
      <c r="H8" s="2"/>
      <c r="I8" s="7"/>
      <c r="J8" s="2"/>
      <c r="K8" s="7"/>
      <c r="L8" s="7"/>
      <c r="M8" s="7"/>
      <c r="N8" s="2"/>
      <c r="O8" s="2"/>
      <c r="P8" s="30"/>
      <c r="Q8" s="2"/>
      <c r="R8" s="2"/>
      <c r="S8" s="30"/>
    </row>
    <row r="9" spans="1:19">
      <c r="A9" s="7" t="s">
        <v>677</v>
      </c>
      <c r="B9" s="65"/>
      <c r="D9" s="24"/>
      <c r="E9" s="22"/>
      <c r="H9" s="2"/>
      <c r="J9" s="2"/>
      <c r="L9" s="7"/>
      <c r="N9" s="2"/>
    </row>
    <row r="10" spans="1:19">
      <c r="A10" s="7" t="s">
        <v>678</v>
      </c>
      <c r="B10" s="65"/>
      <c r="D10" s="24"/>
      <c r="E10" s="22"/>
      <c r="H10" s="2"/>
      <c r="J10" s="2"/>
      <c r="L10" s="29"/>
      <c r="N10" s="2"/>
    </row>
    <row r="11" spans="1:19">
      <c r="A11" s="7" t="s">
        <v>679</v>
      </c>
      <c r="B11" s="25"/>
      <c r="C11" s="2"/>
      <c r="D11" s="24"/>
      <c r="H11" s="2"/>
      <c r="J11" s="2"/>
      <c r="L11" s="29"/>
      <c r="N11" s="7"/>
      <c r="O11" s="21"/>
    </row>
    <row r="12" spans="1:19">
      <c r="A12" s="7" t="s">
        <v>680</v>
      </c>
      <c r="B12" s="25"/>
      <c r="C12" s="2"/>
      <c r="D12" s="24"/>
      <c r="E12" s="22"/>
      <c r="G12" s="24"/>
      <c r="H12" s="2"/>
      <c r="J12" s="2"/>
      <c r="L12" s="29"/>
      <c r="N12" s="7"/>
      <c r="O12" s="21"/>
    </row>
    <row r="13" spans="1:19">
      <c r="A13" s="7" t="s">
        <v>681</v>
      </c>
      <c r="B13" s="25"/>
      <c r="C13" s="2"/>
      <c r="D13" s="24"/>
      <c r="E13" s="22"/>
      <c r="G13" s="24"/>
      <c r="H13" s="2"/>
      <c r="J13" s="2"/>
      <c r="L13" s="29"/>
      <c r="N13" s="7"/>
      <c r="O13" s="24"/>
    </row>
    <row r="14" spans="1:19">
      <c r="A14" s="7" t="s">
        <v>682</v>
      </c>
      <c r="B14" s="25"/>
      <c r="C14" s="2"/>
      <c r="D14" s="24"/>
      <c r="E14" s="22"/>
      <c r="G14" s="24"/>
      <c r="H14" s="2"/>
      <c r="J14" s="2"/>
      <c r="L14" s="29"/>
      <c r="N14" s="7"/>
      <c r="O14" s="24"/>
    </row>
    <row r="15" spans="1:19">
      <c r="A15" s="7" t="s">
        <v>683</v>
      </c>
      <c r="B15" s="25"/>
      <c r="C15" s="2"/>
      <c r="D15" s="24"/>
      <c r="E15" s="22"/>
      <c r="H15" s="2"/>
      <c r="J15" s="2"/>
      <c r="L15" s="29"/>
      <c r="N15" s="7"/>
      <c r="O15" s="24"/>
    </row>
    <row r="16" spans="1:19">
      <c r="A16" s="7" t="s">
        <v>684</v>
      </c>
      <c r="B16" s="25"/>
      <c r="C16" s="2"/>
      <c r="D16" s="24"/>
      <c r="E16" s="22"/>
      <c r="H16" s="2"/>
      <c r="J16" s="2"/>
      <c r="L16" s="29"/>
      <c r="N16" s="7"/>
      <c r="O16" s="24"/>
    </row>
    <row r="17" spans="1:15">
      <c r="A17" s="7" t="s">
        <v>685</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5">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C80"/>
  <sheetViews>
    <sheetView workbookViewId="0">
      <selection activeCell="AG13" sqref="AG13"/>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140625" customWidth="1"/>
    <col min="19" max="19" width="11.42578125" customWidth="1"/>
    <col min="20" max="20" width="11.140625" customWidth="1"/>
    <col min="21" max="21" width="1.5703125" customWidth="1"/>
    <col min="25" max="25" width="1.42578125" customWidth="1"/>
    <col min="28" max="28" width="13.5703125" style="7" customWidth="1"/>
    <col min="39" max="39" width="10.5703125" customWidth="1"/>
  </cols>
  <sheetData>
    <row r="1" spans="1:29">
      <c r="A1" s="166" t="s">
        <v>686</v>
      </c>
      <c r="B1" s="166"/>
      <c r="C1" s="166"/>
      <c r="E1" s="166" t="s">
        <v>687</v>
      </c>
      <c r="F1" s="166"/>
      <c r="G1" s="166"/>
      <c r="H1" s="166"/>
      <c r="I1" s="166"/>
      <c r="J1" s="166"/>
      <c r="K1" s="166"/>
      <c r="L1" s="166"/>
      <c r="M1" s="166"/>
      <c r="N1" s="166"/>
      <c r="O1" s="166"/>
      <c r="Q1" s="15"/>
      <c r="R1" s="169" t="s">
        <v>688</v>
      </c>
      <c r="S1" s="169"/>
      <c r="T1" s="169"/>
      <c r="U1" s="169"/>
      <c r="V1" s="169"/>
      <c r="W1" s="169"/>
      <c r="X1" s="169"/>
      <c r="Y1" s="169"/>
      <c r="Z1" s="169"/>
      <c r="AA1" s="169"/>
      <c r="AB1" s="169"/>
      <c r="AC1" s="169"/>
    </row>
    <row r="2" spans="1:29">
      <c r="A2" s="166"/>
      <c r="B2" s="166"/>
      <c r="C2" s="166"/>
      <c r="E2" s="166"/>
      <c r="F2" s="166"/>
      <c r="G2" s="166"/>
      <c r="H2" s="166"/>
      <c r="I2" s="166"/>
      <c r="J2" s="166"/>
      <c r="K2" s="166"/>
      <c r="L2" s="166"/>
      <c r="M2" s="166"/>
      <c r="N2" s="166"/>
      <c r="O2" s="166"/>
      <c r="Q2" s="15"/>
      <c r="R2" s="167" t="s">
        <v>689</v>
      </c>
      <c r="S2" s="167"/>
      <c r="T2" s="167"/>
      <c r="U2" s="15"/>
      <c r="V2" s="167" t="s">
        <v>690</v>
      </c>
      <c r="W2" s="167"/>
      <c r="X2" s="167"/>
      <c r="Y2" s="15"/>
      <c r="Z2" s="168" t="s">
        <v>691</v>
      </c>
      <c r="AA2" s="168"/>
      <c r="AB2" s="168"/>
      <c r="AC2" s="168"/>
    </row>
    <row r="3" spans="1:29" ht="41.45">
      <c r="A3" s="8" t="s">
        <v>692</v>
      </c>
      <c r="B3" s="8" t="s">
        <v>693</v>
      </c>
      <c r="C3" s="8" t="s">
        <v>694</v>
      </c>
      <c r="E3" s="8" t="s">
        <v>665</v>
      </c>
      <c r="F3" s="8" t="s">
        <v>695</v>
      </c>
      <c r="G3" s="8" t="s">
        <v>696</v>
      </c>
      <c r="H3" s="8" t="s">
        <v>697</v>
      </c>
      <c r="I3" s="8" t="s">
        <v>698</v>
      </c>
      <c r="J3" s="8" t="s">
        <v>699</v>
      </c>
      <c r="K3" s="8" t="s">
        <v>700</v>
      </c>
      <c r="L3" s="32" t="s">
        <v>701</v>
      </c>
      <c r="M3" s="8" t="s">
        <v>698</v>
      </c>
      <c r="N3" s="8" t="s">
        <v>700</v>
      </c>
      <c r="O3" s="32" t="s">
        <v>702</v>
      </c>
      <c r="Q3" s="56" t="s">
        <v>36</v>
      </c>
      <c r="R3" s="57" t="str">
        <f>'Output 1-CARBONARA'!Q2</f>
        <v>Progress achieved in 2021</v>
      </c>
      <c r="S3" s="57" t="str">
        <f>'Output 1-CARBONARA'!U2</f>
        <v>Progress achieved in 2022</v>
      </c>
      <c r="T3" s="57" t="str">
        <f>'Output 1-CARBONARA'!Y2</f>
        <v>Progress achieved in 2023</v>
      </c>
      <c r="U3" s="59"/>
      <c r="V3" s="53" t="str">
        <f>'Unplanned Outputs'!J2</f>
        <v>Progress achieved in 2021</v>
      </c>
      <c r="W3" s="53" t="str">
        <f>'Unplanned Outputs'!N2</f>
        <v>Progress achieved in 2022</v>
      </c>
      <c r="X3" s="53" t="str">
        <f>'Unplanned Outputs'!R2</f>
        <v>Progress achieved in 2023</v>
      </c>
      <c r="Y3" s="15"/>
      <c r="Z3" s="58" t="s">
        <v>703</v>
      </c>
      <c r="AA3" s="55" t="s">
        <v>704</v>
      </c>
      <c r="AB3" s="32" t="s">
        <v>705</v>
      </c>
      <c r="AC3" s="63" t="s">
        <v>706</v>
      </c>
    </row>
    <row r="4" spans="1:29">
      <c r="A4" t="s">
        <v>47</v>
      </c>
      <c r="B4" s="7">
        <f>'Output 1-CARBONARA'!A3</f>
        <v>7</v>
      </c>
      <c r="C4" s="7">
        <f>4+B4</f>
        <v>11</v>
      </c>
      <c r="E4" t="str">
        <f>'Output 1-CARBONARA'!B4</f>
        <v>O.1</v>
      </c>
      <c r="F4" t="str">
        <f>'Output 1-CARBONARA'!D4</f>
        <v>O.1.1</v>
      </c>
      <c r="G4" s="4">
        <f>'Output 1-CARBONARA'!$O$4/'Output 1-CARBONARA'!$F$4</f>
        <v>0</v>
      </c>
      <c r="H4" s="4">
        <f>'Output 1-CARBONARA'!Q$4/'Output 1-CARBONARA'!$F$4</f>
        <v>0</v>
      </c>
      <c r="I4" s="4">
        <f>('Output 1-CARBONARA'!S$4)/'Output 1-CARBONARA'!$F$4</f>
        <v>0</v>
      </c>
      <c r="J4" s="4">
        <f>('Output 1-CARBONARA'!U$4)/'Output 1-CARBONARA'!$F$4</f>
        <v>3</v>
      </c>
      <c r="K4" s="4">
        <f>('Output 1-CARBONARA'!Y$4)/'Output 1-CARBONARA'!$F$4</f>
        <v>1</v>
      </c>
      <c r="L4" s="34">
        <f>H4+J4</f>
        <v>3</v>
      </c>
      <c r="M4" s="4">
        <f>('Output 1-CARBONARA'!W$4)/'Output 1-CARBONARA'!$F$4</f>
        <v>2</v>
      </c>
      <c r="N4" s="4">
        <f>('Output 1-CARBONARA'!Y$4)/'Output 1-CARBONARA'!$F$4</f>
        <v>1</v>
      </c>
      <c r="O4" s="34">
        <f>L4+N4</f>
        <v>4</v>
      </c>
      <c r="Q4" s="31">
        <v>1.1000000000000001</v>
      </c>
      <c r="R4" s="5">
        <f ca="1">SUMIF(INDIRECT("'Output 1-CARBONARA'!$H$4:$H$"&amp;$C$4),Analysis!Q4,INDIRECT("'Output 1-CARBONARA'!$m$4:$m$"&amp;$C$4))
+SUMIF(INDIRECT("'Output 2-CACCIA'!$H$4:$H$"&amp;$C$5),Analysis!Q4,INDIRECT("'Output 2-CACCIA'!$m$4:$m$"&amp;$C$5))
+SUMIF(INDIRECT("'Output 3-ASINARA'!$H$4:$H$"&amp;$C$6),Analysis!Q4,INDIRECT("'Output 3-ASINARA'!$m$4:$m$"&amp;$C$6))
+SUMIF(INDIRECT("'Output 4-PELAGIE'!$H$4:$H$"&amp;$C$7),Analysis!Q4,INDIRECT("'Output 4-PELAGIE'!$m$4:$m$"&amp;$C$7))
+SUMIF(INDIRECT("'Output 5-EGADI'!$H$4:$H$"&amp;$C$8),Analysis!Q4,INDIRECT("'Output 5-EGADI'!$m$4:$m$"&amp;$C$8))
+SUMIF(INDIRECT("'Output 6-TG'!$H$4:$H$"&amp;$C$9),Analysis!Q4,INDIRECT("'Output 6-TG'!$m$4:$m$"&amp;$C$9))
+SUMIF(INDIRECT("'Output 7-PNAT'!$H$4:$H$"&amp;$C$10),Analysis!Q4,INDIRECT("'Output 7-PNAT'!$m$4:$m$"&amp;$C$10))
+SUMIF(INDIRECT("'Output 8-AEO'!$H$4:$H$"&amp;$C$11),Analysis!Q4,INDIRECT("'Output 8-AEO'!$m$4:$m$"&amp;$C$11))
+SUMIF(INDIRECT("'Output 9-EGADI2'!$H$4:$H$"&amp;$C$12),Analysis!Q4,INDIRECT("'Output 9-EGADI2'!$m$4:$m$"&amp;$C$12))
+SUMIF(INDIRECT("'Output 10-TUNIS'!$H$4:$H$"&amp;$C$13),Analysis!Q4,INDIRECT("'Output 10-TUNIS'!$m$4:$m$"&amp;$C$13))</f>
        <v>0</v>
      </c>
      <c r="S4" s="5">
        <f ca="1">SUMIF(INDIRECT("'Output 1-CARBONARA'!$H$4:$H$"&amp;$C$4),Analysis!Q4,INDIRECT("'Output 1-CARBONARA'!$q$4:$q$"&amp;$C$4))
+SUMIF(INDIRECT("'Output 2-CACCIA'!$H$4:$H$"&amp;$C$5),Analysis!Q4,INDIRECT("'Output 2-CACCIA'!$q$4:$q$"&amp;$C$5))
+SUMIF(INDIRECT("'Output 3-ASINARA'!$H$4:$H$"&amp;$C$6),Analysis!Q4,INDIRECT("'Output 3-ASINARA'!$q$4:$q$"&amp;$C$6))
+SUMIF(INDIRECT("'Output 4-PELAGIE'!$H$4:$H$"&amp;$C$7),Analysis!Q4,INDIRECT("'Output 4-PELAGIE'!$q$4:$q$"&amp;$C$7))
+SUMIF(INDIRECT("'Output 5-EGADI'!$H$4:$H$"&amp;$C$8),Analysis!Q4,INDIRECT("'Output 5-EGADI'!$q$4:$q$"&amp;$C$8))
+SUMIF(INDIRECT("'Output 6-TG'!$H$4:$H$"&amp;$C$9),Analysis!Q4,INDIRECT("'Output 6-TG'!$q$4:$q$"&amp;$C$9))
+SUMIF(INDIRECT("'Output 7-PNAT'!$H$4:$H$"&amp;$C$10),Analysis!Q4,INDIRECT("'Output 7-PNAT'!$q$4:$q$"&amp;$C$10))
+SUMIF(INDIRECT("'Output 8-AEO'!$H$4:$H$"&amp;$C$11),Analysis!Q4,INDIRECT("'Output 8-AEO'!$q$4:$q$"&amp;$C$11))
+SUMIF(INDIRECT("'Output 9-EGADI2'!$H$4:$H$"&amp;$C$12),Analysis!Q4,INDIRECT("'Output 9-EGADI2'!$q$4:$q$"&amp;$C$12))
+SUMIF(INDIRECT("'Output 10-TUNIS'!$H$4:$H$"&amp;$C$13),Analysis!Q4,INDIRECT("'Output 10-TUNIS'!$q$4:$q$"&amp;$C$13))</f>
        <v>0</v>
      </c>
      <c r="T4" s="5">
        <f ca="1">SUMIF(INDIRECT("'Output 1-CARBONARA'!$H$4:$H$"&amp;$C$4),Analysis!Q4,INDIRECT("'Output 1-CARBONARA'!$U$4:$U$"&amp;$C$4))
+SUMIF(INDIRECT("'Output 2-CACCIA'!$H$4:$H$"&amp;$C$5),Analysis!Q4,INDIRECT("'Output 2-CACCIA'!$U$4:$U$"&amp;$C$5))
+SUMIF(INDIRECT("'Output 3-ASINARA'!$H$4:$H$"&amp;$C$6),Analysis!Q4,INDIRECT("'Output 3-ASINARA'!$U$4:$U$"&amp;$C$6))
+SUMIF(INDIRECT("'Output 4-PELAGIE'!$H$4:$H$"&amp;$C$7),Analysis!Q4,INDIRECT("'Output 4-PELAGIE'!$U$4:$U$"&amp;$C$7))
+SUMIF(INDIRECT("'Output 5-EGADI'!$H$4:$H$"&amp;$C$8),Analysis!Q4,INDIRECT("'Output 5-EGADI'!$U$4:$U$"&amp;$C$8))
+SUMIF(INDIRECT("'Output 6-TG'!$H$4:$H$"&amp;$C$9),Analysis!Q4,INDIRECT("'Output 6-TG'!$U$4:$U$"&amp;$C$9))
+SUMIF(INDIRECT("'Output 7-PNAT'!$H$4:$H$"&amp;$C$10),Analysis!Q4,INDIRECT("'Output 7-PNAT'!$U$4:$U$"&amp;$C$10))
+SUMIF(INDIRECT("'Output 8-AEO'!$H$4:$H$"&amp;$C$11),Analysis!Q4,INDIRECT("'Output 8-AEO'!$U$4:$U$"&amp;$C$11))
+SUMIF(INDIRECT("'Output 9-EGADI2'!$H$4:$H$"&amp;$C$12),Analysis!Q4,INDIRECT("'Output 9-EGADI2'!$U$4:$U$"&amp;$C$12))
+SUMIF(INDIRECT("'Output 10-TUNIS'!$H$4:$H$"&amp;$C$13),Analysis!Q4,INDIRECT("'Output 10-TUNIS'!$U$4:$U$"&amp;$C$13))</f>
        <v>0</v>
      </c>
      <c r="U4" s="31"/>
      <c r="V4" s="5">
        <f>SUMIF('Unplanned Outputs'!$E$4:$E$500,Analysis!Q4,'Unplanned Outputs'!$J$4:$J$500)</f>
        <v>0</v>
      </c>
      <c r="W4" s="5">
        <f>SUMIF('Unplanned Outputs'!$E$4:$E$500,Analysis!$Q4,'Unplanned Outputs'!$N$4:$N$500)</f>
        <v>0</v>
      </c>
      <c r="X4" s="5">
        <f>SUMIF('Unplanned Outputs'!$E$4:$E$500,Analysis!$Q4,'Unplanned Outputs'!$R$4:$R$500)</f>
        <v>0</v>
      </c>
      <c r="Y4" s="15"/>
      <c r="Z4" s="38">
        <f t="shared" ref="Z4:Z35" ca="1" si="0">SUM(R4:T4)</f>
        <v>0</v>
      </c>
      <c r="AA4" s="38">
        <f t="shared" ref="AA4:AA35" si="1">SUM(V4:X4)</f>
        <v>0</v>
      </c>
      <c r="AB4" s="54">
        <f t="shared" ref="AB4:AB35" ca="1" si="2">AA4+Z4</f>
        <v>0</v>
      </c>
      <c r="AC4" s="64">
        <f ca="1">SUMIF(INDIRECT("'Output 1-CARBONARA'!$H$5:$H$"&amp;$C$4),Analysis!$Q4,INDIRECT("'Output 1-CARBONARA'!$F$5:$F$"&amp;$C$4))
+SUMIF(INDIRECT("'Output 2-CACCIA'!$H$5:$H$"&amp;$C$5),Analysis!$Q4,INDIRECT("'Output 2-CACCIA'!$F$5:$F$"&amp;$C$5))
+SUMIF(INDIRECT("'Output 3-ASINARA'!$H$5:$H$"&amp;$C$6),Analysis!$Q4,INDIRECT("'Output 3-ASINARA'!$F$5:$F$"&amp;$C$6))
+SUMIF(INDIRECT("'Output 4-PELAGIE'!$H$5:$H$"&amp;$C$7),Analysis!$Q4,INDIRECT("'Output 4-PELAGIE'!$F$5:$F$"&amp;$C$7))
+SUMIF(INDIRECT("'Output 5-EGADI'!$H$5:$H$"&amp;$C$8),Analysis!$Q4,INDIRECT("'Output 5-EGADI'!$F$5:$F$"&amp;$C$8))
+SUMIF(INDIRECT("'Output 6-TG'!$H$5:$H$"&amp;$C$9),Analysis!$Q4,INDIRECT("'Output 6-TG'!$F$5:$F$"&amp;$C$9))
+SUMIF(INDIRECT("'Output 7-PNAT'!$H$5:$H$"&amp;$C$10),Analysis!$Q4,INDIRECT("'Output 7-PNAT'!$F$5:$F$"&amp;$C$10))
+SUMIF(INDIRECT("'Output 8-AEO'!$H$5:$H$"&amp;$C$11),Analysis!$Q4,INDIRECT("'Output 8-AEO'!$F$5:$F$"&amp;$C$11))
+SUMIF(INDIRECT("'Output 9-EGADI2'!$H$5:$H$"&amp;$C$12),Analysis!$Q4,INDIRECT("'Output 9-EGADI2'!$F$5:$F$"&amp;$C$12))
+SUMIF(INDIRECT("'Output 10-TUNIS'!$H$5:$H$"&amp;$C$13),Analysis!$Q4,INDIRECT("'Output 10-TUNIS'!$F$5:$F$"&amp;$C$13))</f>
        <v>0</v>
      </c>
    </row>
    <row r="5" spans="1:29">
      <c r="A5" t="s">
        <v>122</v>
      </c>
      <c r="B5" s="7">
        <f>'Output 2-CACCIA'!A3</f>
        <v>5</v>
      </c>
      <c r="C5" s="7">
        <f t="shared" ref="C5:C13" si="3">4+B5</f>
        <v>9</v>
      </c>
      <c r="F5" t="str">
        <f>'Output 1-CARBONARA'!D5</f>
        <v>O.1.2</v>
      </c>
      <c r="G5" s="4" t="e">
        <f>'Output 1-CARBONARA'!O$5/'Output 1-CARBONARA'!#REF!</f>
        <v>#REF!</v>
      </c>
      <c r="H5" s="4" t="e">
        <f>'Output 1-CARBONARA'!Q$5/'Output 1-CARBONARA'!#REF!</f>
        <v>#REF!</v>
      </c>
      <c r="I5" s="4" t="e">
        <f>('Output 1-CARBONARA'!S$5)/'Output 1-CARBONARA'!#REF!</f>
        <v>#REF!</v>
      </c>
      <c r="J5" s="4" t="e">
        <f>('Output 1-CARBONARA'!U$5)/'Output 1-CARBONARA'!#REF!</f>
        <v>#REF!</v>
      </c>
      <c r="K5" s="4">
        <f>('Output 1-CARBONARA'!Y$4)/'Output 1-CARBONARA'!$F$4</f>
        <v>1</v>
      </c>
      <c r="L5" s="34" t="e">
        <f t="shared" ref="L5" si="4">H5+J5</f>
        <v>#REF!</v>
      </c>
      <c r="M5" s="4" t="e">
        <f>('Output 1-CARBONARA'!W$5)/'Output 1-CARBONARA'!#REF!</f>
        <v>#VALUE!</v>
      </c>
      <c r="N5" s="4" t="e">
        <f>('Output 1-CARBONARA'!Y$5)/'Output 1-CARBONARA'!#REF!</f>
        <v>#REF!</v>
      </c>
      <c r="O5" s="34" t="e">
        <f t="shared" ref="O5" si="5">L5+N5</f>
        <v>#REF!</v>
      </c>
      <c r="Q5" s="31" t="s">
        <v>167</v>
      </c>
      <c r="R5" s="5">
        <f ca="1">SUMIF(INDIRECT("'Output 1-CARBONARA'!$H$4:$H$"&amp;$C$4),Analysis!Q5,INDIRECT("'Output 1-CARBONARA'!$m$4:$m$"&amp;$C$4))
+SUMIF(INDIRECT("'Output 2-CACCIA'!$H$4:$H$"&amp;$C$5),Analysis!Q5,INDIRECT("'Output 2-CACCIA'!$m$4:$m$"&amp;$C$5))
+SUMIF(INDIRECT("'Output 3-ASINARA'!$H$4:$H$"&amp;$C$6),Analysis!Q5,INDIRECT("'Output 3-ASINARA'!$m$4:$m$"&amp;$C$6))
+SUMIF(INDIRECT("'Output 4-PELAGIE'!$H$4:$H$"&amp;$C$7),Analysis!Q5,INDIRECT("'Output 4-PELAGIE'!$m$4:$m$"&amp;$C$7))
+SUMIF(INDIRECT("'Output 5-EGADI'!$H$4:$H$"&amp;$C$8),Analysis!Q5,INDIRECT("'Output 5-EGADI'!$m$4:$m$"&amp;$C$8))
+SUMIF(INDIRECT("'Output 6-TG'!$H$4:$H$"&amp;$C$9),Analysis!Q5,INDIRECT("'Output 6-TG'!$m$4:$m$"&amp;$C$9))
+SUMIF(INDIRECT("'Output 7-PNAT'!$H$4:$H$"&amp;$C$10),Analysis!Q5,INDIRECT("'Output 7-PNAT'!$m$4:$m$"&amp;$C$10))
+SUMIF(INDIRECT("'Output 8-AEO'!$H$4:$H$"&amp;$C$11),Analysis!Q5,INDIRECT("'Output 8-AEO'!$m$4:$m$"&amp;$C$11))
+SUMIF(INDIRECT("'Output 9-EGADI2'!$H$4:$H$"&amp;$C$12),Analysis!Q5,INDIRECT("'Output 9-EGADI2'!$m$4:$m$"&amp;$C$12))
+SUMIF(INDIRECT("'Output 10-TUNIS'!$H$4:$H$"&amp;$C$13),Analysis!Q5,INDIRECT("'Output 10-TUNIS'!$m$4:$m$"&amp;$C$13))</f>
        <v>0</v>
      </c>
      <c r="S5" s="5">
        <f ca="1">SUMIF(INDIRECT("'Output 1-CARBONARA'!$H$4:$H$"&amp;$C$4),Analysis!Q5,INDIRECT("'Output 1-CARBONARA'!$q$4:$q$"&amp;$C$4))
+SUMIF(INDIRECT("'Output 2-CACCIA'!$H$4:$H$"&amp;$C$5),Analysis!Q5,INDIRECT("'Output 2-CACCIA'!$q$4:$q$"&amp;$C$5))
+SUMIF(INDIRECT("'Output 3-ASINARA'!$H$4:$H$"&amp;$C$6),Analysis!Q5,INDIRECT("'Output 3-ASINARA'!$q$4:$q$"&amp;$C$6))
+SUMIF(INDIRECT("'Output 4-PELAGIE'!$H$4:$H$"&amp;$C$7),Analysis!Q5,INDIRECT("'Output 4-PELAGIE'!$q$4:$q$"&amp;$C$7))
+SUMIF(INDIRECT("'Output 5-EGADI'!$H$4:$H$"&amp;$C$8),Analysis!Q5,INDIRECT("'Output 5-EGADI'!$q$4:$q$"&amp;$C$8))
+SUMIF(INDIRECT("'Output 6-TG'!$H$4:$H$"&amp;$C$9),Analysis!Q5,INDIRECT("'Output 6-TG'!$q$4:$q$"&amp;$C$9))
+SUMIF(INDIRECT("'Output 7-PNAT'!$H$4:$H$"&amp;$C$10),Analysis!Q5,INDIRECT("'Output 7-PNAT'!$q$4:$q$"&amp;$C$10))
+SUMIF(INDIRECT("'Output 8-AEO'!$H$4:$H$"&amp;$C$11),Analysis!Q5,INDIRECT("'Output 8-AEO'!$q$4:$q$"&amp;$C$11))
+SUMIF(INDIRECT("'Output 9-EGADI2'!$H$4:$H$"&amp;$C$12),Analysis!Q5,INDIRECT("'Output 9-EGADI2'!$q$4:$q$"&amp;$C$12))
+SUMIF(INDIRECT("'Output 10-TUNIS'!$H$4:$H$"&amp;$C$13),Analysis!Q5,INDIRECT("'Output 10-TUNIS'!$q$4:$q$"&amp;$C$13))</f>
        <v>0</v>
      </c>
      <c r="T5" s="5">
        <f ca="1">SUMIF(INDIRECT("'Output 1-CARBONARA'!$H$4:$H$"&amp;$C$4),Analysis!Q5,INDIRECT("'Output 1-CARBONARA'!$U$4:$U$"&amp;$C$4))
+SUMIF(INDIRECT("'Output 2-CACCIA'!$H$4:$H$"&amp;$C$5),Analysis!Q5,INDIRECT("'Output 2-CACCIA'!$U$4:$U$"&amp;$C$5))
+SUMIF(INDIRECT("'Output 3-ASINARA'!$H$4:$H$"&amp;$C$6),Analysis!Q5,INDIRECT("'Output 3-ASINARA'!$U$4:$U$"&amp;$C$6))
+SUMIF(INDIRECT("'Output 4-PELAGIE'!$H$4:$H$"&amp;$C$7),Analysis!Q5,INDIRECT("'Output 4-PELAGIE'!$U$4:$U$"&amp;$C$7))
+SUMIF(INDIRECT("'Output 5-EGADI'!$H$4:$H$"&amp;$C$8),Analysis!Q5,INDIRECT("'Output 5-EGADI'!$U$4:$U$"&amp;$C$8))
+SUMIF(INDIRECT("'Output 6-TG'!$H$4:$H$"&amp;$C$9),Analysis!Q5,INDIRECT("'Output 6-TG'!$U$4:$U$"&amp;$C$9))
+SUMIF(INDIRECT("'Output 7-PNAT'!$H$4:$H$"&amp;$C$10),Analysis!Q5,INDIRECT("'Output 7-PNAT'!$U$4:$U$"&amp;$C$10))
+SUMIF(INDIRECT("'Output 8-AEO'!$H$4:$H$"&amp;$C$11),Analysis!Q5,INDIRECT("'Output 8-AEO'!$U$4:$U$"&amp;$C$11))
+SUMIF(INDIRECT("'Output 9-EGADI2'!$H$4:$H$"&amp;$C$12),Analysis!Q5,INDIRECT("'Output 9-EGADI2'!$U$4:$U$"&amp;$C$12))
+SUMIF(INDIRECT("'Output 10-TUNIS'!$H$4:$H$"&amp;$C$13),Analysis!Q5,INDIRECT("'Output 10-TUNIS'!$U$4:$U$"&amp;$C$13))</f>
        <v>0</v>
      </c>
      <c r="U5" s="31"/>
      <c r="V5" s="5">
        <f>SUMIF('Unplanned Outputs'!$E$4:$E$500,Analysis!Q5,'Unplanned Outputs'!$J$4:$J$500)</f>
        <v>0</v>
      </c>
      <c r="W5" s="5">
        <f>SUMIF('Unplanned Outputs'!$E$4:$E$500,Analysis!$Q5,'Unplanned Outputs'!$N$4:$N$500)</f>
        <v>0</v>
      </c>
      <c r="X5" s="5">
        <f>SUMIF('Unplanned Outputs'!$E$4:$E$500,Analysis!$Q5,'Unplanned Outputs'!$R$4:$R$500)</f>
        <v>0</v>
      </c>
      <c r="Y5" s="15"/>
      <c r="Z5" s="38">
        <f t="shared" ca="1" si="0"/>
        <v>0</v>
      </c>
      <c r="AA5" s="38">
        <f t="shared" si="1"/>
        <v>0</v>
      </c>
      <c r="AB5" s="54">
        <f t="shared" ca="1" si="2"/>
        <v>0</v>
      </c>
      <c r="AC5" s="64">
        <f ca="1">SUMIF(INDIRECT("'Output 1-CARBONARA'!$H$5:$H$"&amp;$C$4),Analysis!$Q5,INDIRECT("'Output 1-CARBONARA'!$F$5:$F$"&amp;$C$4))
+SUMIF(INDIRECT("'Output 2-CACCIA'!$H$5:$H$"&amp;$C$5),Analysis!$Q5,INDIRECT("'Output 2-CACCIA'!$F$5:$F$"&amp;$C$5))
+SUMIF(INDIRECT("'Output 3-ASINARA'!$H$5:$H$"&amp;$C$6),Analysis!$Q5,INDIRECT("'Output 3-ASINARA'!$F$5:$F$"&amp;$C$6))
+SUMIF(INDIRECT("'Output 4-PELAGIE'!$H$5:$H$"&amp;$C$7),Analysis!$Q5,INDIRECT("'Output 4-PELAGIE'!$F$5:$F$"&amp;$C$7))
+SUMIF(INDIRECT("'Output 5-EGADI'!$H$5:$H$"&amp;$C$8),Analysis!$Q5,INDIRECT("'Output 5-EGADI'!$F$5:$F$"&amp;$C$8))
+SUMIF(INDIRECT("'Output 6-TG'!$H$5:$H$"&amp;$C$9),Analysis!$Q5,INDIRECT("'Output 6-TG'!$F$5:$F$"&amp;$C$9))
+SUMIF(INDIRECT("'Output 7-PNAT'!$H$5:$H$"&amp;$C$10),Analysis!$Q5,INDIRECT("'Output 7-PNAT'!$F$5:$F$"&amp;$C$10))
+SUMIF(INDIRECT("'Output 8-AEO'!$H$5:$H$"&amp;$C$11),Analysis!$Q5,INDIRECT("'Output 8-AEO'!$F$5:$F$"&amp;$C$11))
+SUMIF(INDIRECT("'Output 9-EGADI2'!$H$5:$H$"&amp;$C$12),Analysis!$Q5,INDIRECT("'Output 9-EGADI2'!$F$5:$F$"&amp;$C$12))
+SUMIF(INDIRECT("'Output 10-TUNIS'!$H$5:$H$"&amp;$C$13),Analysis!$Q5,INDIRECT("'Output 10-TUNIS'!$F$5:$F$"&amp;$C$13))</f>
        <v>0</v>
      </c>
    </row>
    <row r="6" spans="1:29">
      <c r="A6" t="s">
        <v>162</v>
      </c>
      <c r="B6" s="7">
        <f>'Output 3-ASINARA'!A3</f>
        <v>8</v>
      </c>
      <c r="C6" s="7">
        <f t="shared" si="3"/>
        <v>12</v>
      </c>
      <c r="F6" t="str">
        <f>'Output 1-CARBONARA'!D6</f>
        <v>O.1.3</v>
      </c>
      <c r="G6" s="4">
        <f>'Output 1-CARBONARA'!O$6/'Output 1-CARBONARA'!$F$6</f>
        <v>0</v>
      </c>
      <c r="H6" s="4">
        <f>'Output 1-CARBONARA'!Q$6/'Output 1-CARBONARA'!$F$6</f>
        <v>0</v>
      </c>
      <c r="I6" s="4">
        <f>('Output 1-CARBONARA'!S$6)/'Output 1-CARBONARA'!$F$6</f>
        <v>0</v>
      </c>
      <c r="J6" s="4">
        <f>('Output 1-CARBONARA'!U$6)/'Output 1-CARBONARA'!$F$6</f>
        <v>73.5</v>
      </c>
      <c r="K6" s="4">
        <f>('Output 1-CARBONARA'!Y$4)/'Output 1-CARBONARA'!$F$4</f>
        <v>1</v>
      </c>
      <c r="L6" s="34">
        <f>H$6+J$6</f>
        <v>73.5</v>
      </c>
      <c r="M6" s="4" t="e">
        <f>('Output 1-CARBONARA'!W$6)/'Output 1-CARBONARA'!$F$6</f>
        <v>#VALUE!</v>
      </c>
      <c r="N6" s="4">
        <f>('Output 1-CARBONARA'!Y$6)/'Output 1-CARBONARA'!$F$6</f>
        <v>1</v>
      </c>
      <c r="O6" s="34">
        <f>L$6+N$6</f>
        <v>74.5</v>
      </c>
      <c r="Q6" s="31" t="s">
        <v>707</v>
      </c>
      <c r="R6" s="5">
        <f ca="1">SUMIF(INDIRECT("'Output 1-CARBONARA'!$H$4:$H$"&amp;$C$4),Analysis!Q6,INDIRECT("'Output 1-CARBONARA'!$m$4:$m$"&amp;$C$4))
+SUMIF(INDIRECT("'Output 2-CACCIA'!$H$4:$H$"&amp;$C$5),Analysis!Q6,INDIRECT("'Output 2-CACCIA'!$m$4:$m$"&amp;$C$5))
+SUMIF(INDIRECT("'Output 3-ASINARA'!$H$4:$H$"&amp;$C$6),Analysis!Q6,INDIRECT("'Output 3-ASINARA'!$m$4:$m$"&amp;$C$6))
+SUMIF(INDIRECT("'Output 4-PELAGIE'!$H$4:$H$"&amp;$C$7),Analysis!Q6,INDIRECT("'Output 4-PELAGIE'!$m$4:$m$"&amp;$C$7))
+SUMIF(INDIRECT("'Output 5-EGADI'!$H$4:$H$"&amp;$C$8),Analysis!Q6,INDIRECT("'Output 5-EGADI'!$m$4:$m$"&amp;$C$8))
+SUMIF(INDIRECT("'Output 6-TG'!$H$4:$H$"&amp;$C$9),Analysis!Q6,INDIRECT("'Output 6-TG'!$m$4:$m$"&amp;$C$9))
+SUMIF(INDIRECT("'Output 7-PNAT'!$H$4:$H$"&amp;$C$10),Analysis!Q6,INDIRECT("'Output 7-PNAT'!$m$4:$m$"&amp;$C$10))
+SUMIF(INDIRECT("'Output 8-AEO'!$H$4:$H$"&amp;$C$11),Analysis!Q6,INDIRECT("'Output 8-AEO'!$m$4:$m$"&amp;$C$11))
+SUMIF(INDIRECT("'Output 9-EGADI2'!$H$4:$H$"&amp;$C$12),Analysis!Q6,INDIRECT("'Output 9-EGADI2'!$m$4:$m$"&amp;$C$12))
+SUMIF(INDIRECT("'Output 10-TUNIS'!$H$4:$H$"&amp;$C$13),Analysis!Q6,INDIRECT("'Output 10-TUNIS'!$m$4:$m$"&amp;$C$13))</f>
        <v>0</v>
      </c>
      <c r="S6" s="5">
        <f ca="1">SUMIF(INDIRECT("'Output 1-CARBONARA'!$H$4:$H$"&amp;$C$4),Analysis!Q6,INDIRECT("'Output 1-CARBONARA'!$q$4:$q$"&amp;$C$4))
+SUMIF(INDIRECT("'Output 2-CACCIA'!$H$4:$H$"&amp;$C$5),Analysis!Q6,INDIRECT("'Output 2-CACCIA'!$q$4:$q$"&amp;$C$5))
+SUMIF(INDIRECT("'Output 3-ASINARA'!$H$4:$H$"&amp;$C$6),Analysis!Q6,INDIRECT("'Output 3-ASINARA'!$q$4:$q$"&amp;$C$6))
+SUMIF(INDIRECT("'Output 4-PELAGIE'!$H$4:$H$"&amp;$C$7),Analysis!Q6,INDIRECT("'Output 4-PELAGIE'!$q$4:$q$"&amp;$C$7))
+SUMIF(INDIRECT("'Output 5-EGADI'!$H$4:$H$"&amp;$C$8),Analysis!Q6,INDIRECT("'Output 5-EGADI'!$q$4:$q$"&amp;$C$8))
+SUMIF(INDIRECT("'Output 6-TG'!$H$4:$H$"&amp;$C$9),Analysis!Q6,INDIRECT("'Output 6-TG'!$q$4:$q$"&amp;$C$9))
+SUMIF(INDIRECT("'Output 7-PNAT'!$H$4:$H$"&amp;$C$10),Analysis!Q6,INDIRECT("'Output 7-PNAT'!$q$4:$q$"&amp;$C$10))
+SUMIF(INDIRECT("'Output 8-AEO'!$H$4:$H$"&amp;$C$11),Analysis!Q6,INDIRECT("'Output 8-AEO'!$q$4:$q$"&amp;$C$11))
+SUMIF(INDIRECT("'Output 9-EGADI2'!$H$4:$H$"&amp;$C$12),Analysis!Q6,INDIRECT("'Output 9-EGADI2'!$q$4:$q$"&amp;$C$12))
+SUMIF(INDIRECT("'Output 10-TUNIS'!$H$4:$H$"&amp;$C$13),Analysis!Q6,INDIRECT("'Output 10-TUNIS'!$q$4:$q$"&amp;$C$13))</f>
        <v>0</v>
      </c>
      <c r="T6" s="5">
        <f ca="1">SUMIF(INDIRECT("'Output 1-CARBONARA'!$H$4:$H$"&amp;$C$4),Analysis!Q6,INDIRECT("'Output 1-CARBONARA'!$U$4:$U$"&amp;$C$4))
+SUMIF(INDIRECT("'Output 2-CACCIA'!$H$4:$H$"&amp;$C$5),Analysis!Q6,INDIRECT("'Output 2-CACCIA'!$U$4:$U$"&amp;$C$5))
+SUMIF(INDIRECT("'Output 3-ASINARA'!$H$4:$H$"&amp;$C$6),Analysis!Q6,INDIRECT("'Output 3-ASINARA'!$U$4:$U$"&amp;$C$6))
+SUMIF(INDIRECT("'Output 4-PELAGIE'!$H$4:$H$"&amp;$C$7),Analysis!Q6,INDIRECT("'Output 4-PELAGIE'!$U$4:$U$"&amp;$C$7))
+SUMIF(INDIRECT("'Output 5-EGADI'!$H$4:$H$"&amp;$C$8),Analysis!Q6,INDIRECT("'Output 5-EGADI'!$U$4:$U$"&amp;$C$8))
+SUMIF(INDIRECT("'Output 6-TG'!$H$4:$H$"&amp;$C$9),Analysis!Q6,INDIRECT("'Output 6-TG'!$U$4:$U$"&amp;$C$9))
+SUMIF(INDIRECT("'Output 7-PNAT'!$H$4:$H$"&amp;$C$10),Analysis!Q6,INDIRECT("'Output 7-PNAT'!$U$4:$U$"&amp;$C$10))
+SUMIF(INDIRECT("'Output 8-AEO'!$H$4:$H$"&amp;$C$11),Analysis!Q6,INDIRECT("'Output 8-AEO'!$U$4:$U$"&amp;$C$11))
+SUMIF(INDIRECT("'Output 9-EGADI2'!$H$4:$H$"&amp;$C$12),Analysis!Q6,INDIRECT("'Output 9-EGADI2'!$U$4:$U$"&amp;$C$12))
+SUMIF(INDIRECT("'Output 10-TUNIS'!$H$4:$H$"&amp;$C$13),Analysis!Q6,INDIRECT("'Output 10-TUNIS'!$U$4:$U$"&amp;$C$13))</f>
        <v>0</v>
      </c>
      <c r="U6" s="31"/>
      <c r="V6" s="5">
        <f>SUMIF('Unplanned Outputs'!$E$4:$E$500,Analysis!Q6,'Unplanned Outputs'!$J$4:$J$500)</f>
        <v>0</v>
      </c>
      <c r="W6" s="5">
        <f>SUMIF('Unplanned Outputs'!$E$4:$E$500,Analysis!$Q6,'Unplanned Outputs'!$N$4:$N$500)</f>
        <v>0</v>
      </c>
      <c r="X6" s="5">
        <f>SUMIF('Unplanned Outputs'!$E$4:$E$500,Analysis!$Q6,'Unplanned Outputs'!$R$4:$R$500)</f>
        <v>0</v>
      </c>
      <c r="Y6" s="15"/>
      <c r="Z6" s="38">
        <f t="shared" ca="1" si="0"/>
        <v>0</v>
      </c>
      <c r="AA6" s="38">
        <f t="shared" si="1"/>
        <v>0</v>
      </c>
      <c r="AB6" s="54">
        <f t="shared" ca="1" si="2"/>
        <v>0</v>
      </c>
      <c r="AC6" s="64">
        <f ca="1">SUMIF(INDIRECT("'Output 1-CARBONARA'!$H$5:$H$"&amp;$C$4),Analysis!$Q6,INDIRECT("'Output 1-CARBONARA'!$F$5:$F$"&amp;$C$4))
+SUMIF(INDIRECT("'Output 2-CACCIA'!$H$5:$H$"&amp;$C$5),Analysis!$Q6,INDIRECT("'Output 2-CACCIA'!$F$5:$F$"&amp;$C$5))
+SUMIF(INDIRECT("'Output 3-ASINARA'!$H$5:$H$"&amp;$C$6),Analysis!$Q6,INDIRECT("'Output 3-ASINARA'!$F$5:$F$"&amp;$C$6))
+SUMIF(INDIRECT("'Output 4-PELAGIE'!$H$5:$H$"&amp;$C$7),Analysis!$Q6,INDIRECT("'Output 4-PELAGIE'!$F$5:$F$"&amp;$C$7))
+SUMIF(INDIRECT("'Output 5-EGADI'!$H$5:$H$"&amp;$C$8),Analysis!$Q6,INDIRECT("'Output 5-EGADI'!$F$5:$F$"&amp;$C$8))
+SUMIF(INDIRECT("'Output 6-TG'!$H$5:$H$"&amp;$C$9),Analysis!$Q6,INDIRECT("'Output 6-TG'!$F$5:$F$"&amp;$C$9))
+SUMIF(INDIRECT("'Output 7-PNAT'!$H$5:$H$"&amp;$C$10),Analysis!$Q6,INDIRECT("'Output 7-PNAT'!$F$5:$F$"&amp;$C$10))
+SUMIF(INDIRECT("'Output 8-AEO'!$H$5:$H$"&amp;$C$11),Analysis!$Q6,INDIRECT("'Output 8-AEO'!$F$5:$F$"&amp;$C$11))
+SUMIF(INDIRECT("'Output 9-EGADI2'!$H$5:$H$"&amp;$C$12),Analysis!$Q6,INDIRECT("'Output 9-EGADI2'!$F$5:$F$"&amp;$C$12))
+SUMIF(INDIRECT("'Output 10-TUNIS'!$H$5:$H$"&amp;$C$13),Analysis!$Q6,INDIRECT("'Output 10-TUNIS'!$F$5:$F$"&amp;$C$13))</f>
        <v>0</v>
      </c>
    </row>
    <row r="7" spans="1:29">
      <c r="A7" t="s">
        <v>222</v>
      </c>
      <c r="B7" s="7">
        <f>'Output 4-PELAGIE'!A3</f>
        <v>7</v>
      </c>
      <c r="C7" s="7">
        <f t="shared" si="3"/>
        <v>11</v>
      </c>
      <c r="F7" t="str">
        <f>'Output 1-CARBONARA'!D7</f>
        <v>O.1.4</v>
      </c>
      <c r="G7" s="4">
        <f>'Output 1-CARBONARA'!O$7/'Output 1-CARBONARA'!$F$7</f>
        <v>0</v>
      </c>
      <c r="H7" s="4">
        <f>'Output 1-CARBONARA'!Q$7/'Output 1-CARBONARA'!$F$7</f>
        <v>0</v>
      </c>
      <c r="I7" s="4">
        <f>('Output 1-CARBONARA'!S$7)/'Output 1-CARBONARA'!$F$7</f>
        <v>0</v>
      </c>
      <c r="J7" s="4">
        <f>('Output 1-CARBONARA'!U$7)/'Output 1-CARBONARA'!$F$7</f>
        <v>1</v>
      </c>
      <c r="K7" s="4">
        <f>('Output 1-CARBONARA'!Y$4)/'Output 1-CARBONARA'!$F$4</f>
        <v>1</v>
      </c>
      <c r="L7" s="34">
        <f>H$7+J$7</f>
        <v>1</v>
      </c>
      <c r="M7" s="4" t="e">
        <f>('Output 1-CARBONARA'!W$7)/'Output 1-CARBONARA'!$F$7</f>
        <v>#VALUE!</v>
      </c>
      <c r="N7" s="4">
        <f>('Output 1-CARBONARA'!Y$7)/'Output 1-CARBONARA'!$F$7</f>
        <v>0.35294117647058826</v>
      </c>
      <c r="O7" s="34">
        <f>L$7+N$7</f>
        <v>1.3529411764705883</v>
      </c>
      <c r="Q7" s="31" t="s">
        <v>708</v>
      </c>
      <c r="R7" s="5">
        <f ca="1">SUMIF(INDIRECT("'Output 1-CARBONARA'!$H$4:$H$"&amp;$C$4),Analysis!Q7,INDIRECT("'Output 1-CARBONARA'!$m$4:$m$"&amp;$C$4))
+SUMIF(INDIRECT("'Output 2-CACCIA'!$H$4:$H$"&amp;$C$5),Analysis!Q7,INDIRECT("'Output 2-CACCIA'!$m$4:$m$"&amp;$C$5))
+SUMIF(INDIRECT("'Output 3-ASINARA'!$H$4:$H$"&amp;$C$6),Analysis!Q7,INDIRECT("'Output 3-ASINARA'!$m$4:$m$"&amp;$C$6))
+SUMIF(INDIRECT("'Output 4-PELAGIE'!$H$4:$H$"&amp;$C$7),Analysis!Q7,INDIRECT("'Output 4-PELAGIE'!$m$4:$m$"&amp;$C$7))
+SUMIF(INDIRECT("'Output 5-EGADI'!$H$4:$H$"&amp;$C$8),Analysis!Q7,INDIRECT("'Output 5-EGADI'!$m$4:$m$"&amp;$C$8))
+SUMIF(INDIRECT("'Output 6-TG'!$H$4:$H$"&amp;$C$9),Analysis!Q7,INDIRECT("'Output 6-TG'!$m$4:$m$"&amp;$C$9))
+SUMIF(INDIRECT("'Output 7-PNAT'!$H$4:$H$"&amp;$C$10),Analysis!Q7,INDIRECT("'Output 7-PNAT'!$m$4:$m$"&amp;$C$10))
+SUMIF(INDIRECT("'Output 8-AEO'!$H$4:$H$"&amp;$C$11),Analysis!Q7,INDIRECT("'Output 8-AEO'!$m$4:$m$"&amp;$C$11))
+SUMIF(INDIRECT("'Output 9-EGADI2'!$H$4:$H$"&amp;$C$12),Analysis!Q7,INDIRECT("'Output 9-EGADI2'!$m$4:$m$"&amp;$C$12))
+SUMIF(INDIRECT("'Output 10-TUNIS'!$H$4:$H$"&amp;$C$13),Analysis!Q7,INDIRECT("'Output 10-TUNIS'!$m$4:$m$"&amp;$C$13))</f>
        <v>0</v>
      </c>
      <c r="S7" s="5">
        <f ca="1">SUMIF(INDIRECT("'Output 1-CARBONARA'!$H$4:$H$"&amp;$C$4),Analysis!Q7,INDIRECT("'Output 1-CARBONARA'!$q$4:$q$"&amp;$C$4))
+SUMIF(INDIRECT("'Output 2-CACCIA'!$H$4:$H$"&amp;$C$5),Analysis!Q7,INDIRECT("'Output 2-CACCIA'!$q$4:$q$"&amp;$C$5))
+SUMIF(INDIRECT("'Output 3-ASINARA'!$H$4:$H$"&amp;$C$6),Analysis!Q7,INDIRECT("'Output 3-ASINARA'!$q$4:$q$"&amp;$C$6))
+SUMIF(INDIRECT("'Output 4-PELAGIE'!$H$4:$H$"&amp;$C$7),Analysis!Q7,INDIRECT("'Output 4-PELAGIE'!$q$4:$q$"&amp;$C$7))
+SUMIF(INDIRECT("'Output 5-EGADI'!$H$4:$H$"&amp;$C$8),Analysis!Q7,INDIRECT("'Output 5-EGADI'!$q$4:$q$"&amp;$C$8))
+SUMIF(INDIRECT("'Output 6-TG'!$H$4:$H$"&amp;$C$9),Analysis!Q7,INDIRECT("'Output 6-TG'!$q$4:$q$"&amp;$C$9))
+SUMIF(INDIRECT("'Output 7-PNAT'!$H$4:$H$"&amp;$C$10),Analysis!Q7,INDIRECT("'Output 7-PNAT'!$q$4:$q$"&amp;$C$10))
+SUMIF(INDIRECT("'Output 8-AEO'!$H$4:$H$"&amp;$C$11),Analysis!Q7,INDIRECT("'Output 8-AEO'!$q$4:$q$"&amp;$C$11))
+SUMIF(INDIRECT("'Output 9-EGADI2'!$H$4:$H$"&amp;$C$12),Analysis!Q7,INDIRECT("'Output 9-EGADI2'!$q$4:$q$"&amp;$C$12))
+SUMIF(INDIRECT("'Output 10-TUNIS'!$H$4:$H$"&amp;$C$13),Analysis!Q7,INDIRECT("'Output 10-TUNIS'!$q$4:$q$"&amp;$C$13))</f>
        <v>0</v>
      </c>
      <c r="T7" s="5">
        <f ca="1">SUMIF(INDIRECT("'Output 1-CARBONARA'!$H$4:$H$"&amp;$C$4),Analysis!Q7,INDIRECT("'Output 1-CARBONARA'!$U$4:$U$"&amp;$C$4))
+SUMIF(INDIRECT("'Output 2-CACCIA'!$H$4:$H$"&amp;$C$5),Analysis!Q7,INDIRECT("'Output 2-CACCIA'!$U$4:$U$"&amp;$C$5))
+SUMIF(INDIRECT("'Output 3-ASINARA'!$H$4:$H$"&amp;$C$6),Analysis!Q7,INDIRECT("'Output 3-ASINARA'!$U$4:$U$"&amp;$C$6))
+SUMIF(INDIRECT("'Output 4-PELAGIE'!$H$4:$H$"&amp;$C$7),Analysis!Q7,INDIRECT("'Output 4-PELAGIE'!$U$4:$U$"&amp;$C$7))
+SUMIF(INDIRECT("'Output 5-EGADI'!$H$4:$H$"&amp;$C$8),Analysis!Q7,INDIRECT("'Output 5-EGADI'!$U$4:$U$"&amp;$C$8))
+SUMIF(INDIRECT("'Output 6-TG'!$H$4:$H$"&amp;$C$9),Analysis!Q7,INDIRECT("'Output 6-TG'!$U$4:$U$"&amp;$C$9))
+SUMIF(INDIRECT("'Output 7-PNAT'!$H$4:$H$"&amp;$C$10),Analysis!Q7,INDIRECT("'Output 7-PNAT'!$U$4:$U$"&amp;$C$10))
+SUMIF(INDIRECT("'Output 8-AEO'!$H$4:$H$"&amp;$C$11),Analysis!Q7,INDIRECT("'Output 8-AEO'!$U$4:$U$"&amp;$C$11))
+SUMIF(INDIRECT("'Output 9-EGADI2'!$H$4:$H$"&amp;$C$12),Analysis!Q7,INDIRECT("'Output 9-EGADI2'!$U$4:$U$"&amp;$C$12))
+SUMIF(INDIRECT("'Output 10-TUNIS'!$H$4:$H$"&amp;$C$13),Analysis!Q7,INDIRECT("'Output 10-TUNIS'!$U$4:$U$"&amp;$C$13))</f>
        <v>0</v>
      </c>
      <c r="U7" s="31"/>
      <c r="V7" s="5">
        <f>SUMIF('Unplanned Outputs'!$E$4:$E$500,Analysis!Q7,'Unplanned Outputs'!$J$4:$J$500)</f>
        <v>0</v>
      </c>
      <c r="W7" s="5">
        <f>SUMIF('Unplanned Outputs'!$E$4:$E$500,Analysis!$Q7,'Unplanned Outputs'!$N$4:$N$500)</f>
        <v>0</v>
      </c>
      <c r="X7" s="5">
        <f>SUMIF('Unplanned Outputs'!$E$4:$E$500,Analysis!$Q7,'Unplanned Outputs'!$R$4:$R$500)</f>
        <v>0</v>
      </c>
      <c r="Y7" s="15"/>
      <c r="Z7" s="38">
        <f t="shared" ca="1" si="0"/>
        <v>0</v>
      </c>
      <c r="AA7" s="38">
        <f t="shared" si="1"/>
        <v>0</v>
      </c>
      <c r="AB7" s="54">
        <f t="shared" ca="1" si="2"/>
        <v>0</v>
      </c>
      <c r="AC7" s="64">
        <f ca="1">SUMIF(INDIRECT("'Output 1-CARBONARA'!$H$5:$H$"&amp;$C$4),Analysis!$Q7,INDIRECT("'Output 1-CARBONARA'!$F$5:$F$"&amp;$C$4))
+SUMIF(INDIRECT("'Output 2-CACCIA'!$H$5:$H$"&amp;$C$5),Analysis!$Q7,INDIRECT("'Output 2-CACCIA'!$F$5:$F$"&amp;$C$5))
+SUMIF(INDIRECT("'Output 3-ASINARA'!$H$5:$H$"&amp;$C$6),Analysis!$Q7,INDIRECT("'Output 3-ASINARA'!$F$5:$F$"&amp;$C$6))
+SUMIF(INDIRECT("'Output 4-PELAGIE'!$H$5:$H$"&amp;$C$7),Analysis!$Q7,INDIRECT("'Output 4-PELAGIE'!$F$5:$F$"&amp;$C$7))
+SUMIF(INDIRECT("'Output 5-EGADI'!$H$5:$H$"&amp;$C$8),Analysis!$Q7,INDIRECT("'Output 5-EGADI'!$F$5:$F$"&amp;$C$8))
+SUMIF(INDIRECT("'Output 6-TG'!$H$5:$H$"&amp;$C$9),Analysis!$Q7,INDIRECT("'Output 6-TG'!$F$5:$F$"&amp;$C$9))
+SUMIF(INDIRECT("'Output 7-PNAT'!$H$5:$H$"&amp;$C$10),Analysis!$Q7,INDIRECT("'Output 7-PNAT'!$F$5:$F$"&amp;$C$10))
+SUMIF(INDIRECT("'Output 8-AEO'!$H$5:$H$"&amp;$C$11),Analysis!$Q7,INDIRECT("'Output 8-AEO'!$F$5:$F$"&amp;$C$11))
+SUMIF(INDIRECT("'Output 9-EGADI2'!$H$5:$H$"&amp;$C$12),Analysis!$Q7,INDIRECT("'Output 9-EGADI2'!$F$5:$F$"&amp;$C$12))
+SUMIF(INDIRECT("'Output 10-TUNIS'!$H$5:$H$"&amp;$C$13),Analysis!$Q7,INDIRECT("'Output 10-TUNIS'!$F$5:$F$"&amp;$C$13))</f>
        <v>0</v>
      </c>
    </row>
    <row r="8" spans="1:29">
      <c r="A8" t="s">
        <v>274</v>
      </c>
      <c r="B8" s="7">
        <f>'Output 5-EGADI'!A3</f>
        <v>9</v>
      </c>
      <c r="C8" s="7">
        <f t="shared" si="3"/>
        <v>13</v>
      </c>
      <c r="E8" t="str">
        <f>'Output 2-CACCIA'!$B$4</f>
        <v>O.2</v>
      </c>
      <c r="F8" t="str">
        <f>'Output 2-CACCIA'!$D$4</f>
        <v>O.2.1</v>
      </c>
      <c r="G8" s="4">
        <f>'Output 2-CACCIA'!$O$4/'Output 2-CACCIA'!$F$4</f>
        <v>0</v>
      </c>
      <c r="H8" s="4">
        <f>'Output 2-CACCIA'!Q$4/'Output 2-CACCIA'!$F$4</f>
        <v>0</v>
      </c>
      <c r="I8" s="4">
        <f>('Output 2-CACCIA'!S$4)/'Output 2-CACCIA'!$F$4</f>
        <v>0</v>
      </c>
      <c r="J8" s="4" t="e">
        <f>('Output 2-CACCIA'!#REF!)/'Output 2-CACCIA'!$F$4</f>
        <v>#REF!</v>
      </c>
      <c r="K8" s="4">
        <f>('Output 1-CARBONARA'!Y$4)/'Output 1-CARBONARA'!$F$4</f>
        <v>1</v>
      </c>
      <c r="L8" s="34" t="e">
        <f>H8+J8</f>
        <v>#REF!</v>
      </c>
      <c r="M8" s="4">
        <f>('Output 2-CACCIA'!W$4)/'Output 2-CACCIA'!$F$4</f>
        <v>83.333333333333329</v>
      </c>
      <c r="N8" s="4">
        <f>('Output 2-CACCIA'!U$5)/'Output 2-CACCIA'!$F$4</f>
        <v>1166.6666666666667</v>
      </c>
      <c r="O8" s="34" t="e">
        <f>L8+N8</f>
        <v>#REF!</v>
      </c>
      <c r="Q8" s="31">
        <v>1.2</v>
      </c>
      <c r="R8" s="5">
        <f ca="1">SUMIF(INDIRECT("'Output 1-CARBONARA'!$H$4:$H$"&amp;$C$4),Analysis!Q8,INDIRECT("'Output 1-CARBONARA'!$m$4:$m$"&amp;$C$4))
+SUMIF(INDIRECT("'Output 2-CACCIA'!$H$4:$H$"&amp;$C$5),Analysis!Q8,INDIRECT("'Output 2-CACCIA'!$m$4:$m$"&amp;$C$5))
+SUMIF(INDIRECT("'Output 3-ASINARA'!$H$4:$H$"&amp;$C$6),Analysis!Q8,INDIRECT("'Output 3-ASINARA'!$m$4:$m$"&amp;$C$6))
+SUMIF(INDIRECT("'Output 4-PELAGIE'!$H$4:$H$"&amp;$C$7),Analysis!Q8,INDIRECT("'Output 4-PELAGIE'!$m$4:$m$"&amp;$C$7))
+SUMIF(INDIRECT("'Output 5-EGADI'!$H$4:$H$"&amp;$C$8),Analysis!Q8,INDIRECT("'Output 5-EGADI'!$m$4:$m$"&amp;$C$8))
+SUMIF(INDIRECT("'Output 6-TG'!$H$4:$H$"&amp;$C$9),Analysis!Q8,INDIRECT("'Output 6-TG'!$m$4:$m$"&amp;$C$9))
+SUMIF(INDIRECT("'Output 7-PNAT'!$H$4:$H$"&amp;$C$10),Analysis!Q8,INDIRECT("'Output 7-PNAT'!$m$4:$m$"&amp;$C$10))
+SUMIF(INDIRECT("'Output 8-AEO'!$H$4:$H$"&amp;$C$11),Analysis!Q8,INDIRECT("'Output 8-AEO'!$m$4:$m$"&amp;$C$11))
+SUMIF(INDIRECT("'Output 9-EGADI2'!$H$4:$H$"&amp;$C$12),Analysis!Q8,INDIRECT("'Output 9-EGADI2'!$m$4:$m$"&amp;$C$12))
+SUMIF(INDIRECT("'Output 10-TUNIS'!$H$4:$H$"&amp;$C$13),Analysis!Q8,INDIRECT("'Output 10-TUNIS'!$m$4:$m$"&amp;$C$13))</f>
        <v>0</v>
      </c>
      <c r="S8" s="5">
        <f ca="1">SUMIF(INDIRECT("'Output 1-CARBONARA'!$H$4:$H$"&amp;$C$4),Analysis!Q8,INDIRECT("'Output 1-CARBONARA'!$q$4:$q$"&amp;$C$4))
+SUMIF(INDIRECT("'Output 2-CACCIA'!$H$4:$H$"&amp;$C$5),Analysis!Q8,INDIRECT("'Output 2-CACCIA'!$q$4:$q$"&amp;$C$5))
+SUMIF(INDIRECT("'Output 3-ASINARA'!$H$4:$H$"&amp;$C$6),Analysis!Q8,INDIRECT("'Output 3-ASINARA'!$q$4:$q$"&amp;$C$6))
+SUMIF(INDIRECT("'Output 4-PELAGIE'!$H$4:$H$"&amp;$C$7),Analysis!Q8,INDIRECT("'Output 4-PELAGIE'!$q$4:$q$"&amp;$C$7))
+SUMIF(INDIRECT("'Output 5-EGADI'!$H$4:$H$"&amp;$C$8),Analysis!Q8,INDIRECT("'Output 5-EGADI'!$q$4:$q$"&amp;$C$8))
+SUMIF(INDIRECT("'Output 6-TG'!$H$4:$H$"&amp;$C$9),Analysis!Q8,INDIRECT("'Output 6-TG'!$q$4:$q$"&amp;$C$9))
+SUMIF(INDIRECT("'Output 7-PNAT'!$H$4:$H$"&amp;$C$10),Analysis!Q8,INDIRECT("'Output 7-PNAT'!$q$4:$q$"&amp;$C$10))
+SUMIF(INDIRECT("'Output 8-AEO'!$H$4:$H$"&amp;$C$11),Analysis!Q8,INDIRECT("'Output 8-AEO'!$q$4:$q$"&amp;$C$11))
+SUMIF(INDIRECT("'Output 9-EGADI2'!$H$4:$H$"&amp;$C$12),Analysis!Q8,INDIRECT("'Output 9-EGADI2'!$q$4:$q$"&amp;$C$12))
+SUMIF(INDIRECT("'Output 10-TUNIS'!$H$4:$H$"&amp;$C$13),Analysis!Q8,INDIRECT("'Output 10-TUNIS'!$q$4:$q$"&amp;$C$13))</f>
        <v>0</v>
      </c>
      <c r="T8" s="5">
        <f ca="1">SUMIF(INDIRECT("'Output 1-CARBONARA'!$H$4:$H$"&amp;$C$4),Analysis!Q8,INDIRECT("'Output 1-CARBONARA'!$U$4:$U$"&amp;$C$4))
+SUMIF(INDIRECT("'Output 2-CACCIA'!$H$4:$H$"&amp;$C$5),Analysis!Q8,INDIRECT("'Output 2-CACCIA'!$U$4:$U$"&amp;$C$5))
+SUMIF(INDIRECT("'Output 3-ASINARA'!$H$4:$H$"&amp;$C$6),Analysis!Q8,INDIRECT("'Output 3-ASINARA'!$U$4:$U$"&amp;$C$6))
+SUMIF(INDIRECT("'Output 4-PELAGIE'!$H$4:$H$"&amp;$C$7),Analysis!Q8,INDIRECT("'Output 4-PELAGIE'!$U$4:$U$"&amp;$C$7))
+SUMIF(INDIRECT("'Output 5-EGADI'!$H$4:$H$"&amp;$C$8),Analysis!Q8,INDIRECT("'Output 5-EGADI'!$U$4:$U$"&amp;$C$8))
+SUMIF(INDIRECT("'Output 6-TG'!$H$4:$H$"&amp;$C$9),Analysis!Q8,INDIRECT("'Output 6-TG'!$U$4:$U$"&amp;$C$9))
+SUMIF(INDIRECT("'Output 7-PNAT'!$H$4:$H$"&amp;$C$10),Analysis!Q8,INDIRECT("'Output 7-PNAT'!$U$4:$U$"&amp;$C$10))
+SUMIF(INDIRECT("'Output 8-AEO'!$H$4:$H$"&amp;$C$11),Analysis!Q8,INDIRECT("'Output 8-AEO'!$U$4:$U$"&amp;$C$11))
+SUMIF(INDIRECT("'Output 9-EGADI2'!$H$4:$H$"&amp;$C$12),Analysis!Q8,INDIRECT("'Output 9-EGADI2'!$U$4:$U$"&amp;$C$12))
+SUMIF(INDIRECT("'Output 10-TUNIS'!$H$4:$H$"&amp;$C$13),Analysis!Q8,INDIRECT("'Output 10-TUNIS'!$U$4:$U$"&amp;$C$13))</f>
        <v>0</v>
      </c>
      <c r="U8" s="31"/>
      <c r="V8" s="5">
        <f>SUMIF('Unplanned Outputs'!$E$4:$E$500,Analysis!Q8,'Unplanned Outputs'!$J$4:$J$500)</f>
        <v>0</v>
      </c>
      <c r="W8" s="5">
        <f>SUMIF('Unplanned Outputs'!$E$4:$E$500,Analysis!$Q8,'Unplanned Outputs'!$N$4:$N$500)</f>
        <v>0</v>
      </c>
      <c r="X8" s="5">
        <f>SUMIF('Unplanned Outputs'!$E$4:$E$500,Analysis!$Q8,'Unplanned Outputs'!$R$4:$R$500)</f>
        <v>0</v>
      </c>
      <c r="Y8" s="15"/>
      <c r="Z8" s="38">
        <f t="shared" ca="1" si="0"/>
        <v>0</v>
      </c>
      <c r="AA8" s="38">
        <f t="shared" si="1"/>
        <v>0</v>
      </c>
      <c r="AB8" s="54">
        <f t="shared" ca="1" si="2"/>
        <v>0</v>
      </c>
      <c r="AC8" s="64">
        <f ca="1">SUMIF(INDIRECT("'Output 1-CARBONARA'!$H$5:$H$"&amp;$C$4),Analysis!$Q8,INDIRECT("'Output 1-CARBONARA'!$F$5:$F$"&amp;$C$4))
+SUMIF(INDIRECT("'Output 2-CACCIA'!$H$5:$H$"&amp;$C$5),Analysis!$Q8,INDIRECT("'Output 2-CACCIA'!$F$5:$F$"&amp;$C$5))
+SUMIF(INDIRECT("'Output 3-ASINARA'!$H$5:$H$"&amp;$C$6),Analysis!$Q8,INDIRECT("'Output 3-ASINARA'!$F$5:$F$"&amp;$C$6))
+SUMIF(INDIRECT("'Output 4-PELAGIE'!$H$5:$H$"&amp;$C$7),Analysis!$Q8,INDIRECT("'Output 4-PELAGIE'!$F$5:$F$"&amp;$C$7))
+SUMIF(INDIRECT("'Output 5-EGADI'!$H$5:$H$"&amp;$C$8),Analysis!$Q8,INDIRECT("'Output 5-EGADI'!$F$5:$F$"&amp;$C$8))
+SUMIF(INDIRECT("'Output 6-TG'!$H$5:$H$"&amp;$C$9),Analysis!$Q8,INDIRECT("'Output 6-TG'!$F$5:$F$"&amp;$C$9))
+SUMIF(INDIRECT("'Output 7-PNAT'!$H$5:$H$"&amp;$C$10),Analysis!$Q8,INDIRECT("'Output 7-PNAT'!$F$5:$F$"&amp;$C$10))
+SUMIF(INDIRECT("'Output 8-AEO'!$H$5:$H$"&amp;$C$11),Analysis!$Q8,INDIRECT("'Output 8-AEO'!$F$5:$F$"&amp;$C$11))
+SUMIF(INDIRECT("'Output 9-EGADI2'!$H$5:$H$"&amp;$C$12),Analysis!$Q8,INDIRECT("'Output 9-EGADI2'!$F$5:$F$"&amp;$C$12))
+SUMIF(INDIRECT("'Output 10-TUNIS'!$H$5:$H$"&amp;$C$13),Analysis!$Q8,INDIRECT("'Output 10-TUNIS'!$F$5:$F$"&amp;$C$13))</f>
        <v>0</v>
      </c>
    </row>
    <row r="9" spans="1:29">
      <c r="A9" t="s">
        <v>332</v>
      </c>
      <c r="B9" s="7">
        <f>'Output 6-TG'!A3</f>
        <v>6</v>
      </c>
      <c r="C9" s="7">
        <f t="shared" si="3"/>
        <v>10</v>
      </c>
      <c r="F9" t="str">
        <f>'Output 2-CACCIA'!$D$5</f>
        <v>O.2.2</v>
      </c>
      <c r="G9" s="4">
        <f>'Output 2-CACCIA'!O$5/'Output 2-CACCIA'!$F$5</f>
        <v>0</v>
      </c>
      <c r="H9" s="4">
        <f>'Output 2-CACCIA'!Q$5/'Output 2-CACCIA'!$F$5</f>
        <v>0</v>
      </c>
      <c r="I9" s="4">
        <f>('Output 2-CACCIA'!S$5)/'Output 2-CACCIA'!$F$5</f>
        <v>0</v>
      </c>
      <c r="J9" s="4" t="e">
        <f>('Output 2-CACCIA'!#REF!)/'Output 2-CACCIA'!$F$5</f>
        <v>#REF!</v>
      </c>
      <c r="K9" s="4">
        <f>('Output 1-CARBONARA'!Y$4)/'Output 1-CARBONARA'!$F$4</f>
        <v>1</v>
      </c>
      <c r="L9" s="34" t="e">
        <f t="shared" ref="L9:L34" si="6">H9+J9</f>
        <v>#REF!</v>
      </c>
      <c r="M9" s="4" t="e">
        <f>('Output 2-CACCIA'!W$5)/'Output 2-CACCIA'!$F$5</f>
        <v>#VALUE!</v>
      </c>
      <c r="N9" s="4">
        <f>('Output 2-CACCIA'!Y$5)/'Output 2-CACCIA'!$F$5</f>
        <v>3</v>
      </c>
      <c r="O9" s="34" t="e">
        <f t="shared" ref="O9:O25" si="7">L9+N9</f>
        <v>#REF!</v>
      </c>
      <c r="Q9" s="31" t="s">
        <v>709</v>
      </c>
      <c r="R9" s="5">
        <f ca="1">SUMIF(INDIRECT("'Output 1-CARBONARA'!$H$4:$H$"&amp;$C$4),Analysis!Q9,INDIRECT("'Output 1-CARBONARA'!$m$4:$m$"&amp;$C$4))
+SUMIF(INDIRECT("'Output 2-CACCIA'!$H$4:$H$"&amp;$C$5),Analysis!Q9,INDIRECT("'Output 2-CACCIA'!$m$4:$m$"&amp;$C$5))
+SUMIF(INDIRECT("'Output 3-ASINARA'!$H$4:$H$"&amp;$C$6),Analysis!Q9,INDIRECT("'Output 3-ASINARA'!$m$4:$m$"&amp;$C$6))
+SUMIF(INDIRECT("'Output 4-PELAGIE'!$H$4:$H$"&amp;$C$7),Analysis!Q9,INDIRECT("'Output 4-PELAGIE'!$m$4:$m$"&amp;$C$7))
+SUMIF(INDIRECT("'Output 5-EGADI'!$H$4:$H$"&amp;$C$8),Analysis!Q9,INDIRECT("'Output 5-EGADI'!$m$4:$m$"&amp;$C$8))
+SUMIF(INDIRECT("'Output 6-TG'!$H$4:$H$"&amp;$C$9),Analysis!Q9,INDIRECT("'Output 6-TG'!$m$4:$m$"&amp;$C$9))
+SUMIF(INDIRECT("'Output 7-PNAT'!$H$4:$H$"&amp;$C$10),Analysis!Q9,INDIRECT("'Output 7-PNAT'!$m$4:$m$"&amp;$C$10))
+SUMIF(INDIRECT("'Output 8-AEO'!$H$4:$H$"&amp;$C$11),Analysis!Q9,INDIRECT("'Output 8-AEO'!$m$4:$m$"&amp;$C$11))
+SUMIF(INDIRECT("'Output 9-EGADI2'!$H$4:$H$"&amp;$C$12),Analysis!Q9,INDIRECT("'Output 9-EGADI2'!$m$4:$m$"&amp;$C$12))
+SUMIF(INDIRECT("'Output 10-TUNIS'!$H$4:$H$"&amp;$C$13),Analysis!Q9,INDIRECT("'Output 10-TUNIS'!$m$4:$m$"&amp;$C$13))</f>
        <v>0</v>
      </c>
      <c r="S9" s="5">
        <f ca="1">SUMIF(INDIRECT("'Output 1-CARBONARA'!$H$4:$H$"&amp;$C$4),Analysis!Q9,INDIRECT("'Output 1-CARBONARA'!$q$4:$q$"&amp;$C$4))
+SUMIF(INDIRECT("'Output 2-CACCIA'!$H$4:$H$"&amp;$C$5),Analysis!Q9,INDIRECT("'Output 2-CACCIA'!$q$4:$q$"&amp;$C$5))
+SUMIF(INDIRECT("'Output 3-ASINARA'!$H$4:$H$"&amp;$C$6),Analysis!Q9,INDIRECT("'Output 3-ASINARA'!$q$4:$q$"&amp;$C$6))
+SUMIF(INDIRECT("'Output 4-PELAGIE'!$H$4:$H$"&amp;$C$7),Analysis!Q9,INDIRECT("'Output 4-PELAGIE'!$q$4:$q$"&amp;$C$7))
+SUMIF(INDIRECT("'Output 5-EGADI'!$H$4:$H$"&amp;$C$8),Analysis!Q9,INDIRECT("'Output 5-EGADI'!$q$4:$q$"&amp;$C$8))
+SUMIF(INDIRECT("'Output 6-TG'!$H$4:$H$"&amp;$C$9),Analysis!Q9,INDIRECT("'Output 6-TG'!$q$4:$q$"&amp;$C$9))
+SUMIF(INDIRECT("'Output 7-PNAT'!$H$4:$H$"&amp;$C$10),Analysis!Q9,INDIRECT("'Output 7-PNAT'!$q$4:$q$"&amp;$C$10))
+SUMIF(INDIRECT("'Output 8-AEO'!$H$4:$H$"&amp;$C$11),Analysis!Q9,INDIRECT("'Output 8-AEO'!$q$4:$q$"&amp;$C$11))
+SUMIF(INDIRECT("'Output 9-EGADI2'!$H$4:$H$"&amp;$C$12),Analysis!Q9,INDIRECT("'Output 9-EGADI2'!$q$4:$q$"&amp;$C$12))
+SUMIF(INDIRECT("'Output 10-TUNIS'!$H$4:$H$"&amp;$C$13),Analysis!Q9,INDIRECT("'Output 10-TUNIS'!$q$4:$q$"&amp;$C$13))</f>
        <v>0</v>
      </c>
      <c r="T9" s="5">
        <f ca="1">SUMIF(INDIRECT("'Output 1-CARBONARA'!$H$4:$H$"&amp;$C$4),Analysis!Q9,INDIRECT("'Output 1-CARBONARA'!$U$4:$U$"&amp;$C$4))
+SUMIF(INDIRECT("'Output 2-CACCIA'!$H$4:$H$"&amp;$C$5),Analysis!Q9,INDIRECT("'Output 2-CACCIA'!$U$4:$U$"&amp;$C$5))
+SUMIF(INDIRECT("'Output 3-ASINARA'!$H$4:$H$"&amp;$C$6),Analysis!Q9,INDIRECT("'Output 3-ASINARA'!$U$4:$U$"&amp;$C$6))
+SUMIF(INDIRECT("'Output 4-PELAGIE'!$H$4:$H$"&amp;$C$7),Analysis!Q9,INDIRECT("'Output 4-PELAGIE'!$U$4:$U$"&amp;$C$7))
+SUMIF(INDIRECT("'Output 5-EGADI'!$H$4:$H$"&amp;$C$8),Analysis!Q9,INDIRECT("'Output 5-EGADI'!$U$4:$U$"&amp;$C$8))
+SUMIF(INDIRECT("'Output 6-TG'!$H$4:$H$"&amp;$C$9),Analysis!Q9,INDIRECT("'Output 6-TG'!$U$4:$U$"&amp;$C$9))
+SUMIF(INDIRECT("'Output 7-PNAT'!$H$4:$H$"&amp;$C$10),Analysis!Q9,INDIRECT("'Output 7-PNAT'!$U$4:$U$"&amp;$C$10))
+SUMIF(INDIRECT("'Output 8-AEO'!$H$4:$H$"&amp;$C$11),Analysis!Q9,INDIRECT("'Output 8-AEO'!$U$4:$U$"&amp;$C$11))
+SUMIF(INDIRECT("'Output 9-EGADI2'!$H$4:$H$"&amp;$C$12),Analysis!Q9,INDIRECT("'Output 9-EGADI2'!$U$4:$U$"&amp;$C$12))
+SUMIF(INDIRECT("'Output 10-TUNIS'!$H$4:$H$"&amp;$C$13),Analysis!Q9,INDIRECT("'Output 10-TUNIS'!$U$4:$U$"&amp;$C$13))</f>
        <v>0</v>
      </c>
      <c r="U9" s="31"/>
      <c r="V9" s="5">
        <f>SUMIF('Unplanned Outputs'!$E$4:$E$500,Analysis!Q9,'Unplanned Outputs'!$J$4:$J$500)</f>
        <v>0</v>
      </c>
      <c r="W9" s="5">
        <f>SUMIF('Unplanned Outputs'!$E$4:$E$500,Analysis!$Q9,'Unplanned Outputs'!$N$4:$N$500)</f>
        <v>0</v>
      </c>
      <c r="X9" s="5">
        <f>SUMIF('Unplanned Outputs'!$E$4:$E$500,Analysis!$Q9,'Unplanned Outputs'!$R$4:$R$500)</f>
        <v>0</v>
      </c>
      <c r="Y9" s="15"/>
      <c r="Z9" s="38">
        <f t="shared" ca="1" si="0"/>
        <v>0</v>
      </c>
      <c r="AA9" s="38">
        <f t="shared" si="1"/>
        <v>0</v>
      </c>
      <c r="AB9" s="54">
        <f t="shared" ca="1" si="2"/>
        <v>0</v>
      </c>
      <c r="AC9" s="64">
        <f ca="1">SUMIF(INDIRECT("'Output 1-CARBONARA'!$H$5:$H$"&amp;$C$4),Analysis!$Q9,INDIRECT("'Output 1-CARBONARA'!$F$5:$F$"&amp;$C$4))
+SUMIF(INDIRECT("'Output 2-CACCIA'!$H$5:$H$"&amp;$C$5),Analysis!$Q9,INDIRECT("'Output 2-CACCIA'!$F$5:$F$"&amp;$C$5))
+SUMIF(INDIRECT("'Output 3-ASINARA'!$H$5:$H$"&amp;$C$6),Analysis!$Q9,INDIRECT("'Output 3-ASINARA'!$F$5:$F$"&amp;$C$6))
+SUMIF(INDIRECT("'Output 4-PELAGIE'!$H$5:$H$"&amp;$C$7),Analysis!$Q9,INDIRECT("'Output 4-PELAGIE'!$F$5:$F$"&amp;$C$7))
+SUMIF(INDIRECT("'Output 5-EGADI'!$H$5:$H$"&amp;$C$8),Analysis!$Q9,INDIRECT("'Output 5-EGADI'!$F$5:$F$"&amp;$C$8))
+SUMIF(INDIRECT("'Output 6-TG'!$H$5:$H$"&amp;$C$9),Analysis!$Q9,INDIRECT("'Output 6-TG'!$F$5:$F$"&amp;$C$9))
+SUMIF(INDIRECT("'Output 7-PNAT'!$H$5:$H$"&amp;$C$10),Analysis!$Q9,INDIRECT("'Output 7-PNAT'!$F$5:$F$"&amp;$C$10))
+SUMIF(INDIRECT("'Output 8-AEO'!$H$5:$H$"&amp;$C$11),Analysis!$Q9,INDIRECT("'Output 8-AEO'!$F$5:$F$"&amp;$C$11))
+SUMIF(INDIRECT("'Output 9-EGADI2'!$H$5:$H$"&amp;$C$12),Analysis!$Q9,INDIRECT("'Output 9-EGADI2'!$F$5:$F$"&amp;$C$12))
+SUMIF(INDIRECT("'Output 10-TUNIS'!$H$5:$H$"&amp;$C$13),Analysis!$Q9,INDIRECT("'Output 10-TUNIS'!$F$5:$F$"&amp;$C$13))</f>
        <v>0</v>
      </c>
    </row>
    <row r="10" spans="1:29">
      <c r="A10" t="s">
        <v>375</v>
      </c>
      <c r="B10" s="7">
        <f>'Output 7-PNAT'!A3</f>
        <v>9</v>
      </c>
      <c r="C10" s="7">
        <f t="shared" si="3"/>
        <v>13</v>
      </c>
      <c r="F10" t="str">
        <f>'Output 2-CACCIA'!$D$6</f>
        <v>O.2.3</v>
      </c>
      <c r="G10" s="4">
        <f>'Output 2-CACCIA'!O$6/'Output 2-CACCIA'!$F$6</f>
        <v>0</v>
      </c>
      <c r="H10" s="4">
        <f>'Output 2-CACCIA'!Q$6/'Output 2-CACCIA'!$F$6</f>
        <v>0</v>
      </c>
      <c r="I10" s="4">
        <f>('Output 2-CACCIA'!S$6)/'Output 2-CACCIA'!$F$6</f>
        <v>0</v>
      </c>
      <c r="J10" s="4">
        <f>('Output 2-CACCIA'!U$6)/'Output 2-CACCIA'!$F$6</f>
        <v>1</v>
      </c>
      <c r="K10" s="4">
        <f>('Output 1-CARBONARA'!Y$4)/'Output 1-CARBONARA'!$F$4</f>
        <v>1</v>
      </c>
      <c r="L10" s="34">
        <f t="shared" si="6"/>
        <v>1</v>
      </c>
      <c r="M10" s="4">
        <f>('Output 2-CACCIA'!W$6)/'Output 2-CACCIA'!$F$6</f>
        <v>0.01</v>
      </c>
      <c r="N10" s="4" t="e">
        <f>('Output 2-CACCIA'!#REF!)/'Output 2-CACCIA'!$F$6</f>
        <v>#REF!</v>
      </c>
      <c r="O10" s="34" t="e">
        <f t="shared" si="7"/>
        <v>#REF!</v>
      </c>
      <c r="Q10" s="31" t="s">
        <v>710</v>
      </c>
      <c r="R10" s="5">
        <f ca="1">SUMIF(INDIRECT("'Output 1-CARBONARA'!$H$4:$H$"&amp;$C$4),Analysis!Q10,INDIRECT("'Output 1-CARBONARA'!$m$4:$m$"&amp;$C$4))
+SUMIF(INDIRECT("'Output 2-CACCIA'!$H$4:$H$"&amp;$C$5),Analysis!Q10,INDIRECT("'Output 2-CACCIA'!$m$4:$m$"&amp;$C$5))
+SUMIF(INDIRECT("'Output 3-ASINARA'!$H$4:$H$"&amp;$C$6),Analysis!Q10,INDIRECT("'Output 3-ASINARA'!$m$4:$m$"&amp;$C$6))
+SUMIF(INDIRECT("'Output 4-PELAGIE'!$H$4:$H$"&amp;$C$7),Analysis!Q10,INDIRECT("'Output 4-PELAGIE'!$m$4:$m$"&amp;$C$7))
+SUMIF(INDIRECT("'Output 5-EGADI'!$H$4:$H$"&amp;$C$8),Analysis!Q10,INDIRECT("'Output 5-EGADI'!$m$4:$m$"&amp;$C$8))
+SUMIF(INDIRECT("'Output 6-TG'!$H$4:$H$"&amp;$C$9),Analysis!Q10,INDIRECT("'Output 6-TG'!$m$4:$m$"&amp;$C$9))
+SUMIF(INDIRECT("'Output 7-PNAT'!$H$4:$H$"&amp;$C$10),Analysis!Q10,INDIRECT("'Output 7-PNAT'!$m$4:$m$"&amp;$C$10))
+SUMIF(INDIRECT("'Output 8-AEO'!$H$4:$H$"&amp;$C$11),Analysis!Q10,INDIRECT("'Output 8-AEO'!$m$4:$m$"&amp;$C$11))
+SUMIF(INDIRECT("'Output 9-EGADI2'!$H$4:$H$"&amp;$C$12),Analysis!Q10,INDIRECT("'Output 9-EGADI2'!$m$4:$m$"&amp;$C$12))
+SUMIF(INDIRECT("'Output 10-TUNIS'!$H$4:$H$"&amp;$C$13),Analysis!Q10,INDIRECT("'Output 10-TUNIS'!$m$4:$m$"&amp;$C$13))</f>
        <v>0</v>
      </c>
      <c r="S10" s="5">
        <f ca="1">SUMIF(INDIRECT("'Output 1-CARBONARA'!$H$4:$H$"&amp;$C$4),Analysis!Q10,INDIRECT("'Output 1-CARBONARA'!$q$4:$q$"&amp;$C$4))
+SUMIF(INDIRECT("'Output 2-CACCIA'!$H$4:$H$"&amp;$C$5),Analysis!Q10,INDIRECT("'Output 2-CACCIA'!$q$4:$q$"&amp;$C$5))
+SUMIF(INDIRECT("'Output 3-ASINARA'!$H$4:$H$"&amp;$C$6),Analysis!Q10,INDIRECT("'Output 3-ASINARA'!$q$4:$q$"&amp;$C$6))
+SUMIF(INDIRECT("'Output 4-PELAGIE'!$H$4:$H$"&amp;$C$7),Analysis!Q10,INDIRECT("'Output 4-PELAGIE'!$q$4:$q$"&amp;$C$7))
+SUMIF(INDIRECT("'Output 5-EGADI'!$H$4:$H$"&amp;$C$8),Analysis!Q10,INDIRECT("'Output 5-EGADI'!$q$4:$q$"&amp;$C$8))
+SUMIF(INDIRECT("'Output 6-TG'!$H$4:$H$"&amp;$C$9),Analysis!Q10,INDIRECT("'Output 6-TG'!$q$4:$q$"&amp;$C$9))
+SUMIF(INDIRECT("'Output 7-PNAT'!$H$4:$H$"&amp;$C$10),Analysis!Q10,INDIRECT("'Output 7-PNAT'!$q$4:$q$"&amp;$C$10))
+SUMIF(INDIRECT("'Output 8-AEO'!$H$4:$H$"&amp;$C$11),Analysis!Q10,INDIRECT("'Output 8-AEO'!$q$4:$q$"&amp;$C$11))
+SUMIF(INDIRECT("'Output 9-EGADI2'!$H$4:$H$"&amp;$C$12),Analysis!Q10,INDIRECT("'Output 9-EGADI2'!$q$4:$q$"&amp;$C$12))
+SUMIF(INDIRECT("'Output 10-TUNIS'!$H$4:$H$"&amp;$C$13),Analysis!Q10,INDIRECT("'Output 10-TUNIS'!$q$4:$q$"&amp;$C$13))</f>
        <v>0</v>
      </c>
      <c r="T10" s="5">
        <f ca="1">SUMIF(INDIRECT("'Output 1-CARBONARA'!$H$4:$H$"&amp;$C$4),Analysis!Q10,INDIRECT("'Output 1-CARBONARA'!$U$4:$U$"&amp;$C$4))
+SUMIF(INDIRECT("'Output 2-CACCIA'!$H$4:$H$"&amp;$C$5),Analysis!Q10,INDIRECT("'Output 2-CACCIA'!$U$4:$U$"&amp;$C$5))
+SUMIF(INDIRECT("'Output 3-ASINARA'!$H$4:$H$"&amp;$C$6),Analysis!Q10,INDIRECT("'Output 3-ASINARA'!$U$4:$U$"&amp;$C$6))
+SUMIF(INDIRECT("'Output 4-PELAGIE'!$H$4:$H$"&amp;$C$7),Analysis!Q10,INDIRECT("'Output 4-PELAGIE'!$U$4:$U$"&amp;$C$7))
+SUMIF(INDIRECT("'Output 5-EGADI'!$H$4:$H$"&amp;$C$8),Analysis!Q10,INDIRECT("'Output 5-EGADI'!$U$4:$U$"&amp;$C$8))
+SUMIF(INDIRECT("'Output 6-TG'!$H$4:$H$"&amp;$C$9),Analysis!Q10,INDIRECT("'Output 6-TG'!$U$4:$U$"&amp;$C$9))
+SUMIF(INDIRECT("'Output 7-PNAT'!$H$4:$H$"&amp;$C$10),Analysis!Q10,INDIRECT("'Output 7-PNAT'!$U$4:$U$"&amp;$C$10))
+SUMIF(INDIRECT("'Output 8-AEO'!$H$4:$H$"&amp;$C$11),Analysis!Q10,INDIRECT("'Output 8-AEO'!$U$4:$U$"&amp;$C$11))
+SUMIF(INDIRECT("'Output 9-EGADI2'!$H$4:$H$"&amp;$C$12),Analysis!Q10,INDIRECT("'Output 9-EGADI2'!$U$4:$U$"&amp;$C$12))
+SUMIF(INDIRECT("'Output 10-TUNIS'!$H$4:$H$"&amp;$C$13),Analysis!Q10,INDIRECT("'Output 10-TUNIS'!$U$4:$U$"&amp;$C$13))</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8">
        <f t="shared" ca="1" si="0"/>
        <v>0</v>
      </c>
      <c r="AA10" s="38">
        <f t="shared" si="1"/>
        <v>0</v>
      </c>
      <c r="AB10" s="54">
        <f t="shared" ca="1" si="2"/>
        <v>0</v>
      </c>
      <c r="AC10" s="64">
        <f ca="1">SUMIF(INDIRECT("'Output 1-CARBONARA'!$H$5:$H$"&amp;$C$4),Analysis!$Q10,INDIRECT("'Output 1-CARBONARA'!$F$5:$F$"&amp;$C$4))
+SUMIF(INDIRECT("'Output 2-CACCIA'!$H$5:$H$"&amp;$C$5),Analysis!$Q10,INDIRECT("'Output 2-CACCIA'!$F$5:$F$"&amp;$C$5))
+SUMIF(INDIRECT("'Output 3-ASINARA'!$H$5:$H$"&amp;$C$6),Analysis!$Q10,INDIRECT("'Output 3-ASINARA'!$F$5:$F$"&amp;$C$6))
+SUMIF(INDIRECT("'Output 4-PELAGIE'!$H$5:$H$"&amp;$C$7),Analysis!$Q10,INDIRECT("'Output 4-PELAGIE'!$F$5:$F$"&amp;$C$7))
+SUMIF(INDIRECT("'Output 5-EGADI'!$H$5:$H$"&amp;$C$8),Analysis!$Q10,INDIRECT("'Output 5-EGADI'!$F$5:$F$"&amp;$C$8))
+SUMIF(INDIRECT("'Output 6-TG'!$H$5:$H$"&amp;$C$9),Analysis!$Q10,INDIRECT("'Output 6-TG'!$F$5:$F$"&amp;$C$9))
+SUMIF(INDIRECT("'Output 7-PNAT'!$H$5:$H$"&amp;$C$10),Analysis!$Q10,INDIRECT("'Output 7-PNAT'!$F$5:$F$"&amp;$C$10))
+SUMIF(INDIRECT("'Output 8-AEO'!$H$5:$H$"&amp;$C$11),Analysis!$Q10,INDIRECT("'Output 8-AEO'!$F$5:$F$"&amp;$C$11))
+SUMIF(INDIRECT("'Output 9-EGADI2'!$H$5:$H$"&amp;$C$12),Analysis!$Q10,INDIRECT("'Output 9-EGADI2'!$F$5:$F$"&amp;$C$12))
+SUMIF(INDIRECT("'Output 10-TUNIS'!$H$5:$H$"&amp;$C$13),Analysis!$Q10,INDIRECT("'Output 10-TUNIS'!$F$5:$F$"&amp;$C$13))</f>
        <v>0</v>
      </c>
    </row>
    <row r="11" spans="1:29">
      <c r="A11" t="s">
        <v>435</v>
      </c>
      <c r="B11" s="7">
        <f>'Output 8-AEO'!A3</f>
        <v>4</v>
      </c>
      <c r="C11" s="7">
        <f t="shared" si="3"/>
        <v>8</v>
      </c>
      <c r="E11" t="str">
        <f>'Output 3-ASINARA'!$B$4</f>
        <v>O.3</v>
      </c>
      <c r="F11" t="str">
        <f>'Output 3-ASINARA'!$D$4</f>
        <v>O.3.1</v>
      </c>
      <c r="G11" s="4">
        <f>'Output 3-ASINARA'!$O$4/'Output 3-ASINARA'!$F$4</f>
        <v>0</v>
      </c>
      <c r="H11" s="4">
        <f>'Output 3-ASINARA'!Q$4/'Output 3-ASINARA'!$F$4</f>
        <v>0</v>
      </c>
      <c r="I11" s="4">
        <f>('Output 3-ASINARA'!S$4)/'Output 3-ASINARA'!$F$4</f>
        <v>0</v>
      </c>
      <c r="J11" s="4">
        <f>('Output 3-ASINARA'!U$8)/'Output 3-ASINARA'!$F$4</f>
        <v>2035.3982300884957</v>
      </c>
      <c r="K11" s="4">
        <f>('Output 1-CARBONARA'!Y$4)/'Output 1-CARBONARA'!$F$4</f>
        <v>1</v>
      </c>
      <c r="L11" s="34">
        <f t="shared" si="6"/>
        <v>2035.3982300884957</v>
      </c>
      <c r="M11" s="4">
        <f>('Output 3-ASINARA'!W$4)/'Output 3-ASINARA'!$F$4</f>
        <v>442.47787610619474</v>
      </c>
      <c r="N11" s="4">
        <f>('Output 3-ASINARA'!Y$4)/'Output 3-ASINARA'!$F$4</f>
        <v>884.95575221238948</v>
      </c>
      <c r="O11" s="34">
        <f t="shared" si="7"/>
        <v>2920.353982300885</v>
      </c>
      <c r="Q11" s="31" t="s">
        <v>711</v>
      </c>
      <c r="R11" s="5">
        <f ca="1">SUMIF(INDIRECT("'Output 1-CARBONARA'!$H$4:$H$"&amp;$C$4),Analysis!Q11,INDIRECT("'Output 1-CARBONARA'!$m$4:$m$"&amp;$C$4))
+SUMIF(INDIRECT("'Output 2-CACCIA'!$H$4:$H$"&amp;$C$5),Analysis!Q11,INDIRECT("'Output 2-CACCIA'!$m$4:$m$"&amp;$C$5))
+SUMIF(INDIRECT("'Output 3-ASINARA'!$H$4:$H$"&amp;$C$6),Analysis!Q11,INDIRECT("'Output 3-ASINARA'!$m$4:$m$"&amp;$C$6))
+SUMIF(INDIRECT("'Output 4-PELAGIE'!$H$4:$H$"&amp;$C$7),Analysis!Q11,INDIRECT("'Output 4-PELAGIE'!$m$4:$m$"&amp;$C$7))
+SUMIF(INDIRECT("'Output 5-EGADI'!$H$4:$H$"&amp;$C$8),Analysis!Q11,INDIRECT("'Output 5-EGADI'!$m$4:$m$"&amp;$C$8))
+SUMIF(INDIRECT("'Output 6-TG'!$H$4:$H$"&amp;$C$9),Analysis!Q11,INDIRECT("'Output 6-TG'!$m$4:$m$"&amp;$C$9))
+SUMIF(INDIRECT("'Output 7-PNAT'!$H$4:$H$"&amp;$C$10),Analysis!Q11,INDIRECT("'Output 7-PNAT'!$m$4:$m$"&amp;$C$10))
+SUMIF(INDIRECT("'Output 8-AEO'!$H$4:$H$"&amp;$C$11),Analysis!Q11,INDIRECT("'Output 8-AEO'!$m$4:$m$"&amp;$C$11))
+SUMIF(INDIRECT("'Output 9-EGADI2'!$H$4:$H$"&amp;$C$12),Analysis!Q11,INDIRECT("'Output 9-EGADI2'!$m$4:$m$"&amp;$C$12))
+SUMIF(INDIRECT("'Output 10-TUNIS'!$H$4:$H$"&amp;$C$13),Analysis!Q11,INDIRECT("'Output 10-TUNIS'!$m$4:$m$"&amp;$C$13))</f>
        <v>0</v>
      </c>
      <c r="S11" s="5">
        <f ca="1">SUMIF(INDIRECT("'Output 1-CARBONARA'!$H$4:$H$"&amp;$C$4),Analysis!Q11,INDIRECT("'Output 1-CARBONARA'!$q$4:$q$"&amp;$C$4))
+SUMIF(INDIRECT("'Output 2-CACCIA'!$H$4:$H$"&amp;$C$5),Analysis!Q11,INDIRECT("'Output 2-CACCIA'!$q$4:$q$"&amp;$C$5))
+SUMIF(INDIRECT("'Output 3-ASINARA'!$H$4:$H$"&amp;$C$6),Analysis!Q11,INDIRECT("'Output 3-ASINARA'!$q$4:$q$"&amp;$C$6))
+SUMIF(INDIRECT("'Output 4-PELAGIE'!$H$4:$H$"&amp;$C$7),Analysis!Q11,INDIRECT("'Output 4-PELAGIE'!$q$4:$q$"&amp;$C$7))
+SUMIF(INDIRECT("'Output 5-EGADI'!$H$4:$H$"&amp;$C$8),Analysis!Q11,INDIRECT("'Output 5-EGADI'!$q$4:$q$"&amp;$C$8))
+SUMIF(INDIRECT("'Output 6-TG'!$H$4:$H$"&amp;$C$9),Analysis!Q11,INDIRECT("'Output 6-TG'!$q$4:$q$"&amp;$C$9))
+SUMIF(INDIRECT("'Output 7-PNAT'!$H$4:$H$"&amp;$C$10),Analysis!Q11,INDIRECT("'Output 7-PNAT'!$q$4:$q$"&amp;$C$10))
+SUMIF(INDIRECT("'Output 8-AEO'!$H$4:$H$"&amp;$C$11),Analysis!Q11,INDIRECT("'Output 8-AEO'!$q$4:$q$"&amp;$C$11))
+SUMIF(INDIRECT("'Output 9-EGADI2'!$H$4:$H$"&amp;$C$12),Analysis!Q11,INDIRECT("'Output 9-EGADI2'!$q$4:$q$"&amp;$C$12))
+SUMIF(INDIRECT("'Output 10-TUNIS'!$H$4:$H$"&amp;$C$13),Analysis!Q11,INDIRECT("'Output 10-TUNIS'!$q$4:$q$"&amp;$C$13))</f>
        <v>0</v>
      </c>
      <c r="T11" s="5">
        <f ca="1">SUMIF(INDIRECT("'Output 1-CARBONARA'!$H$4:$H$"&amp;$C$4),Analysis!Q11,INDIRECT("'Output 1-CARBONARA'!$U$4:$U$"&amp;$C$4))
+SUMIF(INDIRECT("'Output 2-CACCIA'!$H$4:$H$"&amp;$C$5),Analysis!Q11,INDIRECT("'Output 2-CACCIA'!$U$4:$U$"&amp;$C$5))
+SUMIF(INDIRECT("'Output 3-ASINARA'!$H$4:$H$"&amp;$C$6),Analysis!Q11,INDIRECT("'Output 3-ASINARA'!$U$4:$U$"&amp;$C$6))
+SUMIF(INDIRECT("'Output 4-PELAGIE'!$H$4:$H$"&amp;$C$7),Analysis!Q11,INDIRECT("'Output 4-PELAGIE'!$U$4:$U$"&amp;$C$7))
+SUMIF(INDIRECT("'Output 5-EGADI'!$H$4:$H$"&amp;$C$8),Analysis!Q11,INDIRECT("'Output 5-EGADI'!$U$4:$U$"&amp;$C$8))
+SUMIF(INDIRECT("'Output 6-TG'!$H$4:$H$"&amp;$C$9),Analysis!Q11,INDIRECT("'Output 6-TG'!$U$4:$U$"&amp;$C$9))
+SUMIF(INDIRECT("'Output 7-PNAT'!$H$4:$H$"&amp;$C$10),Analysis!Q11,INDIRECT("'Output 7-PNAT'!$U$4:$U$"&amp;$C$10))
+SUMIF(INDIRECT("'Output 8-AEO'!$H$4:$H$"&amp;$C$11),Analysis!Q11,INDIRECT("'Output 8-AEO'!$U$4:$U$"&amp;$C$11))
+SUMIF(INDIRECT("'Output 9-EGADI2'!$H$4:$H$"&amp;$C$12),Analysis!Q11,INDIRECT("'Output 9-EGADI2'!$U$4:$U$"&amp;$C$12))
+SUMIF(INDIRECT("'Output 10-TUNIS'!$H$4:$H$"&amp;$C$13),Analysis!Q11,INDIRECT("'Output 10-TUNIS'!$U$4:$U$"&amp;$C$13))</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8">
        <f t="shared" ca="1" si="0"/>
        <v>0</v>
      </c>
      <c r="AA11" s="38">
        <f t="shared" si="1"/>
        <v>0</v>
      </c>
      <c r="AB11" s="54">
        <f t="shared" ca="1" si="2"/>
        <v>0</v>
      </c>
      <c r="AC11" s="64">
        <f ca="1">SUMIF(INDIRECT("'Output 1-CARBONARA'!$H$5:$H$"&amp;$C$4),Analysis!$Q11,INDIRECT("'Output 1-CARBONARA'!$F$5:$F$"&amp;$C$4))
+SUMIF(INDIRECT("'Output 2-CACCIA'!$H$5:$H$"&amp;$C$5),Analysis!$Q11,INDIRECT("'Output 2-CACCIA'!$F$5:$F$"&amp;$C$5))
+SUMIF(INDIRECT("'Output 3-ASINARA'!$H$5:$H$"&amp;$C$6),Analysis!$Q11,INDIRECT("'Output 3-ASINARA'!$F$5:$F$"&amp;$C$6))
+SUMIF(INDIRECT("'Output 4-PELAGIE'!$H$5:$H$"&amp;$C$7),Analysis!$Q11,INDIRECT("'Output 4-PELAGIE'!$F$5:$F$"&amp;$C$7))
+SUMIF(INDIRECT("'Output 5-EGADI'!$H$5:$H$"&amp;$C$8),Analysis!$Q11,INDIRECT("'Output 5-EGADI'!$F$5:$F$"&amp;$C$8))
+SUMIF(INDIRECT("'Output 6-TG'!$H$5:$H$"&amp;$C$9),Analysis!$Q11,INDIRECT("'Output 6-TG'!$F$5:$F$"&amp;$C$9))
+SUMIF(INDIRECT("'Output 7-PNAT'!$H$5:$H$"&amp;$C$10),Analysis!$Q11,INDIRECT("'Output 7-PNAT'!$F$5:$F$"&amp;$C$10))
+SUMIF(INDIRECT("'Output 8-AEO'!$H$5:$H$"&amp;$C$11),Analysis!$Q11,INDIRECT("'Output 8-AEO'!$F$5:$F$"&amp;$C$11))
+SUMIF(INDIRECT("'Output 9-EGADI2'!$H$5:$H$"&amp;$C$12),Analysis!$Q11,INDIRECT("'Output 9-EGADI2'!$F$5:$F$"&amp;$C$12))
+SUMIF(INDIRECT("'Output 10-TUNIS'!$H$5:$H$"&amp;$C$13),Analysis!$Q11,INDIRECT("'Output 10-TUNIS'!$F$5:$F$"&amp;$C$13))</f>
        <v>0</v>
      </c>
    </row>
    <row r="12" spans="1:29">
      <c r="A12" t="s">
        <v>540</v>
      </c>
      <c r="B12" s="7">
        <f>'Output 9-EGADI2'!A3</f>
        <v>7</v>
      </c>
      <c r="C12" s="7">
        <f t="shared" si="3"/>
        <v>11</v>
      </c>
      <c r="F12" t="str">
        <f>'Output 3-ASINARA'!$D$5</f>
        <v>O.3.2</v>
      </c>
      <c r="G12" s="4">
        <f>'Output 3-ASINARA'!O$5/'Output 3-ASINARA'!$F$5</f>
        <v>0</v>
      </c>
      <c r="H12" s="4">
        <f>'Output 3-ASINARA'!Q$5/'Output 3-ASINARA'!$F$5</f>
        <v>0</v>
      </c>
      <c r="I12" s="4">
        <f>('Output 3-ASINARA'!U$5)/'Output 3-ASINARA'!$F$5</f>
        <v>0</v>
      </c>
      <c r="J12" s="4">
        <f>('Output 3-ASINARA'!$U$5)/'Output 3-ASINARA'!$F$5</f>
        <v>0</v>
      </c>
      <c r="K12" s="4">
        <f>('Output 1-CARBONARA'!Y$4)/'Output 1-CARBONARA'!$F$4</f>
        <v>1</v>
      </c>
      <c r="L12" s="34">
        <f t="shared" si="6"/>
        <v>0</v>
      </c>
      <c r="M12" s="4">
        <f>('Output 3-ASINARA'!W$5)/'Output 3-ASINARA'!$F$5</f>
        <v>1</v>
      </c>
      <c r="N12" s="4">
        <f>('Output 3-ASINARA'!Y$5)/'Output 3-ASINARA'!$F$5</f>
        <v>0</v>
      </c>
      <c r="O12" s="34">
        <f t="shared" si="7"/>
        <v>0</v>
      </c>
      <c r="Q12" s="31">
        <v>1.3</v>
      </c>
      <c r="R12" s="5">
        <f ca="1">SUMIF(INDIRECT("'Output 1-CARBONARA'!$H$4:$H$"&amp;$C$4),Analysis!Q12,INDIRECT("'Output 1-CARBONARA'!$m$4:$m$"&amp;$C$4))
+SUMIF(INDIRECT("'Output 2-CACCIA'!$H$4:$H$"&amp;$C$5),Analysis!Q12,INDIRECT("'Output 2-CACCIA'!$m$4:$m$"&amp;$C$5))
+SUMIF(INDIRECT("'Output 3-ASINARA'!$H$4:$H$"&amp;$C$6),Analysis!Q12,INDIRECT("'Output 3-ASINARA'!$m$4:$m$"&amp;$C$6))
+SUMIF(INDIRECT("'Output 4-PELAGIE'!$H$4:$H$"&amp;$C$7),Analysis!Q12,INDIRECT("'Output 4-PELAGIE'!$m$4:$m$"&amp;$C$7))
+SUMIF(INDIRECT("'Output 5-EGADI'!$H$4:$H$"&amp;$C$8),Analysis!Q12,INDIRECT("'Output 5-EGADI'!$m$4:$m$"&amp;$C$8))
+SUMIF(INDIRECT("'Output 6-TG'!$H$4:$H$"&amp;$C$9),Analysis!Q12,INDIRECT("'Output 6-TG'!$m$4:$m$"&amp;$C$9))
+SUMIF(INDIRECT("'Output 7-PNAT'!$H$4:$H$"&amp;$C$10),Analysis!Q12,INDIRECT("'Output 7-PNAT'!$m$4:$m$"&amp;$C$10))
+SUMIF(INDIRECT("'Output 8-AEO'!$H$4:$H$"&amp;$C$11),Analysis!Q12,INDIRECT("'Output 8-AEO'!$m$4:$m$"&amp;$C$11))
+SUMIF(INDIRECT("'Output 9-EGADI2'!$H$4:$H$"&amp;$C$12),Analysis!Q12,INDIRECT("'Output 9-EGADI2'!$m$4:$m$"&amp;$C$12))
+SUMIF(INDIRECT("'Output 10-TUNIS'!$H$4:$H$"&amp;$C$13),Analysis!Q12,INDIRECT("'Output 10-TUNIS'!$m$4:$m$"&amp;$C$13))</f>
        <v>0</v>
      </c>
      <c r="S12" s="5">
        <f ca="1">SUMIF(INDIRECT("'Output 1-CARBONARA'!$H$4:$H$"&amp;$C$4),Analysis!Q12,INDIRECT("'Output 1-CARBONARA'!$q$4:$q$"&amp;$C$4))
+SUMIF(INDIRECT("'Output 2-CACCIA'!$H$4:$H$"&amp;$C$5),Analysis!Q12,INDIRECT("'Output 2-CACCIA'!$q$4:$q$"&amp;$C$5))
+SUMIF(INDIRECT("'Output 3-ASINARA'!$H$4:$H$"&amp;$C$6),Analysis!Q12,INDIRECT("'Output 3-ASINARA'!$q$4:$q$"&amp;$C$6))
+SUMIF(INDIRECT("'Output 4-PELAGIE'!$H$4:$H$"&amp;$C$7),Analysis!Q12,INDIRECT("'Output 4-PELAGIE'!$q$4:$q$"&amp;$C$7))
+SUMIF(INDIRECT("'Output 5-EGADI'!$H$4:$H$"&amp;$C$8),Analysis!Q12,INDIRECT("'Output 5-EGADI'!$q$4:$q$"&amp;$C$8))
+SUMIF(INDIRECT("'Output 6-TG'!$H$4:$H$"&amp;$C$9),Analysis!Q12,INDIRECT("'Output 6-TG'!$q$4:$q$"&amp;$C$9))
+SUMIF(INDIRECT("'Output 7-PNAT'!$H$4:$H$"&amp;$C$10),Analysis!Q12,INDIRECT("'Output 7-PNAT'!$q$4:$q$"&amp;$C$10))
+SUMIF(INDIRECT("'Output 8-AEO'!$H$4:$H$"&amp;$C$11),Analysis!Q12,INDIRECT("'Output 8-AEO'!$q$4:$q$"&amp;$C$11))
+SUMIF(INDIRECT("'Output 9-EGADI2'!$H$4:$H$"&amp;$C$12),Analysis!Q12,INDIRECT("'Output 9-EGADI2'!$q$4:$q$"&amp;$C$12))
+SUMIF(INDIRECT("'Output 10-TUNIS'!$H$4:$H$"&amp;$C$13),Analysis!Q12,INDIRECT("'Output 10-TUNIS'!$q$4:$q$"&amp;$C$13))</f>
        <v>0</v>
      </c>
      <c r="T12" s="5">
        <f ca="1">SUMIF(INDIRECT("'Output 1-CARBONARA'!$H$4:$H$"&amp;$C$4),Analysis!Q12,INDIRECT("'Output 1-CARBONARA'!$U$4:$U$"&amp;$C$4))
+SUMIF(INDIRECT("'Output 2-CACCIA'!$H$4:$H$"&amp;$C$5),Analysis!Q12,INDIRECT("'Output 2-CACCIA'!$U$4:$U$"&amp;$C$5))
+SUMIF(INDIRECT("'Output 3-ASINARA'!$H$4:$H$"&amp;$C$6),Analysis!Q12,INDIRECT("'Output 3-ASINARA'!$U$4:$U$"&amp;$C$6))
+SUMIF(INDIRECT("'Output 4-PELAGIE'!$H$4:$H$"&amp;$C$7),Analysis!Q12,INDIRECT("'Output 4-PELAGIE'!$U$4:$U$"&amp;$C$7))
+SUMIF(INDIRECT("'Output 5-EGADI'!$H$4:$H$"&amp;$C$8),Analysis!Q12,INDIRECT("'Output 5-EGADI'!$U$4:$U$"&amp;$C$8))
+SUMIF(INDIRECT("'Output 6-TG'!$H$4:$H$"&amp;$C$9),Analysis!Q12,INDIRECT("'Output 6-TG'!$U$4:$U$"&amp;$C$9))
+SUMIF(INDIRECT("'Output 7-PNAT'!$H$4:$H$"&amp;$C$10),Analysis!Q12,INDIRECT("'Output 7-PNAT'!$U$4:$U$"&amp;$C$10))
+SUMIF(INDIRECT("'Output 8-AEO'!$H$4:$H$"&amp;$C$11),Analysis!Q12,INDIRECT("'Output 8-AEO'!$U$4:$U$"&amp;$C$11))
+SUMIF(INDIRECT("'Output 9-EGADI2'!$H$4:$H$"&amp;$C$12),Analysis!Q12,INDIRECT("'Output 9-EGADI2'!$U$4:$U$"&amp;$C$12))
+SUMIF(INDIRECT("'Output 10-TUNIS'!$H$4:$H$"&amp;$C$13),Analysis!Q12,INDIRECT("'Output 10-TUNIS'!$U$4:$U$"&amp;$C$13))</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8">
        <f t="shared" ca="1" si="0"/>
        <v>0</v>
      </c>
      <c r="AA12" s="38">
        <f t="shared" si="1"/>
        <v>0</v>
      </c>
      <c r="AB12" s="54">
        <f t="shared" ca="1" si="2"/>
        <v>0</v>
      </c>
      <c r="AC12" s="64">
        <f ca="1">SUMIF(INDIRECT("'Output 1-CARBONARA'!$H$5:$H$"&amp;$C$4),Analysis!$Q12,INDIRECT("'Output 1-CARBONARA'!$F$5:$F$"&amp;$C$4))
+SUMIF(INDIRECT("'Output 2-CACCIA'!$H$5:$H$"&amp;$C$5),Analysis!$Q12,INDIRECT("'Output 2-CACCIA'!$F$5:$F$"&amp;$C$5))
+SUMIF(INDIRECT("'Output 3-ASINARA'!$H$5:$H$"&amp;$C$6),Analysis!$Q12,INDIRECT("'Output 3-ASINARA'!$F$5:$F$"&amp;$C$6))
+SUMIF(INDIRECT("'Output 4-PELAGIE'!$H$5:$H$"&amp;$C$7),Analysis!$Q12,INDIRECT("'Output 4-PELAGIE'!$F$5:$F$"&amp;$C$7))
+SUMIF(INDIRECT("'Output 5-EGADI'!$H$5:$H$"&amp;$C$8),Analysis!$Q12,INDIRECT("'Output 5-EGADI'!$F$5:$F$"&amp;$C$8))
+SUMIF(INDIRECT("'Output 6-TG'!$H$5:$H$"&amp;$C$9),Analysis!$Q12,INDIRECT("'Output 6-TG'!$F$5:$F$"&amp;$C$9))
+SUMIF(INDIRECT("'Output 7-PNAT'!$H$5:$H$"&amp;$C$10),Analysis!$Q12,INDIRECT("'Output 7-PNAT'!$F$5:$F$"&amp;$C$10))
+SUMIF(INDIRECT("'Output 8-AEO'!$H$5:$H$"&amp;$C$11),Analysis!$Q12,INDIRECT("'Output 8-AEO'!$F$5:$F$"&amp;$C$11))
+SUMIF(INDIRECT("'Output 9-EGADI2'!$H$5:$H$"&amp;$C$12),Analysis!$Q12,INDIRECT("'Output 9-EGADI2'!$F$5:$F$"&amp;$C$12))
+SUMIF(INDIRECT("'Output 10-TUNIS'!$H$5:$H$"&amp;$C$13),Analysis!$Q12,INDIRECT("'Output 10-TUNIS'!$F$5:$F$"&amp;$C$13))</f>
        <v>0</v>
      </c>
    </row>
    <row r="13" spans="1:29">
      <c r="A13" t="s">
        <v>607</v>
      </c>
      <c r="B13" s="7">
        <f>'Output 10-TUNIS'!A3</f>
        <v>3</v>
      </c>
      <c r="C13" s="7">
        <f t="shared" si="3"/>
        <v>7</v>
      </c>
      <c r="F13" t="str">
        <f>'Output 3-ASINARA'!$D$6</f>
        <v>O.3.3</v>
      </c>
      <c r="G13" s="4">
        <f>'Output 3-ASINARA'!O$6/'Output 3-ASINARA'!$F$6</f>
        <v>0</v>
      </c>
      <c r="H13" s="4">
        <f>'Output 3-ASINARA'!Q$6/'Output 3-ASINARA'!$F$6</f>
        <v>0</v>
      </c>
      <c r="I13" s="4">
        <f>('Output 3-ASINARA'!S$6)/'Output 3-ASINARA'!$F$6</f>
        <v>0</v>
      </c>
      <c r="J13" s="4">
        <f>('Output 3-ASINARA'!U$6)/'Output 3-ASINARA'!$F$6</f>
        <v>1.4285714285714285E-2</v>
      </c>
      <c r="K13" s="4">
        <f>('Output 1-CARBONARA'!Y$4)/'Output 1-CARBONARA'!$F$4</f>
        <v>1</v>
      </c>
      <c r="L13" s="34">
        <f t="shared" si="6"/>
        <v>1.4285714285714285E-2</v>
      </c>
      <c r="M13" s="4" t="e">
        <f>('Output 3-ASINARA'!W$6)/'Output 3-ASINARA'!$F$6</f>
        <v>#VALUE!</v>
      </c>
      <c r="N13" s="4">
        <f>('Output 3-ASINARA'!Y$6)/'Output 3-ASINARA'!$F$6</f>
        <v>4.2857142857142859E-3</v>
      </c>
      <c r="O13" s="34">
        <f t="shared" si="7"/>
        <v>1.8571428571428572E-2</v>
      </c>
      <c r="Q13" s="31" t="s">
        <v>712</v>
      </c>
      <c r="R13" s="5">
        <f ca="1">SUMIF(INDIRECT("'Output 1-CARBONARA'!$H$4:$H$"&amp;$C$4),Analysis!Q13,INDIRECT("'Output 1-CARBONARA'!$m$4:$m$"&amp;$C$4))
+SUMIF(INDIRECT("'Output 2-CACCIA'!$H$4:$H$"&amp;$C$5),Analysis!Q13,INDIRECT("'Output 2-CACCIA'!$m$4:$m$"&amp;$C$5))
+SUMIF(INDIRECT("'Output 3-ASINARA'!$H$4:$H$"&amp;$C$6),Analysis!Q13,INDIRECT("'Output 3-ASINARA'!$m$4:$m$"&amp;$C$6))
+SUMIF(INDIRECT("'Output 4-PELAGIE'!$H$4:$H$"&amp;$C$7),Analysis!Q13,INDIRECT("'Output 4-PELAGIE'!$m$4:$m$"&amp;$C$7))
+SUMIF(INDIRECT("'Output 5-EGADI'!$H$4:$H$"&amp;$C$8),Analysis!Q13,INDIRECT("'Output 5-EGADI'!$m$4:$m$"&amp;$C$8))
+SUMIF(INDIRECT("'Output 6-TG'!$H$4:$H$"&amp;$C$9),Analysis!Q13,INDIRECT("'Output 6-TG'!$m$4:$m$"&amp;$C$9))
+SUMIF(INDIRECT("'Output 7-PNAT'!$H$4:$H$"&amp;$C$10),Analysis!Q13,INDIRECT("'Output 7-PNAT'!$m$4:$m$"&amp;$C$10))
+SUMIF(INDIRECT("'Output 8-AEO'!$H$4:$H$"&amp;$C$11),Analysis!Q13,INDIRECT("'Output 8-AEO'!$m$4:$m$"&amp;$C$11))
+SUMIF(INDIRECT("'Output 9-EGADI2'!$H$4:$H$"&amp;$C$12),Analysis!Q13,INDIRECT("'Output 9-EGADI2'!$m$4:$m$"&amp;$C$12))
+SUMIF(INDIRECT("'Output 10-TUNIS'!$H$4:$H$"&amp;$C$13),Analysis!Q13,INDIRECT("'Output 10-TUNIS'!$m$4:$m$"&amp;$C$13))</f>
        <v>0</v>
      </c>
      <c r="S13" s="5">
        <f ca="1">SUMIF(INDIRECT("'Output 1-CARBONARA'!$H$4:$H$"&amp;$C$4),Analysis!Q13,INDIRECT("'Output 1-CARBONARA'!$q$4:$q$"&amp;$C$4))
+SUMIF(INDIRECT("'Output 2-CACCIA'!$H$4:$H$"&amp;$C$5),Analysis!Q13,INDIRECT("'Output 2-CACCIA'!$q$4:$q$"&amp;$C$5))
+SUMIF(INDIRECT("'Output 3-ASINARA'!$H$4:$H$"&amp;$C$6),Analysis!Q13,INDIRECT("'Output 3-ASINARA'!$q$4:$q$"&amp;$C$6))
+SUMIF(INDIRECT("'Output 4-PELAGIE'!$H$4:$H$"&amp;$C$7),Analysis!Q13,INDIRECT("'Output 4-PELAGIE'!$q$4:$q$"&amp;$C$7))
+SUMIF(INDIRECT("'Output 5-EGADI'!$H$4:$H$"&amp;$C$8),Analysis!Q13,INDIRECT("'Output 5-EGADI'!$q$4:$q$"&amp;$C$8))
+SUMIF(INDIRECT("'Output 6-TG'!$H$4:$H$"&amp;$C$9),Analysis!Q13,INDIRECT("'Output 6-TG'!$q$4:$q$"&amp;$C$9))
+SUMIF(INDIRECT("'Output 7-PNAT'!$H$4:$H$"&amp;$C$10),Analysis!Q13,INDIRECT("'Output 7-PNAT'!$q$4:$q$"&amp;$C$10))
+SUMIF(INDIRECT("'Output 8-AEO'!$H$4:$H$"&amp;$C$11),Analysis!Q13,INDIRECT("'Output 8-AEO'!$q$4:$q$"&amp;$C$11))
+SUMIF(INDIRECT("'Output 9-EGADI2'!$H$4:$H$"&amp;$C$12),Analysis!Q13,INDIRECT("'Output 9-EGADI2'!$q$4:$q$"&amp;$C$12))
+SUMIF(INDIRECT("'Output 10-TUNIS'!$H$4:$H$"&amp;$C$13),Analysis!Q13,INDIRECT("'Output 10-TUNIS'!$q$4:$q$"&amp;$C$13))</f>
        <v>0</v>
      </c>
      <c r="T13" s="5">
        <f ca="1">SUMIF(INDIRECT("'Output 1-CARBONARA'!$H$4:$H$"&amp;$C$4),Analysis!Q13,INDIRECT("'Output 1-CARBONARA'!$U$4:$U$"&amp;$C$4))
+SUMIF(INDIRECT("'Output 2-CACCIA'!$H$4:$H$"&amp;$C$5),Analysis!Q13,INDIRECT("'Output 2-CACCIA'!$U$4:$U$"&amp;$C$5))
+SUMIF(INDIRECT("'Output 3-ASINARA'!$H$4:$H$"&amp;$C$6),Analysis!Q13,INDIRECT("'Output 3-ASINARA'!$U$4:$U$"&amp;$C$6))
+SUMIF(INDIRECT("'Output 4-PELAGIE'!$H$4:$H$"&amp;$C$7),Analysis!Q13,INDIRECT("'Output 4-PELAGIE'!$U$4:$U$"&amp;$C$7))
+SUMIF(INDIRECT("'Output 5-EGADI'!$H$4:$H$"&amp;$C$8),Analysis!Q13,INDIRECT("'Output 5-EGADI'!$U$4:$U$"&amp;$C$8))
+SUMIF(INDIRECT("'Output 6-TG'!$H$4:$H$"&amp;$C$9),Analysis!Q13,INDIRECT("'Output 6-TG'!$U$4:$U$"&amp;$C$9))
+SUMIF(INDIRECT("'Output 7-PNAT'!$H$4:$H$"&amp;$C$10),Analysis!Q13,INDIRECT("'Output 7-PNAT'!$U$4:$U$"&amp;$C$10))
+SUMIF(INDIRECT("'Output 8-AEO'!$H$4:$H$"&amp;$C$11),Analysis!Q13,INDIRECT("'Output 8-AEO'!$U$4:$U$"&amp;$C$11))
+SUMIF(INDIRECT("'Output 9-EGADI2'!$H$4:$H$"&amp;$C$12),Analysis!Q13,INDIRECT("'Output 9-EGADI2'!$U$4:$U$"&amp;$C$12))
+SUMIF(INDIRECT("'Output 10-TUNIS'!$H$4:$H$"&amp;$C$13),Analysis!Q13,INDIRECT("'Output 10-TUNIS'!$U$4:$U$"&amp;$C$13))</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8">
        <f t="shared" ca="1" si="0"/>
        <v>0</v>
      </c>
      <c r="AA13" s="38">
        <f t="shared" si="1"/>
        <v>0</v>
      </c>
      <c r="AB13" s="54">
        <f t="shared" ca="1" si="2"/>
        <v>0</v>
      </c>
      <c r="AC13" s="64">
        <f ca="1">SUMIF(INDIRECT("'Output 1-CARBONARA'!$H$5:$H$"&amp;$C$4),Analysis!$Q13,INDIRECT("'Output 1-CARBONARA'!$F$5:$F$"&amp;$C$4))
+SUMIF(INDIRECT("'Output 2-CACCIA'!$H$5:$H$"&amp;$C$5),Analysis!$Q13,INDIRECT("'Output 2-CACCIA'!$F$5:$F$"&amp;$C$5))
+SUMIF(INDIRECT("'Output 3-ASINARA'!$H$5:$H$"&amp;$C$6),Analysis!$Q13,INDIRECT("'Output 3-ASINARA'!$F$5:$F$"&amp;$C$6))
+SUMIF(INDIRECT("'Output 4-PELAGIE'!$H$5:$H$"&amp;$C$7),Analysis!$Q13,INDIRECT("'Output 4-PELAGIE'!$F$5:$F$"&amp;$C$7))
+SUMIF(INDIRECT("'Output 5-EGADI'!$H$5:$H$"&amp;$C$8),Analysis!$Q13,INDIRECT("'Output 5-EGADI'!$F$5:$F$"&amp;$C$8))
+SUMIF(INDIRECT("'Output 6-TG'!$H$5:$H$"&amp;$C$9),Analysis!$Q13,INDIRECT("'Output 6-TG'!$F$5:$F$"&amp;$C$9))
+SUMIF(INDIRECT("'Output 7-PNAT'!$H$5:$H$"&amp;$C$10),Analysis!$Q13,INDIRECT("'Output 7-PNAT'!$F$5:$F$"&amp;$C$10))
+SUMIF(INDIRECT("'Output 8-AEO'!$H$5:$H$"&amp;$C$11),Analysis!$Q13,INDIRECT("'Output 8-AEO'!$F$5:$F$"&amp;$C$11))
+SUMIF(INDIRECT("'Output 9-EGADI2'!$H$5:$H$"&amp;$C$12),Analysis!$Q13,INDIRECT("'Output 9-EGADI2'!$F$5:$F$"&amp;$C$12))
+SUMIF(INDIRECT("'Output 10-TUNIS'!$H$5:$H$"&amp;$C$13),Analysis!$Q13,INDIRECT("'Output 10-TUNIS'!$F$5:$F$"&amp;$C$13))</f>
        <v>0</v>
      </c>
    </row>
    <row r="14" spans="1:29">
      <c r="E14" t="str">
        <f>'Output 4-PELAGIE'!$B$4</f>
        <v>O.4</v>
      </c>
      <c r="F14" t="str">
        <f>'Output 4-PELAGIE'!$D$4</f>
        <v>O.4.1</v>
      </c>
      <c r="G14" s="4">
        <f>'Output 4-PELAGIE'!$O$4/'Output 4-PELAGIE'!$F$4</f>
        <v>0</v>
      </c>
      <c r="H14" s="4" t="e">
        <f>'Output 4-PELAGIE'!#REF!/'Output 4-PELAGIE'!$F$4</f>
        <v>#REF!</v>
      </c>
      <c r="I14" s="4">
        <f>('Output 4-PELAGIE'!W$4)/'Output 4-PELAGIE'!$F$4</f>
        <v>0.1111111111111111</v>
      </c>
      <c r="J14" s="4" t="e">
        <f>('Output 4-PELAGIE'!#REF!)/'Output 4-PELAGIE'!$F$4</f>
        <v>#REF!</v>
      </c>
      <c r="K14" s="4">
        <f>('Output 1-CARBONARA'!Y$4)/'Output 1-CARBONARA'!$F$4</f>
        <v>1</v>
      </c>
      <c r="L14" s="34" t="e">
        <f t="shared" si="6"/>
        <v>#REF!</v>
      </c>
      <c r="M14" s="4" t="e">
        <f>('Output 4-PELAGIE'!#REF!)/'Output 4-PELAGIE'!$F$4</f>
        <v>#REF!</v>
      </c>
      <c r="N14" s="4">
        <f>('Output 4-PELAGIE'!Y$4)/'Output 4-PELAGIE'!$F$4</f>
        <v>0.33333333333333331</v>
      </c>
      <c r="O14" s="34" t="e">
        <f t="shared" si="7"/>
        <v>#REF!</v>
      </c>
      <c r="Q14" s="31" t="s">
        <v>345</v>
      </c>
      <c r="R14" s="5">
        <f ca="1">SUMIF(INDIRECT("'Output 1-CARBONARA'!$H$4:$H$"&amp;$C$4),Analysis!Q14,INDIRECT("'Output 1-CARBONARA'!$m$4:$m$"&amp;$C$4))
+SUMIF(INDIRECT("'Output 2-CACCIA'!$H$4:$H$"&amp;$C$5),Analysis!Q14,INDIRECT("'Output 2-CACCIA'!$m$4:$m$"&amp;$C$5))
+SUMIF(INDIRECT("'Output 3-ASINARA'!$H$4:$H$"&amp;$C$6),Analysis!Q14,INDIRECT("'Output 3-ASINARA'!$m$4:$m$"&amp;$C$6))
+SUMIF(INDIRECT("'Output 4-PELAGIE'!$H$4:$H$"&amp;$C$7),Analysis!Q14,INDIRECT("'Output 4-PELAGIE'!$m$4:$m$"&amp;$C$7))
+SUMIF(INDIRECT("'Output 5-EGADI'!$H$4:$H$"&amp;$C$8),Analysis!Q14,INDIRECT("'Output 5-EGADI'!$m$4:$m$"&amp;$C$8))
+SUMIF(INDIRECT("'Output 6-TG'!$H$4:$H$"&amp;$C$9),Analysis!Q14,INDIRECT("'Output 6-TG'!$m$4:$m$"&amp;$C$9))
+SUMIF(INDIRECT("'Output 7-PNAT'!$H$4:$H$"&amp;$C$10),Analysis!Q14,INDIRECT("'Output 7-PNAT'!$m$4:$m$"&amp;$C$10))
+SUMIF(INDIRECT("'Output 8-AEO'!$H$4:$H$"&amp;$C$11),Analysis!Q14,INDIRECT("'Output 8-AEO'!$m$4:$m$"&amp;$C$11))
+SUMIF(INDIRECT("'Output 9-EGADI2'!$H$4:$H$"&amp;$C$12),Analysis!Q14,INDIRECT("'Output 9-EGADI2'!$m$4:$m$"&amp;$C$12))
+SUMIF(INDIRECT("'Output 10-TUNIS'!$H$4:$H$"&amp;$C$13),Analysis!Q14,INDIRECT("'Output 10-TUNIS'!$m$4:$m$"&amp;$C$13))</f>
        <v>0</v>
      </c>
      <c r="S14" s="5">
        <f ca="1">SUMIF(INDIRECT("'Output 1-CARBONARA'!$H$4:$H$"&amp;$C$4),Analysis!Q14,INDIRECT("'Output 1-CARBONARA'!$q$4:$q$"&amp;$C$4))
+SUMIF(INDIRECT("'Output 2-CACCIA'!$H$4:$H$"&amp;$C$5),Analysis!Q14,INDIRECT("'Output 2-CACCIA'!$q$4:$q$"&amp;$C$5))
+SUMIF(INDIRECT("'Output 3-ASINARA'!$H$4:$H$"&amp;$C$6),Analysis!Q14,INDIRECT("'Output 3-ASINARA'!$q$4:$q$"&amp;$C$6))
+SUMIF(INDIRECT("'Output 4-PELAGIE'!$H$4:$H$"&amp;$C$7),Analysis!Q14,INDIRECT("'Output 4-PELAGIE'!$q$4:$q$"&amp;$C$7))
+SUMIF(INDIRECT("'Output 5-EGADI'!$H$4:$H$"&amp;$C$8),Analysis!Q14,INDIRECT("'Output 5-EGADI'!$q$4:$q$"&amp;$C$8))
+SUMIF(INDIRECT("'Output 6-TG'!$H$4:$H$"&amp;$C$9),Analysis!Q14,INDIRECT("'Output 6-TG'!$q$4:$q$"&amp;$C$9))
+SUMIF(INDIRECT("'Output 7-PNAT'!$H$4:$H$"&amp;$C$10),Analysis!Q14,INDIRECT("'Output 7-PNAT'!$q$4:$q$"&amp;$C$10))
+SUMIF(INDIRECT("'Output 8-AEO'!$H$4:$H$"&amp;$C$11),Analysis!Q14,INDIRECT("'Output 8-AEO'!$q$4:$q$"&amp;$C$11))
+SUMIF(INDIRECT("'Output 9-EGADI2'!$H$4:$H$"&amp;$C$12),Analysis!Q14,INDIRECT("'Output 9-EGADI2'!$q$4:$q$"&amp;$C$12))
+SUMIF(INDIRECT("'Output 10-TUNIS'!$H$4:$H$"&amp;$C$13),Analysis!Q14,INDIRECT("'Output 10-TUNIS'!$q$4:$q$"&amp;$C$13))</f>
        <v>0</v>
      </c>
      <c r="T14" s="5">
        <f ca="1">SUMIF(INDIRECT("'Output 1-CARBONARA'!$H$4:$H$"&amp;$C$4),Analysis!Q14,INDIRECT("'Output 1-CARBONARA'!$U$4:$U$"&amp;$C$4))
+SUMIF(INDIRECT("'Output 2-CACCIA'!$H$4:$H$"&amp;$C$5),Analysis!Q14,INDIRECT("'Output 2-CACCIA'!$U$4:$U$"&amp;$C$5))
+SUMIF(INDIRECT("'Output 3-ASINARA'!$H$4:$H$"&amp;$C$6),Analysis!Q14,INDIRECT("'Output 3-ASINARA'!$U$4:$U$"&amp;$C$6))
+SUMIF(INDIRECT("'Output 4-PELAGIE'!$H$4:$H$"&amp;$C$7),Analysis!Q14,INDIRECT("'Output 4-PELAGIE'!$U$4:$U$"&amp;$C$7))
+SUMIF(INDIRECT("'Output 5-EGADI'!$H$4:$H$"&amp;$C$8),Analysis!Q14,INDIRECT("'Output 5-EGADI'!$U$4:$U$"&amp;$C$8))
+SUMIF(INDIRECT("'Output 6-TG'!$H$4:$H$"&amp;$C$9),Analysis!Q14,INDIRECT("'Output 6-TG'!$U$4:$U$"&amp;$C$9))
+SUMIF(INDIRECT("'Output 7-PNAT'!$H$4:$H$"&amp;$C$10),Analysis!Q14,INDIRECT("'Output 7-PNAT'!$U$4:$U$"&amp;$C$10))
+SUMIF(INDIRECT("'Output 8-AEO'!$H$4:$H$"&amp;$C$11),Analysis!Q14,INDIRECT("'Output 8-AEO'!$U$4:$U$"&amp;$C$11))
+SUMIF(INDIRECT("'Output 9-EGADI2'!$H$4:$H$"&amp;$C$12),Analysis!Q14,INDIRECT("'Output 9-EGADI2'!$U$4:$U$"&amp;$C$12))
+SUMIF(INDIRECT("'Output 10-TUNIS'!$H$4:$H$"&amp;$C$13),Analysis!Q14,INDIRECT("'Output 10-TUNIS'!$U$4:$U$"&amp;$C$13))</f>
        <v>1</v>
      </c>
      <c r="U14" s="31"/>
      <c r="V14" s="5">
        <f>SUMIF('Unplanned Outputs'!$E$4:$E$500,Analysis!Q14,'Unplanned Outputs'!$J$4:$J$500)</f>
        <v>0</v>
      </c>
      <c r="W14" s="5">
        <f>SUMIF('Unplanned Outputs'!$E$4:$E$500,Analysis!$Q14,'Unplanned Outputs'!$N$4:$N$500)</f>
        <v>0</v>
      </c>
      <c r="X14" s="5">
        <f>SUMIF('Unplanned Outputs'!$E$4:$E$500,Analysis!$Q14,'Unplanned Outputs'!$R$4:$R$500)</f>
        <v>0</v>
      </c>
      <c r="Y14" s="15"/>
      <c r="Z14" s="38">
        <f t="shared" ca="1" si="0"/>
        <v>1</v>
      </c>
      <c r="AA14" s="38">
        <f t="shared" si="1"/>
        <v>0</v>
      </c>
      <c r="AB14" s="54">
        <f t="shared" ca="1" si="2"/>
        <v>1</v>
      </c>
      <c r="AC14" s="64">
        <f ca="1">SUMIF(INDIRECT("'Output 1-CARBONARA'!$H$5:$H$"&amp;$C$4),Analysis!$Q14,INDIRECT("'Output 1-CARBONARA'!$F$5:$F$"&amp;$C$4))
+SUMIF(INDIRECT("'Output 2-CACCIA'!$H$5:$H$"&amp;$C$5),Analysis!$Q14,INDIRECT("'Output 2-CACCIA'!$F$5:$F$"&amp;$C$5))
+SUMIF(INDIRECT("'Output 3-ASINARA'!$H$5:$H$"&amp;$C$6),Analysis!$Q14,INDIRECT("'Output 3-ASINARA'!$F$5:$F$"&amp;$C$6))
+SUMIF(INDIRECT("'Output 4-PELAGIE'!$H$5:$H$"&amp;$C$7),Analysis!$Q14,INDIRECT("'Output 4-PELAGIE'!$F$5:$F$"&amp;$C$7))
+SUMIF(INDIRECT("'Output 5-EGADI'!$H$5:$H$"&amp;$C$8),Analysis!$Q14,INDIRECT("'Output 5-EGADI'!$F$5:$F$"&amp;$C$8))
+SUMIF(INDIRECT("'Output 6-TG'!$H$5:$H$"&amp;$C$9),Analysis!$Q14,INDIRECT("'Output 6-TG'!$F$5:$F$"&amp;$C$9))
+SUMIF(INDIRECT("'Output 7-PNAT'!$H$5:$H$"&amp;$C$10),Analysis!$Q14,INDIRECT("'Output 7-PNAT'!$F$5:$F$"&amp;$C$10))
+SUMIF(INDIRECT("'Output 8-AEO'!$H$5:$H$"&amp;$C$11),Analysis!$Q14,INDIRECT("'Output 8-AEO'!$F$5:$F$"&amp;$C$11))
+SUMIF(INDIRECT("'Output 9-EGADI2'!$H$5:$H$"&amp;$C$12),Analysis!$Q14,INDIRECT("'Output 9-EGADI2'!$F$5:$F$"&amp;$C$12))
+SUMIF(INDIRECT("'Output 10-TUNIS'!$H$5:$H$"&amp;$C$13),Analysis!$Q14,INDIRECT("'Output 10-TUNIS'!$F$5:$F$"&amp;$C$13))</f>
        <v>4</v>
      </c>
    </row>
    <row r="15" spans="1:29">
      <c r="F15" t="str">
        <f>'Output 4-PELAGIE'!$D$5</f>
        <v>O.4.2</v>
      </c>
      <c r="G15" s="4">
        <f>'Output 4-PELAGIE'!O$5/'Output 4-PELAGIE'!$F$5</f>
        <v>0</v>
      </c>
      <c r="H15" s="4">
        <f>'Output 4-PELAGIE'!Q$5/'Output 4-PELAGIE'!$F$5</f>
        <v>0</v>
      </c>
      <c r="I15" s="4">
        <f>('Output 4-PELAGIE'!U$5)/'Output 4-PELAGIE'!$F$5</f>
        <v>1</v>
      </c>
      <c r="J15" s="4">
        <f>('Output 4-PELAGIE'!U$5)/'Output 4-PELAGIE'!$F$5</f>
        <v>1</v>
      </c>
      <c r="K15" s="4">
        <f>('Output 1-CARBONARA'!Y$4)/'Output 1-CARBONARA'!$F$4</f>
        <v>1</v>
      </c>
      <c r="L15" s="34">
        <f t="shared" si="6"/>
        <v>1</v>
      </c>
      <c r="M15" s="4" t="e">
        <f>('Output 4-PELAGIE'!#REF!)/'Output 4-PELAGIE'!$F$5</f>
        <v>#REF!</v>
      </c>
      <c r="N15" s="4">
        <f>('Output 4-PELAGIE'!Y$5)/'Output 4-PELAGIE'!$F$5</f>
        <v>0.5</v>
      </c>
      <c r="O15" s="34">
        <f t="shared" si="7"/>
        <v>1.5</v>
      </c>
      <c r="Q15" s="31" t="s">
        <v>415</v>
      </c>
      <c r="R15" s="5">
        <f ca="1">SUMIF(INDIRECT("'Output 1-CARBONARA'!$H$4:$H$"&amp;$C$4),Analysis!Q15,INDIRECT("'Output 1-CARBONARA'!$m$4:$m$"&amp;$C$4))
+SUMIF(INDIRECT("'Output 2-CACCIA'!$H$4:$H$"&amp;$C$5),Analysis!Q15,INDIRECT("'Output 2-CACCIA'!$m$4:$m$"&amp;$C$5))
+SUMIF(INDIRECT("'Output 3-ASINARA'!$H$4:$H$"&amp;$C$6),Analysis!Q15,INDIRECT("'Output 3-ASINARA'!$m$4:$m$"&amp;$C$6))
+SUMIF(INDIRECT("'Output 4-PELAGIE'!$H$4:$H$"&amp;$C$7),Analysis!Q15,INDIRECT("'Output 4-PELAGIE'!$m$4:$m$"&amp;$C$7))
+SUMIF(INDIRECT("'Output 5-EGADI'!$H$4:$H$"&amp;$C$8),Analysis!Q15,INDIRECT("'Output 5-EGADI'!$m$4:$m$"&amp;$C$8))
+SUMIF(INDIRECT("'Output 6-TG'!$H$4:$H$"&amp;$C$9),Analysis!Q15,INDIRECT("'Output 6-TG'!$m$4:$m$"&amp;$C$9))
+SUMIF(INDIRECT("'Output 7-PNAT'!$H$4:$H$"&amp;$C$10),Analysis!Q15,INDIRECT("'Output 7-PNAT'!$m$4:$m$"&amp;$C$10))
+SUMIF(INDIRECT("'Output 8-AEO'!$H$4:$H$"&amp;$C$11),Analysis!Q15,INDIRECT("'Output 8-AEO'!$m$4:$m$"&amp;$C$11))
+SUMIF(INDIRECT("'Output 9-EGADI2'!$H$4:$H$"&amp;$C$12),Analysis!Q15,INDIRECT("'Output 9-EGADI2'!$m$4:$m$"&amp;$C$12))
+SUMIF(INDIRECT("'Output 10-TUNIS'!$H$4:$H$"&amp;$C$13),Analysis!Q15,INDIRECT("'Output 10-TUNIS'!$m$4:$m$"&amp;$C$13))</f>
        <v>0</v>
      </c>
      <c r="S15" s="5">
        <f ca="1">SUMIF(INDIRECT("'Output 1-CARBONARA'!$H$4:$H$"&amp;$C$4),Analysis!Q15,INDIRECT("'Output 1-CARBONARA'!$q$4:$q$"&amp;$C$4))
+SUMIF(INDIRECT("'Output 2-CACCIA'!$H$4:$H$"&amp;$C$5),Analysis!Q15,INDIRECT("'Output 2-CACCIA'!$q$4:$q$"&amp;$C$5))
+SUMIF(INDIRECT("'Output 3-ASINARA'!$H$4:$H$"&amp;$C$6),Analysis!Q15,INDIRECT("'Output 3-ASINARA'!$q$4:$q$"&amp;$C$6))
+SUMIF(INDIRECT("'Output 4-PELAGIE'!$H$4:$H$"&amp;$C$7),Analysis!Q15,INDIRECT("'Output 4-PELAGIE'!$q$4:$q$"&amp;$C$7))
+SUMIF(INDIRECT("'Output 5-EGADI'!$H$4:$H$"&amp;$C$8),Analysis!Q15,INDIRECT("'Output 5-EGADI'!$q$4:$q$"&amp;$C$8))
+SUMIF(INDIRECT("'Output 6-TG'!$H$4:$H$"&amp;$C$9),Analysis!Q15,INDIRECT("'Output 6-TG'!$q$4:$q$"&amp;$C$9))
+SUMIF(INDIRECT("'Output 7-PNAT'!$H$4:$H$"&amp;$C$10),Analysis!Q15,INDIRECT("'Output 7-PNAT'!$q$4:$q$"&amp;$C$10))
+SUMIF(INDIRECT("'Output 8-AEO'!$H$4:$H$"&amp;$C$11),Analysis!Q15,INDIRECT("'Output 8-AEO'!$q$4:$q$"&amp;$C$11))
+SUMIF(INDIRECT("'Output 9-EGADI2'!$H$4:$H$"&amp;$C$12),Analysis!Q15,INDIRECT("'Output 9-EGADI2'!$q$4:$q$"&amp;$C$12))
+SUMIF(INDIRECT("'Output 10-TUNIS'!$H$4:$H$"&amp;$C$13),Analysis!Q15,INDIRECT("'Output 10-TUNIS'!$q$4:$q$"&amp;$C$13))</f>
        <v>0</v>
      </c>
      <c r="T15" s="5">
        <f ca="1">SUMIF(INDIRECT("'Output 1-CARBONARA'!$H$4:$H$"&amp;$C$4),Analysis!Q15,INDIRECT("'Output 1-CARBONARA'!$U$4:$U$"&amp;$C$4))
+SUMIF(INDIRECT("'Output 2-CACCIA'!$H$4:$H$"&amp;$C$5),Analysis!Q15,INDIRECT("'Output 2-CACCIA'!$U$4:$U$"&amp;$C$5))
+SUMIF(INDIRECT("'Output 3-ASINARA'!$H$4:$H$"&amp;$C$6),Analysis!Q15,INDIRECT("'Output 3-ASINARA'!$U$4:$U$"&amp;$C$6))
+SUMIF(INDIRECT("'Output 4-PELAGIE'!$H$4:$H$"&amp;$C$7),Analysis!Q15,INDIRECT("'Output 4-PELAGIE'!$U$4:$U$"&amp;$C$7))
+SUMIF(INDIRECT("'Output 5-EGADI'!$H$4:$H$"&amp;$C$8),Analysis!Q15,INDIRECT("'Output 5-EGADI'!$U$4:$U$"&amp;$C$8))
+SUMIF(INDIRECT("'Output 6-TG'!$H$4:$H$"&amp;$C$9),Analysis!Q15,INDIRECT("'Output 6-TG'!$U$4:$U$"&amp;$C$9))
+SUMIF(INDIRECT("'Output 7-PNAT'!$H$4:$H$"&amp;$C$10),Analysis!Q15,INDIRECT("'Output 7-PNAT'!$U$4:$U$"&amp;$C$10))
+SUMIF(INDIRECT("'Output 8-AEO'!$H$4:$H$"&amp;$C$11),Analysis!Q15,INDIRECT("'Output 8-AEO'!$U$4:$U$"&amp;$C$11))
+SUMIF(INDIRECT("'Output 9-EGADI2'!$H$4:$H$"&amp;$C$12),Analysis!Q15,INDIRECT("'Output 9-EGADI2'!$U$4:$U$"&amp;$C$12))
+SUMIF(INDIRECT("'Output 10-TUNIS'!$H$4:$H$"&amp;$C$13),Analysis!Q15,INDIRECT("'Output 10-TUNIS'!$U$4:$U$"&amp;$C$13))</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8">
        <f t="shared" ca="1" si="0"/>
        <v>0</v>
      </c>
      <c r="AA15" s="38">
        <f t="shared" si="1"/>
        <v>0</v>
      </c>
      <c r="AB15" s="54">
        <f t="shared" ca="1" si="2"/>
        <v>0</v>
      </c>
      <c r="AC15" s="64">
        <f ca="1">SUMIF(INDIRECT("'Output 1-CARBONARA'!$H$5:$H$"&amp;$C$4),Analysis!$Q15,INDIRECT("'Output 1-CARBONARA'!$F$5:$F$"&amp;$C$4))
+SUMIF(INDIRECT("'Output 2-CACCIA'!$H$5:$H$"&amp;$C$5),Analysis!$Q15,INDIRECT("'Output 2-CACCIA'!$F$5:$F$"&amp;$C$5))
+SUMIF(INDIRECT("'Output 3-ASINARA'!$H$5:$H$"&amp;$C$6),Analysis!$Q15,INDIRECT("'Output 3-ASINARA'!$F$5:$F$"&amp;$C$6))
+SUMIF(INDIRECT("'Output 4-PELAGIE'!$H$5:$H$"&amp;$C$7),Analysis!$Q15,INDIRECT("'Output 4-PELAGIE'!$F$5:$F$"&amp;$C$7))
+SUMIF(INDIRECT("'Output 5-EGADI'!$H$5:$H$"&amp;$C$8),Analysis!$Q15,INDIRECT("'Output 5-EGADI'!$F$5:$F$"&amp;$C$8))
+SUMIF(INDIRECT("'Output 6-TG'!$H$5:$H$"&amp;$C$9),Analysis!$Q15,INDIRECT("'Output 6-TG'!$F$5:$F$"&amp;$C$9))
+SUMIF(INDIRECT("'Output 7-PNAT'!$H$5:$H$"&amp;$C$10),Analysis!$Q15,INDIRECT("'Output 7-PNAT'!$F$5:$F$"&amp;$C$10))
+SUMIF(INDIRECT("'Output 8-AEO'!$H$5:$H$"&amp;$C$11),Analysis!$Q15,INDIRECT("'Output 8-AEO'!$F$5:$F$"&amp;$C$11))
+SUMIF(INDIRECT("'Output 9-EGADI2'!$H$5:$H$"&amp;$C$12),Analysis!$Q15,INDIRECT("'Output 9-EGADI2'!$F$5:$F$"&amp;$C$12))
+SUMIF(INDIRECT("'Output 10-TUNIS'!$H$5:$H$"&amp;$C$13),Analysis!$Q15,INDIRECT("'Output 10-TUNIS'!$F$5:$F$"&amp;$C$13))</f>
        <v>1</v>
      </c>
    </row>
    <row r="16" spans="1:29">
      <c r="F16" t="str">
        <f>'Output 4-PELAGIE'!$D$6</f>
        <v>O.4.3</v>
      </c>
      <c r="G16" s="4">
        <f>'Output 4-PELAGIE'!O$6/'Output 4-PELAGIE'!$F$6</f>
        <v>0</v>
      </c>
      <c r="H16" s="4">
        <f>'Output 4-PELAGIE'!Q$6/'Output 4-PELAGIE'!$F$6</f>
        <v>0</v>
      </c>
      <c r="I16" s="4">
        <f>('Output 4-PELAGIE'!S$6)/'Output 4-PELAGIE'!$F$6</f>
        <v>0</v>
      </c>
      <c r="J16" s="4">
        <f>('Output 4-PELAGIE'!U$6)/'Output 4-PELAGIE'!$F$6</f>
        <v>10.78</v>
      </c>
      <c r="K16" s="4">
        <f>('Output 1-CARBONARA'!Y$4)/'Output 1-CARBONARA'!$F$4</f>
        <v>1</v>
      </c>
      <c r="L16" s="34">
        <f t="shared" si="6"/>
        <v>10.78</v>
      </c>
      <c r="M16" s="4">
        <f>('Output 4-PELAGIE'!W$6)/'Output 4-PELAGIE'!$F$6</f>
        <v>1</v>
      </c>
      <c r="N16" s="4">
        <f>('Output 4-PELAGIE'!Y$6)/'Output 4-PELAGIE'!$F$6</f>
        <v>12.87</v>
      </c>
      <c r="O16" s="34">
        <f t="shared" si="7"/>
        <v>23.65</v>
      </c>
      <c r="Q16" s="31">
        <v>1.4</v>
      </c>
      <c r="R16" s="5">
        <f ca="1">SUMIF(INDIRECT("'Output 1-CARBONARA'!$H$4:$H$"&amp;$C$4),Analysis!Q16,INDIRECT("'Output 1-CARBONARA'!$m$4:$m$"&amp;$C$4))
+SUMIF(INDIRECT("'Output 2-CACCIA'!$H$4:$H$"&amp;$C$5),Analysis!Q16,INDIRECT("'Output 2-CACCIA'!$m$4:$m$"&amp;$C$5))
+SUMIF(INDIRECT("'Output 3-ASINARA'!$H$4:$H$"&amp;$C$6),Analysis!Q16,INDIRECT("'Output 3-ASINARA'!$m$4:$m$"&amp;$C$6))
+SUMIF(INDIRECT("'Output 4-PELAGIE'!$H$4:$H$"&amp;$C$7),Analysis!Q16,INDIRECT("'Output 4-PELAGIE'!$m$4:$m$"&amp;$C$7))
+SUMIF(INDIRECT("'Output 5-EGADI'!$H$4:$H$"&amp;$C$8),Analysis!Q16,INDIRECT("'Output 5-EGADI'!$m$4:$m$"&amp;$C$8))
+SUMIF(INDIRECT("'Output 6-TG'!$H$4:$H$"&amp;$C$9),Analysis!Q16,INDIRECT("'Output 6-TG'!$m$4:$m$"&amp;$C$9))
+SUMIF(INDIRECT("'Output 7-PNAT'!$H$4:$H$"&amp;$C$10),Analysis!Q16,INDIRECT("'Output 7-PNAT'!$m$4:$m$"&amp;$C$10))
+SUMIF(INDIRECT("'Output 8-AEO'!$H$4:$H$"&amp;$C$11),Analysis!Q16,INDIRECT("'Output 8-AEO'!$m$4:$m$"&amp;$C$11))
+SUMIF(INDIRECT("'Output 9-EGADI2'!$H$4:$H$"&amp;$C$12),Analysis!Q16,INDIRECT("'Output 9-EGADI2'!$m$4:$m$"&amp;$C$12))
+SUMIF(INDIRECT("'Output 10-TUNIS'!$H$4:$H$"&amp;$C$13),Analysis!Q16,INDIRECT("'Output 10-TUNIS'!$m$4:$m$"&amp;$C$13))</f>
        <v>0</v>
      </c>
      <c r="S16" s="5">
        <f ca="1">SUMIF(INDIRECT("'Output 1-CARBONARA'!$H$4:$H$"&amp;$C$4),Analysis!Q16,INDIRECT("'Output 1-CARBONARA'!$q$4:$q$"&amp;$C$4))
+SUMIF(INDIRECT("'Output 2-CACCIA'!$H$4:$H$"&amp;$C$5),Analysis!Q16,INDIRECT("'Output 2-CACCIA'!$q$4:$q$"&amp;$C$5))
+SUMIF(INDIRECT("'Output 3-ASINARA'!$H$4:$H$"&amp;$C$6),Analysis!Q16,INDIRECT("'Output 3-ASINARA'!$q$4:$q$"&amp;$C$6))
+SUMIF(INDIRECT("'Output 4-PELAGIE'!$H$4:$H$"&amp;$C$7),Analysis!Q16,INDIRECT("'Output 4-PELAGIE'!$q$4:$q$"&amp;$C$7))
+SUMIF(INDIRECT("'Output 5-EGADI'!$H$4:$H$"&amp;$C$8),Analysis!Q16,INDIRECT("'Output 5-EGADI'!$q$4:$q$"&amp;$C$8))
+SUMIF(INDIRECT("'Output 6-TG'!$H$4:$H$"&amp;$C$9),Analysis!Q16,INDIRECT("'Output 6-TG'!$q$4:$q$"&amp;$C$9))
+SUMIF(INDIRECT("'Output 7-PNAT'!$H$4:$H$"&amp;$C$10),Analysis!Q16,INDIRECT("'Output 7-PNAT'!$q$4:$q$"&amp;$C$10))
+SUMIF(INDIRECT("'Output 8-AEO'!$H$4:$H$"&amp;$C$11),Analysis!Q16,INDIRECT("'Output 8-AEO'!$q$4:$q$"&amp;$C$11))
+SUMIF(INDIRECT("'Output 9-EGADI2'!$H$4:$H$"&amp;$C$12),Analysis!Q16,INDIRECT("'Output 9-EGADI2'!$q$4:$q$"&amp;$C$12))
+SUMIF(INDIRECT("'Output 10-TUNIS'!$H$4:$H$"&amp;$C$13),Analysis!Q16,INDIRECT("'Output 10-TUNIS'!$q$4:$q$"&amp;$C$13))</f>
        <v>0</v>
      </c>
      <c r="T16" s="5">
        <f ca="1">SUMIF(INDIRECT("'Output 1-CARBONARA'!$H$4:$H$"&amp;$C$4),Analysis!Q16,INDIRECT("'Output 1-CARBONARA'!$U$4:$U$"&amp;$C$4))
+SUMIF(INDIRECT("'Output 2-CACCIA'!$H$4:$H$"&amp;$C$5),Analysis!Q16,INDIRECT("'Output 2-CACCIA'!$U$4:$U$"&amp;$C$5))
+SUMIF(INDIRECT("'Output 3-ASINARA'!$H$4:$H$"&amp;$C$6),Analysis!Q16,INDIRECT("'Output 3-ASINARA'!$U$4:$U$"&amp;$C$6))
+SUMIF(INDIRECT("'Output 4-PELAGIE'!$H$4:$H$"&amp;$C$7),Analysis!Q16,INDIRECT("'Output 4-PELAGIE'!$U$4:$U$"&amp;$C$7))
+SUMIF(INDIRECT("'Output 5-EGADI'!$H$4:$H$"&amp;$C$8),Analysis!Q16,INDIRECT("'Output 5-EGADI'!$U$4:$U$"&amp;$C$8))
+SUMIF(INDIRECT("'Output 6-TG'!$H$4:$H$"&amp;$C$9),Analysis!Q16,INDIRECT("'Output 6-TG'!$U$4:$U$"&amp;$C$9))
+SUMIF(INDIRECT("'Output 7-PNAT'!$H$4:$H$"&amp;$C$10),Analysis!Q16,INDIRECT("'Output 7-PNAT'!$U$4:$U$"&amp;$C$10))
+SUMIF(INDIRECT("'Output 8-AEO'!$H$4:$H$"&amp;$C$11),Analysis!Q16,INDIRECT("'Output 8-AEO'!$U$4:$U$"&amp;$C$11))
+SUMIF(INDIRECT("'Output 9-EGADI2'!$H$4:$H$"&amp;$C$12),Analysis!Q16,INDIRECT("'Output 9-EGADI2'!$U$4:$U$"&amp;$C$12))
+SUMIF(INDIRECT("'Output 10-TUNIS'!$H$4:$H$"&amp;$C$13),Analysis!Q16,INDIRECT("'Output 10-TUNIS'!$U$4:$U$"&amp;$C$13))</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8">
        <f t="shared" ca="1" si="0"/>
        <v>0</v>
      </c>
      <c r="AA16" s="38">
        <f t="shared" si="1"/>
        <v>0</v>
      </c>
      <c r="AB16" s="54">
        <f t="shared" ca="1" si="2"/>
        <v>0</v>
      </c>
      <c r="AC16" s="64">
        <f ca="1">SUMIF(INDIRECT("'Output 1-CARBONARA'!$H$5:$H$"&amp;$C$4),Analysis!$Q16,INDIRECT("'Output 1-CARBONARA'!$F$5:$F$"&amp;$C$4))
+SUMIF(INDIRECT("'Output 2-CACCIA'!$H$5:$H$"&amp;$C$5),Analysis!$Q16,INDIRECT("'Output 2-CACCIA'!$F$5:$F$"&amp;$C$5))
+SUMIF(INDIRECT("'Output 3-ASINARA'!$H$5:$H$"&amp;$C$6),Analysis!$Q16,INDIRECT("'Output 3-ASINARA'!$F$5:$F$"&amp;$C$6))
+SUMIF(INDIRECT("'Output 4-PELAGIE'!$H$5:$H$"&amp;$C$7),Analysis!$Q16,INDIRECT("'Output 4-PELAGIE'!$F$5:$F$"&amp;$C$7))
+SUMIF(INDIRECT("'Output 5-EGADI'!$H$5:$H$"&amp;$C$8),Analysis!$Q16,INDIRECT("'Output 5-EGADI'!$F$5:$F$"&amp;$C$8))
+SUMIF(INDIRECT("'Output 6-TG'!$H$5:$H$"&amp;$C$9),Analysis!$Q16,INDIRECT("'Output 6-TG'!$F$5:$F$"&amp;$C$9))
+SUMIF(INDIRECT("'Output 7-PNAT'!$H$5:$H$"&amp;$C$10),Analysis!$Q16,INDIRECT("'Output 7-PNAT'!$F$5:$F$"&amp;$C$10))
+SUMIF(INDIRECT("'Output 8-AEO'!$H$5:$H$"&amp;$C$11),Analysis!$Q16,INDIRECT("'Output 8-AEO'!$F$5:$F$"&amp;$C$11))
+SUMIF(INDIRECT("'Output 9-EGADI2'!$H$5:$H$"&amp;$C$12),Analysis!$Q16,INDIRECT("'Output 9-EGADI2'!$F$5:$F$"&amp;$C$12))
+SUMIF(INDIRECT("'Output 10-TUNIS'!$H$5:$H$"&amp;$C$13),Analysis!$Q16,INDIRECT("'Output 10-TUNIS'!$F$5:$F$"&amp;$C$13))</f>
        <v>0</v>
      </c>
    </row>
    <row r="17" spans="1:29">
      <c r="E17" t="str">
        <f>'Output 5-EGADI'!$B$4</f>
        <v>O.5</v>
      </c>
      <c r="F17" t="str">
        <f>'Output 5-EGADI'!$D$4</f>
        <v>O.5.1</v>
      </c>
      <c r="G17" s="4">
        <f>'Output 5-EGADI'!$O$4/'Output 5-EGADI'!$F$4</f>
        <v>0</v>
      </c>
      <c r="H17" s="4">
        <f>'Output 5-EGADI'!Q$4/'Output 5-EGADI'!$F$4</f>
        <v>0</v>
      </c>
      <c r="I17" s="4">
        <f>('Output 5-EGADI'!S$4)/'Output 5-EGADI'!$F$4</f>
        <v>0</v>
      </c>
      <c r="J17" s="4">
        <f>('Output 5-EGADI'!U$4)/'Output 5-EGADI'!$F$4</f>
        <v>1</v>
      </c>
      <c r="K17" s="4">
        <f>('Output 1-CARBONARA'!Y$4)/'Output 1-CARBONARA'!$F$4</f>
        <v>1</v>
      </c>
      <c r="L17" s="34">
        <f t="shared" si="6"/>
        <v>1</v>
      </c>
      <c r="M17" s="4">
        <f>('Output 5-EGADI'!W$4)/'Output 5-EGADI'!$F$4</f>
        <v>1</v>
      </c>
      <c r="N17" s="4">
        <f>('Output 5-EGADI'!Y$4)/'Output 5-EGADI'!$F$4</f>
        <v>709.6</v>
      </c>
      <c r="O17" s="34">
        <f t="shared" si="7"/>
        <v>710.6</v>
      </c>
      <c r="Q17" s="31" t="s">
        <v>152</v>
      </c>
      <c r="R17" s="5">
        <f ca="1">SUMIF(INDIRECT("'Output 1-CARBONARA'!$H$4:$H$"&amp;$C$4),Analysis!Q17,INDIRECT("'Output 1-CARBONARA'!$m$4:$m$"&amp;$C$4))
+SUMIF(INDIRECT("'Output 2-CACCIA'!$H$4:$H$"&amp;$C$5),Analysis!Q17,INDIRECT("'Output 2-CACCIA'!$m$4:$m$"&amp;$C$5))
+SUMIF(INDIRECT("'Output 3-ASINARA'!$H$4:$H$"&amp;$C$6),Analysis!Q17,INDIRECT("'Output 3-ASINARA'!$m$4:$m$"&amp;$C$6))
+SUMIF(INDIRECT("'Output 4-PELAGIE'!$H$4:$H$"&amp;$C$7),Analysis!Q17,INDIRECT("'Output 4-PELAGIE'!$m$4:$m$"&amp;$C$7))
+SUMIF(INDIRECT("'Output 5-EGADI'!$H$4:$H$"&amp;$C$8),Analysis!Q17,INDIRECT("'Output 5-EGADI'!$m$4:$m$"&amp;$C$8))
+SUMIF(INDIRECT("'Output 6-TG'!$H$4:$H$"&amp;$C$9),Analysis!Q17,INDIRECT("'Output 6-TG'!$m$4:$m$"&amp;$C$9))
+SUMIF(INDIRECT("'Output 7-PNAT'!$H$4:$H$"&amp;$C$10),Analysis!Q17,INDIRECT("'Output 7-PNAT'!$m$4:$m$"&amp;$C$10))
+SUMIF(INDIRECT("'Output 8-AEO'!$H$4:$H$"&amp;$C$11),Analysis!Q17,INDIRECT("'Output 8-AEO'!$m$4:$m$"&amp;$C$11))
+SUMIF(INDIRECT("'Output 9-EGADI2'!$H$4:$H$"&amp;$C$12),Analysis!Q17,INDIRECT("'Output 9-EGADI2'!$m$4:$m$"&amp;$C$12))
+SUMIF(INDIRECT("'Output 10-TUNIS'!$H$4:$H$"&amp;$C$13),Analysis!Q17,INDIRECT("'Output 10-TUNIS'!$m$4:$m$"&amp;$C$13))</f>
        <v>0</v>
      </c>
      <c r="S17" s="5">
        <f ca="1">SUMIF(INDIRECT("'Output 1-CARBONARA'!$H$4:$H$"&amp;$C$4),Analysis!Q17,INDIRECT("'Output 1-CARBONARA'!$q$4:$q$"&amp;$C$4))
+SUMIF(INDIRECT("'Output 2-CACCIA'!$H$4:$H$"&amp;$C$5),Analysis!Q17,INDIRECT("'Output 2-CACCIA'!$q$4:$q$"&amp;$C$5))
+SUMIF(INDIRECT("'Output 3-ASINARA'!$H$4:$H$"&amp;$C$6),Analysis!Q17,INDIRECT("'Output 3-ASINARA'!$q$4:$q$"&amp;$C$6))
+SUMIF(INDIRECT("'Output 4-PELAGIE'!$H$4:$H$"&amp;$C$7),Analysis!Q17,INDIRECT("'Output 4-PELAGIE'!$q$4:$q$"&amp;$C$7))
+SUMIF(INDIRECT("'Output 5-EGADI'!$H$4:$H$"&amp;$C$8),Analysis!Q17,INDIRECT("'Output 5-EGADI'!$q$4:$q$"&amp;$C$8))
+SUMIF(INDIRECT("'Output 6-TG'!$H$4:$H$"&amp;$C$9),Analysis!Q17,INDIRECT("'Output 6-TG'!$q$4:$q$"&amp;$C$9))
+SUMIF(INDIRECT("'Output 7-PNAT'!$H$4:$H$"&amp;$C$10),Analysis!Q17,INDIRECT("'Output 7-PNAT'!$q$4:$q$"&amp;$C$10))
+SUMIF(INDIRECT("'Output 8-AEO'!$H$4:$H$"&amp;$C$11),Analysis!Q17,INDIRECT("'Output 8-AEO'!$q$4:$q$"&amp;$C$11))
+SUMIF(INDIRECT("'Output 9-EGADI2'!$H$4:$H$"&amp;$C$12),Analysis!Q17,INDIRECT("'Output 9-EGADI2'!$q$4:$q$"&amp;$C$12))
+SUMIF(INDIRECT("'Output 10-TUNIS'!$H$4:$H$"&amp;$C$13),Analysis!Q17,INDIRECT("'Output 10-TUNIS'!$q$4:$q$"&amp;$C$13))</f>
        <v>0</v>
      </c>
      <c r="T17" s="5">
        <f ca="1">SUMIF(INDIRECT("'Output 1-CARBONARA'!$H$4:$H$"&amp;$C$4),Analysis!Q17,INDIRECT("'Output 1-CARBONARA'!$U$4:$U$"&amp;$C$4))
+SUMIF(INDIRECT("'Output 2-CACCIA'!$H$4:$H$"&amp;$C$5),Analysis!Q17,INDIRECT("'Output 2-CACCIA'!$U$4:$U$"&amp;$C$5))
+SUMIF(INDIRECT("'Output 3-ASINARA'!$H$4:$H$"&amp;$C$6),Analysis!Q17,INDIRECT("'Output 3-ASINARA'!$U$4:$U$"&amp;$C$6))
+SUMIF(INDIRECT("'Output 4-PELAGIE'!$H$4:$H$"&amp;$C$7),Analysis!Q17,INDIRECT("'Output 4-PELAGIE'!$U$4:$U$"&amp;$C$7))
+SUMIF(INDIRECT("'Output 5-EGADI'!$H$4:$H$"&amp;$C$8),Analysis!Q17,INDIRECT("'Output 5-EGADI'!$U$4:$U$"&amp;$C$8))
+SUMIF(INDIRECT("'Output 6-TG'!$H$4:$H$"&amp;$C$9),Analysis!Q17,INDIRECT("'Output 6-TG'!$U$4:$U$"&amp;$C$9))
+SUMIF(INDIRECT("'Output 7-PNAT'!$H$4:$H$"&amp;$C$10),Analysis!Q17,INDIRECT("'Output 7-PNAT'!$U$4:$U$"&amp;$C$10))
+SUMIF(INDIRECT("'Output 8-AEO'!$H$4:$H$"&amp;$C$11),Analysis!Q17,INDIRECT("'Output 8-AEO'!$U$4:$U$"&amp;$C$11))
+SUMIF(INDIRECT("'Output 9-EGADI2'!$H$4:$H$"&amp;$C$12),Analysis!Q17,INDIRECT("'Output 9-EGADI2'!$U$4:$U$"&amp;$C$12))
+SUMIF(INDIRECT("'Output 10-TUNIS'!$H$4:$H$"&amp;$C$13),Analysis!Q17,INDIRECT("'Output 10-TUNIS'!$U$4:$U$"&amp;$C$13))</f>
        <v>14</v>
      </c>
      <c r="U17" s="31"/>
      <c r="V17" s="5">
        <f>SUMIF('Unplanned Outputs'!$E$4:$E$500,Analysis!Q17,'Unplanned Outputs'!$J$4:$J$500)</f>
        <v>0</v>
      </c>
      <c r="W17" s="5">
        <f>SUMIF('Unplanned Outputs'!$E$4:$E$500,Analysis!$Q17,'Unplanned Outputs'!$N$4:$N$500)</f>
        <v>0</v>
      </c>
      <c r="X17" s="5">
        <f>SUMIF('Unplanned Outputs'!$E$4:$E$500,Analysis!$Q17,'Unplanned Outputs'!$R$4:$R$500)</f>
        <v>0</v>
      </c>
      <c r="Y17" s="15"/>
      <c r="Z17" s="38">
        <f t="shared" ca="1" si="0"/>
        <v>14</v>
      </c>
      <c r="AA17" s="38">
        <f t="shared" si="1"/>
        <v>0</v>
      </c>
      <c r="AB17" s="54">
        <f t="shared" ca="1" si="2"/>
        <v>14</v>
      </c>
      <c r="AC17" s="64">
        <f ca="1">SUMIF(INDIRECT("'Output 1-CARBONARA'!$H$5:$H$"&amp;$C$4),Analysis!$Q17,INDIRECT("'Output 1-CARBONARA'!$F$5:$F$"&amp;$C$4))
+SUMIF(INDIRECT("'Output 2-CACCIA'!$H$5:$H$"&amp;$C$5),Analysis!$Q17,INDIRECT("'Output 2-CACCIA'!$F$5:$F$"&amp;$C$5))
+SUMIF(INDIRECT("'Output 3-ASINARA'!$H$5:$H$"&amp;$C$6),Analysis!$Q17,INDIRECT("'Output 3-ASINARA'!$F$5:$F$"&amp;$C$6))
+SUMIF(INDIRECT("'Output 4-PELAGIE'!$H$5:$H$"&amp;$C$7),Analysis!$Q17,INDIRECT("'Output 4-PELAGIE'!$F$5:$F$"&amp;$C$7))
+SUMIF(INDIRECT("'Output 5-EGADI'!$H$5:$H$"&amp;$C$8),Analysis!$Q17,INDIRECT("'Output 5-EGADI'!$F$5:$F$"&amp;$C$8))
+SUMIF(INDIRECT("'Output 6-TG'!$H$5:$H$"&amp;$C$9),Analysis!$Q17,INDIRECT("'Output 6-TG'!$F$5:$F$"&amp;$C$9))
+SUMIF(INDIRECT("'Output 7-PNAT'!$H$5:$H$"&amp;$C$10),Analysis!$Q17,INDIRECT("'Output 7-PNAT'!$F$5:$F$"&amp;$C$10))
+SUMIF(INDIRECT("'Output 8-AEO'!$H$5:$H$"&amp;$C$11),Analysis!$Q17,INDIRECT("'Output 8-AEO'!$F$5:$F$"&amp;$C$11))
+SUMIF(INDIRECT("'Output 9-EGADI2'!$H$5:$H$"&amp;$C$12),Analysis!$Q17,INDIRECT("'Output 9-EGADI2'!$F$5:$F$"&amp;$C$12))
+SUMIF(INDIRECT("'Output 10-TUNIS'!$H$5:$H$"&amp;$C$13),Analysis!$Q17,INDIRECT("'Output 10-TUNIS'!$F$5:$F$"&amp;$C$13))</f>
        <v>9</v>
      </c>
    </row>
    <row r="18" spans="1:29">
      <c r="F18" t="str">
        <f>'Output 5-EGADI'!$D$5</f>
        <v>O.5.2</v>
      </c>
      <c r="G18" s="4">
        <f>'Output 5-EGADI'!O$5/'Output 5-EGADI'!$F$5</f>
        <v>0</v>
      </c>
      <c r="H18" s="4">
        <f>'Output 5-EGADI'!Q$5/'Output 5-EGADI'!$F$5</f>
        <v>0</v>
      </c>
      <c r="I18" s="4">
        <f>('Output 5-EGADI'!S$5)/'Output 5-EGADI'!$F$5</f>
        <v>0</v>
      </c>
      <c r="J18" s="4">
        <f>('Output 5-EGADI'!U$6)/'Output 5-EGADI'!$F$5</f>
        <v>5</v>
      </c>
      <c r="K18" s="4">
        <f>('Output 1-CARBONARA'!Y$4)/'Output 1-CARBONARA'!$F$4</f>
        <v>1</v>
      </c>
      <c r="L18" s="34">
        <f t="shared" si="6"/>
        <v>5</v>
      </c>
      <c r="M18" s="4">
        <f>('Output 5-EGADI'!W$5)/'Output 5-EGADI'!$F$5</f>
        <v>0.33333333333333331</v>
      </c>
      <c r="N18" s="4">
        <f>('Output 5-EGADI'!Y$5)/'Output 5-EGADI'!$F$5</f>
        <v>0.66666666666666663</v>
      </c>
      <c r="O18" s="34">
        <f t="shared" si="7"/>
        <v>5.666666666666667</v>
      </c>
      <c r="Q18" s="31" t="s">
        <v>713</v>
      </c>
      <c r="R18" s="5">
        <f ca="1">SUMIF(INDIRECT("'Output 1-CARBONARA'!$H$4:$H$"&amp;$C$4),Analysis!Q18,INDIRECT("'Output 1-CARBONARA'!$m$4:$m$"&amp;$C$4))
+SUMIF(INDIRECT("'Output 2-CACCIA'!$H$4:$H$"&amp;$C$5),Analysis!Q18,INDIRECT("'Output 2-CACCIA'!$m$4:$m$"&amp;$C$5))
+SUMIF(INDIRECT("'Output 3-ASINARA'!$H$4:$H$"&amp;$C$6),Analysis!Q18,INDIRECT("'Output 3-ASINARA'!$m$4:$m$"&amp;$C$6))
+SUMIF(INDIRECT("'Output 4-PELAGIE'!$H$4:$H$"&amp;$C$7),Analysis!Q18,INDIRECT("'Output 4-PELAGIE'!$m$4:$m$"&amp;$C$7))
+SUMIF(INDIRECT("'Output 5-EGADI'!$H$4:$H$"&amp;$C$8),Analysis!Q18,INDIRECT("'Output 5-EGADI'!$m$4:$m$"&amp;$C$8))
+SUMIF(INDIRECT("'Output 6-TG'!$H$4:$H$"&amp;$C$9),Analysis!Q18,INDIRECT("'Output 6-TG'!$m$4:$m$"&amp;$C$9))
+SUMIF(INDIRECT("'Output 7-PNAT'!$H$4:$H$"&amp;$C$10),Analysis!Q18,INDIRECT("'Output 7-PNAT'!$m$4:$m$"&amp;$C$10))
+SUMIF(INDIRECT("'Output 8-AEO'!$H$4:$H$"&amp;$C$11),Analysis!Q18,INDIRECT("'Output 8-AEO'!$m$4:$m$"&amp;$C$11))
+SUMIF(INDIRECT("'Output 9-EGADI2'!$H$4:$H$"&amp;$C$12),Analysis!Q18,INDIRECT("'Output 9-EGADI2'!$m$4:$m$"&amp;$C$12))
+SUMIF(INDIRECT("'Output 10-TUNIS'!$H$4:$H$"&amp;$C$13),Analysis!Q18,INDIRECT("'Output 10-TUNIS'!$m$4:$m$"&amp;$C$13))</f>
        <v>0</v>
      </c>
      <c r="S18" s="5">
        <f ca="1">SUMIF(INDIRECT("'Output 1-CARBONARA'!$H$4:$H$"&amp;$C$4),Analysis!Q18,INDIRECT("'Output 1-CARBONARA'!$q$4:$q$"&amp;$C$4))
+SUMIF(INDIRECT("'Output 2-CACCIA'!$H$4:$H$"&amp;$C$5),Analysis!Q18,INDIRECT("'Output 2-CACCIA'!$q$4:$q$"&amp;$C$5))
+SUMIF(INDIRECT("'Output 3-ASINARA'!$H$4:$H$"&amp;$C$6),Analysis!Q18,INDIRECT("'Output 3-ASINARA'!$q$4:$q$"&amp;$C$6))
+SUMIF(INDIRECT("'Output 4-PELAGIE'!$H$4:$H$"&amp;$C$7),Analysis!Q18,INDIRECT("'Output 4-PELAGIE'!$q$4:$q$"&amp;$C$7))
+SUMIF(INDIRECT("'Output 5-EGADI'!$H$4:$H$"&amp;$C$8),Analysis!Q18,INDIRECT("'Output 5-EGADI'!$q$4:$q$"&amp;$C$8))
+SUMIF(INDIRECT("'Output 6-TG'!$H$4:$H$"&amp;$C$9),Analysis!Q18,INDIRECT("'Output 6-TG'!$q$4:$q$"&amp;$C$9))
+SUMIF(INDIRECT("'Output 7-PNAT'!$H$4:$H$"&amp;$C$10),Analysis!Q18,INDIRECT("'Output 7-PNAT'!$q$4:$q$"&amp;$C$10))
+SUMIF(INDIRECT("'Output 8-AEO'!$H$4:$H$"&amp;$C$11),Analysis!Q18,INDIRECT("'Output 8-AEO'!$q$4:$q$"&amp;$C$11))
+SUMIF(INDIRECT("'Output 9-EGADI2'!$H$4:$H$"&amp;$C$12),Analysis!Q18,INDIRECT("'Output 9-EGADI2'!$q$4:$q$"&amp;$C$12))
+SUMIF(INDIRECT("'Output 10-TUNIS'!$H$4:$H$"&amp;$C$13),Analysis!Q18,INDIRECT("'Output 10-TUNIS'!$q$4:$q$"&amp;$C$13))</f>
        <v>0</v>
      </c>
      <c r="T18" s="5">
        <f ca="1">SUMIF(INDIRECT("'Output 1-CARBONARA'!$H$4:$H$"&amp;$C$4),Analysis!Q18,INDIRECT("'Output 1-CARBONARA'!$U$4:$U$"&amp;$C$4))
+SUMIF(INDIRECT("'Output 2-CACCIA'!$H$4:$H$"&amp;$C$5),Analysis!Q18,INDIRECT("'Output 2-CACCIA'!$U$4:$U$"&amp;$C$5))
+SUMIF(INDIRECT("'Output 3-ASINARA'!$H$4:$H$"&amp;$C$6),Analysis!Q18,INDIRECT("'Output 3-ASINARA'!$U$4:$U$"&amp;$C$6))
+SUMIF(INDIRECT("'Output 4-PELAGIE'!$H$4:$H$"&amp;$C$7),Analysis!Q18,INDIRECT("'Output 4-PELAGIE'!$U$4:$U$"&amp;$C$7))
+SUMIF(INDIRECT("'Output 5-EGADI'!$H$4:$H$"&amp;$C$8),Analysis!Q18,INDIRECT("'Output 5-EGADI'!$U$4:$U$"&amp;$C$8))
+SUMIF(INDIRECT("'Output 6-TG'!$H$4:$H$"&amp;$C$9),Analysis!Q18,INDIRECT("'Output 6-TG'!$U$4:$U$"&amp;$C$9))
+SUMIF(INDIRECT("'Output 7-PNAT'!$H$4:$H$"&amp;$C$10),Analysis!Q18,INDIRECT("'Output 7-PNAT'!$U$4:$U$"&amp;$C$10))
+SUMIF(INDIRECT("'Output 8-AEO'!$H$4:$H$"&amp;$C$11),Analysis!Q18,INDIRECT("'Output 8-AEO'!$U$4:$U$"&amp;$C$11))
+SUMIF(INDIRECT("'Output 9-EGADI2'!$H$4:$H$"&amp;$C$12),Analysis!Q18,INDIRECT("'Output 9-EGADI2'!$U$4:$U$"&amp;$C$12))
+SUMIF(INDIRECT("'Output 10-TUNIS'!$H$4:$H$"&amp;$C$13),Analysis!Q18,INDIRECT("'Output 10-TUNIS'!$U$4:$U$"&amp;$C$13))</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8">
        <f t="shared" ca="1" si="0"/>
        <v>0</v>
      </c>
      <c r="AA18" s="38">
        <f t="shared" si="1"/>
        <v>0</v>
      </c>
      <c r="AB18" s="54">
        <f t="shared" ca="1" si="2"/>
        <v>0</v>
      </c>
      <c r="AC18" s="64">
        <f ca="1">SUMIF(INDIRECT("'Output 1-CARBONARA'!$H$5:$H$"&amp;$C$4),Analysis!$Q18,INDIRECT("'Output 1-CARBONARA'!$F$5:$F$"&amp;$C$4))
+SUMIF(INDIRECT("'Output 2-CACCIA'!$H$5:$H$"&amp;$C$5),Analysis!$Q18,INDIRECT("'Output 2-CACCIA'!$F$5:$F$"&amp;$C$5))
+SUMIF(INDIRECT("'Output 3-ASINARA'!$H$5:$H$"&amp;$C$6),Analysis!$Q18,INDIRECT("'Output 3-ASINARA'!$F$5:$F$"&amp;$C$6))
+SUMIF(INDIRECT("'Output 4-PELAGIE'!$H$5:$H$"&amp;$C$7),Analysis!$Q18,INDIRECT("'Output 4-PELAGIE'!$F$5:$F$"&amp;$C$7))
+SUMIF(INDIRECT("'Output 5-EGADI'!$H$5:$H$"&amp;$C$8),Analysis!$Q18,INDIRECT("'Output 5-EGADI'!$F$5:$F$"&amp;$C$8))
+SUMIF(INDIRECT("'Output 6-TG'!$H$5:$H$"&amp;$C$9),Analysis!$Q18,INDIRECT("'Output 6-TG'!$F$5:$F$"&amp;$C$9))
+SUMIF(INDIRECT("'Output 7-PNAT'!$H$5:$H$"&amp;$C$10),Analysis!$Q18,INDIRECT("'Output 7-PNAT'!$F$5:$F$"&amp;$C$10))
+SUMIF(INDIRECT("'Output 8-AEO'!$H$5:$H$"&amp;$C$11),Analysis!$Q18,INDIRECT("'Output 8-AEO'!$F$5:$F$"&amp;$C$11))
+SUMIF(INDIRECT("'Output 9-EGADI2'!$H$5:$H$"&amp;$C$12),Analysis!$Q18,INDIRECT("'Output 9-EGADI2'!$F$5:$F$"&amp;$C$12))
+SUMIF(INDIRECT("'Output 10-TUNIS'!$H$5:$H$"&amp;$C$13),Analysis!$Q18,INDIRECT("'Output 10-TUNIS'!$F$5:$F$"&amp;$C$13))</f>
        <v>0</v>
      </c>
    </row>
    <row r="19" spans="1:29">
      <c r="F19" t="str">
        <f>'Output 5-EGADI'!$D$6</f>
        <v>O.5.3</v>
      </c>
      <c r="G19" s="4">
        <f>'Output 5-EGADI'!O$6/'Output 5-EGADI'!$F$6</f>
        <v>0</v>
      </c>
      <c r="H19" s="4">
        <f>'Output 5-EGADI'!Q$6/'Output 5-EGADI'!$F$6</f>
        <v>0</v>
      </c>
      <c r="I19" s="4">
        <f>('Output 5-EGADI'!S$6)/'Output 5-EGADI'!$F$6</f>
        <v>0</v>
      </c>
      <c r="J19" s="4" t="e">
        <f>('Output 5-EGADI'!#REF!)/'Output 5-EGADI'!$F$6</f>
        <v>#REF!</v>
      </c>
      <c r="K19" s="4">
        <f>('Output 1-CARBONARA'!Y$4)/'Output 1-CARBONARA'!$F$4</f>
        <v>1</v>
      </c>
      <c r="L19" s="34" t="e">
        <f t="shared" si="6"/>
        <v>#REF!</v>
      </c>
      <c r="M19" s="4">
        <f>('Output 5-EGADI'!W$6)/'Output 5-EGADI'!$F$6</f>
        <v>0</v>
      </c>
      <c r="N19" s="4" t="e">
        <f>('Output 5-EGADI'!Y$6)/'Output 5-EGADI'!$F$6</f>
        <v>#VALUE!</v>
      </c>
      <c r="O19" s="34" t="e">
        <f t="shared" si="7"/>
        <v>#REF!</v>
      </c>
      <c r="Q19" s="31" t="s">
        <v>265</v>
      </c>
      <c r="R19" s="5">
        <f ca="1">SUMIF(INDIRECT("'Output 1-CARBONARA'!$H$4:$H$"&amp;$C$4),Analysis!Q19,INDIRECT("'Output 1-CARBONARA'!$m$4:$m$"&amp;$C$4))
+SUMIF(INDIRECT("'Output 2-CACCIA'!$H$4:$H$"&amp;$C$5),Analysis!Q19,INDIRECT("'Output 2-CACCIA'!$m$4:$m$"&amp;$C$5))
+SUMIF(INDIRECT("'Output 3-ASINARA'!$H$4:$H$"&amp;$C$6),Analysis!Q19,INDIRECT("'Output 3-ASINARA'!$m$4:$m$"&amp;$C$6))
+SUMIF(INDIRECT("'Output 4-PELAGIE'!$H$4:$H$"&amp;$C$7),Analysis!Q19,INDIRECT("'Output 4-PELAGIE'!$m$4:$m$"&amp;$C$7))
+SUMIF(INDIRECT("'Output 5-EGADI'!$H$4:$H$"&amp;$C$8),Analysis!Q19,INDIRECT("'Output 5-EGADI'!$m$4:$m$"&amp;$C$8))
+SUMIF(INDIRECT("'Output 6-TG'!$H$4:$H$"&amp;$C$9),Analysis!Q19,INDIRECT("'Output 6-TG'!$m$4:$m$"&amp;$C$9))
+SUMIF(INDIRECT("'Output 7-PNAT'!$H$4:$H$"&amp;$C$10),Analysis!Q19,INDIRECT("'Output 7-PNAT'!$m$4:$m$"&amp;$C$10))
+SUMIF(INDIRECT("'Output 8-AEO'!$H$4:$H$"&amp;$C$11),Analysis!Q19,INDIRECT("'Output 8-AEO'!$m$4:$m$"&amp;$C$11))
+SUMIF(INDIRECT("'Output 9-EGADI2'!$H$4:$H$"&amp;$C$12),Analysis!Q19,INDIRECT("'Output 9-EGADI2'!$m$4:$m$"&amp;$C$12))
+SUMIF(INDIRECT("'Output 10-TUNIS'!$H$4:$H$"&amp;$C$13),Analysis!Q19,INDIRECT("'Output 10-TUNIS'!$m$4:$m$"&amp;$C$13))</f>
        <v>0</v>
      </c>
      <c r="S19" s="5">
        <f ca="1">SUMIF(INDIRECT("'Output 1-CARBONARA'!$H$4:$H$"&amp;$C$4),Analysis!Q19,INDIRECT("'Output 1-CARBONARA'!$q$4:$q$"&amp;$C$4))
+SUMIF(INDIRECT("'Output 2-CACCIA'!$H$4:$H$"&amp;$C$5),Analysis!Q19,INDIRECT("'Output 2-CACCIA'!$q$4:$q$"&amp;$C$5))
+SUMIF(INDIRECT("'Output 3-ASINARA'!$H$4:$H$"&amp;$C$6),Analysis!Q19,INDIRECT("'Output 3-ASINARA'!$q$4:$q$"&amp;$C$6))
+SUMIF(INDIRECT("'Output 4-PELAGIE'!$H$4:$H$"&amp;$C$7),Analysis!Q19,INDIRECT("'Output 4-PELAGIE'!$q$4:$q$"&amp;$C$7))
+SUMIF(INDIRECT("'Output 5-EGADI'!$H$4:$H$"&amp;$C$8),Analysis!Q19,INDIRECT("'Output 5-EGADI'!$q$4:$q$"&amp;$C$8))
+SUMIF(INDIRECT("'Output 6-TG'!$H$4:$H$"&amp;$C$9),Analysis!Q19,INDIRECT("'Output 6-TG'!$q$4:$q$"&amp;$C$9))
+SUMIF(INDIRECT("'Output 7-PNAT'!$H$4:$H$"&amp;$C$10),Analysis!Q19,INDIRECT("'Output 7-PNAT'!$q$4:$q$"&amp;$C$10))
+SUMIF(INDIRECT("'Output 8-AEO'!$H$4:$H$"&amp;$C$11),Analysis!Q19,INDIRECT("'Output 8-AEO'!$q$4:$q$"&amp;$C$11))
+SUMIF(INDIRECT("'Output 9-EGADI2'!$H$4:$H$"&amp;$C$12),Analysis!Q19,INDIRECT("'Output 9-EGADI2'!$q$4:$q$"&amp;$C$12))
+SUMIF(INDIRECT("'Output 10-TUNIS'!$H$4:$H$"&amp;$C$13),Analysis!Q19,INDIRECT("'Output 10-TUNIS'!$q$4:$q$"&amp;$C$13))</f>
        <v>0</v>
      </c>
      <c r="T19" s="5">
        <f ca="1">SUMIF(INDIRECT("'Output 1-CARBONARA'!$H$4:$H$"&amp;$C$4),Analysis!Q19,INDIRECT("'Output 1-CARBONARA'!$U$4:$U$"&amp;$C$4))
+SUMIF(INDIRECT("'Output 2-CACCIA'!$H$4:$H$"&amp;$C$5),Analysis!Q19,INDIRECT("'Output 2-CACCIA'!$U$4:$U$"&amp;$C$5))
+SUMIF(INDIRECT("'Output 3-ASINARA'!$H$4:$H$"&amp;$C$6),Analysis!Q19,INDIRECT("'Output 3-ASINARA'!$U$4:$U$"&amp;$C$6))
+SUMIF(INDIRECT("'Output 4-PELAGIE'!$H$4:$H$"&amp;$C$7),Analysis!Q19,INDIRECT("'Output 4-PELAGIE'!$U$4:$U$"&amp;$C$7))
+SUMIF(INDIRECT("'Output 5-EGADI'!$H$4:$H$"&amp;$C$8),Analysis!Q19,INDIRECT("'Output 5-EGADI'!$U$4:$U$"&amp;$C$8))
+SUMIF(INDIRECT("'Output 6-TG'!$H$4:$H$"&amp;$C$9),Analysis!Q19,INDIRECT("'Output 6-TG'!$U$4:$U$"&amp;$C$9))
+SUMIF(INDIRECT("'Output 7-PNAT'!$H$4:$H$"&amp;$C$10),Analysis!Q19,INDIRECT("'Output 7-PNAT'!$U$4:$U$"&amp;$C$10))
+SUMIF(INDIRECT("'Output 8-AEO'!$H$4:$H$"&amp;$C$11),Analysis!Q19,INDIRECT("'Output 8-AEO'!$U$4:$U$"&amp;$C$11))
+SUMIF(INDIRECT("'Output 9-EGADI2'!$H$4:$H$"&amp;$C$12),Analysis!Q19,INDIRECT("'Output 9-EGADI2'!$U$4:$U$"&amp;$C$12))
+SUMIF(INDIRECT("'Output 10-TUNIS'!$H$4:$H$"&amp;$C$13),Analysis!Q19,INDIRECT("'Output 10-TUNIS'!$U$4:$U$"&amp;$C$13))</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8">
        <f t="shared" ca="1" si="0"/>
        <v>0</v>
      </c>
      <c r="AA19" s="38">
        <f t="shared" si="1"/>
        <v>0</v>
      </c>
      <c r="AB19" s="54">
        <f t="shared" ca="1" si="2"/>
        <v>0</v>
      </c>
      <c r="AC19" s="64">
        <f ca="1">SUMIF(INDIRECT("'Output 1-CARBONARA'!$H$5:$H$"&amp;$C$4),Analysis!$Q19,INDIRECT("'Output 1-CARBONARA'!$F$5:$F$"&amp;$C$4))
+SUMIF(INDIRECT("'Output 2-CACCIA'!$H$5:$H$"&amp;$C$5),Analysis!$Q19,INDIRECT("'Output 2-CACCIA'!$F$5:$F$"&amp;$C$5))
+SUMIF(INDIRECT("'Output 3-ASINARA'!$H$5:$H$"&amp;$C$6),Analysis!$Q19,INDIRECT("'Output 3-ASINARA'!$F$5:$F$"&amp;$C$6))
+SUMIF(INDIRECT("'Output 4-PELAGIE'!$H$5:$H$"&amp;$C$7),Analysis!$Q19,INDIRECT("'Output 4-PELAGIE'!$F$5:$F$"&amp;$C$7))
+SUMIF(INDIRECT("'Output 5-EGADI'!$H$5:$H$"&amp;$C$8),Analysis!$Q19,INDIRECT("'Output 5-EGADI'!$F$5:$F$"&amp;$C$8))
+SUMIF(INDIRECT("'Output 6-TG'!$H$5:$H$"&amp;$C$9),Analysis!$Q19,INDIRECT("'Output 6-TG'!$F$5:$F$"&amp;$C$9))
+SUMIF(INDIRECT("'Output 7-PNAT'!$H$5:$H$"&amp;$C$10),Analysis!$Q19,INDIRECT("'Output 7-PNAT'!$F$5:$F$"&amp;$C$10))
+SUMIF(INDIRECT("'Output 8-AEO'!$H$5:$H$"&amp;$C$11),Analysis!$Q19,INDIRECT("'Output 8-AEO'!$F$5:$F$"&amp;$C$11))
+SUMIF(INDIRECT("'Output 9-EGADI2'!$H$5:$H$"&amp;$C$12),Analysis!$Q19,INDIRECT("'Output 9-EGADI2'!$F$5:$F$"&amp;$C$12))
+SUMIF(INDIRECT("'Output 10-TUNIS'!$H$5:$H$"&amp;$C$13),Analysis!$Q19,INDIRECT("'Output 10-TUNIS'!$F$5:$F$"&amp;$C$13))</f>
        <v>1</v>
      </c>
    </row>
    <row r="20" spans="1:29">
      <c r="A20" t="s">
        <v>714</v>
      </c>
      <c r="B20" s="7">
        <f>COUNTIF(B4:B18,"&lt;&gt;")</f>
        <v>10</v>
      </c>
      <c r="E20" t="str">
        <f>'Output 6-TG'!$B$4</f>
        <v>O.6</v>
      </c>
      <c r="F20" t="str">
        <f>'Output 6-TG'!$D$4</f>
        <v>O.6.1</v>
      </c>
      <c r="G20" s="4">
        <f>'Output 6-TG'!$O$4/'Output 6-TG'!$F$4</f>
        <v>0</v>
      </c>
      <c r="H20" s="4">
        <f>'Output 6-TG'!Q$4/'Output 6-TG'!$F$4</f>
        <v>0</v>
      </c>
      <c r="I20" s="4">
        <f>('Output 6-TG'!S$4)/'Output 6-TG'!$F$4</f>
        <v>0</v>
      </c>
      <c r="J20" s="4">
        <f>('Output 6-TG'!U$5)/'Output 6-TG'!$F$4</f>
        <v>0</v>
      </c>
      <c r="K20" s="4">
        <f>('Output 1-CARBONARA'!Y$4)/'Output 1-CARBONARA'!$F$4</f>
        <v>1</v>
      </c>
      <c r="L20" s="34">
        <f t="shared" si="6"/>
        <v>0</v>
      </c>
      <c r="M20" s="4">
        <f>('Output 6-TG'!W$4)/'Output 6-TG'!$F$4</f>
        <v>1</v>
      </c>
      <c r="N20" s="4">
        <f>('Output 6-TG'!Y$4)/'Output 6-TG'!$F$4</f>
        <v>1</v>
      </c>
      <c r="O20" s="34">
        <f t="shared" si="7"/>
        <v>1</v>
      </c>
      <c r="Q20" s="31">
        <v>2.1</v>
      </c>
      <c r="R20" s="5">
        <f ca="1">SUMIF(INDIRECT("'Output 1-CARBONARA'!$H$4:$H$"&amp;$C$4),Analysis!Q20,INDIRECT("'Output 1-CARBONARA'!$m$4:$m$"&amp;$C$4))
+SUMIF(INDIRECT("'Output 2-CACCIA'!$H$4:$H$"&amp;$C$5),Analysis!Q20,INDIRECT("'Output 2-CACCIA'!$m$4:$m$"&amp;$C$5))
+SUMIF(INDIRECT("'Output 3-ASINARA'!$H$4:$H$"&amp;$C$6),Analysis!Q20,INDIRECT("'Output 3-ASINARA'!$m$4:$m$"&amp;$C$6))
+SUMIF(INDIRECT("'Output 4-PELAGIE'!$H$4:$H$"&amp;$C$7),Analysis!Q20,INDIRECT("'Output 4-PELAGIE'!$m$4:$m$"&amp;$C$7))
+SUMIF(INDIRECT("'Output 5-EGADI'!$H$4:$H$"&amp;$C$8),Analysis!Q20,INDIRECT("'Output 5-EGADI'!$m$4:$m$"&amp;$C$8))
+SUMIF(INDIRECT("'Output 6-TG'!$H$4:$H$"&amp;$C$9),Analysis!Q20,INDIRECT("'Output 6-TG'!$m$4:$m$"&amp;$C$9))
+SUMIF(INDIRECT("'Output 7-PNAT'!$H$4:$H$"&amp;$C$10),Analysis!Q20,INDIRECT("'Output 7-PNAT'!$m$4:$m$"&amp;$C$10))
+SUMIF(INDIRECT("'Output 8-AEO'!$H$4:$H$"&amp;$C$11),Analysis!Q20,INDIRECT("'Output 8-AEO'!$m$4:$m$"&amp;$C$11))
+SUMIF(INDIRECT("'Output 9-EGADI2'!$H$4:$H$"&amp;$C$12),Analysis!Q20,INDIRECT("'Output 9-EGADI2'!$m$4:$m$"&amp;$C$12))
+SUMIF(INDIRECT("'Output 10-TUNIS'!$H$4:$H$"&amp;$C$13),Analysis!Q20,INDIRECT("'Output 10-TUNIS'!$m$4:$m$"&amp;$C$13))</f>
        <v>0</v>
      </c>
      <c r="S20" s="5">
        <f ca="1">SUMIF(INDIRECT("'Output 1-CARBONARA'!$H$4:$H$"&amp;$C$4),Analysis!Q20,INDIRECT("'Output 1-CARBONARA'!$q$4:$q$"&amp;$C$4))
+SUMIF(INDIRECT("'Output 2-CACCIA'!$H$4:$H$"&amp;$C$5),Analysis!Q20,INDIRECT("'Output 2-CACCIA'!$q$4:$q$"&amp;$C$5))
+SUMIF(INDIRECT("'Output 3-ASINARA'!$H$4:$H$"&amp;$C$6),Analysis!Q20,INDIRECT("'Output 3-ASINARA'!$q$4:$q$"&amp;$C$6))
+SUMIF(INDIRECT("'Output 4-PELAGIE'!$H$4:$H$"&amp;$C$7),Analysis!Q20,INDIRECT("'Output 4-PELAGIE'!$q$4:$q$"&amp;$C$7))
+SUMIF(INDIRECT("'Output 5-EGADI'!$H$4:$H$"&amp;$C$8),Analysis!Q20,INDIRECT("'Output 5-EGADI'!$q$4:$q$"&amp;$C$8))
+SUMIF(INDIRECT("'Output 6-TG'!$H$4:$H$"&amp;$C$9),Analysis!Q20,INDIRECT("'Output 6-TG'!$q$4:$q$"&amp;$C$9))
+SUMIF(INDIRECT("'Output 7-PNAT'!$H$4:$H$"&amp;$C$10),Analysis!Q20,INDIRECT("'Output 7-PNAT'!$q$4:$q$"&amp;$C$10))
+SUMIF(INDIRECT("'Output 8-AEO'!$H$4:$H$"&amp;$C$11),Analysis!Q20,INDIRECT("'Output 8-AEO'!$q$4:$q$"&amp;$C$11))
+SUMIF(INDIRECT("'Output 9-EGADI2'!$H$4:$H$"&amp;$C$12),Analysis!Q20,INDIRECT("'Output 9-EGADI2'!$q$4:$q$"&amp;$C$12))
+SUMIF(INDIRECT("'Output 10-TUNIS'!$H$4:$H$"&amp;$C$13),Analysis!Q20,INDIRECT("'Output 10-TUNIS'!$q$4:$q$"&amp;$C$13))</f>
        <v>0</v>
      </c>
      <c r="T20" s="5">
        <f ca="1">SUMIF(INDIRECT("'Output 1-CARBONARA'!$H$4:$H$"&amp;$C$4),Analysis!Q20,INDIRECT("'Output 1-CARBONARA'!$U$4:$U$"&amp;$C$4))
+SUMIF(INDIRECT("'Output 2-CACCIA'!$H$4:$H$"&amp;$C$5),Analysis!Q20,INDIRECT("'Output 2-CACCIA'!$U$4:$U$"&amp;$C$5))
+SUMIF(INDIRECT("'Output 3-ASINARA'!$H$4:$H$"&amp;$C$6),Analysis!Q20,INDIRECT("'Output 3-ASINARA'!$U$4:$U$"&amp;$C$6))
+SUMIF(INDIRECT("'Output 4-PELAGIE'!$H$4:$H$"&amp;$C$7),Analysis!Q20,INDIRECT("'Output 4-PELAGIE'!$U$4:$U$"&amp;$C$7))
+SUMIF(INDIRECT("'Output 5-EGADI'!$H$4:$H$"&amp;$C$8),Analysis!Q20,INDIRECT("'Output 5-EGADI'!$U$4:$U$"&amp;$C$8))
+SUMIF(INDIRECT("'Output 6-TG'!$H$4:$H$"&amp;$C$9),Analysis!Q20,INDIRECT("'Output 6-TG'!$U$4:$U$"&amp;$C$9))
+SUMIF(INDIRECT("'Output 7-PNAT'!$H$4:$H$"&amp;$C$10),Analysis!Q20,INDIRECT("'Output 7-PNAT'!$U$4:$U$"&amp;$C$10))
+SUMIF(INDIRECT("'Output 8-AEO'!$H$4:$H$"&amp;$C$11),Analysis!Q20,INDIRECT("'Output 8-AEO'!$U$4:$U$"&amp;$C$11))
+SUMIF(INDIRECT("'Output 9-EGADI2'!$H$4:$H$"&amp;$C$12),Analysis!Q20,INDIRECT("'Output 9-EGADI2'!$U$4:$U$"&amp;$C$12))
+SUMIF(INDIRECT("'Output 10-TUNIS'!$H$4:$H$"&amp;$C$13),Analysis!Q20,INDIRECT("'Output 10-TUNIS'!$U$4:$U$"&amp;$C$13))</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8">
        <f t="shared" ca="1" si="0"/>
        <v>0</v>
      </c>
      <c r="AA20" s="38">
        <f t="shared" si="1"/>
        <v>0</v>
      </c>
      <c r="AB20" s="54">
        <f t="shared" ca="1" si="2"/>
        <v>0</v>
      </c>
      <c r="AC20" s="64">
        <f ca="1">SUMIF(INDIRECT("'Output 1-CARBONARA'!$H$5:$H$"&amp;$C$4),Analysis!$Q20,INDIRECT("'Output 1-CARBONARA'!$F$5:$F$"&amp;$C$4))
+SUMIF(INDIRECT("'Output 2-CACCIA'!$H$5:$H$"&amp;$C$5),Analysis!$Q20,INDIRECT("'Output 2-CACCIA'!$F$5:$F$"&amp;$C$5))
+SUMIF(INDIRECT("'Output 3-ASINARA'!$H$5:$H$"&amp;$C$6),Analysis!$Q20,INDIRECT("'Output 3-ASINARA'!$F$5:$F$"&amp;$C$6))
+SUMIF(INDIRECT("'Output 4-PELAGIE'!$H$5:$H$"&amp;$C$7),Analysis!$Q20,INDIRECT("'Output 4-PELAGIE'!$F$5:$F$"&amp;$C$7))
+SUMIF(INDIRECT("'Output 5-EGADI'!$H$5:$H$"&amp;$C$8),Analysis!$Q20,INDIRECT("'Output 5-EGADI'!$F$5:$F$"&amp;$C$8))
+SUMIF(INDIRECT("'Output 6-TG'!$H$5:$H$"&amp;$C$9),Analysis!$Q20,INDIRECT("'Output 6-TG'!$F$5:$F$"&amp;$C$9))
+SUMIF(INDIRECT("'Output 7-PNAT'!$H$5:$H$"&amp;$C$10),Analysis!$Q20,INDIRECT("'Output 7-PNAT'!$F$5:$F$"&amp;$C$10))
+SUMIF(INDIRECT("'Output 8-AEO'!$H$5:$H$"&amp;$C$11),Analysis!$Q20,INDIRECT("'Output 8-AEO'!$F$5:$F$"&amp;$C$11))
+SUMIF(INDIRECT("'Output 9-EGADI2'!$H$5:$H$"&amp;$C$12),Analysis!$Q20,INDIRECT("'Output 9-EGADI2'!$F$5:$F$"&amp;$C$12))
+SUMIF(INDIRECT("'Output 10-TUNIS'!$H$5:$H$"&amp;$C$13),Analysis!$Q20,INDIRECT("'Output 10-TUNIS'!$F$5:$F$"&amp;$C$13))</f>
        <v>0</v>
      </c>
    </row>
    <row r="21" spans="1:29">
      <c r="F21" t="str">
        <f>'Output 6-TG'!$D$5</f>
        <v>O.6.2</v>
      </c>
      <c r="G21" s="4">
        <f>'Output 6-TG'!O$5/'Output 6-TG'!$F$5</f>
        <v>0</v>
      </c>
      <c r="H21" s="4">
        <f>'Output 6-TG'!Q$5/'Output 6-TG'!$F$5</f>
        <v>0</v>
      </c>
      <c r="I21" s="4">
        <f>('Output 6-TG'!S$5)/'Output 6-TG'!$F$5</f>
        <v>0</v>
      </c>
      <c r="J21" s="4" t="e">
        <f>('Output 6-TG'!#REF!)/'Output 6-TG'!$F$5</f>
        <v>#REF!</v>
      </c>
      <c r="K21" s="4">
        <f>('Output 1-CARBONARA'!Y$4)/'Output 1-CARBONARA'!$F$4</f>
        <v>1</v>
      </c>
      <c r="L21" s="34" t="e">
        <f t="shared" si="6"/>
        <v>#REF!</v>
      </c>
      <c r="M21" s="4">
        <f>('Output 6-TG'!W$5)/'Output 6-TG'!$F$5</f>
        <v>1</v>
      </c>
      <c r="N21" s="4">
        <f>('Output 6-TG'!Y$5)/'Output 6-TG'!$F$5</f>
        <v>0</v>
      </c>
      <c r="O21" s="34" t="e">
        <f t="shared" si="7"/>
        <v>#REF!</v>
      </c>
      <c r="Q21" s="31" t="s">
        <v>128</v>
      </c>
      <c r="R21" s="5">
        <f ca="1">SUMIF(INDIRECT("'Output 1-CARBONARA'!$H$4:$H$"&amp;$C$4),Analysis!Q21,INDIRECT("'Output 1-CARBONARA'!$m$4:$m$"&amp;$C$4))
+SUMIF(INDIRECT("'Output 2-CACCIA'!$H$4:$H$"&amp;$C$5),Analysis!Q21,INDIRECT("'Output 2-CACCIA'!$m$4:$m$"&amp;$C$5))
+SUMIF(INDIRECT("'Output 3-ASINARA'!$H$4:$H$"&amp;$C$6),Analysis!Q21,INDIRECT("'Output 3-ASINARA'!$m$4:$m$"&amp;$C$6))
+SUMIF(INDIRECT("'Output 4-PELAGIE'!$H$4:$H$"&amp;$C$7),Analysis!Q21,INDIRECT("'Output 4-PELAGIE'!$m$4:$m$"&amp;$C$7))
+SUMIF(INDIRECT("'Output 5-EGADI'!$H$4:$H$"&amp;$C$8),Analysis!Q21,INDIRECT("'Output 5-EGADI'!$m$4:$m$"&amp;$C$8))
+SUMIF(INDIRECT("'Output 6-TG'!$H$4:$H$"&amp;$C$9),Analysis!Q21,INDIRECT("'Output 6-TG'!$m$4:$m$"&amp;$C$9))
+SUMIF(INDIRECT("'Output 7-PNAT'!$H$4:$H$"&amp;$C$10),Analysis!Q21,INDIRECT("'Output 7-PNAT'!$m$4:$m$"&amp;$C$10))
+SUMIF(INDIRECT("'Output 8-AEO'!$H$4:$H$"&amp;$C$11),Analysis!Q21,INDIRECT("'Output 8-AEO'!$m$4:$m$"&amp;$C$11))
+SUMIF(INDIRECT("'Output 9-EGADI2'!$H$4:$H$"&amp;$C$12),Analysis!Q21,INDIRECT("'Output 9-EGADI2'!$m$4:$m$"&amp;$C$12))
+SUMIF(INDIRECT("'Output 10-TUNIS'!$H$4:$H$"&amp;$C$13),Analysis!Q21,INDIRECT("'Output 10-TUNIS'!$m$4:$m$"&amp;$C$13))</f>
        <v>0</v>
      </c>
      <c r="S21" s="5">
        <f ca="1">SUMIF(INDIRECT("'Output 1-CARBONARA'!$H$4:$H$"&amp;$C$4),Analysis!Q21,INDIRECT("'Output 1-CARBONARA'!$q$4:$q$"&amp;$C$4))
+SUMIF(INDIRECT("'Output 2-CACCIA'!$H$4:$H$"&amp;$C$5),Analysis!Q21,INDIRECT("'Output 2-CACCIA'!$q$4:$q$"&amp;$C$5))
+SUMIF(INDIRECT("'Output 3-ASINARA'!$H$4:$H$"&amp;$C$6),Analysis!Q21,INDIRECT("'Output 3-ASINARA'!$q$4:$q$"&amp;$C$6))
+SUMIF(INDIRECT("'Output 4-PELAGIE'!$H$4:$H$"&amp;$C$7),Analysis!Q21,INDIRECT("'Output 4-PELAGIE'!$q$4:$q$"&amp;$C$7))
+SUMIF(INDIRECT("'Output 5-EGADI'!$H$4:$H$"&amp;$C$8),Analysis!Q21,INDIRECT("'Output 5-EGADI'!$q$4:$q$"&amp;$C$8))
+SUMIF(INDIRECT("'Output 6-TG'!$H$4:$H$"&amp;$C$9),Analysis!Q21,INDIRECT("'Output 6-TG'!$q$4:$q$"&amp;$C$9))
+SUMIF(INDIRECT("'Output 7-PNAT'!$H$4:$H$"&amp;$C$10),Analysis!Q21,INDIRECT("'Output 7-PNAT'!$q$4:$q$"&amp;$C$10))
+SUMIF(INDIRECT("'Output 8-AEO'!$H$4:$H$"&amp;$C$11),Analysis!Q21,INDIRECT("'Output 8-AEO'!$q$4:$q$"&amp;$C$11))
+SUMIF(INDIRECT("'Output 9-EGADI2'!$H$4:$H$"&amp;$C$12),Analysis!Q21,INDIRECT("'Output 9-EGADI2'!$q$4:$q$"&amp;$C$12))
+SUMIF(INDIRECT("'Output 10-TUNIS'!$H$4:$H$"&amp;$C$13),Analysis!Q21,INDIRECT("'Output 10-TUNIS'!$q$4:$q$"&amp;$C$13))</f>
        <v>0</v>
      </c>
      <c r="T21" s="5">
        <f ca="1">SUMIF(INDIRECT("'Output 1-CARBONARA'!$H$4:$H$"&amp;$C$4),Analysis!Q21,INDIRECT("'Output 1-CARBONARA'!$U$4:$U$"&amp;$C$4))
+SUMIF(INDIRECT("'Output 2-CACCIA'!$H$4:$H$"&amp;$C$5),Analysis!Q21,INDIRECT("'Output 2-CACCIA'!$U$4:$U$"&amp;$C$5))
+SUMIF(INDIRECT("'Output 3-ASINARA'!$H$4:$H$"&amp;$C$6),Analysis!Q21,INDIRECT("'Output 3-ASINARA'!$U$4:$U$"&amp;$C$6))
+SUMIF(INDIRECT("'Output 4-PELAGIE'!$H$4:$H$"&amp;$C$7),Analysis!Q21,INDIRECT("'Output 4-PELAGIE'!$U$4:$U$"&amp;$C$7))
+SUMIF(INDIRECT("'Output 5-EGADI'!$H$4:$H$"&amp;$C$8),Analysis!Q21,INDIRECT("'Output 5-EGADI'!$U$4:$U$"&amp;$C$8))
+SUMIF(INDIRECT("'Output 6-TG'!$H$4:$H$"&amp;$C$9),Analysis!Q21,INDIRECT("'Output 6-TG'!$U$4:$U$"&amp;$C$9))
+SUMIF(INDIRECT("'Output 7-PNAT'!$H$4:$H$"&amp;$C$10),Analysis!Q21,INDIRECT("'Output 7-PNAT'!$U$4:$U$"&amp;$C$10))
+SUMIF(INDIRECT("'Output 8-AEO'!$H$4:$H$"&amp;$C$11),Analysis!Q21,INDIRECT("'Output 8-AEO'!$U$4:$U$"&amp;$C$11))
+SUMIF(INDIRECT("'Output 9-EGADI2'!$H$4:$H$"&amp;$C$12),Analysis!Q21,INDIRECT("'Output 9-EGADI2'!$U$4:$U$"&amp;$C$12))
+SUMIF(INDIRECT("'Output 10-TUNIS'!$H$4:$H$"&amp;$C$13),Analysis!Q21,INDIRECT("'Output 10-TUNIS'!$U$4:$U$"&amp;$C$13))</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8">
        <f t="shared" ca="1" si="0"/>
        <v>0</v>
      </c>
      <c r="AA21" s="38">
        <f t="shared" si="1"/>
        <v>0</v>
      </c>
      <c r="AB21" s="54">
        <f t="shared" ca="1" si="2"/>
        <v>0</v>
      </c>
      <c r="AC21" s="64">
        <f ca="1">SUMIF(INDIRECT("'Output 1-CARBONARA'!$H$5:$H$"&amp;$C$4),Analysis!$Q21,INDIRECT("'Output 1-CARBONARA'!$F$5:$F$"&amp;$C$4))
+SUMIF(INDIRECT("'Output 2-CACCIA'!$H$5:$H$"&amp;$C$5),Analysis!$Q21,INDIRECT("'Output 2-CACCIA'!$F$5:$F$"&amp;$C$5))
+SUMIF(INDIRECT("'Output 3-ASINARA'!$H$5:$H$"&amp;$C$6),Analysis!$Q21,INDIRECT("'Output 3-ASINARA'!$F$5:$F$"&amp;$C$6))
+SUMIF(INDIRECT("'Output 4-PELAGIE'!$H$5:$H$"&amp;$C$7),Analysis!$Q21,INDIRECT("'Output 4-PELAGIE'!$F$5:$F$"&amp;$C$7))
+SUMIF(INDIRECT("'Output 5-EGADI'!$H$5:$H$"&amp;$C$8),Analysis!$Q21,INDIRECT("'Output 5-EGADI'!$F$5:$F$"&amp;$C$8))
+SUMIF(INDIRECT("'Output 6-TG'!$H$5:$H$"&amp;$C$9),Analysis!$Q21,INDIRECT("'Output 6-TG'!$F$5:$F$"&amp;$C$9))
+SUMIF(INDIRECT("'Output 7-PNAT'!$H$5:$H$"&amp;$C$10),Analysis!$Q21,INDIRECT("'Output 7-PNAT'!$F$5:$F$"&amp;$C$10))
+SUMIF(INDIRECT("'Output 8-AEO'!$H$5:$H$"&amp;$C$11),Analysis!$Q21,INDIRECT("'Output 8-AEO'!$F$5:$F$"&amp;$C$11))
+SUMIF(INDIRECT("'Output 9-EGADI2'!$H$5:$H$"&amp;$C$12),Analysis!$Q21,INDIRECT("'Output 9-EGADI2'!$F$5:$F$"&amp;$C$12))
+SUMIF(INDIRECT("'Output 10-TUNIS'!$H$5:$H$"&amp;$C$13),Analysis!$Q21,INDIRECT("'Output 10-TUNIS'!$F$5:$F$"&amp;$C$13))</f>
        <v>0</v>
      </c>
    </row>
    <row r="22" spans="1:29">
      <c r="F22" t="str">
        <f>'Output 6-TG'!$D$8</f>
        <v>O.6.5</v>
      </c>
      <c r="G22" s="4">
        <f>'Output 6-TG'!O$8/'Output 6-TG'!$F$8</f>
        <v>0</v>
      </c>
      <c r="H22" s="4">
        <f>'Output 6-TG'!Q$8/'Output 6-TG'!$F$8</f>
        <v>0</v>
      </c>
      <c r="I22" s="4">
        <f>('Output 6-TG'!S$8)/'Output 6-TG'!$F$8</f>
        <v>0</v>
      </c>
      <c r="J22" s="4" t="e">
        <f>('Output 6-TG'!#REF!)/'Output 6-TG'!$F$8</f>
        <v>#REF!</v>
      </c>
      <c r="K22" s="4">
        <f>('Output 1-CARBONARA'!Y$4)/'Output 1-CARBONARA'!$F$4</f>
        <v>1</v>
      </c>
      <c r="L22" s="34" t="e">
        <f t="shared" si="6"/>
        <v>#REF!</v>
      </c>
      <c r="M22" s="4">
        <f>('Output 6-TG'!W$8)/'Output 6-TG'!$F$8</f>
        <v>0</v>
      </c>
      <c r="N22" s="4">
        <f>('Output 6-TG'!Y$8)/'Output 6-TG'!$F$8</f>
        <v>0</v>
      </c>
      <c r="O22" s="34" t="e">
        <f t="shared" si="7"/>
        <v>#REF!</v>
      </c>
      <c r="Q22" s="31" t="s">
        <v>715</v>
      </c>
      <c r="R22" s="5">
        <f ca="1">SUMIF(INDIRECT("'Output 1-CARBONARA'!$H$4:$H$"&amp;$C$4),Analysis!Q22,INDIRECT("'Output 1-CARBONARA'!$m$4:$m$"&amp;$C$4))
+SUMIF(INDIRECT("'Output 2-CACCIA'!$H$4:$H$"&amp;$C$5),Analysis!Q22,INDIRECT("'Output 2-CACCIA'!$m$4:$m$"&amp;$C$5))
+SUMIF(INDIRECT("'Output 3-ASINARA'!$H$4:$H$"&amp;$C$6),Analysis!Q22,INDIRECT("'Output 3-ASINARA'!$m$4:$m$"&amp;$C$6))
+SUMIF(INDIRECT("'Output 4-PELAGIE'!$H$4:$H$"&amp;$C$7),Analysis!Q22,INDIRECT("'Output 4-PELAGIE'!$m$4:$m$"&amp;$C$7))
+SUMIF(INDIRECT("'Output 5-EGADI'!$H$4:$H$"&amp;$C$8),Analysis!Q22,INDIRECT("'Output 5-EGADI'!$m$4:$m$"&amp;$C$8))
+SUMIF(INDIRECT("'Output 6-TG'!$H$4:$H$"&amp;$C$9),Analysis!Q22,INDIRECT("'Output 6-TG'!$m$4:$m$"&amp;$C$9))
+SUMIF(INDIRECT("'Output 7-PNAT'!$H$4:$H$"&amp;$C$10),Analysis!Q22,INDIRECT("'Output 7-PNAT'!$m$4:$m$"&amp;$C$10))
+SUMIF(INDIRECT("'Output 8-AEO'!$H$4:$H$"&amp;$C$11),Analysis!Q22,INDIRECT("'Output 8-AEO'!$m$4:$m$"&amp;$C$11))
+SUMIF(INDIRECT("'Output 9-EGADI2'!$H$4:$H$"&amp;$C$12),Analysis!Q22,INDIRECT("'Output 9-EGADI2'!$m$4:$m$"&amp;$C$12))
+SUMIF(INDIRECT("'Output 10-TUNIS'!$H$4:$H$"&amp;$C$13),Analysis!Q22,INDIRECT("'Output 10-TUNIS'!$m$4:$m$"&amp;$C$13))</f>
        <v>0</v>
      </c>
      <c r="S22" s="5">
        <f ca="1">SUMIF(INDIRECT("'Output 1-CARBONARA'!$H$4:$H$"&amp;$C$4),Analysis!Q22,INDIRECT("'Output 1-CARBONARA'!$q$4:$q$"&amp;$C$4))
+SUMIF(INDIRECT("'Output 2-CACCIA'!$H$4:$H$"&amp;$C$5),Analysis!Q22,INDIRECT("'Output 2-CACCIA'!$q$4:$q$"&amp;$C$5))
+SUMIF(INDIRECT("'Output 3-ASINARA'!$H$4:$H$"&amp;$C$6),Analysis!Q22,INDIRECT("'Output 3-ASINARA'!$q$4:$q$"&amp;$C$6))
+SUMIF(INDIRECT("'Output 4-PELAGIE'!$H$4:$H$"&amp;$C$7),Analysis!Q22,INDIRECT("'Output 4-PELAGIE'!$q$4:$q$"&amp;$C$7))
+SUMIF(INDIRECT("'Output 5-EGADI'!$H$4:$H$"&amp;$C$8),Analysis!Q22,INDIRECT("'Output 5-EGADI'!$q$4:$q$"&amp;$C$8))
+SUMIF(INDIRECT("'Output 6-TG'!$H$4:$H$"&amp;$C$9),Analysis!Q22,INDIRECT("'Output 6-TG'!$q$4:$q$"&amp;$C$9))
+SUMIF(INDIRECT("'Output 7-PNAT'!$H$4:$H$"&amp;$C$10),Analysis!Q22,INDIRECT("'Output 7-PNAT'!$q$4:$q$"&amp;$C$10))
+SUMIF(INDIRECT("'Output 8-AEO'!$H$4:$H$"&amp;$C$11),Analysis!Q22,INDIRECT("'Output 8-AEO'!$q$4:$q$"&amp;$C$11))
+SUMIF(INDIRECT("'Output 9-EGADI2'!$H$4:$H$"&amp;$C$12),Analysis!Q22,INDIRECT("'Output 9-EGADI2'!$q$4:$q$"&amp;$C$12))
+SUMIF(INDIRECT("'Output 10-TUNIS'!$H$4:$H$"&amp;$C$13),Analysis!Q22,INDIRECT("'Output 10-TUNIS'!$q$4:$q$"&amp;$C$13))</f>
        <v>0</v>
      </c>
      <c r="T22" s="5">
        <f ca="1">SUMIF(INDIRECT("'Output 1-CARBONARA'!$H$4:$H$"&amp;$C$4),Analysis!Q22,INDIRECT("'Output 1-CARBONARA'!$U$4:$U$"&amp;$C$4))
+SUMIF(INDIRECT("'Output 2-CACCIA'!$H$4:$H$"&amp;$C$5),Analysis!Q22,INDIRECT("'Output 2-CACCIA'!$U$4:$U$"&amp;$C$5))
+SUMIF(INDIRECT("'Output 3-ASINARA'!$H$4:$H$"&amp;$C$6),Analysis!Q22,INDIRECT("'Output 3-ASINARA'!$U$4:$U$"&amp;$C$6))
+SUMIF(INDIRECT("'Output 4-PELAGIE'!$H$4:$H$"&amp;$C$7),Analysis!Q22,INDIRECT("'Output 4-PELAGIE'!$U$4:$U$"&amp;$C$7))
+SUMIF(INDIRECT("'Output 5-EGADI'!$H$4:$H$"&amp;$C$8),Analysis!Q22,INDIRECT("'Output 5-EGADI'!$U$4:$U$"&amp;$C$8))
+SUMIF(INDIRECT("'Output 6-TG'!$H$4:$H$"&amp;$C$9),Analysis!Q22,INDIRECT("'Output 6-TG'!$U$4:$U$"&amp;$C$9))
+SUMIF(INDIRECT("'Output 7-PNAT'!$H$4:$H$"&amp;$C$10),Analysis!Q22,INDIRECT("'Output 7-PNAT'!$U$4:$U$"&amp;$C$10))
+SUMIF(INDIRECT("'Output 8-AEO'!$H$4:$H$"&amp;$C$11),Analysis!Q22,INDIRECT("'Output 8-AEO'!$U$4:$U$"&amp;$C$11))
+SUMIF(INDIRECT("'Output 9-EGADI2'!$H$4:$H$"&amp;$C$12),Analysis!Q22,INDIRECT("'Output 9-EGADI2'!$U$4:$U$"&amp;$C$12))
+SUMIF(INDIRECT("'Output 10-TUNIS'!$H$4:$H$"&amp;$C$13),Analysis!Q22,INDIRECT("'Output 10-TUNIS'!$U$4:$U$"&amp;$C$13))</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8">
        <f t="shared" ca="1" si="0"/>
        <v>0</v>
      </c>
      <c r="AA22" s="38">
        <f t="shared" si="1"/>
        <v>0</v>
      </c>
      <c r="AB22" s="54">
        <f t="shared" ca="1" si="2"/>
        <v>0</v>
      </c>
      <c r="AC22" s="64">
        <f ca="1">SUMIF(INDIRECT("'Output 1-CARBONARA'!$H$5:$H$"&amp;$C$4),Analysis!$Q22,INDIRECT("'Output 1-CARBONARA'!$F$5:$F$"&amp;$C$4))
+SUMIF(INDIRECT("'Output 2-CACCIA'!$H$5:$H$"&amp;$C$5),Analysis!$Q22,INDIRECT("'Output 2-CACCIA'!$F$5:$F$"&amp;$C$5))
+SUMIF(INDIRECT("'Output 3-ASINARA'!$H$5:$H$"&amp;$C$6),Analysis!$Q22,INDIRECT("'Output 3-ASINARA'!$F$5:$F$"&amp;$C$6))
+SUMIF(INDIRECT("'Output 4-PELAGIE'!$H$5:$H$"&amp;$C$7),Analysis!$Q22,INDIRECT("'Output 4-PELAGIE'!$F$5:$F$"&amp;$C$7))
+SUMIF(INDIRECT("'Output 5-EGADI'!$H$5:$H$"&amp;$C$8),Analysis!$Q22,INDIRECT("'Output 5-EGADI'!$F$5:$F$"&amp;$C$8))
+SUMIF(INDIRECT("'Output 6-TG'!$H$5:$H$"&amp;$C$9),Analysis!$Q22,INDIRECT("'Output 6-TG'!$F$5:$F$"&amp;$C$9))
+SUMIF(INDIRECT("'Output 7-PNAT'!$H$5:$H$"&amp;$C$10),Analysis!$Q22,INDIRECT("'Output 7-PNAT'!$F$5:$F$"&amp;$C$10))
+SUMIF(INDIRECT("'Output 8-AEO'!$H$5:$H$"&amp;$C$11),Analysis!$Q22,INDIRECT("'Output 8-AEO'!$F$5:$F$"&amp;$C$11))
+SUMIF(INDIRECT("'Output 9-EGADI2'!$H$5:$H$"&amp;$C$12),Analysis!$Q22,INDIRECT("'Output 9-EGADI2'!$F$5:$F$"&amp;$C$12))
+SUMIF(INDIRECT("'Output 10-TUNIS'!$H$5:$H$"&amp;$C$13),Analysis!$Q22,INDIRECT("'Output 10-TUNIS'!$F$5:$F$"&amp;$C$13))</f>
        <v>0</v>
      </c>
    </row>
    <row r="23" spans="1:29">
      <c r="E23" t="str">
        <f>'Output 7-PNAT'!$B$4</f>
        <v>O.7</v>
      </c>
      <c r="F23" t="str">
        <f>'Output 7-PNAT'!$D$4</f>
        <v>O.7.1</v>
      </c>
      <c r="G23" s="4">
        <f>'Output 7-PNAT'!$O$4/'Output 7-PNAT'!$F$4</f>
        <v>0</v>
      </c>
      <c r="H23" s="4">
        <f>'Output 7-PNAT'!Q$4/'Output 7-PNAT'!$F$4</f>
        <v>0</v>
      </c>
      <c r="I23" s="4">
        <f>('Output 7-PNAT'!S$4)/'Output 7-PNAT'!$F$4</f>
        <v>0</v>
      </c>
      <c r="J23" s="4">
        <f>('Output 7-PNAT'!U$7)/'Output 7-PNAT'!$F$4</f>
        <v>1</v>
      </c>
      <c r="K23" s="4">
        <f>('Output 1-CARBONARA'!Y$4)/'Output 1-CARBONARA'!$F$4</f>
        <v>1</v>
      </c>
      <c r="L23" s="34">
        <f t="shared" si="6"/>
        <v>1</v>
      </c>
      <c r="M23" s="4" t="e">
        <f>('Output 7-PNAT'!W$5)/'Output 7-PNAT'!$F$4</f>
        <v>#VALUE!</v>
      </c>
      <c r="N23" s="4">
        <f>('Output 7-PNAT'!Y$4)/'Output 7-PNAT'!$F$4</f>
        <v>1</v>
      </c>
      <c r="O23" s="34">
        <f t="shared" si="7"/>
        <v>2</v>
      </c>
      <c r="Q23" s="31">
        <v>2.2000000000000002</v>
      </c>
      <c r="R23" s="5">
        <f ca="1">SUMIF(INDIRECT("'Output 1-CARBONARA'!$H$4:$H$"&amp;$C$4),Analysis!Q23,INDIRECT("'Output 1-CARBONARA'!$m$4:$m$"&amp;$C$4))
+SUMIF(INDIRECT("'Output 2-CACCIA'!$H$4:$H$"&amp;$C$5),Analysis!Q23,INDIRECT("'Output 2-CACCIA'!$m$4:$m$"&amp;$C$5))
+SUMIF(INDIRECT("'Output 3-ASINARA'!$H$4:$H$"&amp;$C$6),Analysis!Q23,INDIRECT("'Output 3-ASINARA'!$m$4:$m$"&amp;$C$6))
+SUMIF(INDIRECT("'Output 4-PELAGIE'!$H$4:$H$"&amp;$C$7),Analysis!Q23,INDIRECT("'Output 4-PELAGIE'!$m$4:$m$"&amp;$C$7))
+SUMIF(INDIRECT("'Output 5-EGADI'!$H$4:$H$"&amp;$C$8),Analysis!Q23,INDIRECT("'Output 5-EGADI'!$m$4:$m$"&amp;$C$8))
+SUMIF(INDIRECT("'Output 6-TG'!$H$4:$H$"&amp;$C$9),Analysis!Q23,INDIRECT("'Output 6-TG'!$m$4:$m$"&amp;$C$9))
+SUMIF(INDIRECT("'Output 7-PNAT'!$H$4:$H$"&amp;$C$10),Analysis!Q23,INDIRECT("'Output 7-PNAT'!$m$4:$m$"&amp;$C$10))
+SUMIF(INDIRECT("'Output 8-AEO'!$H$4:$H$"&amp;$C$11),Analysis!Q23,INDIRECT("'Output 8-AEO'!$m$4:$m$"&amp;$C$11))
+SUMIF(INDIRECT("'Output 9-EGADI2'!$H$4:$H$"&amp;$C$12),Analysis!Q23,INDIRECT("'Output 9-EGADI2'!$m$4:$m$"&amp;$C$12))
+SUMIF(INDIRECT("'Output 10-TUNIS'!$H$4:$H$"&amp;$C$13),Analysis!Q23,INDIRECT("'Output 10-TUNIS'!$m$4:$m$"&amp;$C$13))</f>
        <v>0</v>
      </c>
      <c r="S23" s="5">
        <f ca="1">SUMIF(INDIRECT("'Output 1-CARBONARA'!$H$4:$H$"&amp;$C$4),Analysis!Q23,INDIRECT("'Output 1-CARBONARA'!$q$4:$q$"&amp;$C$4))
+SUMIF(INDIRECT("'Output 2-CACCIA'!$H$4:$H$"&amp;$C$5),Analysis!Q23,INDIRECT("'Output 2-CACCIA'!$q$4:$q$"&amp;$C$5))
+SUMIF(INDIRECT("'Output 3-ASINARA'!$H$4:$H$"&amp;$C$6),Analysis!Q23,INDIRECT("'Output 3-ASINARA'!$q$4:$q$"&amp;$C$6))
+SUMIF(INDIRECT("'Output 4-PELAGIE'!$H$4:$H$"&amp;$C$7),Analysis!Q23,INDIRECT("'Output 4-PELAGIE'!$q$4:$q$"&amp;$C$7))
+SUMIF(INDIRECT("'Output 5-EGADI'!$H$4:$H$"&amp;$C$8),Analysis!Q23,INDIRECT("'Output 5-EGADI'!$q$4:$q$"&amp;$C$8))
+SUMIF(INDIRECT("'Output 6-TG'!$H$4:$H$"&amp;$C$9),Analysis!Q23,INDIRECT("'Output 6-TG'!$q$4:$q$"&amp;$C$9))
+SUMIF(INDIRECT("'Output 7-PNAT'!$H$4:$H$"&amp;$C$10),Analysis!Q23,INDIRECT("'Output 7-PNAT'!$q$4:$q$"&amp;$C$10))
+SUMIF(INDIRECT("'Output 8-AEO'!$H$4:$H$"&amp;$C$11),Analysis!Q23,INDIRECT("'Output 8-AEO'!$q$4:$q$"&amp;$C$11))
+SUMIF(INDIRECT("'Output 9-EGADI2'!$H$4:$H$"&amp;$C$12),Analysis!Q23,INDIRECT("'Output 9-EGADI2'!$q$4:$q$"&amp;$C$12))
+SUMIF(INDIRECT("'Output 10-TUNIS'!$H$4:$H$"&amp;$C$13),Analysis!Q23,INDIRECT("'Output 10-TUNIS'!$q$4:$q$"&amp;$C$13))</f>
        <v>0</v>
      </c>
      <c r="T23" s="5">
        <f ca="1">SUMIF(INDIRECT("'Output 1-CARBONARA'!$H$4:$H$"&amp;$C$4),Analysis!Q23,INDIRECT("'Output 1-CARBONARA'!$U$4:$U$"&amp;$C$4))
+SUMIF(INDIRECT("'Output 2-CACCIA'!$H$4:$H$"&amp;$C$5),Analysis!Q23,INDIRECT("'Output 2-CACCIA'!$U$4:$U$"&amp;$C$5))
+SUMIF(INDIRECT("'Output 3-ASINARA'!$H$4:$H$"&amp;$C$6),Analysis!Q23,INDIRECT("'Output 3-ASINARA'!$U$4:$U$"&amp;$C$6))
+SUMIF(INDIRECT("'Output 4-PELAGIE'!$H$4:$H$"&amp;$C$7),Analysis!Q23,INDIRECT("'Output 4-PELAGIE'!$U$4:$U$"&amp;$C$7))
+SUMIF(INDIRECT("'Output 5-EGADI'!$H$4:$H$"&amp;$C$8),Analysis!Q23,INDIRECT("'Output 5-EGADI'!$U$4:$U$"&amp;$C$8))
+SUMIF(INDIRECT("'Output 6-TG'!$H$4:$H$"&amp;$C$9),Analysis!Q23,INDIRECT("'Output 6-TG'!$U$4:$U$"&amp;$C$9))
+SUMIF(INDIRECT("'Output 7-PNAT'!$H$4:$H$"&amp;$C$10),Analysis!Q23,INDIRECT("'Output 7-PNAT'!$U$4:$U$"&amp;$C$10))
+SUMIF(INDIRECT("'Output 8-AEO'!$H$4:$H$"&amp;$C$11),Analysis!Q23,INDIRECT("'Output 8-AEO'!$U$4:$U$"&amp;$C$11))
+SUMIF(INDIRECT("'Output 9-EGADI2'!$H$4:$H$"&amp;$C$12),Analysis!Q23,INDIRECT("'Output 9-EGADI2'!$U$4:$U$"&amp;$C$12))
+SUMIF(INDIRECT("'Output 10-TUNIS'!$H$4:$H$"&amp;$C$13),Analysis!Q23,INDIRECT("'Output 10-TUNIS'!$U$4:$U$"&amp;$C$13))</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8">
        <f t="shared" ca="1" si="0"/>
        <v>0</v>
      </c>
      <c r="AA23" s="38">
        <f t="shared" si="1"/>
        <v>0</v>
      </c>
      <c r="AB23" s="54">
        <f t="shared" ca="1" si="2"/>
        <v>0</v>
      </c>
      <c r="AC23" s="64">
        <f ca="1">SUMIF(INDIRECT("'Output 1-CARBONARA'!$H$5:$H$"&amp;$C$4),Analysis!$Q23,INDIRECT("'Output 1-CARBONARA'!$F$5:$F$"&amp;$C$4))
+SUMIF(INDIRECT("'Output 2-CACCIA'!$H$5:$H$"&amp;$C$5),Analysis!$Q23,INDIRECT("'Output 2-CACCIA'!$F$5:$F$"&amp;$C$5))
+SUMIF(INDIRECT("'Output 3-ASINARA'!$H$5:$H$"&amp;$C$6),Analysis!$Q23,INDIRECT("'Output 3-ASINARA'!$F$5:$F$"&amp;$C$6))
+SUMIF(INDIRECT("'Output 4-PELAGIE'!$H$5:$H$"&amp;$C$7),Analysis!$Q23,INDIRECT("'Output 4-PELAGIE'!$F$5:$F$"&amp;$C$7))
+SUMIF(INDIRECT("'Output 5-EGADI'!$H$5:$H$"&amp;$C$8),Analysis!$Q23,INDIRECT("'Output 5-EGADI'!$F$5:$F$"&amp;$C$8))
+SUMIF(INDIRECT("'Output 6-TG'!$H$5:$H$"&amp;$C$9),Analysis!$Q23,INDIRECT("'Output 6-TG'!$F$5:$F$"&amp;$C$9))
+SUMIF(INDIRECT("'Output 7-PNAT'!$H$5:$H$"&amp;$C$10),Analysis!$Q23,INDIRECT("'Output 7-PNAT'!$F$5:$F$"&amp;$C$10))
+SUMIF(INDIRECT("'Output 8-AEO'!$H$5:$H$"&amp;$C$11),Analysis!$Q23,INDIRECT("'Output 8-AEO'!$F$5:$F$"&amp;$C$11))
+SUMIF(INDIRECT("'Output 9-EGADI2'!$H$5:$H$"&amp;$C$12),Analysis!$Q23,INDIRECT("'Output 9-EGADI2'!$F$5:$F$"&amp;$C$12))
+SUMIF(INDIRECT("'Output 10-TUNIS'!$H$5:$H$"&amp;$C$13),Analysis!$Q23,INDIRECT("'Output 10-TUNIS'!$F$5:$F$"&amp;$C$13))</f>
        <v>0</v>
      </c>
    </row>
    <row r="24" spans="1:29">
      <c r="F24" t="str">
        <f>'Output 7-PNAT'!$D$5</f>
        <v>O.7.2</v>
      </c>
      <c r="G24" s="4">
        <f>'Output 7-PNAT'!O$5/'Output 7-PNAT'!$F$5</f>
        <v>0</v>
      </c>
      <c r="H24" s="4">
        <f>'Output 7-PNAT'!Q$5/'Output 7-PNAT'!$F$5</f>
        <v>0</v>
      </c>
      <c r="I24" s="4">
        <f>('Output 7-PNAT'!S$5)/'Output 7-PNAT'!$F$5</f>
        <v>0</v>
      </c>
      <c r="J24" s="4">
        <f>('Output 7-PNAT'!U$5)/'Output 7-PNAT'!$F$5</f>
        <v>1.05</v>
      </c>
      <c r="K24" s="4">
        <f>('Output 1-CARBONARA'!Y$4)/'Output 1-CARBONARA'!$F$4</f>
        <v>1</v>
      </c>
      <c r="L24" s="34">
        <f t="shared" si="6"/>
        <v>1.05</v>
      </c>
      <c r="M24" s="4" t="e">
        <f>('Output 7-PNAT'!#REF!)/'Output 7-PNAT'!$F$5</f>
        <v>#REF!</v>
      </c>
      <c r="N24" s="4">
        <f>('Output 7-PNAT'!Y$5)/'Output 7-PNAT'!$F$5</f>
        <v>20.010000000000002</v>
      </c>
      <c r="O24" s="34">
        <f t="shared" si="7"/>
        <v>21.060000000000002</v>
      </c>
      <c r="Q24" s="31" t="s">
        <v>259</v>
      </c>
      <c r="R24" s="5">
        <f ca="1">SUMIF(INDIRECT("'Output 1-CARBONARA'!$H$4:$H$"&amp;$C$4),Analysis!Q24,INDIRECT("'Output 1-CARBONARA'!$m$4:$m$"&amp;$C$4))
+SUMIF(INDIRECT("'Output 2-CACCIA'!$H$4:$H$"&amp;$C$5),Analysis!Q24,INDIRECT("'Output 2-CACCIA'!$m$4:$m$"&amp;$C$5))
+SUMIF(INDIRECT("'Output 3-ASINARA'!$H$4:$H$"&amp;$C$6),Analysis!Q24,INDIRECT("'Output 3-ASINARA'!$m$4:$m$"&amp;$C$6))
+SUMIF(INDIRECT("'Output 4-PELAGIE'!$H$4:$H$"&amp;$C$7),Analysis!Q24,INDIRECT("'Output 4-PELAGIE'!$m$4:$m$"&amp;$C$7))
+SUMIF(INDIRECT("'Output 5-EGADI'!$H$4:$H$"&amp;$C$8),Analysis!Q24,INDIRECT("'Output 5-EGADI'!$m$4:$m$"&amp;$C$8))
+SUMIF(INDIRECT("'Output 6-TG'!$H$4:$H$"&amp;$C$9),Analysis!Q24,INDIRECT("'Output 6-TG'!$m$4:$m$"&amp;$C$9))
+SUMIF(INDIRECT("'Output 7-PNAT'!$H$4:$H$"&amp;$C$10),Analysis!Q24,INDIRECT("'Output 7-PNAT'!$m$4:$m$"&amp;$C$10))
+SUMIF(INDIRECT("'Output 8-AEO'!$H$4:$H$"&amp;$C$11),Analysis!Q24,INDIRECT("'Output 8-AEO'!$m$4:$m$"&amp;$C$11))
+SUMIF(INDIRECT("'Output 9-EGADI2'!$H$4:$H$"&amp;$C$12),Analysis!Q24,INDIRECT("'Output 9-EGADI2'!$m$4:$m$"&amp;$C$12))
+SUMIF(INDIRECT("'Output 10-TUNIS'!$H$4:$H$"&amp;$C$13),Analysis!Q24,INDIRECT("'Output 10-TUNIS'!$m$4:$m$"&amp;$C$13))</f>
        <v>0</v>
      </c>
      <c r="S24" s="5">
        <f ca="1">SUMIF(INDIRECT("'Output 1-CARBONARA'!$H$4:$H$"&amp;$C$4),Analysis!Q24,INDIRECT("'Output 1-CARBONARA'!$q$4:$q$"&amp;$C$4))
+SUMIF(INDIRECT("'Output 2-CACCIA'!$H$4:$H$"&amp;$C$5),Analysis!Q24,INDIRECT("'Output 2-CACCIA'!$q$4:$q$"&amp;$C$5))
+SUMIF(INDIRECT("'Output 3-ASINARA'!$H$4:$H$"&amp;$C$6),Analysis!Q24,INDIRECT("'Output 3-ASINARA'!$q$4:$q$"&amp;$C$6))
+SUMIF(INDIRECT("'Output 4-PELAGIE'!$H$4:$H$"&amp;$C$7),Analysis!Q24,INDIRECT("'Output 4-PELAGIE'!$q$4:$q$"&amp;$C$7))
+SUMIF(INDIRECT("'Output 5-EGADI'!$H$4:$H$"&amp;$C$8),Analysis!Q24,INDIRECT("'Output 5-EGADI'!$q$4:$q$"&amp;$C$8))
+SUMIF(INDIRECT("'Output 6-TG'!$H$4:$H$"&amp;$C$9),Analysis!Q24,INDIRECT("'Output 6-TG'!$q$4:$q$"&amp;$C$9))
+SUMIF(INDIRECT("'Output 7-PNAT'!$H$4:$H$"&amp;$C$10),Analysis!Q24,INDIRECT("'Output 7-PNAT'!$q$4:$q$"&amp;$C$10))
+SUMIF(INDIRECT("'Output 8-AEO'!$H$4:$H$"&amp;$C$11),Analysis!Q24,INDIRECT("'Output 8-AEO'!$q$4:$q$"&amp;$C$11))
+SUMIF(INDIRECT("'Output 9-EGADI2'!$H$4:$H$"&amp;$C$12),Analysis!Q24,INDIRECT("'Output 9-EGADI2'!$q$4:$q$"&amp;$C$12))
+SUMIF(INDIRECT("'Output 10-TUNIS'!$H$4:$H$"&amp;$C$13),Analysis!Q24,INDIRECT("'Output 10-TUNIS'!$q$4:$q$"&amp;$C$13))</f>
        <v>0</v>
      </c>
      <c r="T24" s="5">
        <f ca="1">SUMIF(INDIRECT("'Output 1-CARBONARA'!$H$4:$H$"&amp;$C$4),Analysis!Q24,INDIRECT("'Output 1-CARBONARA'!$U$4:$U$"&amp;$C$4))
+SUMIF(INDIRECT("'Output 2-CACCIA'!$H$4:$H$"&amp;$C$5),Analysis!Q24,INDIRECT("'Output 2-CACCIA'!$U$4:$U$"&amp;$C$5))
+SUMIF(INDIRECT("'Output 3-ASINARA'!$H$4:$H$"&amp;$C$6),Analysis!Q24,INDIRECT("'Output 3-ASINARA'!$U$4:$U$"&amp;$C$6))
+SUMIF(INDIRECT("'Output 4-PELAGIE'!$H$4:$H$"&amp;$C$7),Analysis!Q24,INDIRECT("'Output 4-PELAGIE'!$U$4:$U$"&amp;$C$7))
+SUMIF(INDIRECT("'Output 5-EGADI'!$H$4:$H$"&amp;$C$8),Analysis!Q24,INDIRECT("'Output 5-EGADI'!$U$4:$U$"&amp;$C$8))
+SUMIF(INDIRECT("'Output 6-TG'!$H$4:$H$"&amp;$C$9),Analysis!Q24,INDIRECT("'Output 6-TG'!$U$4:$U$"&amp;$C$9))
+SUMIF(INDIRECT("'Output 7-PNAT'!$H$4:$H$"&amp;$C$10),Analysis!Q24,INDIRECT("'Output 7-PNAT'!$U$4:$U$"&amp;$C$10))
+SUMIF(INDIRECT("'Output 8-AEO'!$H$4:$H$"&amp;$C$11),Analysis!Q24,INDIRECT("'Output 8-AEO'!$U$4:$U$"&amp;$C$11))
+SUMIF(INDIRECT("'Output 9-EGADI2'!$H$4:$H$"&amp;$C$12),Analysis!Q24,INDIRECT("'Output 9-EGADI2'!$U$4:$U$"&amp;$C$12))
+SUMIF(INDIRECT("'Output 10-TUNIS'!$H$4:$H$"&amp;$C$13),Analysis!Q24,INDIRECT("'Output 10-TUNIS'!$U$4:$U$"&amp;$C$13))</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8">
        <f t="shared" ca="1" si="0"/>
        <v>0</v>
      </c>
      <c r="AA24" s="38">
        <f t="shared" si="1"/>
        <v>0</v>
      </c>
      <c r="AB24" s="54">
        <f t="shared" ca="1" si="2"/>
        <v>0</v>
      </c>
      <c r="AC24" s="64">
        <f ca="1">SUMIF(INDIRECT("'Output 1-CARBONARA'!$H$5:$H$"&amp;$C$4),Analysis!$Q24,INDIRECT("'Output 1-CARBONARA'!$F$5:$F$"&amp;$C$4))
+SUMIF(INDIRECT("'Output 2-CACCIA'!$H$5:$H$"&amp;$C$5),Analysis!$Q24,INDIRECT("'Output 2-CACCIA'!$F$5:$F$"&amp;$C$5))
+SUMIF(INDIRECT("'Output 3-ASINARA'!$H$5:$H$"&amp;$C$6),Analysis!$Q24,INDIRECT("'Output 3-ASINARA'!$F$5:$F$"&amp;$C$6))
+SUMIF(INDIRECT("'Output 4-PELAGIE'!$H$5:$H$"&amp;$C$7),Analysis!$Q24,INDIRECT("'Output 4-PELAGIE'!$F$5:$F$"&amp;$C$7))
+SUMIF(INDIRECT("'Output 5-EGADI'!$H$5:$H$"&amp;$C$8),Analysis!$Q24,INDIRECT("'Output 5-EGADI'!$F$5:$F$"&amp;$C$8))
+SUMIF(INDIRECT("'Output 6-TG'!$H$5:$H$"&amp;$C$9),Analysis!$Q24,INDIRECT("'Output 6-TG'!$F$5:$F$"&amp;$C$9))
+SUMIF(INDIRECT("'Output 7-PNAT'!$H$5:$H$"&amp;$C$10),Analysis!$Q24,INDIRECT("'Output 7-PNAT'!$F$5:$F$"&amp;$C$10))
+SUMIF(INDIRECT("'Output 8-AEO'!$H$5:$H$"&amp;$C$11),Analysis!$Q24,INDIRECT("'Output 8-AEO'!$F$5:$F$"&amp;$C$11))
+SUMIF(INDIRECT("'Output 9-EGADI2'!$H$5:$H$"&amp;$C$12),Analysis!$Q24,INDIRECT("'Output 9-EGADI2'!$F$5:$F$"&amp;$C$12))
+SUMIF(INDIRECT("'Output 10-TUNIS'!$H$5:$H$"&amp;$C$13),Analysis!$Q24,INDIRECT("'Output 10-TUNIS'!$F$5:$F$"&amp;$C$13))</f>
        <v>4</v>
      </c>
    </row>
    <row r="25" spans="1:29">
      <c r="F25" t="str">
        <f>'Output 7-PNAT'!$D$6</f>
        <v>O.7.3</v>
      </c>
      <c r="G25" s="4">
        <f>'Output 7-PNAT'!O$6/'Output 7-PNAT'!$F$6</f>
        <v>0</v>
      </c>
      <c r="H25" s="4">
        <f>'Output 7-PNAT'!Q$6/'Output 7-PNAT'!$F$6</f>
        <v>0</v>
      </c>
      <c r="I25" s="4">
        <f>('Output 7-PNAT'!S$6)/'Output 7-PNAT'!$F$6</f>
        <v>0</v>
      </c>
      <c r="J25" s="4">
        <f>('Output 7-PNAT'!U$6)/'Output 7-PNAT'!$F$6</f>
        <v>18.46551724137931</v>
      </c>
      <c r="K25" s="4">
        <f>('Output 1-CARBONARA'!Y$4)/'Output 1-CARBONARA'!$F$4</f>
        <v>1</v>
      </c>
      <c r="L25" s="34">
        <f t="shared" si="6"/>
        <v>18.46551724137931</v>
      </c>
      <c r="M25" s="4" t="e">
        <f>('Output 7-PNAT'!W$6)/'Output 7-PNAT'!$F$6</f>
        <v>#VALUE!</v>
      </c>
      <c r="N25" s="4">
        <f>('Output 7-PNAT'!Y$6)/'Output 7-PNAT'!$F$6</f>
        <v>68.258620689655174</v>
      </c>
      <c r="O25" s="34">
        <f t="shared" si="7"/>
        <v>86.724137931034477</v>
      </c>
      <c r="Q25" s="31" t="s">
        <v>716</v>
      </c>
      <c r="R25" s="5">
        <f ca="1">SUMIF(INDIRECT("'Output 1-CARBONARA'!$H$4:$H$"&amp;$C$4),Analysis!Q25,INDIRECT("'Output 1-CARBONARA'!$m$4:$m$"&amp;$C$4))
+SUMIF(INDIRECT("'Output 2-CACCIA'!$H$4:$H$"&amp;$C$5),Analysis!Q25,INDIRECT("'Output 2-CACCIA'!$m$4:$m$"&amp;$C$5))
+SUMIF(INDIRECT("'Output 3-ASINARA'!$H$4:$H$"&amp;$C$6),Analysis!Q25,INDIRECT("'Output 3-ASINARA'!$m$4:$m$"&amp;$C$6))
+SUMIF(INDIRECT("'Output 4-PELAGIE'!$H$4:$H$"&amp;$C$7),Analysis!Q25,INDIRECT("'Output 4-PELAGIE'!$m$4:$m$"&amp;$C$7))
+SUMIF(INDIRECT("'Output 5-EGADI'!$H$4:$H$"&amp;$C$8),Analysis!Q25,INDIRECT("'Output 5-EGADI'!$m$4:$m$"&amp;$C$8))
+SUMIF(INDIRECT("'Output 6-TG'!$H$4:$H$"&amp;$C$9),Analysis!Q25,INDIRECT("'Output 6-TG'!$m$4:$m$"&amp;$C$9))
+SUMIF(INDIRECT("'Output 7-PNAT'!$H$4:$H$"&amp;$C$10),Analysis!Q25,INDIRECT("'Output 7-PNAT'!$m$4:$m$"&amp;$C$10))
+SUMIF(INDIRECT("'Output 8-AEO'!$H$4:$H$"&amp;$C$11),Analysis!Q25,INDIRECT("'Output 8-AEO'!$m$4:$m$"&amp;$C$11))
+SUMIF(INDIRECT("'Output 9-EGADI2'!$H$4:$H$"&amp;$C$12),Analysis!Q25,INDIRECT("'Output 9-EGADI2'!$m$4:$m$"&amp;$C$12))
+SUMIF(INDIRECT("'Output 10-TUNIS'!$H$4:$H$"&amp;$C$13),Analysis!Q25,INDIRECT("'Output 10-TUNIS'!$m$4:$m$"&amp;$C$13))</f>
        <v>0</v>
      </c>
      <c r="S25" s="5">
        <f ca="1">SUMIF(INDIRECT("'Output 1-CARBONARA'!$H$4:$H$"&amp;$C$4),Analysis!Q25,INDIRECT("'Output 1-CARBONARA'!$q$4:$q$"&amp;$C$4))
+SUMIF(INDIRECT("'Output 2-CACCIA'!$H$4:$H$"&amp;$C$5),Analysis!Q25,INDIRECT("'Output 2-CACCIA'!$q$4:$q$"&amp;$C$5))
+SUMIF(INDIRECT("'Output 3-ASINARA'!$H$4:$H$"&amp;$C$6),Analysis!Q25,INDIRECT("'Output 3-ASINARA'!$q$4:$q$"&amp;$C$6))
+SUMIF(INDIRECT("'Output 4-PELAGIE'!$H$4:$H$"&amp;$C$7),Analysis!Q25,INDIRECT("'Output 4-PELAGIE'!$q$4:$q$"&amp;$C$7))
+SUMIF(INDIRECT("'Output 5-EGADI'!$H$4:$H$"&amp;$C$8),Analysis!Q25,INDIRECT("'Output 5-EGADI'!$q$4:$q$"&amp;$C$8))
+SUMIF(INDIRECT("'Output 6-TG'!$H$4:$H$"&amp;$C$9),Analysis!Q25,INDIRECT("'Output 6-TG'!$q$4:$q$"&amp;$C$9))
+SUMIF(INDIRECT("'Output 7-PNAT'!$H$4:$H$"&amp;$C$10),Analysis!Q25,INDIRECT("'Output 7-PNAT'!$q$4:$q$"&amp;$C$10))
+SUMIF(INDIRECT("'Output 8-AEO'!$H$4:$H$"&amp;$C$11),Analysis!Q25,INDIRECT("'Output 8-AEO'!$q$4:$q$"&amp;$C$11))
+SUMIF(INDIRECT("'Output 9-EGADI2'!$H$4:$H$"&amp;$C$12),Analysis!Q25,INDIRECT("'Output 9-EGADI2'!$q$4:$q$"&amp;$C$12))
+SUMIF(INDIRECT("'Output 10-TUNIS'!$H$4:$H$"&amp;$C$13),Analysis!Q25,INDIRECT("'Output 10-TUNIS'!$q$4:$q$"&amp;$C$13))</f>
        <v>0</v>
      </c>
      <c r="T25" s="5">
        <f ca="1">SUMIF(INDIRECT("'Output 1-CARBONARA'!$H$4:$H$"&amp;$C$4),Analysis!Q25,INDIRECT("'Output 1-CARBONARA'!$U$4:$U$"&amp;$C$4))
+SUMIF(INDIRECT("'Output 2-CACCIA'!$H$4:$H$"&amp;$C$5),Analysis!Q25,INDIRECT("'Output 2-CACCIA'!$U$4:$U$"&amp;$C$5))
+SUMIF(INDIRECT("'Output 3-ASINARA'!$H$4:$H$"&amp;$C$6),Analysis!Q25,INDIRECT("'Output 3-ASINARA'!$U$4:$U$"&amp;$C$6))
+SUMIF(INDIRECT("'Output 4-PELAGIE'!$H$4:$H$"&amp;$C$7),Analysis!Q25,INDIRECT("'Output 4-PELAGIE'!$U$4:$U$"&amp;$C$7))
+SUMIF(INDIRECT("'Output 5-EGADI'!$H$4:$H$"&amp;$C$8),Analysis!Q25,INDIRECT("'Output 5-EGADI'!$U$4:$U$"&amp;$C$8))
+SUMIF(INDIRECT("'Output 6-TG'!$H$4:$H$"&amp;$C$9),Analysis!Q25,INDIRECT("'Output 6-TG'!$U$4:$U$"&amp;$C$9))
+SUMIF(INDIRECT("'Output 7-PNAT'!$H$4:$H$"&amp;$C$10),Analysis!Q25,INDIRECT("'Output 7-PNAT'!$U$4:$U$"&amp;$C$10))
+SUMIF(INDIRECT("'Output 8-AEO'!$H$4:$H$"&amp;$C$11),Analysis!Q25,INDIRECT("'Output 8-AEO'!$U$4:$U$"&amp;$C$11))
+SUMIF(INDIRECT("'Output 9-EGADI2'!$H$4:$H$"&amp;$C$12),Analysis!Q25,INDIRECT("'Output 9-EGADI2'!$U$4:$U$"&amp;$C$12))
+SUMIF(INDIRECT("'Output 10-TUNIS'!$H$4:$H$"&amp;$C$13),Analysis!Q25,INDIRECT("'Output 10-TUNIS'!$U$4:$U$"&amp;$C$13))</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8">
        <f t="shared" ca="1" si="0"/>
        <v>0</v>
      </c>
      <c r="AA25" s="38">
        <f t="shared" si="1"/>
        <v>0</v>
      </c>
      <c r="AB25" s="54">
        <f t="shared" ca="1" si="2"/>
        <v>0</v>
      </c>
      <c r="AC25" s="64">
        <f ca="1">SUMIF(INDIRECT("'Output 1-CARBONARA'!$H$5:$H$"&amp;$C$4),Analysis!$Q25,INDIRECT("'Output 1-CARBONARA'!$F$5:$F$"&amp;$C$4))
+SUMIF(INDIRECT("'Output 2-CACCIA'!$H$5:$H$"&amp;$C$5),Analysis!$Q25,INDIRECT("'Output 2-CACCIA'!$F$5:$F$"&amp;$C$5))
+SUMIF(INDIRECT("'Output 3-ASINARA'!$H$5:$H$"&amp;$C$6),Analysis!$Q25,INDIRECT("'Output 3-ASINARA'!$F$5:$F$"&amp;$C$6))
+SUMIF(INDIRECT("'Output 4-PELAGIE'!$H$5:$H$"&amp;$C$7),Analysis!$Q25,INDIRECT("'Output 4-PELAGIE'!$F$5:$F$"&amp;$C$7))
+SUMIF(INDIRECT("'Output 5-EGADI'!$H$5:$H$"&amp;$C$8),Analysis!$Q25,INDIRECT("'Output 5-EGADI'!$F$5:$F$"&amp;$C$8))
+SUMIF(INDIRECT("'Output 6-TG'!$H$5:$H$"&amp;$C$9),Analysis!$Q25,INDIRECT("'Output 6-TG'!$F$5:$F$"&amp;$C$9))
+SUMIF(INDIRECT("'Output 7-PNAT'!$H$5:$H$"&amp;$C$10),Analysis!$Q25,INDIRECT("'Output 7-PNAT'!$F$5:$F$"&amp;$C$10))
+SUMIF(INDIRECT("'Output 8-AEO'!$H$5:$H$"&amp;$C$11),Analysis!$Q25,INDIRECT("'Output 8-AEO'!$F$5:$F$"&amp;$C$11))
+SUMIF(INDIRECT("'Output 9-EGADI2'!$H$5:$H$"&amp;$C$12),Analysis!$Q25,INDIRECT("'Output 9-EGADI2'!$F$5:$F$"&amp;$C$12))
+SUMIF(INDIRECT("'Output 10-TUNIS'!$H$5:$H$"&amp;$C$13),Analysis!$Q25,INDIRECT("'Output 10-TUNIS'!$F$5:$F$"&amp;$C$13))</f>
        <v>0</v>
      </c>
    </row>
    <row r="26" spans="1:29">
      <c r="E26" t="str">
        <f>'Output 8-AEO'!$B$4</f>
        <v>O.8</v>
      </c>
      <c r="F26" t="str">
        <f>'Output 2-CACCIA'!$D$4</f>
        <v>O.2.1</v>
      </c>
      <c r="G26" s="4">
        <f>'Output 8-AEO'!$O$4/'Output 8-AEO'!$F$4</f>
        <v>0</v>
      </c>
      <c r="H26" s="4">
        <f>'Output 8-AEO'!Q$4/'Output 8-AEO'!$F$4</f>
        <v>0</v>
      </c>
      <c r="I26" s="4">
        <f>('Output 8-AEO'!S$4)/'Output 8-AEO'!$F$4</f>
        <v>0.39795918367346939</v>
      </c>
      <c r="J26" s="4">
        <f>('Output 8-AEO'!U$4)/'Output 8-AEO'!$F$4</f>
        <v>1.6224489795918366</v>
      </c>
      <c r="K26" s="4">
        <f>('Output 1-CARBONARA'!Y$4)/'Output 1-CARBONARA'!$F$4</f>
        <v>1</v>
      </c>
      <c r="L26" s="34">
        <f t="shared" si="6"/>
        <v>1.6224489795918366</v>
      </c>
      <c r="M26" s="4" t="e">
        <f>(#REF!)/#REF!</f>
        <v>#REF!</v>
      </c>
      <c r="N26" s="4" t="e">
        <f>(#REF!)/#REF!</f>
        <v>#REF!</v>
      </c>
      <c r="O26" s="34" t="e">
        <f>#REF!+N26</f>
        <v>#REF!</v>
      </c>
      <c r="Q26" s="31" t="s">
        <v>717</v>
      </c>
      <c r="R26" s="5">
        <f ca="1">SUMIF(INDIRECT("'Output 1-CARBONARA'!$H$4:$H$"&amp;$C$4),Analysis!Q26,INDIRECT("'Output 1-CARBONARA'!$m$4:$m$"&amp;$C$4))
+SUMIF(INDIRECT("'Output 2-CACCIA'!$H$4:$H$"&amp;$C$5),Analysis!Q26,INDIRECT("'Output 2-CACCIA'!$m$4:$m$"&amp;$C$5))
+SUMIF(INDIRECT("'Output 3-ASINARA'!$H$4:$H$"&amp;$C$6),Analysis!Q26,INDIRECT("'Output 3-ASINARA'!$m$4:$m$"&amp;$C$6))
+SUMIF(INDIRECT("'Output 4-PELAGIE'!$H$4:$H$"&amp;$C$7),Analysis!Q26,INDIRECT("'Output 4-PELAGIE'!$m$4:$m$"&amp;$C$7))
+SUMIF(INDIRECT("'Output 5-EGADI'!$H$4:$H$"&amp;$C$8),Analysis!Q26,INDIRECT("'Output 5-EGADI'!$m$4:$m$"&amp;$C$8))
+SUMIF(INDIRECT("'Output 6-TG'!$H$4:$H$"&amp;$C$9),Analysis!Q26,INDIRECT("'Output 6-TG'!$m$4:$m$"&amp;$C$9))
+SUMIF(INDIRECT("'Output 7-PNAT'!$H$4:$H$"&amp;$C$10),Analysis!Q26,INDIRECT("'Output 7-PNAT'!$m$4:$m$"&amp;$C$10))
+SUMIF(INDIRECT("'Output 8-AEO'!$H$4:$H$"&amp;$C$11),Analysis!Q26,INDIRECT("'Output 8-AEO'!$m$4:$m$"&amp;$C$11))
+SUMIF(INDIRECT("'Output 9-EGADI2'!$H$4:$H$"&amp;$C$12),Analysis!Q26,INDIRECT("'Output 9-EGADI2'!$m$4:$m$"&amp;$C$12))
+SUMIF(INDIRECT("'Output 10-TUNIS'!$H$4:$H$"&amp;$C$13),Analysis!Q26,INDIRECT("'Output 10-TUNIS'!$m$4:$m$"&amp;$C$13))</f>
        <v>0</v>
      </c>
      <c r="S26" s="5">
        <f ca="1">SUMIF(INDIRECT("'Output 1-CARBONARA'!$H$4:$H$"&amp;$C$4),Analysis!Q26,INDIRECT("'Output 1-CARBONARA'!$q$4:$q$"&amp;$C$4))
+SUMIF(INDIRECT("'Output 2-CACCIA'!$H$4:$H$"&amp;$C$5),Analysis!Q26,INDIRECT("'Output 2-CACCIA'!$q$4:$q$"&amp;$C$5))
+SUMIF(INDIRECT("'Output 3-ASINARA'!$H$4:$H$"&amp;$C$6),Analysis!Q26,INDIRECT("'Output 3-ASINARA'!$q$4:$q$"&amp;$C$6))
+SUMIF(INDIRECT("'Output 4-PELAGIE'!$H$4:$H$"&amp;$C$7),Analysis!Q26,INDIRECT("'Output 4-PELAGIE'!$q$4:$q$"&amp;$C$7))
+SUMIF(INDIRECT("'Output 5-EGADI'!$H$4:$H$"&amp;$C$8),Analysis!Q26,INDIRECT("'Output 5-EGADI'!$q$4:$q$"&amp;$C$8))
+SUMIF(INDIRECT("'Output 6-TG'!$H$4:$H$"&amp;$C$9),Analysis!Q26,INDIRECT("'Output 6-TG'!$q$4:$q$"&amp;$C$9))
+SUMIF(INDIRECT("'Output 7-PNAT'!$H$4:$H$"&amp;$C$10),Analysis!Q26,INDIRECT("'Output 7-PNAT'!$q$4:$q$"&amp;$C$10))
+SUMIF(INDIRECT("'Output 8-AEO'!$H$4:$H$"&amp;$C$11),Analysis!Q26,INDIRECT("'Output 8-AEO'!$q$4:$q$"&amp;$C$11))
+SUMIF(INDIRECT("'Output 9-EGADI2'!$H$4:$H$"&amp;$C$12),Analysis!Q26,INDIRECT("'Output 9-EGADI2'!$q$4:$q$"&amp;$C$12))
+SUMIF(INDIRECT("'Output 10-TUNIS'!$H$4:$H$"&amp;$C$13),Analysis!Q26,INDIRECT("'Output 10-TUNIS'!$q$4:$q$"&amp;$C$13))</f>
        <v>0</v>
      </c>
      <c r="T26" s="5">
        <f ca="1">SUMIF(INDIRECT("'Output 1-CARBONARA'!$H$4:$H$"&amp;$C$4),Analysis!Q26,INDIRECT("'Output 1-CARBONARA'!$U$4:$U$"&amp;$C$4))
+SUMIF(INDIRECT("'Output 2-CACCIA'!$H$4:$H$"&amp;$C$5),Analysis!Q26,INDIRECT("'Output 2-CACCIA'!$U$4:$U$"&amp;$C$5))
+SUMIF(INDIRECT("'Output 3-ASINARA'!$H$4:$H$"&amp;$C$6),Analysis!Q26,INDIRECT("'Output 3-ASINARA'!$U$4:$U$"&amp;$C$6))
+SUMIF(INDIRECT("'Output 4-PELAGIE'!$H$4:$H$"&amp;$C$7),Analysis!Q26,INDIRECT("'Output 4-PELAGIE'!$U$4:$U$"&amp;$C$7))
+SUMIF(INDIRECT("'Output 5-EGADI'!$H$4:$H$"&amp;$C$8),Analysis!Q26,INDIRECT("'Output 5-EGADI'!$U$4:$U$"&amp;$C$8))
+SUMIF(INDIRECT("'Output 6-TG'!$H$4:$H$"&amp;$C$9),Analysis!Q26,INDIRECT("'Output 6-TG'!$U$4:$U$"&amp;$C$9))
+SUMIF(INDIRECT("'Output 7-PNAT'!$H$4:$H$"&amp;$C$10),Analysis!Q26,INDIRECT("'Output 7-PNAT'!$U$4:$U$"&amp;$C$10))
+SUMIF(INDIRECT("'Output 8-AEO'!$H$4:$H$"&amp;$C$11),Analysis!Q26,INDIRECT("'Output 8-AEO'!$U$4:$U$"&amp;$C$11))
+SUMIF(INDIRECT("'Output 9-EGADI2'!$H$4:$H$"&amp;$C$12),Analysis!Q26,INDIRECT("'Output 9-EGADI2'!$U$4:$U$"&amp;$C$12))
+SUMIF(INDIRECT("'Output 10-TUNIS'!$H$4:$H$"&amp;$C$13),Analysis!Q26,INDIRECT("'Output 10-TUNIS'!$U$4:$U$"&amp;$C$13))</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8">
        <f t="shared" ca="1" si="0"/>
        <v>0</v>
      </c>
      <c r="AA26" s="38">
        <f t="shared" si="1"/>
        <v>0</v>
      </c>
      <c r="AB26" s="54">
        <f t="shared" ca="1" si="2"/>
        <v>0</v>
      </c>
      <c r="AC26" s="64">
        <f ca="1">SUMIF(INDIRECT("'Output 1-CARBONARA'!$H$5:$H$"&amp;$C$4),Analysis!$Q26,INDIRECT("'Output 1-CARBONARA'!$F$5:$F$"&amp;$C$4))
+SUMIF(INDIRECT("'Output 2-CACCIA'!$H$5:$H$"&amp;$C$5),Analysis!$Q26,INDIRECT("'Output 2-CACCIA'!$F$5:$F$"&amp;$C$5))
+SUMIF(INDIRECT("'Output 3-ASINARA'!$H$5:$H$"&amp;$C$6),Analysis!$Q26,INDIRECT("'Output 3-ASINARA'!$F$5:$F$"&amp;$C$6))
+SUMIF(INDIRECT("'Output 4-PELAGIE'!$H$5:$H$"&amp;$C$7),Analysis!$Q26,INDIRECT("'Output 4-PELAGIE'!$F$5:$F$"&amp;$C$7))
+SUMIF(INDIRECT("'Output 5-EGADI'!$H$5:$H$"&amp;$C$8),Analysis!$Q26,INDIRECT("'Output 5-EGADI'!$F$5:$F$"&amp;$C$8))
+SUMIF(INDIRECT("'Output 6-TG'!$H$5:$H$"&amp;$C$9),Analysis!$Q26,INDIRECT("'Output 6-TG'!$F$5:$F$"&amp;$C$9))
+SUMIF(INDIRECT("'Output 7-PNAT'!$H$5:$H$"&amp;$C$10),Analysis!$Q26,INDIRECT("'Output 7-PNAT'!$F$5:$F$"&amp;$C$10))
+SUMIF(INDIRECT("'Output 8-AEO'!$H$5:$H$"&amp;$C$11),Analysis!$Q26,INDIRECT("'Output 8-AEO'!$F$5:$F$"&amp;$C$11))
+SUMIF(INDIRECT("'Output 9-EGADI2'!$H$5:$H$"&amp;$C$12),Analysis!$Q26,INDIRECT("'Output 9-EGADI2'!$F$5:$F$"&amp;$C$12))
+SUMIF(INDIRECT("'Output 10-TUNIS'!$H$5:$H$"&amp;$C$13),Analysis!$Q26,INDIRECT("'Output 10-TUNIS'!$F$5:$F$"&amp;$C$13))</f>
        <v>0</v>
      </c>
    </row>
    <row r="27" spans="1:29">
      <c r="F27" t="str">
        <f>'Output 2-CACCIA'!$D$5</f>
        <v>O.2.2</v>
      </c>
      <c r="G27" s="4" t="e">
        <f>'Output 8-AEO'!#REF!/'Output 8-AEO'!#REF!</f>
        <v>#REF!</v>
      </c>
      <c r="H27" s="4" t="e">
        <f>'Output 8-AEO'!#REF!/'Output 8-AEO'!#REF!</f>
        <v>#REF!</v>
      </c>
      <c r="I27" s="4" t="e">
        <f>('Output 8-AEO'!#REF!)/'Output 8-AEO'!#REF!</f>
        <v>#REF!</v>
      </c>
      <c r="J27" s="4" t="e">
        <f>('Output 8-AEO'!#REF!)/'Output 8-AEO'!#REF!</f>
        <v>#REF!</v>
      </c>
      <c r="K27" s="4">
        <f>('Output 1-CARBONARA'!Y$4)/'Output 1-CARBONARA'!$F$4</f>
        <v>1</v>
      </c>
      <c r="L27" s="34" t="e">
        <f t="shared" si="6"/>
        <v>#REF!</v>
      </c>
      <c r="M27" s="4" t="e">
        <f>(#REF!)/#REF!</f>
        <v>#REF!</v>
      </c>
      <c r="N27" s="4" t="e">
        <f>(#REF!)/#REF!</f>
        <v>#REF!</v>
      </c>
      <c r="O27" s="34" t="e">
        <f>#REF!+N27</f>
        <v>#REF!</v>
      </c>
      <c r="Q27" s="31">
        <v>2.2999999999999998</v>
      </c>
      <c r="R27" s="5">
        <f ca="1">SUMIF(INDIRECT("'Output 1-CARBONARA'!$H$4:$H$"&amp;$C$4),Analysis!Q27,INDIRECT("'Output 1-CARBONARA'!$m$4:$m$"&amp;$C$4))
+SUMIF(INDIRECT("'Output 2-CACCIA'!$H$4:$H$"&amp;$C$5),Analysis!Q27,INDIRECT("'Output 2-CACCIA'!$m$4:$m$"&amp;$C$5))
+SUMIF(INDIRECT("'Output 3-ASINARA'!$H$4:$H$"&amp;$C$6),Analysis!Q27,INDIRECT("'Output 3-ASINARA'!$m$4:$m$"&amp;$C$6))
+SUMIF(INDIRECT("'Output 4-PELAGIE'!$H$4:$H$"&amp;$C$7),Analysis!Q27,INDIRECT("'Output 4-PELAGIE'!$m$4:$m$"&amp;$C$7))
+SUMIF(INDIRECT("'Output 5-EGADI'!$H$4:$H$"&amp;$C$8),Analysis!Q27,INDIRECT("'Output 5-EGADI'!$m$4:$m$"&amp;$C$8))
+SUMIF(INDIRECT("'Output 6-TG'!$H$4:$H$"&amp;$C$9),Analysis!Q27,INDIRECT("'Output 6-TG'!$m$4:$m$"&amp;$C$9))
+SUMIF(INDIRECT("'Output 7-PNAT'!$H$4:$H$"&amp;$C$10),Analysis!Q27,INDIRECT("'Output 7-PNAT'!$m$4:$m$"&amp;$C$10))
+SUMIF(INDIRECT("'Output 8-AEO'!$H$4:$H$"&amp;$C$11),Analysis!Q27,INDIRECT("'Output 8-AEO'!$m$4:$m$"&amp;$C$11))
+SUMIF(INDIRECT("'Output 9-EGADI2'!$H$4:$H$"&amp;$C$12),Analysis!Q27,INDIRECT("'Output 9-EGADI2'!$m$4:$m$"&amp;$C$12))
+SUMIF(INDIRECT("'Output 10-TUNIS'!$H$4:$H$"&amp;$C$13),Analysis!Q27,INDIRECT("'Output 10-TUNIS'!$m$4:$m$"&amp;$C$13))</f>
        <v>0</v>
      </c>
      <c r="S27" s="5">
        <f ca="1">SUMIF(INDIRECT("'Output 1-CARBONARA'!$H$4:$H$"&amp;$C$4),Analysis!Q27,INDIRECT("'Output 1-CARBONARA'!$q$4:$q$"&amp;$C$4))
+SUMIF(INDIRECT("'Output 2-CACCIA'!$H$4:$H$"&amp;$C$5),Analysis!Q27,INDIRECT("'Output 2-CACCIA'!$q$4:$q$"&amp;$C$5))
+SUMIF(INDIRECT("'Output 3-ASINARA'!$H$4:$H$"&amp;$C$6),Analysis!Q27,INDIRECT("'Output 3-ASINARA'!$q$4:$q$"&amp;$C$6))
+SUMIF(INDIRECT("'Output 4-PELAGIE'!$H$4:$H$"&amp;$C$7),Analysis!Q27,INDIRECT("'Output 4-PELAGIE'!$q$4:$q$"&amp;$C$7))
+SUMIF(INDIRECT("'Output 5-EGADI'!$H$4:$H$"&amp;$C$8),Analysis!Q27,INDIRECT("'Output 5-EGADI'!$q$4:$q$"&amp;$C$8))
+SUMIF(INDIRECT("'Output 6-TG'!$H$4:$H$"&amp;$C$9),Analysis!Q27,INDIRECT("'Output 6-TG'!$q$4:$q$"&amp;$C$9))
+SUMIF(INDIRECT("'Output 7-PNAT'!$H$4:$H$"&amp;$C$10),Analysis!Q27,INDIRECT("'Output 7-PNAT'!$q$4:$q$"&amp;$C$10))
+SUMIF(INDIRECT("'Output 8-AEO'!$H$4:$H$"&amp;$C$11),Analysis!Q27,INDIRECT("'Output 8-AEO'!$q$4:$q$"&amp;$C$11))
+SUMIF(INDIRECT("'Output 9-EGADI2'!$H$4:$H$"&amp;$C$12),Analysis!Q27,INDIRECT("'Output 9-EGADI2'!$q$4:$q$"&amp;$C$12))
+SUMIF(INDIRECT("'Output 10-TUNIS'!$H$4:$H$"&amp;$C$13),Analysis!Q27,INDIRECT("'Output 10-TUNIS'!$q$4:$q$"&amp;$C$13))</f>
        <v>0</v>
      </c>
      <c r="T27" s="5">
        <f ca="1">SUMIF(INDIRECT("'Output 1-CARBONARA'!$H$4:$H$"&amp;$C$4),Analysis!Q27,INDIRECT("'Output 1-CARBONARA'!$U$4:$U$"&amp;$C$4))
+SUMIF(INDIRECT("'Output 2-CACCIA'!$H$4:$H$"&amp;$C$5),Analysis!Q27,INDIRECT("'Output 2-CACCIA'!$U$4:$U$"&amp;$C$5))
+SUMIF(INDIRECT("'Output 3-ASINARA'!$H$4:$H$"&amp;$C$6),Analysis!Q27,INDIRECT("'Output 3-ASINARA'!$U$4:$U$"&amp;$C$6))
+SUMIF(INDIRECT("'Output 4-PELAGIE'!$H$4:$H$"&amp;$C$7),Analysis!Q27,INDIRECT("'Output 4-PELAGIE'!$U$4:$U$"&amp;$C$7))
+SUMIF(INDIRECT("'Output 5-EGADI'!$H$4:$H$"&amp;$C$8),Analysis!Q27,INDIRECT("'Output 5-EGADI'!$U$4:$U$"&amp;$C$8))
+SUMIF(INDIRECT("'Output 6-TG'!$H$4:$H$"&amp;$C$9),Analysis!Q27,INDIRECT("'Output 6-TG'!$U$4:$U$"&amp;$C$9))
+SUMIF(INDIRECT("'Output 7-PNAT'!$H$4:$H$"&amp;$C$10),Analysis!Q27,INDIRECT("'Output 7-PNAT'!$U$4:$U$"&amp;$C$10))
+SUMIF(INDIRECT("'Output 8-AEO'!$H$4:$H$"&amp;$C$11),Analysis!Q27,INDIRECT("'Output 8-AEO'!$U$4:$U$"&amp;$C$11))
+SUMIF(INDIRECT("'Output 9-EGADI2'!$H$4:$H$"&amp;$C$12),Analysis!Q27,INDIRECT("'Output 9-EGADI2'!$U$4:$U$"&amp;$C$12))
+SUMIF(INDIRECT("'Output 10-TUNIS'!$H$4:$H$"&amp;$C$13),Analysis!Q27,INDIRECT("'Output 10-TUNIS'!$U$4:$U$"&amp;$C$13))</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8">
        <f t="shared" ca="1" si="0"/>
        <v>0</v>
      </c>
      <c r="AA27" s="38">
        <f t="shared" si="1"/>
        <v>0</v>
      </c>
      <c r="AB27" s="54">
        <f t="shared" ca="1" si="2"/>
        <v>0</v>
      </c>
      <c r="AC27" s="64">
        <f ca="1">SUMIF(INDIRECT("'Output 1-CARBONARA'!$H$5:$H$"&amp;$C$4),Analysis!$Q27,INDIRECT("'Output 1-CARBONARA'!$F$5:$F$"&amp;$C$4))
+SUMIF(INDIRECT("'Output 2-CACCIA'!$H$5:$H$"&amp;$C$5),Analysis!$Q27,INDIRECT("'Output 2-CACCIA'!$F$5:$F$"&amp;$C$5))
+SUMIF(INDIRECT("'Output 3-ASINARA'!$H$5:$H$"&amp;$C$6),Analysis!$Q27,INDIRECT("'Output 3-ASINARA'!$F$5:$F$"&amp;$C$6))
+SUMIF(INDIRECT("'Output 4-PELAGIE'!$H$5:$H$"&amp;$C$7),Analysis!$Q27,INDIRECT("'Output 4-PELAGIE'!$F$5:$F$"&amp;$C$7))
+SUMIF(INDIRECT("'Output 5-EGADI'!$H$5:$H$"&amp;$C$8),Analysis!$Q27,INDIRECT("'Output 5-EGADI'!$F$5:$F$"&amp;$C$8))
+SUMIF(INDIRECT("'Output 6-TG'!$H$5:$H$"&amp;$C$9),Analysis!$Q27,INDIRECT("'Output 6-TG'!$F$5:$F$"&amp;$C$9))
+SUMIF(INDIRECT("'Output 7-PNAT'!$H$5:$H$"&amp;$C$10),Analysis!$Q27,INDIRECT("'Output 7-PNAT'!$F$5:$F$"&amp;$C$10))
+SUMIF(INDIRECT("'Output 8-AEO'!$H$5:$H$"&amp;$C$11),Analysis!$Q27,INDIRECT("'Output 8-AEO'!$F$5:$F$"&amp;$C$11))
+SUMIF(INDIRECT("'Output 9-EGADI2'!$H$5:$H$"&amp;$C$12),Analysis!$Q27,INDIRECT("'Output 9-EGADI2'!$F$5:$F$"&amp;$C$12))
+SUMIF(INDIRECT("'Output 10-TUNIS'!$H$5:$H$"&amp;$C$13),Analysis!$Q27,INDIRECT("'Output 10-TUNIS'!$F$5:$F$"&amp;$C$13))</f>
        <v>0</v>
      </c>
    </row>
    <row r="28" spans="1:29">
      <c r="F28" t="str">
        <f>'Output 2-CACCIA'!$D$6</f>
        <v>O.2.3</v>
      </c>
      <c r="G28" s="4" t="e">
        <f>'Output 8-AEO'!#REF!/'Output 8-AEO'!#REF!</f>
        <v>#REF!</v>
      </c>
      <c r="H28" s="4" t="e">
        <f>'Output 8-AEO'!#REF!/'Output 8-AEO'!#REF!</f>
        <v>#REF!</v>
      </c>
      <c r="I28" s="4" t="e">
        <f>('Output 8-AEO'!#REF!)/'Output 8-AEO'!#REF!</f>
        <v>#REF!</v>
      </c>
      <c r="J28" s="4" t="e">
        <f>('Output 8-AEO'!#REF!)/'Output 8-AEO'!#REF!</f>
        <v>#REF!</v>
      </c>
      <c r="K28" s="4">
        <f>('Output 1-CARBONARA'!Y$4)/'Output 1-CARBONARA'!$F$4</f>
        <v>1</v>
      </c>
      <c r="L28" s="34" t="e">
        <f t="shared" si="6"/>
        <v>#REF!</v>
      </c>
      <c r="M28" s="4" t="e">
        <f>(#REF!)/#REF!</f>
        <v>#REF!</v>
      </c>
      <c r="N28" s="4" t="e">
        <f>(#REF!)/#REF!</f>
        <v>#REF!</v>
      </c>
      <c r="O28" s="34" t="e">
        <f>#REF!+N28</f>
        <v>#REF!</v>
      </c>
      <c r="Q28" s="31" t="s">
        <v>718</v>
      </c>
      <c r="R28" s="5">
        <f ca="1">SUMIF(INDIRECT("'Output 1-CARBONARA'!$H$4:$H$"&amp;$C$4),Analysis!Q28,INDIRECT("'Output 1-CARBONARA'!$m$4:$m$"&amp;$C$4))
+SUMIF(INDIRECT("'Output 2-CACCIA'!$H$4:$H$"&amp;$C$5),Analysis!Q28,INDIRECT("'Output 2-CACCIA'!$m$4:$m$"&amp;$C$5))
+SUMIF(INDIRECT("'Output 3-ASINARA'!$H$4:$H$"&amp;$C$6),Analysis!Q28,INDIRECT("'Output 3-ASINARA'!$m$4:$m$"&amp;$C$6))
+SUMIF(INDIRECT("'Output 4-PELAGIE'!$H$4:$H$"&amp;$C$7),Analysis!Q28,INDIRECT("'Output 4-PELAGIE'!$m$4:$m$"&amp;$C$7))
+SUMIF(INDIRECT("'Output 5-EGADI'!$H$4:$H$"&amp;$C$8),Analysis!Q28,INDIRECT("'Output 5-EGADI'!$m$4:$m$"&amp;$C$8))
+SUMIF(INDIRECT("'Output 6-TG'!$H$4:$H$"&amp;$C$9),Analysis!Q28,INDIRECT("'Output 6-TG'!$m$4:$m$"&amp;$C$9))
+SUMIF(INDIRECT("'Output 7-PNAT'!$H$4:$H$"&amp;$C$10),Analysis!Q28,INDIRECT("'Output 7-PNAT'!$m$4:$m$"&amp;$C$10))
+SUMIF(INDIRECT("'Output 8-AEO'!$H$4:$H$"&amp;$C$11),Analysis!Q28,INDIRECT("'Output 8-AEO'!$m$4:$m$"&amp;$C$11))
+SUMIF(INDIRECT("'Output 9-EGADI2'!$H$4:$H$"&amp;$C$12),Analysis!Q28,INDIRECT("'Output 9-EGADI2'!$m$4:$m$"&amp;$C$12))
+SUMIF(INDIRECT("'Output 10-TUNIS'!$H$4:$H$"&amp;$C$13),Analysis!Q28,INDIRECT("'Output 10-TUNIS'!$m$4:$m$"&amp;$C$13))</f>
        <v>0</v>
      </c>
      <c r="S28" s="5">
        <f ca="1">SUMIF(INDIRECT("'Output 1-CARBONARA'!$H$4:$H$"&amp;$C$4),Analysis!Q28,INDIRECT("'Output 1-CARBONARA'!$q$4:$q$"&amp;$C$4))
+SUMIF(INDIRECT("'Output 2-CACCIA'!$H$4:$H$"&amp;$C$5),Analysis!Q28,INDIRECT("'Output 2-CACCIA'!$q$4:$q$"&amp;$C$5))
+SUMIF(INDIRECT("'Output 3-ASINARA'!$H$4:$H$"&amp;$C$6),Analysis!Q28,INDIRECT("'Output 3-ASINARA'!$q$4:$q$"&amp;$C$6))
+SUMIF(INDIRECT("'Output 4-PELAGIE'!$H$4:$H$"&amp;$C$7),Analysis!Q28,INDIRECT("'Output 4-PELAGIE'!$q$4:$q$"&amp;$C$7))
+SUMIF(INDIRECT("'Output 5-EGADI'!$H$4:$H$"&amp;$C$8),Analysis!Q28,INDIRECT("'Output 5-EGADI'!$q$4:$q$"&amp;$C$8))
+SUMIF(INDIRECT("'Output 6-TG'!$H$4:$H$"&amp;$C$9),Analysis!Q28,INDIRECT("'Output 6-TG'!$q$4:$q$"&amp;$C$9))
+SUMIF(INDIRECT("'Output 7-PNAT'!$H$4:$H$"&amp;$C$10),Analysis!Q28,INDIRECT("'Output 7-PNAT'!$q$4:$q$"&amp;$C$10))
+SUMIF(INDIRECT("'Output 8-AEO'!$H$4:$H$"&amp;$C$11),Analysis!Q28,INDIRECT("'Output 8-AEO'!$q$4:$q$"&amp;$C$11))
+SUMIF(INDIRECT("'Output 9-EGADI2'!$H$4:$H$"&amp;$C$12),Analysis!Q28,INDIRECT("'Output 9-EGADI2'!$q$4:$q$"&amp;$C$12))
+SUMIF(INDIRECT("'Output 10-TUNIS'!$H$4:$H$"&amp;$C$13),Analysis!Q28,INDIRECT("'Output 10-TUNIS'!$q$4:$q$"&amp;$C$13))</f>
        <v>0</v>
      </c>
      <c r="T28" s="5">
        <f ca="1">SUMIF(INDIRECT("'Output 1-CARBONARA'!$H$4:$H$"&amp;$C$4),Analysis!Q28,INDIRECT("'Output 1-CARBONARA'!$U$4:$U$"&amp;$C$4))
+SUMIF(INDIRECT("'Output 2-CACCIA'!$H$4:$H$"&amp;$C$5),Analysis!Q28,INDIRECT("'Output 2-CACCIA'!$U$4:$U$"&amp;$C$5))
+SUMIF(INDIRECT("'Output 3-ASINARA'!$H$4:$H$"&amp;$C$6),Analysis!Q28,INDIRECT("'Output 3-ASINARA'!$U$4:$U$"&amp;$C$6))
+SUMIF(INDIRECT("'Output 4-PELAGIE'!$H$4:$H$"&amp;$C$7),Analysis!Q28,INDIRECT("'Output 4-PELAGIE'!$U$4:$U$"&amp;$C$7))
+SUMIF(INDIRECT("'Output 5-EGADI'!$H$4:$H$"&amp;$C$8),Analysis!Q28,INDIRECT("'Output 5-EGADI'!$U$4:$U$"&amp;$C$8))
+SUMIF(INDIRECT("'Output 6-TG'!$H$4:$H$"&amp;$C$9),Analysis!Q28,INDIRECT("'Output 6-TG'!$U$4:$U$"&amp;$C$9))
+SUMIF(INDIRECT("'Output 7-PNAT'!$H$4:$H$"&amp;$C$10),Analysis!Q28,INDIRECT("'Output 7-PNAT'!$U$4:$U$"&amp;$C$10))
+SUMIF(INDIRECT("'Output 8-AEO'!$H$4:$H$"&amp;$C$11),Analysis!Q28,INDIRECT("'Output 8-AEO'!$U$4:$U$"&amp;$C$11))
+SUMIF(INDIRECT("'Output 9-EGADI2'!$H$4:$H$"&amp;$C$12),Analysis!Q28,INDIRECT("'Output 9-EGADI2'!$U$4:$U$"&amp;$C$12))
+SUMIF(INDIRECT("'Output 10-TUNIS'!$H$4:$H$"&amp;$C$13),Analysis!Q28,INDIRECT("'Output 10-TUNIS'!$U$4:$U$"&amp;$C$13))</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8">
        <f t="shared" ca="1" si="0"/>
        <v>0</v>
      </c>
      <c r="AA28" s="38">
        <f t="shared" si="1"/>
        <v>0</v>
      </c>
      <c r="AB28" s="54">
        <f t="shared" ca="1" si="2"/>
        <v>0</v>
      </c>
      <c r="AC28" s="64">
        <f ca="1">SUMIF(INDIRECT("'Output 1-CARBONARA'!$H$5:$H$"&amp;$C$4),Analysis!$Q28,INDIRECT("'Output 1-CARBONARA'!$F$5:$F$"&amp;$C$4))
+SUMIF(INDIRECT("'Output 2-CACCIA'!$H$5:$H$"&amp;$C$5),Analysis!$Q28,INDIRECT("'Output 2-CACCIA'!$F$5:$F$"&amp;$C$5))
+SUMIF(INDIRECT("'Output 3-ASINARA'!$H$5:$H$"&amp;$C$6),Analysis!$Q28,INDIRECT("'Output 3-ASINARA'!$F$5:$F$"&amp;$C$6))
+SUMIF(INDIRECT("'Output 4-PELAGIE'!$H$5:$H$"&amp;$C$7),Analysis!$Q28,INDIRECT("'Output 4-PELAGIE'!$F$5:$F$"&amp;$C$7))
+SUMIF(INDIRECT("'Output 5-EGADI'!$H$5:$H$"&amp;$C$8),Analysis!$Q28,INDIRECT("'Output 5-EGADI'!$F$5:$F$"&amp;$C$8))
+SUMIF(INDIRECT("'Output 6-TG'!$H$5:$H$"&amp;$C$9),Analysis!$Q28,INDIRECT("'Output 6-TG'!$F$5:$F$"&amp;$C$9))
+SUMIF(INDIRECT("'Output 7-PNAT'!$H$5:$H$"&amp;$C$10),Analysis!$Q28,INDIRECT("'Output 7-PNAT'!$F$5:$F$"&amp;$C$10))
+SUMIF(INDIRECT("'Output 8-AEO'!$H$5:$H$"&amp;$C$11),Analysis!$Q28,INDIRECT("'Output 8-AEO'!$F$5:$F$"&amp;$C$11))
+SUMIF(INDIRECT("'Output 9-EGADI2'!$H$5:$H$"&amp;$C$12),Analysis!$Q28,INDIRECT("'Output 9-EGADI2'!$F$5:$F$"&amp;$C$12))
+SUMIF(INDIRECT("'Output 10-TUNIS'!$H$5:$H$"&amp;$C$13),Analysis!$Q28,INDIRECT("'Output 10-TUNIS'!$F$5:$F$"&amp;$C$13))</f>
        <v>0</v>
      </c>
    </row>
    <row r="29" spans="1:29">
      <c r="E29" t="str">
        <f>'Output 9-EGADI2'!$B$4</f>
        <v>O.9</v>
      </c>
      <c r="F29" t="str">
        <f>'Output 9-EGADI2'!$D$4</f>
        <v>O.9.1</v>
      </c>
      <c r="G29" s="4">
        <f>'Output 9-EGADI2'!$K$4/'Output 9-EGADI2'!$F$4</f>
        <v>0</v>
      </c>
      <c r="H29" s="4">
        <f>'Output 9-EGADI2'!M$4/'Output 9-EGADI2'!$F$4</f>
        <v>0</v>
      </c>
      <c r="I29" s="4">
        <f>('Output 9-EGADI2'!O$4)/'Output 9-EGADI2'!$F$4</f>
        <v>0</v>
      </c>
      <c r="J29" s="4">
        <f>('Output 9-EGADI2'!Q$4)/'Output 9-EGADI2'!$F$4</f>
        <v>1</v>
      </c>
      <c r="K29" s="4">
        <f>('Output 1-CARBONARA'!Y$4)/'Output 1-CARBONARA'!$F$4</f>
        <v>1</v>
      </c>
      <c r="L29" s="34">
        <f t="shared" si="6"/>
        <v>1</v>
      </c>
      <c r="M29" s="4">
        <f>('Output 8-AEO'!W$4)/'Output 8-AEO'!$F$4</f>
        <v>0</v>
      </c>
      <c r="N29" s="4">
        <f>('Output 8-AEO'!Y$4)/'Output 8-AEO'!$F$4</f>
        <v>4.9795918367346941</v>
      </c>
      <c r="O29" s="34">
        <f t="shared" ref="O29:O34" si="8">L26+N29</f>
        <v>6.6020408163265305</v>
      </c>
      <c r="Q29" s="31" t="s">
        <v>719</v>
      </c>
      <c r="R29" s="5">
        <f ca="1">SUMIF(INDIRECT("'Output 1-CARBONARA'!$H$4:$H$"&amp;$C$4),Analysis!Q29,INDIRECT("'Output 1-CARBONARA'!$m$4:$m$"&amp;$C$4))
+SUMIF(INDIRECT("'Output 2-CACCIA'!$H$4:$H$"&amp;$C$5),Analysis!Q29,INDIRECT("'Output 2-CACCIA'!$m$4:$m$"&amp;$C$5))
+SUMIF(INDIRECT("'Output 3-ASINARA'!$H$4:$H$"&amp;$C$6),Analysis!Q29,INDIRECT("'Output 3-ASINARA'!$m$4:$m$"&amp;$C$6))
+SUMIF(INDIRECT("'Output 4-PELAGIE'!$H$4:$H$"&amp;$C$7),Analysis!Q29,INDIRECT("'Output 4-PELAGIE'!$m$4:$m$"&amp;$C$7))
+SUMIF(INDIRECT("'Output 5-EGADI'!$H$4:$H$"&amp;$C$8),Analysis!Q29,INDIRECT("'Output 5-EGADI'!$m$4:$m$"&amp;$C$8))
+SUMIF(INDIRECT("'Output 6-TG'!$H$4:$H$"&amp;$C$9),Analysis!Q29,INDIRECT("'Output 6-TG'!$m$4:$m$"&amp;$C$9))
+SUMIF(INDIRECT("'Output 7-PNAT'!$H$4:$H$"&amp;$C$10),Analysis!Q29,INDIRECT("'Output 7-PNAT'!$m$4:$m$"&amp;$C$10))
+SUMIF(INDIRECT("'Output 8-AEO'!$H$4:$H$"&amp;$C$11),Analysis!Q29,INDIRECT("'Output 8-AEO'!$m$4:$m$"&amp;$C$11))
+SUMIF(INDIRECT("'Output 9-EGADI2'!$H$4:$H$"&amp;$C$12),Analysis!Q29,INDIRECT("'Output 9-EGADI2'!$m$4:$m$"&amp;$C$12))
+SUMIF(INDIRECT("'Output 10-TUNIS'!$H$4:$H$"&amp;$C$13),Analysis!Q29,INDIRECT("'Output 10-TUNIS'!$m$4:$m$"&amp;$C$13))</f>
        <v>0</v>
      </c>
      <c r="S29" s="5">
        <f ca="1">SUMIF(INDIRECT("'Output 1-CARBONARA'!$H$4:$H$"&amp;$C$4),Analysis!Q29,INDIRECT("'Output 1-CARBONARA'!$q$4:$q$"&amp;$C$4))
+SUMIF(INDIRECT("'Output 2-CACCIA'!$H$4:$H$"&amp;$C$5),Analysis!Q29,INDIRECT("'Output 2-CACCIA'!$q$4:$q$"&amp;$C$5))
+SUMIF(INDIRECT("'Output 3-ASINARA'!$H$4:$H$"&amp;$C$6),Analysis!Q29,INDIRECT("'Output 3-ASINARA'!$q$4:$q$"&amp;$C$6))
+SUMIF(INDIRECT("'Output 4-PELAGIE'!$H$4:$H$"&amp;$C$7),Analysis!Q29,INDIRECT("'Output 4-PELAGIE'!$q$4:$q$"&amp;$C$7))
+SUMIF(INDIRECT("'Output 5-EGADI'!$H$4:$H$"&amp;$C$8),Analysis!Q29,INDIRECT("'Output 5-EGADI'!$q$4:$q$"&amp;$C$8))
+SUMIF(INDIRECT("'Output 6-TG'!$H$4:$H$"&amp;$C$9),Analysis!Q29,INDIRECT("'Output 6-TG'!$q$4:$q$"&amp;$C$9))
+SUMIF(INDIRECT("'Output 7-PNAT'!$H$4:$H$"&amp;$C$10),Analysis!Q29,INDIRECT("'Output 7-PNAT'!$q$4:$q$"&amp;$C$10))
+SUMIF(INDIRECT("'Output 8-AEO'!$H$4:$H$"&amp;$C$11),Analysis!Q29,INDIRECT("'Output 8-AEO'!$q$4:$q$"&amp;$C$11))
+SUMIF(INDIRECT("'Output 9-EGADI2'!$H$4:$H$"&amp;$C$12),Analysis!Q29,INDIRECT("'Output 9-EGADI2'!$q$4:$q$"&amp;$C$12))
+SUMIF(INDIRECT("'Output 10-TUNIS'!$H$4:$H$"&amp;$C$13),Analysis!Q29,INDIRECT("'Output 10-TUNIS'!$q$4:$q$"&amp;$C$13))</f>
        <v>0</v>
      </c>
      <c r="T29" s="5">
        <f ca="1">SUMIF(INDIRECT("'Output 1-CARBONARA'!$H$4:$H$"&amp;$C$4),Analysis!Q29,INDIRECT("'Output 1-CARBONARA'!$U$4:$U$"&amp;$C$4))
+SUMIF(INDIRECT("'Output 2-CACCIA'!$H$4:$H$"&amp;$C$5),Analysis!Q29,INDIRECT("'Output 2-CACCIA'!$U$4:$U$"&amp;$C$5))
+SUMIF(INDIRECT("'Output 3-ASINARA'!$H$4:$H$"&amp;$C$6),Analysis!Q29,INDIRECT("'Output 3-ASINARA'!$U$4:$U$"&amp;$C$6))
+SUMIF(INDIRECT("'Output 4-PELAGIE'!$H$4:$H$"&amp;$C$7),Analysis!Q29,INDIRECT("'Output 4-PELAGIE'!$U$4:$U$"&amp;$C$7))
+SUMIF(INDIRECT("'Output 5-EGADI'!$H$4:$H$"&amp;$C$8),Analysis!Q29,INDIRECT("'Output 5-EGADI'!$U$4:$U$"&amp;$C$8))
+SUMIF(INDIRECT("'Output 6-TG'!$H$4:$H$"&amp;$C$9),Analysis!Q29,INDIRECT("'Output 6-TG'!$U$4:$U$"&amp;$C$9))
+SUMIF(INDIRECT("'Output 7-PNAT'!$H$4:$H$"&amp;$C$10),Analysis!Q29,INDIRECT("'Output 7-PNAT'!$U$4:$U$"&amp;$C$10))
+SUMIF(INDIRECT("'Output 8-AEO'!$H$4:$H$"&amp;$C$11),Analysis!Q29,INDIRECT("'Output 8-AEO'!$U$4:$U$"&amp;$C$11))
+SUMIF(INDIRECT("'Output 9-EGADI2'!$H$4:$H$"&amp;$C$12),Analysis!Q29,INDIRECT("'Output 9-EGADI2'!$U$4:$U$"&amp;$C$12))
+SUMIF(INDIRECT("'Output 10-TUNIS'!$H$4:$H$"&amp;$C$13),Analysis!Q29,INDIRECT("'Output 10-TUNIS'!$U$4:$U$"&amp;$C$13))</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8">
        <f t="shared" ca="1" si="0"/>
        <v>0</v>
      </c>
      <c r="AA29" s="38">
        <f t="shared" si="1"/>
        <v>0</v>
      </c>
      <c r="AB29" s="54">
        <f t="shared" ca="1" si="2"/>
        <v>0</v>
      </c>
      <c r="AC29" s="64">
        <f ca="1">SUMIF(INDIRECT("'Output 1-CARBONARA'!$H$5:$H$"&amp;$C$4),Analysis!$Q29,INDIRECT("'Output 1-CARBONARA'!$F$5:$F$"&amp;$C$4))
+SUMIF(INDIRECT("'Output 2-CACCIA'!$H$5:$H$"&amp;$C$5),Analysis!$Q29,INDIRECT("'Output 2-CACCIA'!$F$5:$F$"&amp;$C$5))
+SUMIF(INDIRECT("'Output 3-ASINARA'!$H$5:$H$"&amp;$C$6),Analysis!$Q29,INDIRECT("'Output 3-ASINARA'!$F$5:$F$"&amp;$C$6))
+SUMIF(INDIRECT("'Output 4-PELAGIE'!$H$5:$H$"&amp;$C$7),Analysis!$Q29,INDIRECT("'Output 4-PELAGIE'!$F$5:$F$"&amp;$C$7))
+SUMIF(INDIRECT("'Output 5-EGADI'!$H$5:$H$"&amp;$C$8),Analysis!$Q29,INDIRECT("'Output 5-EGADI'!$F$5:$F$"&amp;$C$8))
+SUMIF(INDIRECT("'Output 6-TG'!$H$5:$H$"&amp;$C$9),Analysis!$Q29,INDIRECT("'Output 6-TG'!$F$5:$F$"&amp;$C$9))
+SUMIF(INDIRECT("'Output 7-PNAT'!$H$5:$H$"&amp;$C$10),Analysis!$Q29,INDIRECT("'Output 7-PNAT'!$F$5:$F$"&amp;$C$10))
+SUMIF(INDIRECT("'Output 8-AEO'!$H$5:$H$"&amp;$C$11),Analysis!$Q29,INDIRECT("'Output 8-AEO'!$F$5:$F$"&amp;$C$11))
+SUMIF(INDIRECT("'Output 9-EGADI2'!$H$5:$H$"&amp;$C$12),Analysis!$Q29,INDIRECT("'Output 9-EGADI2'!$F$5:$F$"&amp;$C$12))
+SUMIF(INDIRECT("'Output 10-TUNIS'!$H$5:$H$"&amp;$C$13),Analysis!$Q29,INDIRECT("'Output 10-TUNIS'!$F$5:$F$"&amp;$C$13))</f>
        <v>0</v>
      </c>
    </row>
    <row r="30" spans="1:29">
      <c r="F30" t="str">
        <f>'Output 9-EGADI2'!$D$5</f>
        <v>O.9.2</v>
      </c>
      <c r="G30" s="4" t="e">
        <f>'Output 9-EGADI2'!K$5/'Output 9-EGADI2'!$F$5</f>
        <v>#DIV/0!</v>
      </c>
      <c r="H30" s="4" t="e">
        <f>'Output 9-EGADI2'!M$5/'Output 9-EGADI2'!$F$5</f>
        <v>#DIV/0!</v>
      </c>
      <c r="I30" s="4" t="e">
        <f>('Output 9-EGADI2'!O$5)/'Output 9-EGADI2'!$F$5</f>
        <v>#DIV/0!</v>
      </c>
      <c r="J30" s="4" t="e">
        <f>('Output 9-EGADI2'!Q$5)/'Output 9-EGADI2'!$F$5</f>
        <v>#DIV/0!</v>
      </c>
      <c r="K30" s="4">
        <f>('Output 1-CARBONARA'!Y$4)/'Output 1-CARBONARA'!$F$4</f>
        <v>1</v>
      </c>
      <c r="L30" s="34" t="e">
        <f t="shared" si="6"/>
        <v>#DIV/0!</v>
      </c>
      <c r="M30" s="4" t="e">
        <f>('Output 8-AEO'!#REF!)/'Output 8-AEO'!#REF!</f>
        <v>#REF!</v>
      </c>
      <c r="N30" s="4" t="e">
        <f>('Output 8-AEO'!#REF!)/'Output 8-AEO'!#REF!</f>
        <v>#REF!</v>
      </c>
      <c r="O30" s="34" t="e">
        <f t="shared" si="8"/>
        <v>#REF!</v>
      </c>
      <c r="Q30" s="31" t="s">
        <v>720</v>
      </c>
      <c r="R30" s="5">
        <f ca="1">SUMIF(INDIRECT("'Output 1-CARBONARA'!$H$4:$H$"&amp;$C$4),Analysis!Q30,INDIRECT("'Output 1-CARBONARA'!$m$4:$m$"&amp;$C$4))
+SUMIF(INDIRECT("'Output 2-CACCIA'!$H$4:$H$"&amp;$C$5),Analysis!Q30,INDIRECT("'Output 2-CACCIA'!$m$4:$m$"&amp;$C$5))
+SUMIF(INDIRECT("'Output 3-ASINARA'!$H$4:$H$"&amp;$C$6),Analysis!Q30,INDIRECT("'Output 3-ASINARA'!$m$4:$m$"&amp;$C$6))
+SUMIF(INDIRECT("'Output 4-PELAGIE'!$H$4:$H$"&amp;$C$7),Analysis!Q30,INDIRECT("'Output 4-PELAGIE'!$m$4:$m$"&amp;$C$7))
+SUMIF(INDIRECT("'Output 5-EGADI'!$H$4:$H$"&amp;$C$8),Analysis!Q30,INDIRECT("'Output 5-EGADI'!$m$4:$m$"&amp;$C$8))
+SUMIF(INDIRECT("'Output 6-TG'!$H$4:$H$"&amp;$C$9),Analysis!Q30,INDIRECT("'Output 6-TG'!$m$4:$m$"&amp;$C$9))
+SUMIF(INDIRECT("'Output 7-PNAT'!$H$4:$H$"&amp;$C$10),Analysis!Q30,INDIRECT("'Output 7-PNAT'!$m$4:$m$"&amp;$C$10))
+SUMIF(INDIRECT("'Output 8-AEO'!$H$4:$H$"&amp;$C$11),Analysis!Q30,INDIRECT("'Output 8-AEO'!$m$4:$m$"&amp;$C$11))
+SUMIF(INDIRECT("'Output 9-EGADI2'!$H$4:$H$"&amp;$C$12),Analysis!Q30,INDIRECT("'Output 9-EGADI2'!$m$4:$m$"&amp;$C$12))
+SUMIF(INDIRECT("'Output 10-TUNIS'!$H$4:$H$"&amp;$C$13),Analysis!Q30,INDIRECT("'Output 10-TUNIS'!$m$4:$m$"&amp;$C$13))</f>
        <v>0</v>
      </c>
      <c r="S30" s="5">
        <f ca="1">SUMIF(INDIRECT("'Output 1-CARBONARA'!$H$4:$H$"&amp;$C$4),Analysis!Q30,INDIRECT("'Output 1-CARBONARA'!$q$4:$q$"&amp;$C$4))
+SUMIF(INDIRECT("'Output 2-CACCIA'!$H$4:$H$"&amp;$C$5),Analysis!Q30,INDIRECT("'Output 2-CACCIA'!$q$4:$q$"&amp;$C$5))
+SUMIF(INDIRECT("'Output 3-ASINARA'!$H$4:$H$"&amp;$C$6),Analysis!Q30,INDIRECT("'Output 3-ASINARA'!$q$4:$q$"&amp;$C$6))
+SUMIF(INDIRECT("'Output 4-PELAGIE'!$H$4:$H$"&amp;$C$7),Analysis!Q30,INDIRECT("'Output 4-PELAGIE'!$q$4:$q$"&amp;$C$7))
+SUMIF(INDIRECT("'Output 5-EGADI'!$H$4:$H$"&amp;$C$8),Analysis!Q30,INDIRECT("'Output 5-EGADI'!$q$4:$q$"&amp;$C$8))
+SUMIF(INDIRECT("'Output 6-TG'!$H$4:$H$"&amp;$C$9),Analysis!Q30,INDIRECT("'Output 6-TG'!$q$4:$q$"&amp;$C$9))
+SUMIF(INDIRECT("'Output 7-PNAT'!$H$4:$H$"&amp;$C$10),Analysis!Q30,INDIRECT("'Output 7-PNAT'!$q$4:$q$"&amp;$C$10))
+SUMIF(INDIRECT("'Output 8-AEO'!$H$4:$H$"&amp;$C$11),Analysis!Q30,INDIRECT("'Output 8-AEO'!$q$4:$q$"&amp;$C$11))
+SUMIF(INDIRECT("'Output 9-EGADI2'!$H$4:$H$"&amp;$C$12),Analysis!Q30,INDIRECT("'Output 9-EGADI2'!$q$4:$q$"&amp;$C$12))
+SUMIF(INDIRECT("'Output 10-TUNIS'!$H$4:$H$"&amp;$C$13),Analysis!Q30,INDIRECT("'Output 10-TUNIS'!$q$4:$q$"&amp;$C$13))</f>
        <v>0</v>
      </c>
      <c r="T30" s="5">
        <f ca="1">SUMIF(INDIRECT("'Output 1-CARBONARA'!$H$4:$H$"&amp;$C$4),Analysis!Q30,INDIRECT("'Output 1-CARBONARA'!$U$4:$U$"&amp;$C$4))
+SUMIF(INDIRECT("'Output 2-CACCIA'!$H$4:$H$"&amp;$C$5),Analysis!Q30,INDIRECT("'Output 2-CACCIA'!$U$4:$U$"&amp;$C$5))
+SUMIF(INDIRECT("'Output 3-ASINARA'!$H$4:$H$"&amp;$C$6),Analysis!Q30,INDIRECT("'Output 3-ASINARA'!$U$4:$U$"&amp;$C$6))
+SUMIF(INDIRECT("'Output 4-PELAGIE'!$H$4:$H$"&amp;$C$7),Analysis!Q30,INDIRECT("'Output 4-PELAGIE'!$U$4:$U$"&amp;$C$7))
+SUMIF(INDIRECT("'Output 5-EGADI'!$H$4:$H$"&amp;$C$8),Analysis!Q30,INDIRECT("'Output 5-EGADI'!$U$4:$U$"&amp;$C$8))
+SUMIF(INDIRECT("'Output 6-TG'!$H$4:$H$"&amp;$C$9),Analysis!Q30,INDIRECT("'Output 6-TG'!$U$4:$U$"&amp;$C$9))
+SUMIF(INDIRECT("'Output 7-PNAT'!$H$4:$H$"&amp;$C$10),Analysis!Q30,INDIRECT("'Output 7-PNAT'!$U$4:$U$"&amp;$C$10))
+SUMIF(INDIRECT("'Output 8-AEO'!$H$4:$H$"&amp;$C$11),Analysis!Q30,INDIRECT("'Output 8-AEO'!$U$4:$U$"&amp;$C$11))
+SUMIF(INDIRECT("'Output 9-EGADI2'!$H$4:$H$"&amp;$C$12),Analysis!Q30,INDIRECT("'Output 9-EGADI2'!$U$4:$U$"&amp;$C$12))
+SUMIF(INDIRECT("'Output 10-TUNIS'!$H$4:$H$"&amp;$C$13),Analysis!Q30,INDIRECT("'Output 10-TUNIS'!$U$4:$U$"&amp;$C$13))</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8">
        <f t="shared" ca="1" si="0"/>
        <v>0</v>
      </c>
      <c r="AA30" s="38">
        <f t="shared" si="1"/>
        <v>0</v>
      </c>
      <c r="AB30" s="54">
        <f t="shared" ca="1" si="2"/>
        <v>0</v>
      </c>
      <c r="AC30" s="64">
        <f ca="1">SUMIF(INDIRECT("'Output 1-CARBONARA'!$H$5:$H$"&amp;$C$4),Analysis!$Q30,INDIRECT("'Output 1-CARBONARA'!$F$5:$F$"&amp;$C$4))
+SUMIF(INDIRECT("'Output 2-CACCIA'!$H$5:$H$"&amp;$C$5),Analysis!$Q30,INDIRECT("'Output 2-CACCIA'!$F$5:$F$"&amp;$C$5))
+SUMIF(INDIRECT("'Output 3-ASINARA'!$H$5:$H$"&amp;$C$6),Analysis!$Q30,INDIRECT("'Output 3-ASINARA'!$F$5:$F$"&amp;$C$6))
+SUMIF(INDIRECT("'Output 4-PELAGIE'!$H$5:$H$"&amp;$C$7),Analysis!$Q30,INDIRECT("'Output 4-PELAGIE'!$F$5:$F$"&amp;$C$7))
+SUMIF(INDIRECT("'Output 5-EGADI'!$H$5:$H$"&amp;$C$8),Analysis!$Q30,INDIRECT("'Output 5-EGADI'!$F$5:$F$"&amp;$C$8))
+SUMIF(INDIRECT("'Output 6-TG'!$H$5:$H$"&amp;$C$9),Analysis!$Q30,INDIRECT("'Output 6-TG'!$F$5:$F$"&amp;$C$9))
+SUMIF(INDIRECT("'Output 7-PNAT'!$H$5:$H$"&amp;$C$10),Analysis!$Q30,INDIRECT("'Output 7-PNAT'!$F$5:$F$"&amp;$C$10))
+SUMIF(INDIRECT("'Output 8-AEO'!$H$5:$H$"&amp;$C$11),Analysis!$Q30,INDIRECT("'Output 8-AEO'!$F$5:$F$"&amp;$C$11))
+SUMIF(INDIRECT("'Output 9-EGADI2'!$H$5:$H$"&amp;$C$12),Analysis!$Q30,INDIRECT("'Output 9-EGADI2'!$F$5:$F$"&amp;$C$12))
+SUMIF(INDIRECT("'Output 10-TUNIS'!$H$5:$H$"&amp;$C$13),Analysis!$Q30,INDIRECT("'Output 10-TUNIS'!$F$5:$F$"&amp;$C$13))</f>
        <v>0</v>
      </c>
    </row>
    <row r="31" spans="1:29">
      <c r="F31" t="str">
        <f>'Output 9-EGADI2'!$D$6</f>
        <v>O.9.3</v>
      </c>
      <c r="G31" s="4" t="e">
        <f>'Output 9-EGADI2'!K$6/'Output 9-EGADI2'!$F$6</f>
        <v>#DIV/0!</v>
      </c>
      <c r="H31" s="4" t="e">
        <f>'Output 9-EGADI2'!M$6/'Output 9-EGADI2'!$F$6</f>
        <v>#DIV/0!</v>
      </c>
      <c r="I31" s="4" t="e">
        <f>('Output 9-EGADI2'!O$6)/'Output 9-EGADI2'!$F$6</f>
        <v>#DIV/0!</v>
      </c>
      <c r="J31" s="4" t="e">
        <f>('Output 9-EGADI2'!Q$6)/'Output 9-EGADI2'!$F$6</f>
        <v>#DIV/0!</v>
      </c>
      <c r="K31" s="4">
        <f>('Output 1-CARBONARA'!Y$4)/'Output 1-CARBONARA'!$F$4</f>
        <v>1</v>
      </c>
      <c r="L31" s="34" t="e">
        <f t="shared" si="6"/>
        <v>#DIV/0!</v>
      </c>
      <c r="M31" s="4" t="e">
        <f>('Output 8-AEO'!#REF!)/'Output 8-AEO'!#REF!</f>
        <v>#REF!</v>
      </c>
      <c r="N31" s="4" t="e">
        <f>('Output 8-AEO'!#REF!)/'Output 8-AEO'!#REF!</f>
        <v>#REF!</v>
      </c>
      <c r="O31" s="34" t="e">
        <f t="shared" si="8"/>
        <v>#REF!</v>
      </c>
      <c r="Q31" s="31">
        <v>2.4</v>
      </c>
      <c r="R31" s="5">
        <f ca="1">SUMIF(INDIRECT("'Output 1-CARBONARA'!$H$4:$H$"&amp;$C$4),Analysis!Q31,INDIRECT("'Output 1-CARBONARA'!$m$4:$m$"&amp;$C$4))
+SUMIF(INDIRECT("'Output 2-CACCIA'!$H$4:$H$"&amp;$C$5),Analysis!Q31,INDIRECT("'Output 2-CACCIA'!$m$4:$m$"&amp;$C$5))
+SUMIF(INDIRECT("'Output 3-ASINARA'!$H$4:$H$"&amp;$C$6),Analysis!Q31,INDIRECT("'Output 3-ASINARA'!$m$4:$m$"&amp;$C$6))
+SUMIF(INDIRECT("'Output 4-PELAGIE'!$H$4:$H$"&amp;$C$7),Analysis!Q31,INDIRECT("'Output 4-PELAGIE'!$m$4:$m$"&amp;$C$7))
+SUMIF(INDIRECT("'Output 5-EGADI'!$H$4:$H$"&amp;$C$8),Analysis!Q31,INDIRECT("'Output 5-EGADI'!$m$4:$m$"&amp;$C$8))
+SUMIF(INDIRECT("'Output 6-TG'!$H$4:$H$"&amp;$C$9),Analysis!Q31,INDIRECT("'Output 6-TG'!$m$4:$m$"&amp;$C$9))
+SUMIF(INDIRECT("'Output 7-PNAT'!$H$4:$H$"&amp;$C$10),Analysis!Q31,INDIRECT("'Output 7-PNAT'!$m$4:$m$"&amp;$C$10))
+SUMIF(INDIRECT("'Output 8-AEO'!$H$4:$H$"&amp;$C$11),Analysis!Q31,INDIRECT("'Output 8-AEO'!$m$4:$m$"&amp;$C$11))
+SUMIF(INDIRECT("'Output 9-EGADI2'!$H$4:$H$"&amp;$C$12),Analysis!Q31,INDIRECT("'Output 9-EGADI2'!$m$4:$m$"&amp;$C$12))
+SUMIF(INDIRECT("'Output 10-TUNIS'!$H$4:$H$"&amp;$C$13),Analysis!Q31,INDIRECT("'Output 10-TUNIS'!$m$4:$m$"&amp;$C$13))</f>
        <v>0</v>
      </c>
      <c r="S31" s="5">
        <f ca="1">SUMIF(INDIRECT("'Output 1-CARBONARA'!$H$4:$H$"&amp;$C$4),Analysis!Q31,INDIRECT("'Output 1-CARBONARA'!$q$4:$q$"&amp;$C$4))
+SUMIF(INDIRECT("'Output 2-CACCIA'!$H$4:$H$"&amp;$C$5),Analysis!Q31,INDIRECT("'Output 2-CACCIA'!$q$4:$q$"&amp;$C$5))
+SUMIF(INDIRECT("'Output 3-ASINARA'!$H$4:$H$"&amp;$C$6),Analysis!Q31,INDIRECT("'Output 3-ASINARA'!$q$4:$q$"&amp;$C$6))
+SUMIF(INDIRECT("'Output 4-PELAGIE'!$H$4:$H$"&amp;$C$7),Analysis!Q31,INDIRECT("'Output 4-PELAGIE'!$q$4:$q$"&amp;$C$7))
+SUMIF(INDIRECT("'Output 5-EGADI'!$H$4:$H$"&amp;$C$8),Analysis!Q31,INDIRECT("'Output 5-EGADI'!$q$4:$q$"&amp;$C$8))
+SUMIF(INDIRECT("'Output 6-TG'!$H$4:$H$"&amp;$C$9),Analysis!Q31,INDIRECT("'Output 6-TG'!$q$4:$q$"&amp;$C$9))
+SUMIF(INDIRECT("'Output 7-PNAT'!$H$4:$H$"&amp;$C$10),Analysis!Q31,INDIRECT("'Output 7-PNAT'!$q$4:$q$"&amp;$C$10))
+SUMIF(INDIRECT("'Output 8-AEO'!$H$4:$H$"&amp;$C$11),Analysis!Q31,INDIRECT("'Output 8-AEO'!$q$4:$q$"&amp;$C$11))
+SUMIF(INDIRECT("'Output 9-EGADI2'!$H$4:$H$"&amp;$C$12),Analysis!Q31,INDIRECT("'Output 9-EGADI2'!$q$4:$q$"&amp;$C$12))
+SUMIF(INDIRECT("'Output 10-TUNIS'!$H$4:$H$"&amp;$C$13),Analysis!Q31,INDIRECT("'Output 10-TUNIS'!$q$4:$q$"&amp;$C$13))</f>
        <v>0</v>
      </c>
      <c r="T31" s="5">
        <f ca="1">SUMIF(INDIRECT("'Output 1-CARBONARA'!$H$4:$H$"&amp;$C$4),Analysis!Q31,INDIRECT("'Output 1-CARBONARA'!$U$4:$U$"&amp;$C$4))
+SUMIF(INDIRECT("'Output 2-CACCIA'!$H$4:$H$"&amp;$C$5),Analysis!Q31,INDIRECT("'Output 2-CACCIA'!$U$4:$U$"&amp;$C$5))
+SUMIF(INDIRECT("'Output 3-ASINARA'!$H$4:$H$"&amp;$C$6),Analysis!Q31,INDIRECT("'Output 3-ASINARA'!$U$4:$U$"&amp;$C$6))
+SUMIF(INDIRECT("'Output 4-PELAGIE'!$H$4:$H$"&amp;$C$7),Analysis!Q31,INDIRECT("'Output 4-PELAGIE'!$U$4:$U$"&amp;$C$7))
+SUMIF(INDIRECT("'Output 5-EGADI'!$H$4:$H$"&amp;$C$8),Analysis!Q31,INDIRECT("'Output 5-EGADI'!$U$4:$U$"&amp;$C$8))
+SUMIF(INDIRECT("'Output 6-TG'!$H$4:$H$"&amp;$C$9),Analysis!Q31,INDIRECT("'Output 6-TG'!$U$4:$U$"&amp;$C$9))
+SUMIF(INDIRECT("'Output 7-PNAT'!$H$4:$H$"&amp;$C$10),Analysis!Q31,INDIRECT("'Output 7-PNAT'!$U$4:$U$"&amp;$C$10))
+SUMIF(INDIRECT("'Output 8-AEO'!$H$4:$H$"&amp;$C$11),Analysis!Q31,INDIRECT("'Output 8-AEO'!$U$4:$U$"&amp;$C$11))
+SUMIF(INDIRECT("'Output 9-EGADI2'!$H$4:$H$"&amp;$C$12),Analysis!Q31,INDIRECT("'Output 9-EGADI2'!$U$4:$U$"&amp;$C$12))
+SUMIF(INDIRECT("'Output 10-TUNIS'!$H$4:$H$"&amp;$C$13),Analysis!Q31,INDIRECT("'Output 10-TUNIS'!$U$4:$U$"&amp;$C$13))</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8">
        <f t="shared" ca="1" si="0"/>
        <v>0</v>
      </c>
      <c r="AA31" s="38">
        <f t="shared" si="1"/>
        <v>0</v>
      </c>
      <c r="AB31" s="54">
        <f t="shared" ca="1" si="2"/>
        <v>0</v>
      </c>
      <c r="AC31" s="64">
        <f ca="1">SUMIF(INDIRECT("'Output 1-CARBONARA'!$H$5:$H$"&amp;$C$4),Analysis!$Q31,INDIRECT("'Output 1-CARBONARA'!$F$5:$F$"&amp;$C$4))
+SUMIF(INDIRECT("'Output 2-CACCIA'!$H$5:$H$"&amp;$C$5),Analysis!$Q31,INDIRECT("'Output 2-CACCIA'!$F$5:$F$"&amp;$C$5))
+SUMIF(INDIRECT("'Output 3-ASINARA'!$H$5:$H$"&amp;$C$6),Analysis!$Q31,INDIRECT("'Output 3-ASINARA'!$F$5:$F$"&amp;$C$6))
+SUMIF(INDIRECT("'Output 4-PELAGIE'!$H$5:$H$"&amp;$C$7),Analysis!$Q31,INDIRECT("'Output 4-PELAGIE'!$F$5:$F$"&amp;$C$7))
+SUMIF(INDIRECT("'Output 5-EGADI'!$H$5:$H$"&amp;$C$8),Analysis!$Q31,INDIRECT("'Output 5-EGADI'!$F$5:$F$"&amp;$C$8))
+SUMIF(INDIRECT("'Output 6-TG'!$H$5:$H$"&amp;$C$9),Analysis!$Q31,INDIRECT("'Output 6-TG'!$F$5:$F$"&amp;$C$9))
+SUMIF(INDIRECT("'Output 7-PNAT'!$H$5:$H$"&amp;$C$10),Analysis!$Q31,INDIRECT("'Output 7-PNAT'!$F$5:$F$"&amp;$C$10))
+SUMIF(INDIRECT("'Output 8-AEO'!$H$5:$H$"&amp;$C$11),Analysis!$Q31,INDIRECT("'Output 8-AEO'!$F$5:$F$"&amp;$C$11))
+SUMIF(INDIRECT("'Output 9-EGADI2'!$H$5:$H$"&amp;$C$12),Analysis!$Q31,INDIRECT("'Output 9-EGADI2'!$F$5:$F$"&amp;$C$12))
+SUMIF(INDIRECT("'Output 10-TUNIS'!$H$5:$H$"&amp;$C$13),Analysis!$Q31,INDIRECT("'Output 10-TUNIS'!$F$5:$F$"&amp;$C$13))</f>
        <v>0</v>
      </c>
    </row>
    <row r="32" spans="1:29">
      <c r="E32" t="str">
        <f>'Output 10-TUNIS'!$B$4</f>
        <v>O.10</v>
      </c>
      <c r="F32" t="str">
        <f>'Output 10-TUNIS'!$D$4</f>
        <v>O.10.1</v>
      </c>
      <c r="G32" s="4">
        <f>'Output 10-TUNIS'!$K$4/'Output 10-TUNIS'!$F$4</f>
        <v>0</v>
      </c>
      <c r="H32" s="4">
        <f>'Output 10-TUNIS'!M$4/'Output 10-TUNIS'!$F$4</f>
        <v>0</v>
      </c>
      <c r="I32" s="4">
        <f>('Output 10-TUNIS'!O$4)/'Output 10-TUNIS'!$F$4</f>
        <v>0</v>
      </c>
      <c r="J32" s="4">
        <f>('Output 10-TUNIS'!Q$4)/'Output 10-TUNIS'!$F$4</f>
        <v>0</v>
      </c>
      <c r="K32" s="4">
        <f>('Output 1-CARBONARA'!Y$4)/'Output 1-CARBONARA'!$F$4</f>
        <v>1</v>
      </c>
      <c r="L32" s="34">
        <f t="shared" si="6"/>
        <v>0</v>
      </c>
      <c r="M32" s="4">
        <f>('Output 9-EGADI2'!S$4)/'Output 9-EGADI2'!$F$4</f>
        <v>0</v>
      </c>
      <c r="N32" s="4" t="e">
        <f>('Output 9-EGADI2'!U$4)/'Output 9-EGADI2'!$F$4</f>
        <v>#VALUE!</v>
      </c>
      <c r="O32" s="34" t="e">
        <f t="shared" si="8"/>
        <v>#VALUE!</v>
      </c>
      <c r="Q32" s="31" t="s">
        <v>381</v>
      </c>
      <c r="R32" s="5">
        <f ca="1">SUMIF(INDIRECT("'Output 1-CARBONARA'!$H$4:$H$"&amp;$C$4),Analysis!Q32,INDIRECT("'Output 1-CARBONARA'!$m$4:$m$"&amp;$C$4))
+SUMIF(INDIRECT("'Output 2-CACCIA'!$H$4:$H$"&amp;$C$5),Analysis!Q32,INDIRECT("'Output 2-CACCIA'!$m$4:$m$"&amp;$C$5))
+SUMIF(INDIRECT("'Output 3-ASINARA'!$H$4:$H$"&amp;$C$6),Analysis!Q32,INDIRECT("'Output 3-ASINARA'!$m$4:$m$"&amp;$C$6))
+SUMIF(INDIRECT("'Output 4-PELAGIE'!$H$4:$H$"&amp;$C$7),Analysis!Q32,INDIRECT("'Output 4-PELAGIE'!$m$4:$m$"&amp;$C$7))
+SUMIF(INDIRECT("'Output 5-EGADI'!$H$4:$H$"&amp;$C$8),Analysis!Q32,INDIRECT("'Output 5-EGADI'!$m$4:$m$"&amp;$C$8))
+SUMIF(INDIRECT("'Output 6-TG'!$H$4:$H$"&amp;$C$9),Analysis!Q32,INDIRECT("'Output 6-TG'!$m$4:$m$"&amp;$C$9))
+SUMIF(INDIRECT("'Output 7-PNAT'!$H$4:$H$"&amp;$C$10),Analysis!Q32,INDIRECT("'Output 7-PNAT'!$m$4:$m$"&amp;$C$10))
+SUMIF(INDIRECT("'Output 8-AEO'!$H$4:$H$"&amp;$C$11),Analysis!Q32,INDIRECT("'Output 8-AEO'!$m$4:$m$"&amp;$C$11))
+SUMIF(INDIRECT("'Output 9-EGADI2'!$H$4:$H$"&amp;$C$12),Analysis!Q32,INDIRECT("'Output 9-EGADI2'!$m$4:$m$"&amp;$C$12))
+SUMIF(INDIRECT("'Output 10-TUNIS'!$H$4:$H$"&amp;$C$13),Analysis!Q32,INDIRECT("'Output 10-TUNIS'!$m$4:$m$"&amp;$C$13))</f>
        <v>0</v>
      </c>
      <c r="S32" s="5">
        <f ca="1">SUMIF(INDIRECT("'Output 1-CARBONARA'!$H$4:$H$"&amp;$C$4),Analysis!Q32,INDIRECT("'Output 1-CARBONARA'!$q$4:$q$"&amp;$C$4))
+SUMIF(INDIRECT("'Output 2-CACCIA'!$H$4:$H$"&amp;$C$5),Analysis!Q32,INDIRECT("'Output 2-CACCIA'!$q$4:$q$"&amp;$C$5))
+SUMIF(INDIRECT("'Output 3-ASINARA'!$H$4:$H$"&amp;$C$6),Analysis!Q32,INDIRECT("'Output 3-ASINARA'!$q$4:$q$"&amp;$C$6))
+SUMIF(INDIRECT("'Output 4-PELAGIE'!$H$4:$H$"&amp;$C$7),Analysis!Q32,INDIRECT("'Output 4-PELAGIE'!$q$4:$q$"&amp;$C$7))
+SUMIF(INDIRECT("'Output 5-EGADI'!$H$4:$H$"&amp;$C$8),Analysis!Q32,INDIRECT("'Output 5-EGADI'!$q$4:$q$"&amp;$C$8))
+SUMIF(INDIRECT("'Output 6-TG'!$H$4:$H$"&amp;$C$9),Analysis!Q32,INDIRECT("'Output 6-TG'!$q$4:$q$"&amp;$C$9))
+SUMIF(INDIRECT("'Output 7-PNAT'!$H$4:$H$"&amp;$C$10),Analysis!Q32,INDIRECT("'Output 7-PNAT'!$q$4:$q$"&amp;$C$10))
+SUMIF(INDIRECT("'Output 8-AEO'!$H$4:$H$"&amp;$C$11),Analysis!Q32,INDIRECT("'Output 8-AEO'!$q$4:$q$"&amp;$C$11))
+SUMIF(INDIRECT("'Output 9-EGADI2'!$H$4:$H$"&amp;$C$12),Analysis!Q32,INDIRECT("'Output 9-EGADI2'!$q$4:$q$"&amp;$C$12))
+SUMIF(INDIRECT("'Output 10-TUNIS'!$H$4:$H$"&amp;$C$13),Analysis!Q32,INDIRECT("'Output 10-TUNIS'!$q$4:$q$"&amp;$C$13))</f>
        <v>0</v>
      </c>
      <c r="T32" s="5">
        <f ca="1">SUMIF(INDIRECT("'Output 1-CARBONARA'!$H$4:$H$"&amp;$C$4),Analysis!Q32,INDIRECT("'Output 1-CARBONARA'!$U$4:$U$"&amp;$C$4))
+SUMIF(INDIRECT("'Output 2-CACCIA'!$H$4:$H$"&amp;$C$5),Analysis!Q32,INDIRECT("'Output 2-CACCIA'!$U$4:$U$"&amp;$C$5))
+SUMIF(INDIRECT("'Output 3-ASINARA'!$H$4:$H$"&amp;$C$6),Analysis!Q32,INDIRECT("'Output 3-ASINARA'!$U$4:$U$"&amp;$C$6))
+SUMIF(INDIRECT("'Output 4-PELAGIE'!$H$4:$H$"&amp;$C$7),Analysis!Q32,INDIRECT("'Output 4-PELAGIE'!$U$4:$U$"&amp;$C$7))
+SUMIF(INDIRECT("'Output 5-EGADI'!$H$4:$H$"&amp;$C$8),Analysis!Q32,INDIRECT("'Output 5-EGADI'!$U$4:$U$"&amp;$C$8))
+SUMIF(INDIRECT("'Output 6-TG'!$H$4:$H$"&amp;$C$9),Analysis!Q32,INDIRECT("'Output 6-TG'!$U$4:$U$"&amp;$C$9))
+SUMIF(INDIRECT("'Output 7-PNAT'!$H$4:$H$"&amp;$C$10),Analysis!Q32,INDIRECT("'Output 7-PNAT'!$U$4:$U$"&amp;$C$10))
+SUMIF(INDIRECT("'Output 8-AEO'!$H$4:$H$"&amp;$C$11),Analysis!Q32,INDIRECT("'Output 8-AEO'!$U$4:$U$"&amp;$C$11))
+SUMIF(INDIRECT("'Output 9-EGADI2'!$H$4:$H$"&amp;$C$12),Analysis!Q32,INDIRECT("'Output 9-EGADI2'!$U$4:$U$"&amp;$C$12))
+SUMIF(INDIRECT("'Output 10-TUNIS'!$H$4:$H$"&amp;$C$13),Analysis!Q32,INDIRECT("'Output 10-TUNIS'!$U$4:$U$"&amp;$C$13))</f>
        <v>2</v>
      </c>
      <c r="U32" s="31"/>
      <c r="V32" s="5">
        <f>SUMIF('Unplanned Outputs'!$E$4:$E$500,Analysis!Q32,'Unplanned Outputs'!$J$4:$J$500)</f>
        <v>0</v>
      </c>
      <c r="W32" s="5">
        <f>SUMIF('Unplanned Outputs'!$E$4:$E$500,Analysis!$Q32,'Unplanned Outputs'!$N$4:$N$500)</f>
        <v>0</v>
      </c>
      <c r="X32" s="5">
        <f>SUMIF('Unplanned Outputs'!$E$4:$E$500,Analysis!$Q32,'Unplanned Outputs'!$R$4:$R$500)</f>
        <v>0</v>
      </c>
      <c r="Y32" s="15"/>
      <c r="Z32" s="38">
        <f t="shared" ca="1" si="0"/>
        <v>2</v>
      </c>
      <c r="AA32" s="38">
        <f t="shared" si="1"/>
        <v>0</v>
      </c>
      <c r="AB32" s="54">
        <f t="shared" ca="1" si="2"/>
        <v>2</v>
      </c>
      <c r="AC32" s="64">
        <f ca="1">SUMIF(INDIRECT("'Output 1-CARBONARA'!$H$5:$H$"&amp;$C$4),Analysis!$Q32,INDIRECT("'Output 1-CARBONARA'!$F$5:$F$"&amp;$C$4))
+SUMIF(INDIRECT("'Output 2-CACCIA'!$H$5:$H$"&amp;$C$5),Analysis!$Q32,INDIRECT("'Output 2-CACCIA'!$F$5:$F$"&amp;$C$5))
+SUMIF(INDIRECT("'Output 3-ASINARA'!$H$5:$H$"&amp;$C$6),Analysis!$Q32,INDIRECT("'Output 3-ASINARA'!$F$5:$F$"&amp;$C$6))
+SUMIF(INDIRECT("'Output 4-PELAGIE'!$H$5:$H$"&amp;$C$7),Analysis!$Q32,INDIRECT("'Output 4-PELAGIE'!$F$5:$F$"&amp;$C$7))
+SUMIF(INDIRECT("'Output 5-EGADI'!$H$5:$H$"&amp;$C$8),Analysis!$Q32,INDIRECT("'Output 5-EGADI'!$F$5:$F$"&amp;$C$8))
+SUMIF(INDIRECT("'Output 6-TG'!$H$5:$H$"&amp;$C$9),Analysis!$Q32,INDIRECT("'Output 6-TG'!$F$5:$F$"&amp;$C$9))
+SUMIF(INDIRECT("'Output 7-PNAT'!$H$5:$H$"&amp;$C$10),Analysis!$Q32,INDIRECT("'Output 7-PNAT'!$F$5:$F$"&amp;$C$10))
+SUMIF(INDIRECT("'Output 8-AEO'!$H$5:$H$"&amp;$C$11),Analysis!$Q32,INDIRECT("'Output 8-AEO'!$F$5:$F$"&amp;$C$11))
+SUMIF(INDIRECT("'Output 9-EGADI2'!$H$5:$H$"&amp;$C$12),Analysis!$Q32,INDIRECT("'Output 9-EGADI2'!$F$5:$F$"&amp;$C$12))
+SUMIF(INDIRECT("'Output 10-TUNIS'!$H$5:$H$"&amp;$C$13),Analysis!$Q32,INDIRECT("'Output 10-TUNIS'!$F$5:$F$"&amp;$C$13))</f>
        <v>0</v>
      </c>
    </row>
    <row r="33" spans="6:29">
      <c r="F33" t="str">
        <f>'Output 10-TUNIS'!$D$5</f>
        <v>O.10.2</v>
      </c>
      <c r="G33" s="4">
        <f>'Output 10-TUNIS'!K$5/'Output 10-TUNIS'!$F$5</f>
        <v>0</v>
      </c>
      <c r="H33" s="4">
        <f>'Output 10-TUNIS'!M$5/'Output 10-TUNIS'!$F$5</f>
        <v>0</v>
      </c>
      <c r="I33" s="4">
        <f>('Output 10-TUNIS'!O$5)/'Output 10-TUNIS'!$F$5</f>
        <v>0</v>
      </c>
      <c r="J33" s="4">
        <f>('Output 10-TUNIS'!Q$5)/'Output 10-TUNIS'!$F$5</f>
        <v>0</v>
      </c>
      <c r="K33" s="4">
        <f>('Output 1-CARBONARA'!Y$4)/'Output 1-CARBONARA'!$F$4</f>
        <v>1</v>
      </c>
      <c r="L33" s="34">
        <f t="shared" si="6"/>
        <v>0</v>
      </c>
      <c r="M33" s="4" t="e">
        <f>('Output 9-EGADI2'!S$5)/'Output 9-EGADI2'!$F$5</f>
        <v>#DIV/0!</v>
      </c>
      <c r="N33" s="4" t="e">
        <f>('Output 9-EGADI2'!U$5)/'Output 9-EGADI2'!$F$5</f>
        <v>#DIV/0!</v>
      </c>
      <c r="O33" s="34" t="e">
        <f t="shared" si="8"/>
        <v>#DIV/0!</v>
      </c>
      <c r="Q33" s="31" t="s">
        <v>721</v>
      </c>
      <c r="R33" s="5">
        <f ca="1">SUMIF(INDIRECT("'Output 1-CARBONARA'!$H$4:$H$"&amp;$C$4),Analysis!Q33,INDIRECT("'Output 1-CARBONARA'!$m$4:$m$"&amp;$C$4))
+SUMIF(INDIRECT("'Output 2-CACCIA'!$H$4:$H$"&amp;$C$5),Analysis!Q33,INDIRECT("'Output 2-CACCIA'!$m$4:$m$"&amp;$C$5))
+SUMIF(INDIRECT("'Output 3-ASINARA'!$H$4:$H$"&amp;$C$6),Analysis!Q33,INDIRECT("'Output 3-ASINARA'!$m$4:$m$"&amp;$C$6))
+SUMIF(INDIRECT("'Output 4-PELAGIE'!$H$4:$H$"&amp;$C$7),Analysis!Q33,INDIRECT("'Output 4-PELAGIE'!$m$4:$m$"&amp;$C$7))
+SUMIF(INDIRECT("'Output 5-EGADI'!$H$4:$H$"&amp;$C$8),Analysis!Q33,INDIRECT("'Output 5-EGADI'!$m$4:$m$"&amp;$C$8))
+SUMIF(INDIRECT("'Output 6-TG'!$H$4:$H$"&amp;$C$9),Analysis!Q33,INDIRECT("'Output 6-TG'!$m$4:$m$"&amp;$C$9))
+SUMIF(INDIRECT("'Output 7-PNAT'!$H$4:$H$"&amp;$C$10),Analysis!Q33,INDIRECT("'Output 7-PNAT'!$m$4:$m$"&amp;$C$10))
+SUMIF(INDIRECT("'Output 8-AEO'!$H$4:$H$"&amp;$C$11),Analysis!Q33,INDIRECT("'Output 8-AEO'!$m$4:$m$"&amp;$C$11))
+SUMIF(INDIRECT("'Output 9-EGADI2'!$H$4:$H$"&amp;$C$12),Analysis!Q33,INDIRECT("'Output 9-EGADI2'!$m$4:$m$"&amp;$C$12))
+SUMIF(INDIRECT("'Output 10-TUNIS'!$H$4:$H$"&amp;$C$13),Analysis!Q33,INDIRECT("'Output 10-TUNIS'!$m$4:$m$"&amp;$C$13))</f>
        <v>0</v>
      </c>
      <c r="S33" s="5">
        <f ca="1">SUMIF(INDIRECT("'Output 1-CARBONARA'!$H$4:$H$"&amp;$C$4),Analysis!Q33,INDIRECT("'Output 1-CARBONARA'!$q$4:$q$"&amp;$C$4))
+SUMIF(INDIRECT("'Output 2-CACCIA'!$H$4:$H$"&amp;$C$5),Analysis!Q33,INDIRECT("'Output 2-CACCIA'!$q$4:$q$"&amp;$C$5))
+SUMIF(INDIRECT("'Output 3-ASINARA'!$H$4:$H$"&amp;$C$6),Analysis!Q33,INDIRECT("'Output 3-ASINARA'!$q$4:$q$"&amp;$C$6))
+SUMIF(INDIRECT("'Output 4-PELAGIE'!$H$4:$H$"&amp;$C$7),Analysis!Q33,INDIRECT("'Output 4-PELAGIE'!$q$4:$q$"&amp;$C$7))
+SUMIF(INDIRECT("'Output 5-EGADI'!$H$4:$H$"&amp;$C$8),Analysis!Q33,INDIRECT("'Output 5-EGADI'!$q$4:$q$"&amp;$C$8))
+SUMIF(INDIRECT("'Output 6-TG'!$H$4:$H$"&amp;$C$9),Analysis!Q33,INDIRECT("'Output 6-TG'!$q$4:$q$"&amp;$C$9))
+SUMIF(INDIRECT("'Output 7-PNAT'!$H$4:$H$"&amp;$C$10),Analysis!Q33,INDIRECT("'Output 7-PNAT'!$q$4:$q$"&amp;$C$10))
+SUMIF(INDIRECT("'Output 8-AEO'!$H$4:$H$"&amp;$C$11),Analysis!Q33,INDIRECT("'Output 8-AEO'!$q$4:$q$"&amp;$C$11))
+SUMIF(INDIRECT("'Output 9-EGADI2'!$H$4:$H$"&amp;$C$12),Analysis!Q33,INDIRECT("'Output 9-EGADI2'!$q$4:$q$"&amp;$C$12))
+SUMIF(INDIRECT("'Output 10-TUNIS'!$H$4:$H$"&amp;$C$13),Analysis!Q33,INDIRECT("'Output 10-TUNIS'!$q$4:$q$"&amp;$C$13))</f>
        <v>0</v>
      </c>
      <c r="T33" s="5">
        <f ca="1">SUMIF(INDIRECT("'Output 1-CARBONARA'!$H$4:$H$"&amp;$C$4),Analysis!Q33,INDIRECT("'Output 1-CARBONARA'!$U$4:$U$"&amp;$C$4))
+SUMIF(INDIRECT("'Output 2-CACCIA'!$H$4:$H$"&amp;$C$5),Analysis!Q33,INDIRECT("'Output 2-CACCIA'!$U$4:$U$"&amp;$C$5))
+SUMIF(INDIRECT("'Output 3-ASINARA'!$H$4:$H$"&amp;$C$6),Analysis!Q33,INDIRECT("'Output 3-ASINARA'!$U$4:$U$"&amp;$C$6))
+SUMIF(INDIRECT("'Output 4-PELAGIE'!$H$4:$H$"&amp;$C$7),Analysis!Q33,INDIRECT("'Output 4-PELAGIE'!$U$4:$U$"&amp;$C$7))
+SUMIF(INDIRECT("'Output 5-EGADI'!$H$4:$H$"&amp;$C$8),Analysis!Q33,INDIRECT("'Output 5-EGADI'!$U$4:$U$"&amp;$C$8))
+SUMIF(INDIRECT("'Output 6-TG'!$H$4:$H$"&amp;$C$9),Analysis!Q33,INDIRECT("'Output 6-TG'!$U$4:$U$"&amp;$C$9))
+SUMIF(INDIRECT("'Output 7-PNAT'!$H$4:$H$"&amp;$C$10),Analysis!Q33,INDIRECT("'Output 7-PNAT'!$U$4:$U$"&amp;$C$10))
+SUMIF(INDIRECT("'Output 8-AEO'!$H$4:$H$"&amp;$C$11),Analysis!Q33,INDIRECT("'Output 8-AEO'!$U$4:$U$"&amp;$C$11))
+SUMIF(INDIRECT("'Output 9-EGADI2'!$H$4:$H$"&amp;$C$12),Analysis!Q33,INDIRECT("'Output 9-EGADI2'!$U$4:$U$"&amp;$C$12))
+SUMIF(INDIRECT("'Output 10-TUNIS'!$H$4:$H$"&amp;$C$13),Analysis!Q33,INDIRECT("'Output 10-TUNIS'!$U$4:$U$"&amp;$C$13))</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8">
        <f t="shared" ca="1" si="0"/>
        <v>0</v>
      </c>
      <c r="AA33" s="38">
        <f t="shared" si="1"/>
        <v>0</v>
      </c>
      <c r="AB33" s="54">
        <f t="shared" ca="1" si="2"/>
        <v>0</v>
      </c>
      <c r="AC33" s="64">
        <f ca="1">SUMIF(INDIRECT("'Output 1-CARBONARA'!$H$5:$H$"&amp;$C$4),Analysis!$Q33,INDIRECT("'Output 1-CARBONARA'!$F$5:$F$"&amp;$C$4))
+SUMIF(INDIRECT("'Output 2-CACCIA'!$H$5:$H$"&amp;$C$5),Analysis!$Q33,INDIRECT("'Output 2-CACCIA'!$F$5:$F$"&amp;$C$5))
+SUMIF(INDIRECT("'Output 3-ASINARA'!$H$5:$H$"&amp;$C$6),Analysis!$Q33,INDIRECT("'Output 3-ASINARA'!$F$5:$F$"&amp;$C$6))
+SUMIF(INDIRECT("'Output 4-PELAGIE'!$H$5:$H$"&amp;$C$7),Analysis!$Q33,INDIRECT("'Output 4-PELAGIE'!$F$5:$F$"&amp;$C$7))
+SUMIF(INDIRECT("'Output 5-EGADI'!$H$5:$H$"&amp;$C$8),Analysis!$Q33,INDIRECT("'Output 5-EGADI'!$F$5:$F$"&amp;$C$8))
+SUMIF(INDIRECT("'Output 6-TG'!$H$5:$H$"&amp;$C$9),Analysis!$Q33,INDIRECT("'Output 6-TG'!$F$5:$F$"&amp;$C$9))
+SUMIF(INDIRECT("'Output 7-PNAT'!$H$5:$H$"&amp;$C$10),Analysis!$Q33,INDIRECT("'Output 7-PNAT'!$F$5:$F$"&amp;$C$10))
+SUMIF(INDIRECT("'Output 8-AEO'!$H$5:$H$"&amp;$C$11),Analysis!$Q33,INDIRECT("'Output 8-AEO'!$F$5:$F$"&amp;$C$11))
+SUMIF(INDIRECT("'Output 9-EGADI2'!$H$5:$H$"&amp;$C$12),Analysis!$Q33,INDIRECT("'Output 9-EGADI2'!$F$5:$F$"&amp;$C$12))
+SUMIF(INDIRECT("'Output 10-TUNIS'!$H$5:$H$"&amp;$C$13),Analysis!$Q33,INDIRECT("'Output 10-TUNIS'!$F$5:$F$"&amp;$C$13))</f>
        <v>0</v>
      </c>
    </row>
    <row r="34" spans="6:29">
      <c r="F34" t="str">
        <f>'Output 10-TUNIS'!$D$6</f>
        <v>O.10.3</v>
      </c>
      <c r="G34" s="4">
        <f>'Output 10-TUNIS'!K$6/'Output 10-TUNIS'!$F$6</f>
        <v>0</v>
      </c>
      <c r="H34" s="4">
        <f>'Output 10-TUNIS'!M$6/'Output 10-TUNIS'!$F$6</f>
        <v>0</v>
      </c>
      <c r="I34" s="4">
        <f>('Output 10-TUNIS'!O$6)/'Output 10-TUNIS'!$F$6</f>
        <v>0</v>
      </c>
      <c r="J34" s="4">
        <f>('Output 10-TUNIS'!Q$6)/'Output 10-TUNIS'!$F$6</f>
        <v>0</v>
      </c>
      <c r="K34" s="4">
        <f>('Output 1-CARBONARA'!Y$4)/'Output 1-CARBONARA'!$F$4</f>
        <v>1</v>
      </c>
      <c r="L34" s="34">
        <f t="shared" si="6"/>
        <v>0</v>
      </c>
      <c r="M34" s="4" t="e">
        <f>('Output 9-EGADI2'!S$6)/'Output 9-EGADI2'!$F$6</f>
        <v>#DIV/0!</v>
      </c>
      <c r="N34" s="4" t="e">
        <f>('Output 9-EGADI2'!U$6)/'Output 9-EGADI2'!$F$6</f>
        <v>#DIV/0!</v>
      </c>
      <c r="O34" s="34" t="e">
        <f t="shared" si="8"/>
        <v>#DIV/0!</v>
      </c>
      <c r="Q34" s="31" t="s">
        <v>722</v>
      </c>
      <c r="R34" s="5">
        <f ca="1">SUMIF(INDIRECT("'Output 1-CARBONARA'!$H$4:$H$"&amp;$C$4),Analysis!Q34,INDIRECT("'Output 1-CARBONARA'!$m$4:$m$"&amp;$C$4))
+SUMIF(INDIRECT("'Output 2-CACCIA'!$H$4:$H$"&amp;$C$5),Analysis!Q34,INDIRECT("'Output 2-CACCIA'!$m$4:$m$"&amp;$C$5))
+SUMIF(INDIRECT("'Output 3-ASINARA'!$H$4:$H$"&amp;$C$6),Analysis!Q34,INDIRECT("'Output 3-ASINARA'!$m$4:$m$"&amp;$C$6))
+SUMIF(INDIRECT("'Output 4-PELAGIE'!$H$4:$H$"&amp;$C$7),Analysis!Q34,INDIRECT("'Output 4-PELAGIE'!$m$4:$m$"&amp;$C$7))
+SUMIF(INDIRECT("'Output 5-EGADI'!$H$4:$H$"&amp;$C$8),Analysis!Q34,INDIRECT("'Output 5-EGADI'!$m$4:$m$"&amp;$C$8))
+SUMIF(INDIRECT("'Output 6-TG'!$H$4:$H$"&amp;$C$9),Analysis!Q34,INDIRECT("'Output 6-TG'!$m$4:$m$"&amp;$C$9))
+SUMIF(INDIRECT("'Output 7-PNAT'!$H$4:$H$"&amp;$C$10),Analysis!Q34,INDIRECT("'Output 7-PNAT'!$m$4:$m$"&amp;$C$10))
+SUMIF(INDIRECT("'Output 8-AEO'!$H$4:$H$"&amp;$C$11),Analysis!Q34,INDIRECT("'Output 8-AEO'!$m$4:$m$"&amp;$C$11))
+SUMIF(INDIRECT("'Output 9-EGADI2'!$H$4:$H$"&amp;$C$12),Analysis!Q34,INDIRECT("'Output 9-EGADI2'!$m$4:$m$"&amp;$C$12))
+SUMIF(INDIRECT("'Output 10-TUNIS'!$H$4:$H$"&amp;$C$13),Analysis!Q34,INDIRECT("'Output 10-TUNIS'!$m$4:$m$"&amp;$C$13))</f>
        <v>0</v>
      </c>
      <c r="S34" s="5">
        <f ca="1">SUMIF(INDIRECT("'Output 1-CARBONARA'!$H$4:$H$"&amp;$C$4),Analysis!Q34,INDIRECT("'Output 1-CARBONARA'!$q$4:$q$"&amp;$C$4))
+SUMIF(INDIRECT("'Output 2-CACCIA'!$H$4:$H$"&amp;$C$5),Analysis!Q34,INDIRECT("'Output 2-CACCIA'!$q$4:$q$"&amp;$C$5))
+SUMIF(INDIRECT("'Output 3-ASINARA'!$H$4:$H$"&amp;$C$6),Analysis!Q34,INDIRECT("'Output 3-ASINARA'!$q$4:$q$"&amp;$C$6))
+SUMIF(INDIRECT("'Output 4-PELAGIE'!$H$4:$H$"&amp;$C$7),Analysis!Q34,INDIRECT("'Output 4-PELAGIE'!$q$4:$q$"&amp;$C$7))
+SUMIF(INDIRECT("'Output 5-EGADI'!$H$4:$H$"&amp;$C$8),Analysis!Q34,INDIRECT("'Output 5-EGADI'!$q$4:$q$"&amp;$C$8))
+SUMIF(INDIRECT("'Output 6-TG'!$H$4:$H$"&amp;$C$9),Analysis!Q34,INDIRECT("'Output 6-TG'!$q$4:$q$"&amp;$C$9))
+SUMIF(INDIRECT("'Output 7-PNAT'!$H$4:$H$"&amp;$C$10),Analysis!Q34,INDIRECT("'Output 7-PNAT'!$q$4:$q$"&amp;$C$10))
+SUMIF(INDIRECT("'Output 8-AEO'!$H$4:$H$"&amp;$C$11),Analysis!Q34,INDIRECT("'Output 8-AEO'!$q$4:$q$"&amp;$C$11))
+SUMIF(INDIRECT("'Output 9-EGADI2'!$H$4:$H$"&amp;$C$12),Analysis!Q34,INDIRECT("'Output 9-EGADI2'!$q$4:$q$"&amp;$C$12))
+SUMIF(INDIRECT("'Output 10-TUNIS'!$H$4:$H$"&amp;$C$13),Analysis!Q34,INDIRECT("'Output 10-TUNIS'!$q$4:$q$"&amp;$C$13))</f>
        <v>0</v>
      </c>
      <c r="T34" s="5">
        <f ca="1">SUMIF(INDIRECT("'Output 1-CARBONARA'!$H$4:$H$"&amp;$C$4),Analysis!Q34,INDIRECT("'Output 1-CARBONARA'!$U$4:$U$"&amp;$C$4))
+SUMIF(INDIRECT("'Output 2-CACCIA'!$H$4:$H$"&amp;$C$5),Analysis!Q34,INDIRECT("'Output 2-CACCIA'!$U$4:$U$"&amp;$C$5))
+SUMIF(INDIRECT("'Output 3-ASINARA'!$H$4:$H$"&amp;$C$6),Analysis!Q34,INDIRECT("'Output 3-ASINARA'!$U$4:$U$"&amp;$C$6))
+SUMIF(INDIRECT("'Output 4-PELAGIE'!$H$4:$H$"&amp;$C$7),Analysis!Q34,INDIRECT("'Output 4-PELAGIE'!$U$4:$U$"&amp;$C$7))
+SUMIF(INDIRECT("'Output 5-EGADI'!$H$4:$H$"&amp;$C$8),Analysis!Q34,INDIRECT("'Output 5-EGADI'!$U$4:$U$"&amp;$C$8))
+SUMIF(INDIRECT("'Output 6-TG'!$H$4:$H$"&amp;$C$9),Analysis!Q34,INDIRECT("'Output 6-TG'!$U$4:$U$"&amp;$C$9))
+SUMIF(INDIRECT("'Output 7-PNAT'!$H$4:$H$"&amp;$C$10),Analysis!Q34,INDIRECT("'Output 7-PNAT'!$U$4:$U$"&amp;$C$10))
+SUMIF(INDIRECT("'Output 8-AEO'!$H$4:$H$"&amp;$C$11),Analysis!Q34,INDIRECT("'Output 8-AEO'!$U$4:$U$"&amp;$C$11))
+SUMIF(INDIRECT("'Output 9-EGADI2'!$H$4:$H$"&amp;$C$12),Analysis!Q34,INDIRECT("'Output 9-EGADI2'!$U$4:$U$"&amp;$C$12))
+SUMIF(INDIRECT("'Output 10-TUNIS'!$H$4:$H$"&amp;$C$13),Analysis!Q34,INDIRECT("'Output 10-TUNIS'!$U$4:$U$"&amp;$C$13))</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8">
        <f t="shared" ca="1" si="0"/>
        <v>0</v>
      </c>
      <c r="AA34" s="38">
        <f t="shared" si="1"/>
        <v>0</v>
      </c>
      <c r="AB34" s="54">
        <f t="shared" ca="1" si="2"/>
        <v>0</v>
      </c>
      <c r="AC34" s="64">
        <f ca="1">SUMIF(INDIRECT("'Output 1-CARBONARA'!$H$5:$H$"&amp;$C$4),Analysis!$Q34,INDIRECT("'Output 1-CARBONARA'!$F$5:$F$"&amp;$C$4))
+SUMIF(INDIRECT("'Output 2-CACCIA'!$H$5:$H$"&amp;$C$5),Analysis!$Q34,INDIRECT("'Output 2-CACCIA'!$F$5:$F$"&amp;$C$5))
+SUMIF(INDIRECT("'Output 3-ASINARA'!$H$5:$H$"&amp;$C$6),Analysis!$Q34,INDIRECT("'Output 3-ASINARA'!$F$5:$F$"&amp;$C$6))
+SUMIF(INDIRECT("'Output 4-PELAGIE'!$H$5:$H$"&amp;$C$7),Analysis!$Q34,INDIRECT("'Output 4-PELAGIE'!$F$5:$F$"&amp;$C$7))
+SUMIF(INDIRECT("'Output 5-EGADI'!$H$5:$H$"&amp;$C$8),Analysis!$Q34,INDIRECT("'Output 5-EGADI'!$F$5:$F$"&amp;$C$8))
+SUMIF(INDIRECT("'Output 6-TG'!$H$5:$H$"&amp;$C$9),Analysis!$Q34,INDIRECT("'Output 6-TG'!$F$5:$F$"&amp;$C$9))
+SUMIF(INDIRECT("'Output 7-PNAT'!$H$5:$H$"&amp;$C$10),Analysis!$Q34,INDIRECT("'Output 7-PNAT'!$F$5:$F$"&amp;$C$10))
+SUMIF(INDIRECT("'Output 8-AEO'!$H$5:$H$"&amp;$C$11),Analysis!$Q34,INDIRECT("'Output 8-AEO'!$F$5:$F$"&amp;$C$11))
+SUMIF(INDIRECT("'Output 9-EGADI2'!$H$5:$H$"&amp;$C$12),Analysis!$Q34,INDIRECT("'Output 9-EGADI2'!$F$5:$F$"&amp;$C$12))
+SUMIF(INDIRECT("'Output 10-TUNIS'!$H$5:$H$"&amp;$C$13),Analysis!$Q34,INDIRECT("'Output 10-TUNIS'!$F$5:$F$"&amp;$C$13))</f>
        <v>0</v>
      </c>
    </row>
    <row r="35" spans="6:29">
      <c r="M35" s="4" t="e">
        <f>(#REF!)/#REF!</f>
        <v>#REF!</v>
      </c>
      <c r="N35" s="4" t="e">
        <f>(#REF!)/#REF!</f>
        <v>#REF!</v>
      </c>
      <c r="O35" s="34" t="e">
        <f>#REF!+N35</f>
        <v>#REF!</v>
      </c>
      <c r="Q35" s="31">
        <v>3.1</v>
      </c>
      <c r="R35" s="5">
        <f ca="1">SUMIF(INDIRECT("'Output 1-CARBONARA'!$H$4:$H$"&amp;$C$4),Analysis!Q35,INDIRECT("'Output 1-CARBONARA'!$m$4:$m$"&amp;$C$4))
+SUMIF(INDIRECT("'Output 2-CACCIA'!$H$4:$H$"&amp;$C$5),Analysis!Q35,INDIRECT("'Output 2-CACCIA'!$m$4:$m$"&amp;$C$5))
+SUMIF(INDIRECT("'Output 3-ASINARA'!$H$4:$H$"&amp;$C$6),Analysis!Q35,INDIRECT("'Output 3-ASINARA'!$m$4:$m$"&amp;$C$6))
+SUMIF(INDIRECT("'Output 4-PELAGIE'!$H$4:$H$"&amp;$C$7),Analysis!Q35,INDIRECT("'Output 4-PELAGIE'!$m$4:$m$"&amp;$C$7))
+SUMIF(INDIRECT("'Output 5-EGADI'!$H$4:$H$"&amp;$C$8),Analysis!Q35,INDIRECT("'Output 5-EGADI'!$m$4:$m$"&amp;$C$8))
+SUMIF(INDIRECT("'Output 6-TG'!$H$4:$H$"&amp;$C$9),Analysis!Q35,INDIRECT("'Output 6-TG'!$m$4:$m$"&amp;$C$9))
+SUMIF(INDIRECT("'Output 7-PNAT'!$H$4:$H$"&amp;$C$10),Analysis!Q35,INDIRECT("'Output 7-PNAT'!$m$4:$m$"&amp;$C$10))
+SUMIF(INDIRECT("'Output 8-AEO'!$H$4:$H$"&amp;$C$11),Analysis!Q35,INDIRECT("'Output 8-AEO'!$m$4:$m$"&amp;$C$11))
+SUMIF(INDIRECT("'Output 9-EGADI2'!$H$4:$H$"&amp;$C$12),Analysis!Q35,INDIRECT("'Output 9-EGADI2'!$m$4:$m$"&amp;$C$12))
+SUMIF(INDIRECT("'Output 10-TUNIS'!$H$4:$H$"&amp;$C$13),Analysis!Q35,INDIRECT("'Output 10-TUNIS'!$m$4:$m$"&amp;$C$13))</f>
        <v>0</v>
      </c>
      <c r="S35" s="5">
        <f ca="1">SUMIF(INDIRECT("'Output 1-CARBONARA'!$H$4:$H$"&amp;$C$4),Analysis!Q35,INDIRECT("'Output 1-CARBONARA'!$q$4:$q$"&amp;$C$4))
+SUMIF(INDIRECT("'Output 2-CACCIA'!$H$4:$H$"&amp;$C$5),Analysis!Q35,INDIRECT("'Output 2-CACCIA'!$q$4:$q$"&amp;$C$5))
+SUMIF(INDIRECT("'Output 3-ASINARA'!$H$4:$H$"&amp;$C$6),Analysis!Q35,INDIRECT("'Output 3-ASINARA'!$q$4:$q$"&amp;$C$6))
+SUMIF(INDIRECT("'Output 4-PELAGIE'!$H$4:$H$"&amp;$C$7),Analysis!Q35,INDIRECT("'Output 4-PELAGIE'!$q$4:$q$"&amp;$C$7))
+SUMIF(INDIRECT("'Output 5-EGADI'!$H$4:$H$"&amp;$C$8),Analysis!Q35,INDIRECT("'Output 5-EGADI'!$q$4:$q$"&amp;$C$8))
+SUMIF(INDIRECT("'Output 6-TG'!$H$4:$H$"&amp;$C$9),Analysis!Q35,INDIRECT("'Output 6-TG'!$q$4:$q$"&amp;$C$9))
+SUMIF(INDIRECT("'Output 7-PNAT'!$H$4:$H$"&amp;$C$10),Analysis!Q35,INDIRECT("'Output 7-PNAT'!$q$4:$q$"&amp;$C$10))
+SUMIF(INDIRECT("'Output 8-AEO'!$H$4:$H$"&amp;$C$11),Analysis!Q35,INDIRECT("'Output 8-AEO'!$q$4:$q$"&amp;$C$11))
+SUMIF(INDIRECT("'Output 9-EGADI2'!$H$4:$H$"&amp;$C$12),Analysis!Q35,INDIRECT("'Output 9-EGADI2'!$q$4:$q$"&amp;$C$12))
+SUMIF(INDIRECT("'Output 10-TUNIS'!$H$4:$H$"&amp;$C$13),Analysis!Q35,INDIRECT("'Output 10-TUNIS'!$q$4:$q$"&amp;$C$13))</f>
        <v>0</v>
      </c>
      <c r="T35" s="5">
        <f ca="1">SUMIF(INDIRECT("'Output 1-CARBONARA'!$H$4:$H$"&amp;$C$4),Analysis!Q35,INDIRECT("'Output 1-CARBONARA'!$U$4:$U$"&amp;$C$4))
+SUMIF(INDIRECT("'Output 2-CACCIA'!$H$4:$H$"&amp;$C$5),Analysis!Q35,INDIRECT("'Output 2-CACCIA'!$U$4:$U$"&amp;$C$5))
+SUMIF(INDIRECT("'Output 3-ASINARA'!$H$4:$H$"&amp;$C$6),Analysis!Q35,INDIRECT("'Output 3-ASINARA'!$U$4:$U$"&amp;$C$6))
+SUMIF(INDIRECT("'Output 4-PELAGIE'!$H$4:$H$"&amp;$C$7),Analysis!Q35,INDIRECT("'Output 4-PELAGIE'!$U$4:$U$"&amp;$C$7))
+SUMIF(INDIRECT("'Output 5-EGADI'!$H$4:$H$"&amp;$C$8),Analysis!Q35,INDIRECT("'Output 5-EGADI'!$U$4:$U$"&amp;$C$8))
+SUMIF(INDIRECT("'Output 6-TG'!$H$4:$H$"&amp;$C$9),Analysis!Q35,INDIRECT("'Output 6-TG'!$U$4:$U$"&amp;$C$9))
+SUMIF(INDIRECT("'Output 7-PNAT'!$H$4:$H$"&amp;$C$10),Analysis!Q35,INDIRECT("'Output 7-PNAT'!$U$4:$U$"&amp;$C$10))
+SUMIF(INDIRECT("'Output 8-AEO'!$H$4:$H$"&amp;$C$11),Analysis!Q35,INDIRECT("'Output 8-AEO'!$U$4:$U$"&amp;$C$11))
+SUMIF(INDIRECT("'Output 9-EGADI2'!$H$4:$H$"&amp;$C$12),Analysis!Q35,INDIRECT("'Output 9-EGADI2'!$U$4:$U$"&amp;$C$12))
+SUMIF(INDIRECT("'Output 10-TUNIS'!$H$4:$H$"&amp;$C$13),Analysis!Q35,INDIRECT("'Output 10-TUNIS'!$U$4:$U$"&amp;$C$13))</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8">
        <f t="shared" ca="1" si="0"/>
        <v>0</v>
      </c>
      <c r="AA35" s="38">
        <f t="shared" si="1"/>
        <v>0</v>
      </c>
      <c r="AB35" s="54">
        <f t="shared" ca="1" si="2"/>
        <v>0</v>
      </c>
      <c r="AC35" s="64">
        <f ca="1">SUMIF(INDIRECT("'Output 1-CARBONARA'!$H$5:$H$"&amp;$C$4),Analysis!$Q35,INDIRECT("'Output 1-CARBONARA'!$F$5:$F$"&amp;$C$4))
+SUMIF(INDIRECT("'Output 2-CACCIA'!$H$5:$H$"&amp;$C$5),Analysis!$Q35,INDIRECT("'Output 2-CACCIA'!$F$5:$F$"&amp;$C$5))
+SUMIF(INDIRECT("'Output 3-ASINARA'!$H$5:$H$"&amp;$C$6),Analysis!$Q35,INDIRECT("'Output 3-ASINARA'!$F$5:$F$"&amp;$C$6))
+SUMIF(INDIRECT("'Output 4-PELAGIE'!$H$5:$H$"&amp;$C$7),Analysis!$Q35,INDIRECT("'Output 4-PELAGIE'!$F$5:$F$"&amp;$C$7))
+SUMIF(INDIRECT("'Output 5-EGADI'!$H$5:$H$"&amp;$C$8),Analysis!$Q35,INDIRECT("'Output 5-EGADI'!$F$5:$F$"&amp;$C$8))
+SUMIF(INDIRECT("'Output 6-TG'!$H$5:$H$"&amp;$C$9),Analysis!$Q35,INDIRECT("'Output 6-TG'!$F$5:$F$"&amp;$C$9))
+SUMIF(INDIRECT("'Output 7-PNAT'!$H$5:$H$"&amp;$C$10),Analysis!$Q35,INDIRECT("'Output 7-PNAT'!$F$5:$F$"&amp;$C$10))
+SUMIF(INDIRECT("'Output 8-AEO'!$H$5:$H$"&amp;$C$11),Analysis!$Q35,INDIRECT("'Output 8-AEO'!$F$5:$F$"&amp;$C$11))
+SUMIF(INDIRECT("'Output 9-EGADI2'!$H$5:$H$"&amp;$C$12),Analysis!$Q35,INDIRECT("'Output 9-EGADI2'!$F$5:$F$"&amp;$C$12))
+SUMIF(INDIRECT("'Output 10-TUNIS'!$H$5:$H$"&amp;$C$13),Analysis!$Q35,INDIRECT("'Output 10-TUNIS'!$F$5:$F$"&amp;$C$13))</f>
        <v>0</v>
      </c>
    </row>
    <row r="36" spans="6:29">
      <c r="M36" s="4" t="e">
        <f>(#REF!)/#REF!</f>
        <v>#REF!</v>
      </c>
      <c r="N36" s="4" t="e">
        <f>(#REF!)/#REF!</f>
        <v>#REF!</v>
      </c>
      <c r="O36" s="34" t="e">
        <f>#REF!+N36</f>
        <v>#REF!</v>
      </c>
      <c r="Q36" s="31" t="s">
        <v>723</v>
      </c>
      <c r="R36" s="5">
        <f ca="1">SUMIF(INDIRECT("'Output 1-CARBONARA'!$H$4:$H$"&amp;$C$4),Analysis!Q36,INDIRECT("'Output 1-CARBONARA'!$m$4:$m$"&amp;$C$4))
+SUMIF(INDIRECT("'Output 2-CACCIA'!$H$4:$H$"&amp;$C$5),Analysis!Q36,INDIRECT("'Output 2-CACCIA'!$m$4:$m$"&amp;$C$5))
+SUMIF(INDIRECT("'Output 3-ASINARA'!$H$4:$H$"&amp;$C$6),Analysis!Q36,INDIRECT("'Output 3-ASINARA'!$m$4:$m$"&amp;$C$6))
+SUMIF(INDIRECT("'Output 4-PELAGIE'!$H$4:$H$"&amp;$C$7),Analysis!Q36,INDIRECT("'Output 4-PELAGIE'!$m$4:$m$"&amp;$C$7))
+SUMIF(INDIRECT("'Output 5-EGADI'!$H$4:$H$"&amp;$C$8),Analysis!Q36,INDIRECT("'Output 5-EGADI'!$m$4:$m$"&amp;$C$8))
+SUMIF(INDIRECT("'Output 6-TG'!$H$4:$H$"&amp;$C$9),Analysis!Q36,INDIRECT("'Output 6-TG'!$m$4:$m$"&amp;$C$9))
+SUMIF(INDIRECT("'Output 7-PNAT'!$H$4:$H$"&amp;$C$10),Analysis!Q36,INDIRECT("'Output 7-PNAT'!$m$4:$m$"&amp;$C$10))
+SUMIF(INDIRECT("'Output 8-AEO'!$H$4:$H$"&amp;$C$11),Analysis!Q36,INDIRECT("'Output 8-AEO'!$m$4:$m$"&amp;$C$11))
+SUMIF(INDIRECT("'Output 9-EGADI2'!$H$4:$H$"&amp;$C$12),Analysis!Q36,INDIRECT("'Output 9-EGADI2'!$m$4:$m$"&amp;$C$12))
+SUMIF(INDIRECT("'Output 10-TUNIS'!$H$4:$H$"&amp;$C$13),Analysis!Q36,INDIRECT("'Output 10-TUNIS'!$m$4:$m$"&amp;$C$13))</f>
        <v>0</v>
      </c>
      <c r="S36" s="5">
        <f ca="1">SUMIF(INDIRECT("'Output 1-CARBONARA'!$H$4:$H$"&amp;$C$4),Analysis!Q36,INDIRECT("'Output 1-CARBONARA'!$q$4:$q$"&amp;$C$4))
+SUMIF(INDIRECT("'Output 2-CACCIA'!$H$4:$H$"&amp;$C$5),Analysis!Q36,INDIRECT("'Output 2-CACCIA'!$q$4:$q$"&amp;$C$5))
+SUMIF(INDIRECT("'Output 3-ASINARA'!$H$4:$H$"&amp;$C$6),Analysis!Q36,INDIRECT("'Output 3-ASINARA'!$q$4:$q$"&amp;$C$6))
+SUMIF(INDIRECT("'Output 4-PELAGIE'!$H$4:$H$"&amp;$C$7),Analysis!Q36,INDIRECT("'Output 4-PELAGIE'!$q$4:$q$"&amp;$C$7))
+SUMIF(INDIRECT("'Output 5-EGADI'!$H$4:$H$"&amp;$C$8),Analysis!Q36,INDIRECT("'Output 5-EGADI'!$q$4:$q$"&amp;$C$8))
+SUMIF(INDIRECT("'Output 6-TG'!$H$4:$H$"&amp;$C$9),Analysis!Q36,INDIRECT("'Output 6-TG'!$q$4:$q$"&amp;$C$9))
+SUMIF(INDIRECT("'Output 7-PNAT'!$H$4:$H$"&amp;$C$10),Analysis!Q36,INDIRECT("'Output 7-PNAT'!$q$4:$q$"&amp;$C$10))
+SUMIF(INDIRECT("'Output 8-AEO'!$H$4:$H$"&amp;$C$11),Analysis!Q36,INDIRECT("'Output 8-AEO'!$q$4:$q$"&amp;$C$11))
+SUMIF(INDIRECT("'Output 9-EGADI2'!$H$4:$H$"&amp;$C$12),Analysis!Q36,INDIRECT("'Output 9-EGADI2'!$q$4:$q$"&amp;$C$12))
+SUMIF(INDIRECT("'Output 10-TUNIS'!$H$4:$H$"&amp;$C$13),Analysis!Q36,INDIRECT("'Output 10-TUNIS'!$q$4:$q$"&amp;$C$13))</f>
        <v>0</v>
      </c>
      <c r="T36" s="5">
        <f ca="1">SUMIF(INDIRECT("'Output 1-CARBONARA'!$H$4:$H$"&amp;$C$4),Analysis!Q36,INDIRECT("'Output 1-CARBONARA'!$U$4:$U$"&amp;$C$4))
+SUMIF(INDIRECT("'Output 2-CACCIA'!$H$4:$H$"&amp;$C$5),Analysis!Q36,INDIRECT("'Output 2-CACCIA'!$U$4:$U$"&amp;$C$5))
+SUMIF(INDIRECT("'Output 3-ASINARA'!$H$4:$H$"&amp;$C$6),Analysis!Q36,INDIRECT("'Output 3-ASINARA'!$U$4:$U$"&amp;$C$6))
+SUMIF(INDIRECT("'Output 4-PELAGIE'!$H$4:$H$"&amp;$C$7),Analysis!Q36,INDIRECT("'Output 4-PELAGIE'!$U$4:$U$"&amp;$C$7))
+SUMIF(INDIRECT("'Output 5-EGADI'!$H$4:$H$"&amp;$C$8),Analysis!Q36,INDIRECT("'Output 5-EGADI'!$U$4:$U$"&amp;$C$8))
+SUMIF(INDIRECT("'Output 6-TG'!$H$4:$H$"&amp;$C$9),Analysis!Q36,INDIRECT("'Output 6-TG'!$U$4:$U$"&amp;$C$9))
+SUMIF(INDIRECT("'Output 7-PNAT'!$H$4:$H$"&amp;$C$10),Analysis!Q36,INDIRECT("'Output 7-PNAT'!$U$4:$U$"&amp;$C$10))
+SUMIF(INDIRECT("'Output 8-AEO'!$H$4:$H$"&amp;$C$11),Analysis!Q36,INDIRECT("'Output 8-AEO'!$U$4:$U$"&amp;$C$11))
+SUMIF(INDIRECT("'Output 9-EGADI2'!$H$4:$H$"&amp;$C$12),Analysis!Q36,INDIRECT("'Output 9-EGADI2'!$U$4:$U$"&amp;$C$12))
+SUMIF(INDIRECT("'Output 10-TUNIS'!$H$4:$H$"&amp;$C$13),Analysis!Q36,INDIRECT("'Output 10-TUNIS'!$U$4:$U$"&amp;$C$13))</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8">
        <f t="shared" ref="Z36:Z67" ca="1" si="9">SUM(R36:T36)</f>
        <v>0</v>
      </c>
      <c r="AA36" s="38">
        <f t="shared" ref="AA36:AA67" si="10">SUM(V36:X36)</f>
        <v>0</v>
      </c>
      <c r="AB36" s="54">
        <f t="shared" ref="AB36:AB67" ca="1" si="11">AA36+Z36</f>
        <v>0</v>
      </c>
      <c r="AC36" s="64">
        <f ca="1">SUMIF(INDIRECT("'Output 1-CARBONARA'!$H$5:$H$"&amp;$C$4),Analysis!$Q36,INDIRECT("'Output 1-CARBONARA'!$F$5:$F$"&amp;$C$4))
+SUMIF(INDIRECT("'Output 2-CACCIA'!$H$5:$H$"&amp;$C$5),Analysis!$Q36,INDIRECT("'Output 2-CACCIA'!$F$5:$F$"&amp;$C$5))
+SUMIF(INDIRECT("'Output 3-ASINARA'!$H$5:$H$"&amp;$C$6),Analysis!$Q36,INDIRECT("'Output 3-ASINARA'!$F$5:$F$"&amp;$C$6))
+SUMIF(INDIRECT("'Output 4-PELAGIE'!$H$5:$H$"&amp;$C$7),Analysis!$Q36,INDIRECT("'Output 4-PELAGIE'!$F$5:$F$"&amp;$C$7))
+SUMIF(INDIRECT("'Output 5-EGADI'!$H$5:$H$"&amp;$C$8),Analysis!$Q36,INDIRECT("'Output 5-EGADI'!$F$5:$F$"&amp;$C$8))
+SUMIF(INDIRECT("'Output 6-TG'!$H$5:$H$"&amp;$C$9),Analysis!$Q36,INDIRECT("'Output 6-TG'!$F$5:$F$"&amp;$C$9))
+SUMIF(INDIRECT("'Output 7-PNAT'!$H$5:$H$"&amp;$C$10),Analysis!$Q36,INDIRECT("'Output 7-PNAT'!$F$5:$F$"&amp;$C$10))
+SUMIF(INDIRECT("'Output 8-AEO'!$H$5:$H$"&amp;$C$11),Analysis!$Q36,INDIRECT("'Output 8-AEO'!$F$5:$F$"&amp;$C$11))
+SUMIF(INDIRECT("'Output 9-EGADI2'!$H$5:$H$"&amp;$C$12),Analysis!$Q36,INDIRECT("'Output 9-EGADI2'!$F$5:$F$"&amp;$C$12))
+SUMIF(INDIRECT("'Output 10-TUNIS'!$H$5:$H$"&amp;$C$13),Analysis!$Q36,INDIRECT("'Output 10-TUNIS'!$F$5:$F$"&amp;$C$13))</f>
        <v>0</v>
      </c>
    </row>
    <row r="37" spans="6:29">
      <c r="M37" s="4" t="e">
        <f>(#REF!)/#REF!</f>
        <v>#REF!</v>
      </c>
      <c r="N37" s="4" t="e">
        <f>(#REF!)/#REF!</f>
        <v>#REF!</v>
      </c>
      <c r="O37" s="34" t="e">
        <f>#REF!+N37</f>
        <v>#REF!</v>
      </c>
      <c r="Q37" s="31" t="s">
        <v>724</v>
      </c>
      <c r="R37" s="5">
        <f ca="1">SUMIF(INDIRECT("'Output 1-CARBONARA'!$H$4:$H$"&amp;$C$4),Analysis!Q37,INDIRECT("'Output 1-CARBONARA'!$m$4:$m$"&amp;$C$4))
+SUMIF(INDIRECT("'Output 2-CACCIA'!$H$4:$H$"&amp;$C$5),Analysis!Q37,INDIRECT("'Output 2-CACCIA'!$m$4:$m$"&amp;$C$5))
+SUMIF(INDIRECT("'Output 3-ASINARA'!$H$4:$H$"&amp;$C$6),Analysis!Q37,INDIRECT("'Output 3-ASINARA'!$m$4:$m$"&amp;$C$6))
+SUMIF(INDIRECT("'Output 4-PELAGIE'!$H$4:$H$"&amp;$C$7),Analysis!Q37,INDIRECT("'Output 4-PELAGIE'!$m$4:$m$"&amp;$C$7))
+SUMIF(INDIRECT("'Output 5-EGADI'!$H$4:$H$"&amp;$C$8),Analysis!Q37,INDIRECT("'Output 5-EGADI'!$m$4:$m$"&amp;$C$8))
+SUMIF(INDIRECT("'Output 6-TG'!$H$4:$H$"&amp;$C$9),Analysis!Q37,INDIRECT("'Output 6-TG'!$m$4:$m$"&amp;$C$9))
+SUMIF(INDIRECT("'Output 7-PNAT'!$H$4:$H$"&amp;$C$10),Analysis!Q37,INDIRECT("'Output 7-PNAT'!$m$4:$m$"&amp;$C$10))
+SUMIF(INDIRECT("'Output 8-AEO'!$H$4:$H$"&amp;$C$11),Analysis!Q37,INDIRECT("'Output 8-AEO'!$m$4:$m$"&amp;$C$11))
+SUMIF(INDIRECT("'Output 9-EGADI2'!$H$4:$H$"&amp;$C$12),Analysis!Q37,INDIRECT("'Output 9-EGADI2'!$m$4:$m$"&amp;$C$12))
+SUMIF(INDIRECT("'Output 10-TUNIS'!$H$4:$H$"&amp;$C$13),Analysis!Q37,INDIRECT("'Output 10-TUNIS'!$m$4:$m$"&amp;$C$13))</f>
        <v>0</v>
      </c>
      <c r="S37" s="5">
        <f ca="1">SUMIF(INDIRECT("'Output 1-CARBONARA'!$H$4:$H$"&amp;$C$4),Analysis!Q37,INDIRECT("'Output 1-CARBONARA'!$q$4:$q$"&amp;$C$4))
+SUMIF(INDIRECT("'Output 2-CACCIA'!$H$4:$H$"&amp;$C$5),Analysis!Q37,INDIRECT("'Output 2-CACCIA'!$q$4:$q$"&amp;$C$5))
+SUMIF(INDIRECT("'Output 3-ASINARA'!$H$4:$H$"&amp;$C$6),Analysis!Q37,INDIRECT("'Output 3-ASINARA'!$q$4:$q$"&amp;$C$6))
+SUMIF(INDIRECT("'Output 4-PELAGIE'!$H$4:$H$"&amp;$C$7),Analysis!Q37,INDIRECT("'Output 4-PELAGIE'!$q$4:$q$"&amp;$C$7))
+SUMIF(INDIRECT("'Output 5-EGADI'!$H$4:$H$"&amp;$C$8),Analysis!Q37,INDIRECT("'Output 5-EGADI'!$q$4:$q$"&amp;$C$8))
+SUMIF(INDIRECT("'Output 6-TG'!$H$4:$H$"&amp;$C$9),Analysis!Q37,INDIRECT("'Output 6-TG'!$q$4:$q$"&amp;$C$9))
+SUMIF(INDIRECT("'Output 7-PNAT'!$H$4:$H$"&amp;$C$10),Analysis!Q37,INDIRECT("'Output 7-PNAT'!$q$4:$q$"&amp;$C$10))
+SUMIF(INDIRECT("'Output 8-AEO'!$H$4:$H$"&amp;$C$11),Analysis!Q37,INDIRECT("'Output 8-AEO'!$q$4:$q$"&amp;$C$11))
+SUMIF(INDIRECT("'Output 9-EGADI2'!$H$4:$H$"&amp;$C$12),Analysis!Q37,INDIRECT("'Output 9-EGADI2'!$q$4:$q$"&amp;$C$12))
+SUMIF(INDIRECT("'Output 10-TUNIS'!$H$4:$H$"&amp;$C$13),Analysis!Q37,INDIRECT("'Output 10-TUNIS'!$q$4:$q$"&amp;$C$13))</f>
        <v>0</v>
      </c>
      <c r="T37" s="5">
        <f ca="1">SUMIF(INDIRECT("'Output 1-CARBONARA'!$H$4:$H$"&amp;$C$4),Analysis!Q37,INDIRECT("'Output 1-CARBONARA'!$U$4:$U$"&amp;$C$4))
+SUMIF(INDIRECT("'Output 2-CACCIA'!$H$4:$H$"&amp;$C$5),Analysis!Q37,INDIRECT("'Output 2-CACCIA'!$U$4:$U$"&amp;$C$5))
+SUMIF(INDIRECT("'Output 3-ASINARA'!$H$4:$H$"&amp;$C$6),Analysis!Q37,INDIRECT("'Output 3-ASINARA'!$U$4:$U$"&amp;$C$6))
+SUMIF(INDIRECT("'Output 4-PELAGIE'!$H$4:$H$"&amp;$C$7),Analysis!Q37,INDIRECT("'Output 4-PELAGIE'!$U$4:$U$"&amp;$C$7))
+SUMIF(INDIRECT("'Output 5-EGADI'!$H$4:$H$"&amp;$C$8),Analysis!Q37,INDIRECT("'Output 5-EGADI'!$U$4:$U$"&amp;$C$8))
+SUMIF(INDIRECT("'Output 6-TG'!$H$4:$H$"&amp;$C$9),Analysis!Q37,INDIRECT("'Output 6-TG'!$U$4:$U$"&amp;$C$9))
+SUMIF(INDIRECT("'Output 7-PNAT'!$H$4:$H$"&amp;$C$10),Analysis!Q37,INDIRECT("'Output 7-PNAT'!$U$4:$U$"&amp;$C$10))
+SUMIF(INDIRECT("'Output 8-AEO'!$H$4:$H$"&amp;$C$11),Analysis!Q37,INDIRECT("'Output 8-AEO'!$U$4:$U$"&amp;$C$11))
+SUMIF(INDIRECT("'Output 9-EGADI2'!$H$4:$H$"&amp;$C$12),Analysis!Q37,INDIRECT("'Output 9-EGADI2'!$U$4:$U$"&amp;$C$12))
+SUMIF(INDIRECT("'Output 10-TUNIS'!$H$4:$H$"&amp;$C$13),Analysis!Q37,INDIRECT("'Output 10-TUNIS'!$U$4:$U$"&amp;$C$13))</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8">
        <f t="shared" ca="1" si="9"/>
        <v>0</v>
      </c>
      <c r="AA37" s="38">
        <f t="shared" si="10"/>
        <v>0</v>
      </c>
      <c r="AB37" s="54">
        <f t="shared" ca="1" si="11"/>
        <v>0</v>
      </c>
      <c r="AC37" s="64">
        <f ca="1">SUMIF(INDIRECT("'Output 1-CARBONARA'!$H$5:$H$"&amp;$C$4),Analysis!$Q37,INDIRECT("'Output 1-CARBONARA'!$F$5:$F$"&amp;$C$4))
+SUMIF(INDIRECT("'Output 2-CACCIA'!$H$5:$H$"&amp;$C$5),Analysis!$Q37,INDIRECT("'Output 2-CACCIA'!$F$5:$F$"&amp;$C$5))
+SUMIF(INDIRECT("'Output 3-ASINARA'!$H$5:$H$"&amp;$C$6),Analysis!$Q37,INDIRECT("'Output 3-ASINARA'!$F$5:$F$"&amp;$C$6))
+SUMIF(INDIRECT("'Output 4-PELAGIE'!$H$5:$H$"&amp;$C$7),Analysis!$Q37,INDIRECT("'Output 4-PELAGIE'!$F$5:$F$"&amp;$C$7))
+SUMIF(INDIRECT("'Output 5-EGADI'!$H$5:$H$"&amp;$C$8),Analysis!$Q37,INDIRECT("'Output 5-EGADI'!$F$5:$F$"&amp;$C$8))
+SUMIF(INDIRECT("'Output 6-TG'!$H$5:$H$"&amp;$C$9),Analysis!$Q37,INDIRECT("'Output 6-TG'!$F$5:$F$"&amp;$C$9))
+SUMIF(INDIRECT("'Output 7-PNAT'!$H$5:$H$"&amp;$C$10),Analysis!$Q37,INDIRECT("'Output 7-PNAT'!$F$5:$F$"&amp;$C$10))
+SUMIF(INDIRECT("'Output 8-AEO'!$H$5:$H$"&amp;$C$11),Analysis!$Q37,INDIRECT("'Output 8-AEO'!$F$5:$F$"&amp;$C$11))
+SUMIF(INDIRECT("'Output 9-EGADI2'!$H$5:$H$"&amp;$C$12),Analysis!$Q37,INDIRECT("'Output 9-EGADI2'!$F$5:$F$"&amp;$C$12))
+SUMIF(INDIRECT("'Output 10-TUNIS'!$H$5:$H$"&amp;$C$13),Analysis!$Q37,INDIRECT("'Output 10-TUNIS'!$F$5:$F$"&amp;$C$13))</f>
        <v>0</v>
      </c>
    </row>
    <row r="38" spans="6:29">
      <c r="M38" s="4">
        <f>('Output 10-TUNIS'!S$4)/'Output 10-TUNIS'!$F$4</f>
        <v>0</v>
      </c>
      <c r="N38" s="4">
        <f>('Output 10-TUNIS'!U$4)/'Output 10-TUNIS'!$F$4</f>
        <v>0</v>
      </c>
      <c r="O38" s="34">
        <f>L32+N38</f>
        <v>0</v>
      </c>
      <c r="Q38" s="31" t="s">
        <v>337</v>
      </c>
      <c r="R38" s="5">
        <f ca="1">SUMIF(INDIRECT("'Output 1-CARBONARA'!$H$4:$H$"&amp;$C$4),Analysis!Q38,INDIRECT("'Output 1-CARBONARA'!$m$4:$m$"&amp;$C$4))
+SUMIF(INDIRECT("'Output 2-CACCIA'!$H$4:$H$"&amp;$C$5),Analysis!Q38,INDIRECT("'Output 2-CACCIA'!$m$4:$m$"&amp;$C$5))
+SUMIF(INDIRECT("'Output 3-ASINARA'!$H$4:$H$"&amp;$C$6),Analysis!Q38,INDIRECT("'Output 3-ASINARA'!$m$4:$m$"&amp;$C$6))
+SUMIF(INDIRECT("'Output 4-PELAGIE'!$H$4:$H$"&amp;$C$7),Analysis!Q38,INDIRECT("'Output 4-PELAGIE'!$m$4:$m$"&amp;$C$7))
+SUMIF(INDIRECT("'Output 5-EGADI'!$H$4:$H$"&amp;$C$8),Analysis!Q38,INDIRECT("'Output 5-EGADI'!$m$4:$m$"&amp;$C$8))
+SUMIF(INDIRECT("'Output 6-TG'!$H$4:$H$"&amp;$C$9),Analysis!Q38,INDIRECT("'Output 6-TG'!$m$4:$m$"&amp;$C$9))
+SUMIF(INDIRECT("'Output 7-PNAT'!$H$4:$H$"&amp;$C$10),Analysis!Q38,INDIRECT("'Output 7-PNAT'!$m$4:$m$"&amp;$C$10))
+SUMIF(INDIRECT("'Output 8-AEO'!$H$4:$H$"&amp;$C$11),Analysis!Q38,INDIRECT("'Output 8-AEO'!$m$4:$m$"&amp;$C$11))
+SUMIF(INDIRECT("'Output 9-EGADI2'!$H$4:$H$"&amp;$C$12),Analysis!Q38,INDIRECT("'Output 9-EGADI2'!$m$4:$m$"&amp;$C$12))
+SUMIF(INDIRECT("'Output 10-TUNIS'!$H$4:$H$"&amp;$C$13),Analysis!Q38,INDIRECT("'Output 10-TUNIS'!$m$4:$m$"&amp;$C$13))</f>
        <v>0</v>
      </c>
      <c r="S38" s="5">
        <f ca="1">SUMIF(INDIRECT("'Output 1-CARBONARA'!$H$4:$H$"&amp;$C$4),Analysis!Q38,INDIRECT("'Output 1-CARBONARA'!$q$4:$q$"&amp;$C$4))
+SUMIF(INDIRECT("'Output 2-CACCIA'!$H$4:$H$"&amp;$C$5),Analysis!Q38,INDIRECT("'Output 2-CACCIA'!$q$4:$q$"&amp;$C$5))
+SUMIF(INDIRECT("'Output 3-ASINARA'!$H$4:$H$"&amp;$C$6),Analysis!Q38,INDIRECT("'Output 3-ASINARA'!$q$4:$q$"&amp;$C$6))
+SUMIF(INDIRECT("'Output 4-PELAGIE'!$H$4:$H$"&amp;$C$7),Analysis!Q38,INDIRECT("'Output 4-PELAGIE'!$q$4:$q$"&amp;$C$7))
+SUMIF(INDIRECT("'Output 5-EGADI'!$H$4:$H$"&amp;$C$8),Analysis!Q38,INDIRECT("'Output 5-EGADI'!$q$4:$q$"&amp;$C$8))
+SUMIF(INDIRECT("'Output 6-TG'!$H$4:$H$"&amp;$C$9),Analysis!Q38,INDIRECT("'Output 6-TG'!$q$4:$q$"&amp;$C$9))
+SUMIF(INDIRECT("'Output 7-PNAT'!$H$4:$H$"&amp;$C$10),Analysis!Q38,INDIRECT("'Output 7-PNAT'!$q$4:$q$"&amp;$C$10))
+SUMIF(INDIRECT("'Output 8-AEO'!$H$4:$H$"&amp;$C$11),Analysis!Q38,INDIRECT("'Output 8-AEO'!$q$4:$q$"&amp;$C$11))
+SUMIF(INDIRECT("'Output 9-EGADI2'!$H$4:$H$"&amp;$C$12),Analysis!Q38,INDIRECT("'Output 9-EGADI2'!$q$4:$q$"&amp;$C$12))
+SUMIF(INDIRECT("'Output 10-TUNIS'!$H$4:$H$"&amp;$C$13),Analysis!Q38,INDIRECT("'Output 10-TUNIS'!$q$4:$q$"&amp;$C$13))</f>
        <v>0</v>
      </c>
      <c r="T38" s="5">
        <f ca="1">SUMIF(INDIRECT("'Output 1-CARBONARA'!$H$4:$H$"&amp;$C$4),Analysis!Q38,INDIRECT("'Output 1-CARBONARA'!$U$4:$U$"&amp;$C$4))
+SUMIF(INDIRECT("'Output 2-CACCIA'!$H$4:$H$"&amp;$C$5),Analysis!Q38,INDIRECT("'Output 2-CACCIA'!$U$4:$U$"&amp;$C$5))
+SUMIF(INDIRECT("'Output 3-ASINARA'!$H$4:$H$"&amp;$C$6),Analysis!Q38,INDIRECT("'Output 3-ASINARA'!$U$4:$U$"&amp;$C$6))
+SUMIF(INDIRECT("'Output 4-PELAGIE'!$H$4:$H$"&amp;$C$7),Analysis!Q38,INDIRECT("'Output 4-PELAGIE'!$U$4:$U$"&amp;$C$7))
+SUMIF(INDIRECT("'Output 5-EGADI'!$H$4:$H$"&amp;$C$8),Analysis!Q38,INDIRECT("'Output 5-EGADI'!$U$4:$U$"&amp;$C$8))
+SUMIF(INDIRECT("'Output 6-TG'!$H$4:$H$"&amp;$C$9),Analysis!Q38,INDIRECT("'Output 6-TG'!$U$4:$U$"&amp;$C$9))
+SUMIF(INDIRECT("'Output 7-PNAT'!$H$4:$H$"&amp;$C$10),Analysis!Q38,INDIRECT("'Output 7-PNAT'!$U$4:$U$"&amp;$C$10))
+SUMIF(INDIRECT("'Output 8-AEO'!$H$4:$H$"&amp;$C$11),Analysis!Q38,INDIRECT("'Output 8-AEO'!$U$4:$U$"&amp;$C$11))
+SUMIF(INDIRECT("'Output 9-EGADI2'!$H$4:$H$"&amp;$C$12),Analysis!Q38,INDIRECT("'Output 9-EGADI2'!$U$4:$U$"&amp;$C$12))
+SUMIF(INDIRECT("'Output 10-TUNIS'!$H$4:$H$"&amp;$C$13),Analysis!Q38,INDIRECT("'Output 10-TUNIS'!$U$4:$U$"&amp;$C$13))</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8">
        <f t="shared" ca="1" si="9"/>
        <v>0</v>
      </c>
      <c r="AA38" s="38">
        <f t="shared" si="10"/>
        <v>0</v>
      </c>
      <c r="AB38" s="54">
        <f t="shared" ca="1" si="11"/>
        <v>0</v>
      </c>
      <c r="AC38" s="64">
        <f ca="1">SUMIF(INDIRECT("'Output 1-CARBONARA'!$H$5:$H$"&amp;$C$4),Analysis!$Q38,INDIRECT("'Output 1-CARBONARA'!$F$5:$F$"&amp;$C$4))
+SUMIF(INDIRECT("'Output 2-CACCIA'!$H$5:$H$"&amp;$C$5),Analysis!$Q38,INDIRECT("'Output 2-CACCIA'!$F$5:$F$"&amp;$C$5))
+SUMIF(INDIRECT("'Output 3-ASINARA'!$H$5:$H$"&amp;$C$6),Analysis!$Q38,INDIRECT("'Output 3-ASINARA'!$F$5:$F$"&amp;$C$6))
+SUMIF(INDIRECT("'Output 4-PELAGIE'!$H$5:$H$"&amp;$C$7),Analysis!$Q38,INDIRECT("'Output 4-PELAGIE'!$F$5:$F$"&amp;$C$7))
+SUMIF(INDIRECT("'Output 5-EGADI'!$H$5:$H$"&amp;$C$8),Analysis!$Q38,INDIRECT("'Output 5-EGADI'!$F$5:$F$"&amp;$C$8))
+SUMIF(INDIRECT("'Output 6-TG'!$H$5:$H$"&amp;$C$9),Analysis!$Q38,INDIRECT("'Output 6-TG'!$F$5:$F$"&amp;$C$9))
+SUMIF(INDIRECT("'Output 7-PNAT'!$H$5:$H$"&amp;$C$10),Analysis!$Q38,INDIRECT("'Output 7-PNAT'!$F$5:$F$"&amp;$C$10))
+SUMIF(INDIRECT("'Output 8-AEO'!$H$5:$H$"&amp;$C$11),Analysis!$Q38,INDIRECT("'Output 8-AEO'!$F$5:$F$"&amp;$C$11))
+SUMIF(INDIRECT("'Output 9-EGADI2'!$H$5:$H$"&amp;$C$12),Analysis!$Q38,INDIRECT("'Output 9-EGADI2'!$F$5:$F$"&amp;$C$12))
+SUMIF(INDIRECT("'Output 10-TUNIS'!$H$5:$H$"&amp;$C$13),Analysis!$Q38,INDIRECT("'Output 10-TUNIS'!$F$5:$F$"&amp;$C$13))</f>
        <v>0</v>
      </c>
    </row>
    <row r="39" spans="6:29">
      <c r="M39" s="4">
        <f>('Output 10-TUNIS'!S$5)/'Output 10-TUNIS'!$F$5</f>
        <v>0</v>
      </c>
      <c r="N39" s="4">
        <f>('Output 10-TUNIS'!U$5)/'Output 10-TUNIS'!$F$5</f>
        <v>0</v>
      </c>
      <c r="O39" s="34">
        <f>L33+N39</f>
        <v>0</v>
      </c>
      <c r="Q39" s="31">
        <v>3.2</v>
      </c>
      <c r="R39" s="5">
        <f ca="1">SUMIF(INDIRECT("'Output 1-CARBONARA'!$H$4:$H$"&amp;$C$4),Analysis!Q39,INDIRECT("'Output 1-CARBONARA'!$m$4:$m$"&amp;$C$4))
+SUMIF(INDIRECT("'Output 2-CACCIA'!$H$4:$H$"&amp;$C$5),Analysis!Q39,INDIRECT("'Output 2-CACCIA'!$m$4:$m$"&amp;$C$5))
+SUMIF(INDIRECT("'Output 3-ASINARA'!$H$4:$H$"&amp;$C$6),Analysis!Q39,INDIRECT("'Output 3-ASINARA'!$m$4:$m$"&amp;$C$6))
+SUMIF(INDIRECT("'Output 4-PELAGIE'!$H$4:$H$"&amp;$C$7),Analysis!Q39,INDIRECT("'Output 4-PELAGIE'!$m$4:$m$"&amp;$C$7))
+SUMIF(INDIRECT("'Output 5-EGADI'!$H$4:$H$"&amp;$C$8),Analysis!Q39,INDIRECT("'Output 5-EGADI'!$m$4:$m$"&amp;$C$8))
+SUMIF(INDIRECT("'Output 6-TG'!$H$4:$H$"&amp;$C$9),Analysis!Q39,INDIRECT("'Output 6-TG'!$m$4:$m$"&amp;$C$9))
+SUMIF(INDIRECT("'Output 7-PNAT'!$H$4:$H$"&amp;$C$10),Analysis!Q39,INDIRECT("'Output 7-PNAT'!$m$4:$m$"&amp;$C$10))
+SUMIF(INDIRECT("'Output 8-AEO'!$H$4:$H$"&amp;$C$11),Analysis!Q39,INDIRECT("'Output 8-AEO'!$m$4:$m$"&amp;$C$11))
+SUMIF(INDIRECT("'Output 9-EGADI2'!$H$4:$H$"&amp;$C$12),Analysis!Q39,INDIRECT("'Output 9-EGADI2'!$m$4:$m$"&amp;$C$12))
+SUMIF(INDIRECT("'Output 10-TUNIS'!$H$4:$H$"&amp;$C$13),Analysis!Q39,INDIRECT("'Output 10-TUNIS'!$m$4:$m$"&amp;$C$13))</f>
        <v>0</v>
      </c>
      <c r="S39" s="5">
        <f ca="1">SUMIF(INDIRECT("'Output 1-CARBONARA'!$H$4:$H$"&amp;$C$4),Analysis!Q39,INDIRECT("'Output 1-CARBONARA'!$q$4:$q$"&amp;$C$4))
+SUMIF(INDIRECT("'Output 2-CACCIA'!$H$4:$H$"&amp;$C$5),Analysis!Q39,INDIRECT("'Output 2-CACCIA'!$q$4:$q$"&amp;$C$5))
+SUMIF(INDIRECT("'Output 3-ASINARA'!$H$4:$H$"&amp;$C$6),Analysis!Q39,INDIRECT("'Output 3-ASINARA'!$q$4:$q$"&amp;$C$6))
+SUMIF(INDIRECT("'Output 4-PELAGIE'!$H$4:$H$"&amp;$C$7),Analysis!Q39,INDIRECT("'Output 4-PELAGIE'!$q$4:$q$"&amp;$C$7))
+SUMIF(INDIRECT("'Output 5-EGADI'!$H$4:$H$"&amp;$C$8),Analysis!Q39,INDIRECT("'Output 5-EGADI'!$q$4:$q$"&amp;$C$8))
+SUMIF(INDIRECT("'Output 6-TG'!$H$4:$H$"&amp;$C$9),Analysis!Q39,INDIRECT("'Output 6-TG'!$q$4:$q$"&amp;$C$9))
+SUMIF(INDIRECT("'Output 7-PNAT'!$H$4:$H$"&amp;$C$10),Analysis!Q39,INDIRECT("'Output 7-PNAT'!$q$4:$q$"&amp;$C$10))
+SUMIF(INDIRECT("'Output 8-AEO'!$H$4:$H$"&amp;$C$11),Analysis!Q39,INDIRECT("'Output 8-AEO'!$q$4:$q$"&amp;$C$11))
+SUMIF(INDIRECT("'Output 9-EGADI2'!$H$4:$H$"&amp;$C$12),Analysis!Q39,INDIRECT("'Output 9-EGADI2'!$q$4:$q$"&amp;$C$12))
+SUMIF(INDIRECT("'Output 10-TUNIS'!$H$4:$H$"&amp;$C$13),Analysis!Q39,INDIRECT("'Output 10-TUNIS'!$q$4:$q$"&amp;$C$13))</f>
        <v>0</v>
      </c>
      <c r="T39" s="5">
        <f ca="1">SUMIF(INDIRECT("'Output 1-CARBONARA'!$H$4:$H$"&amp;$C$4),Analysis!Q39,INDIRECT("'Output 1-CARBONARA'!$U$4:$U$"&amp;$C$4))
+SUMIF(INDIRECT("'Output 2-CACCIA'!$H$4:$H$"&amp;$C$5),Analysis!Q39,INDIRECT("'Output 2-CACCIA'!$U$4:$U$"&amp;$C$5))
+SUMIF(INDIRECT("'Output 3-ASINARA'!$H$4:$H$"&amp;$C$6),Analysis!Q39,INDIRECT("'Output 3-ASINARA'!$U$4:$U$"&amp;$C$6))
+SUMIF(INDIRECT("'Output 4-PELAGIE'!$H$4:$H$"&amp;$C$7),Analysis!Q39,INDIRECT("'Output 4-PELAGIE'!$U$4:$U$"&amp;$C$7))
+SUMIF(INDIRECT("'Output 5-EGADI'!$H$4:$H$"&amp;$C$8),Analysis!Q39,INDIRECT("'Output 5-EGADI'!$U$4:$U$"&amp;$C$8))
+SUMIF(INDIRECT("'Output 6-TG'!$H$4:$H$"&amp;$C$9),Analysis!Q39,INDIRECT("'Output 6-TG'!$U$4:$U$"&amp;$C$9))
+SUMIF(INDIRECT("'Output 7-PNAT'!$H$4:$H$"&amp;$C$10),Analysis!Q39,INDIRECT("'Output 7-PNAT'!$U$4:$U$"&amp;$C$10))
+SUMIF(INDIRECT("'Output 8-AEO'!$H$4:$H$"&amp;$C$11),Analysis!Q39,INDIRECT("'Output 8-AEO'!$U$4:$U$"&amp;$C$11))
+SUMIF(INDIRECT("'Output 9-EGADI2'!$H$4:$H$"&amp;$C$12),Analysis!Q39,INDIRECT("'Output 9-EGADI2'!$U$4:$U$"&amp;$C$12))
+SUMIF(INDIRECT("'Output 10-TUNIS'!$H$4:$H$"&amp;$C$13),Analysis!Q39,INDIRECT("'Output 10-TUNIS'!$U$4:$U$"&amp;$C$13))</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8">
        <f t="shared" ca="1" si="9"/>
        <v>0</v>
      </c>
      <c r="AA39" s="38">
        <f t="shared" si="10"/>
        <v>0</v>
      </c>
      <c r="AB39" s="54">
        <f t="shared" ca="1" si="11"/>
        <v>0</v>
      </c>
      <c r="AC39" s="64">
        <f ca="1">SUMIF(INDIRECT("'Output 1-CARBONARA'!$H$5:$H$"&amp;$C$4),Analysis!$Q39,INDIRECT("'Output 1-CARBONARA'!$F$5:$F$"&amp;$C$4))
+SUMIF(INDIRECT("'Output 2-CACCIA'!$H$5:$H$"&amp;$C$5),Analysis!$Q39,INDIRECT("'Output 2-CACCIA'!$F$5:$F$"&amp;$C$5))
+SUMIF(INDIRECT("'Output 3-ASINARA'!$H$5:$H$"&amp;$C$6),Analysis!$Q39,INDIRECT("'Output 3-ASINARA'!$F$5:$F$"&amp;$C$6))
+SUMIF(INDIRECT("'Output 4-PELAGIE'!$H$5:$H$"&amp;$C$7),Analysis!$Q39,INDIRECT("'Output 4-PELAGIE'!$F$5:$F$"&amp;$C$7))
+SUMIF(INDIRECT("'Output 5-EGADI'!$H$5:$H$"&amp;$C$8),Analysis!$Q39,INDIRECT("'Output 5-EGADI'!$F$5:$F$"&amp;$C$8))
+SUMIF(INDIRECT("'Output 6-TG'!$H$5:$H$"&amp;$C$9),Analysis!$Q39,INDIRECT("'Output 6-TG'!$F$5:$F$"&amp;$C$9))
+SUMIF(INDIRECT("'Output 7-PNAT'!$H$5:$H$"&amp;$C$10),Analysis!$Q39,INDIRECT("'Output 7-PNAT'!$F$5:$F$"&amp;$C$10))
+SUMIF(INDIRECT("'Output 8-AEO'!$H$5:$H$"&amp;$C$11),Analysis!$Q39,INDIRECT("'Output 8-AEO'!$F$5:$F$"&amp;$C$11))
+SUMIF(INDIRECT("'Output 9-EGADI2'!$H$5:$H$"&amp;$C$12),Analysis!$Q39,INDIRECT("'Output 9-EGADI2'!$F$5:$F$"&amp;$C$12))
+SUMIF(INDIRECT("'Output 10-TUNIS'!$H$5:$H$"&amp;$C$13),Analysis!$Q39,INDIRECT("'Output 10-TUNIS'!$F$5:$F$"&amp;$C$13))</f>
        <v>0</v>
      </c>
    </row>
    <row r="40" spans="6:29">
      <c r="M40" s="4">
        <f>('Output 10-TUNIS'!S$6)/'Output 10-TUNIS'!$F$6</f>
        <v>0</v>
      </c>
      <c r="N40" s="4">
        <f>('Output 10-TUNIS'!U$6)/'Output 10-TUNIS'!$F$6</f>
        <v>0</v>
      </c>
      <c r="O40" s="34">
        <f>L34+N40</f>
        <v>0</v>
      </c>
      <c r="Q40" s="31" t="s">
        <v>174</v>
      </c>
      <c r="R40" s="5">
        <f ca="1">SUMIF(INDIRECT("'Output 1-CARBONARA'!$H$4:$H$"&amp;$C$4),Analysis!Q40,INDIRECT("'Output 1-CARBONARA'!$m$4:$m$"&amp;$C$4))
+SUMIF(INDIRECT("'Output 2-CACCIA'!$H$4:$H$"&amp;$C$5),Analysis!Q40,INDIRECT("'Output 2-CACCIA'!$m$4:$m$"&amp;$C$5))
+SUMIF(INDIRECT("'Output 3-ASINARA'!$H$4:$H$"&amp;$C$6),Analysis!Q40,INDIRECT("'Output 3-ASINARA'!$m$4:$m$"&amp;$C$6))
+SUMIF(INDIRECT("'Output 4-PELAGIE'!$H$4:$H$"&amp;$C$7),Analysis!Q40,INDIRECT("'Output 4-PELAGIE'!$m$4:$m$"&amp;$C$7))
+SUMIF(INDIRECT("'Output 5-EGADI'!$H$4:$H$"&amp;$C$8),Analysis!Q40,INDIRECT("'Output 5-EGADI'!$m$4:$m$"&amp;$C$8))
+SUMIF(INDIRECT("'Output 6-TG'!$H$4:$H$"&amp;$C$9),Analysis!Q40,INDIRECT("'Output 6-TG'!$m$4:$m$"&amp;$C$9))
+SUMIF(INDIRECT("'Output 7-PNAT'!$H$4:$H$"&amp;$C$10),Analysis!Q40,INDIRECT("'Output 7-PNAT'!$m$4:$m$"&amp;$C$10))
+SUMIF(INDIRECT("'Output 8-AEO'!$H$4:$H$"&amp;$C$11),Analysis!Q40,INDIRECT("'Output 8-AEO'!$m$4:$m$"&amp;$C$11))
+SUMIF(INDIRECT("'Output 9-EGADI2'!$H$4:$H$"&amp;$C$12),Analysis!Q40,INDIRECT("'Output 9-EGADI2'!$m$4:$m$"&amp;$C$12))
+SUMIF(INDIRECT("'Output 10-TUNIS'!$H$4:$H$"&amp;$C$13),Analysis!Q40,INDIRECT("'Output 10-TUNIS'!$m$4:$m$"&amp;$C$13))</f>
        <v>0</v>
      </c>
      <c r="S40" s="5">
        <f ca="1">SUMIF(INDIRECT("'Output 1-CARBONARA'!$H$4:$H$"&amp;$C$4),Analysis!Q40,INDIRECT("'Output 1-CARBONARA'!$q$4:$q$"&amp;$C$4))
+SUMIF(INDIRECT("'Output 2-CACCIA'!$H$4:$H$"&amp;$C$5),Analysis!Q40,INDIRECT("'Output 2-CACCIA'!$q$4:$q$"&amp;$C$5))
+SUMIF(INDIRECT("'Output 3-ASINARA'!$H$4:$H$"&amp;$C$6),Analysis!Q40,INDIRECT("'Output 3-ASINARA'!$q$4:$q$"&amp;$C$6))
+SUMIF(INDIRECT("'Output 4-PELAGIE'!$H$4:$H$"&amp;$C$7),Analysis!Q40,INDIRECT("'Output 4-PELAGIE'!$q$4:$q$"&amp;$C$7))
+SUMIF(INDIRECT("'Output 5-EGADI'!$H$4:$H$"&amp;$C$8),Analysis!Q40,INDIRECT("'Output 5-EGADI'!$q$4:$q$"&amp;$C$8))
+SUMIF(INDIRECT("'Output 6-TG'!$H$4:$H$"&amp;$C$9),Analysis!Q40,INDIRECT("'Output 6-TG'!$q$4:$q$"&amp;$C$9))
+SUMIF(INDIRECT("'Output 7-PNAT'!$H$4:$H$"&amp;$C$10),Analysis!Q40,INDIRECT("'Output 7-PNAT'!$q$4:$q$"&amp;$C$10))
+SUMIF(INDIRECT("'Output 8-AEO'!$H$4:$H$"&amp;$C$11),Analysis!Q40,INDIRECT("'Output 8-AEO'!$q$4:$q$"&amp;$C$11))
+SUMIF(INDIRECT("'Output 9-EGADI2'!$H$4:$H$"&amp;$C$12),Analysis!Q40,INDIRECT("'Output 9-EGADI2'!$q$4:$q$"&amp;$C$12))
+SUMIF(INDIRECT("'Output 10-TUNIS'!$H$4:$H$"&amp;$C$13),Analysis!Q40,INDIRECT("'Output 10-TUNIS'!$q$4:$q$"&amp;$C$13))</f>
        <v>0</v>
      </c>
      <c r="T40" s="5">
        <f ca="1">SUMIF(INDIRECT("'Output 1-CARBONARA'!$H$4:$H$"&amp;$C$4),Analysis!Q40,INDIRECT("'Output 1-CARBONARA'!$U$4:$U$"&amp;$C$4))
+SUMIF(INDIRECT("'Output 2-CACCIA'!$H$4:$H$"&amp;$C$5),Analysis!Q40,INDIRECT("'Output 2-CACCIA'!$U$4:$U$"&amp;$C$5))
+SUMIF(INDIRECT("'Output 3-ASINARA'!$H$4:$H$"&amp;$C$6),Analysis!Q40,INDIRECT("'Output 3-ASINARA'!$U$4:$U$"&amp;$C$6))
+SUMIF(INDIRECT("'Output 4-PELAGIE'!$H$4:$H$"&amp;$C$7),Analysis!Q40,INDIRECT("'Output 4-PELAGIE'!$U$4:$U$"&amp;$C$7))
+SUMIF(INDIRECT("'Output 5-EGADI'!$H$4:$H$"&amp;$C$8),Analysis!Q40,INDIRECT("'Output 5-EGADI'!$U$4:$U$"&amp;$C$8))
+SUMIF(INDIRECT("'Output 6-TG'!$H$4:$H$"&amp;$C$9),Analysis!Q40,INDIRECT("'Output 6-TG'!$U$4:$U$"&amp;$C$9))
+SUMIF(INDIRECT("'Output 7-PNAT'!$H$4:$H$"&amp;$C$10),Analysis!Q40,INDIRECT("'Output 7-PNAT'!$U$4:$U$"&amp;$C$10))
+SUMIF(INDIRECT("'Output 8-AEO'!$H$4:$H$"&amp;$C$11),Analysis!Q40,INDIRECT("'Output 8-AEO'!$U$4:$U$"&amp;$C$11))
+SUMIF(INDIRECT("'Output 9-EGADI2'!$H$4:$H$"&amp;$C$12),Analysis!Q40,INDIRECT("'Output 9-EGADI2'!$U$4:$U$"&amp;$C$12))
+SUMIF(INDIRECT("'Output 10-TUNIS'!$H$4:$H$"&amp;$C$13),Analysis!Q40,INDIRECT("'Output 10-TUNIS'!$U$4:$U$"&amp;$C$13))</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8">
        <f t="shared" ca="1" si="9"/>
        <v>0</v>
      </c>
      <c r="AA40" s="38">
        <f t="shared" si="10"/>
        <v>0</v>
      </c>
      <c r="AB40" s="54">
        <f t="shared" ca="1" si="11"/>
        <v>0</v>
      </c>
      <c r="AC40" s="64">
        <f ca="1">SUMIF(INDIRECT("'Output 1-CARBONARA'!$H$5:$H$"&amp;$C$4),Analysis!$Q40,INDIRECT("'Output 1-CARBONARA'!$F$5:$F$"&amp;$C$4))
+SUMIF(INDIRECT("'Output 2-CACCIA'!$H$5:$H$"&amp;$C$5),Analysis!$Q40,INDIRECT("'Output 2-CACCIA'!$F$5:$F$"&amp;$C$5))
+SUMIF(INDIRECT("'Output 3-ASINARA'!$H$5:$H$"&amp;$C$6),Analysis!$Q40,INDIRECT("'Output 3-ASINARA'!$F$5:$F$"&amp;$C$6))
+SUMIF(INDIRECT("'Output 4-PELAGIE'!$H$5:$H$"&amp;$C$7),Analysis!$Q40,INDIRECT("'Output 4-PELAGIE'!$F$5:$F$"&amp;$C$7))
+SUMIF(INDIRECT("'Output 5-EGADI'!$H$5:$H$"&amp;$C$8),Analysis!$Q40,INDIRECT("'Output 5-EGADI'!$F$5:$F$"&amp;$C$8))
+SUMIF(INDIRECT("'Output 6-TG'!$H$5:$H$"&amp;$C$9),Analysis!$Q40,INDIRECT("'Output 6-TG'!$F$5:$F$"&amp;$C$9))
+SUMIF(INDIRECT("'Output 7-PNAT'!$H$5:$H$"&amp;$C$10),Analysis!$Q40,INDIRECT("'Output 7-PNAT'!$F$5:$F$"&amp;$C$10))
+SUMIF(INDIRECT("'Output 8-AEO'!$H$5:$H$"&amp;$C$11),Analysis!$Q40,INDIRECT("'Output 8-AEO'!$F$5:$F$"&amp;$C$11))
+SUMIF(INDIRECT("'Output 9-EGADI2'!$H$5:$H$"&amp;$C$12),Analysis!$Q40,INDIRECT("'Output 9-EGADI2'!$F$5:$F$"&amp;$C$12))
+SUMIF(INDIRECT("'Output 10-TUNIS'!$H$5:$H$"&amp;$C$13),Analysis!$Q40,INDIRECT("'Output 10-TUNIS'!$F$5:$F$"&amp;$C$13))</f>
        <v>1</v>
      </c>
    </row>
    <row r="41" spans="6:29">
      <c r="Q41" s="31" t="s">
        <v>553</v>
      </c>
      <c r="R41" s="5">
        <f ca="1">SUMIF(INDIRECT("'Output 1-CARBONARA'!$H$4:$H$"&amp;$C$4),Analysis!Q41,INDIRECT("'Output 1-CARBONARA'!$m$4:$m$"&amp;$C$4))
+SUMIF(INDIRECT("'Output 2-CACCIA'!$H$4:$H$"&amp;$C$5),Analysis!Q41,INDIRECT("'Output 2-CACCIA'!$m$4:$m$"&amp;$C$5))
+SUMIF(INDIRECT("'Output 3-ASINARA'!$H$4:$H$"&amp;$C$6),Analysis!Q41,INDIRECT("'Output 3-ASINARA'!$m$4:$m$"&amp;$C$6))
+SUMIF(INDIRECT("'Output 4-PELAGIE'!$H$4:$H$"&amp;$C$7),Analysis!Q41,INDIRECT("'Output 4-PELAGIE'!$m$4:$m$"&amp;$C$7))
+SUMIF(INDIRECT("'Output 5-EGADI'!$H$4:$H$"&amp;$C$8),Analysis!Q41,INDIRECT("'Output 5-EGADI'!$m$4:$m$"&amp;$C$8))
+SUMIF(INDIRECT("'Output 6-TG'!$H$4:$H$"&amp;$C$9),Analysis!Q41,INDIRECT("'Output 6-TG'!$m$4:$m$"&amp;$C$9))
+SUMIF(INDIRECT("'Output 7-PNAT'!$H$4:$H$"&amp;$C$10),Analysis!Q41,INDIRECT("'Output 7-PNAT'!$m$4:$m$"&amp;$C$10))
+SUMIF(INDIRECT("'Output 8-AEO'!$H$4:$H$"&amp;$C$11),Analysis!Q41,INDIRECT("'Output 8-AEO'!$m$4:$m$"&amp;$C$11))
+SUMIF(INDIRECT("'Output 9-EGADI2'!$H$4:$H$"&amp;$C$12),Analysis!Q41,INDIRECT("'Output 9-EGADI2'!$m$4:$m$"&amp;$C$12))
+SUMIF(INDIRECT("'Output 10-TUNIS'!$H$4:$H$"&amp;$C$13),Analysis!Q41,INDIRECT("'Output 10-TUNIS'!$m$4:$m$"&amp;$C$13))</f>
        <v>0</v>
      </c>
      <c r="S41" s="5">
        <f ca="1">SUMIF(INDIRECT("'Output 1-CARBONARA'!$H$4:$H$"&amp;$C$4),Analysis!Q41,INDIRECT("'Output 1-CARBONARA'!$q$4:$q$"&amp;$C$4))
+SUMIF(INDIRECT("'Output 2-CACCIA'!$H$4:$H$"&amp;$C$5),Analysis!Q41,INDIRECT("'Output 2-CACCIA'!$q$4:$q$"&amp;$C$5))
+SUMIF(INDIRECT("'Output 3-ASINARA'!$H$4:$H$"&amp;$C$6),Analysis!Q41,INDIRECT("'Output 3-ASINARA'!$q$4:$q$"&amp;$C$6))
+SUMIF(INDIRECT("'Output 4-PELAGIE'!$H$4:$H$"&amp;$C$7),Analysis!Q41,INDIRECT("'Output 4-PELAGIE'!$q$4:$q$"&amp;$C$7))
+SUMIF(INDIRECT("'Output 5-EGADI'!$H$4:$H$"&amp;$C$8),Analysis!Q41,INDIRECT("'Output 5-EGADI'!$q$4:$q$"&amp;$C$8))
+SUMIF(INDIRECT("'Output 6-TG'!$H$4:$H$"&amp;$C$9),Analysis!Q41,INDIRECT("'Output 6-TG'!$q$4:$q$"&amp;$C$9))
+SUMIF(INDIRECT("'Output 7-PNAT'!$H$4:$H$"&amp;$C$10),Analysis!Q41,INDIRECT("'Output 7-PNAT'!$q$4:$q$"&amp;$C$10))
+SUMIF(INDIRECT("'Output 8-AEO'!$H$4:$H$"&amp;$C$11),Analysis!Q41,INDIRECT("'Output 8-AEO'!$q$4:$q$"&amp;$C$11))
+SUMIF(INDIRECT("'Output 9-EGADI2'!$H$4:$H$"&amp;$C$12),Analysis!Q41,INDIRECT("'Output 9-EGADI2'!$q$4:$q$"&amp;$C$12))
+SUMIF(INDIRECT("'Output 10-TUNIS'!$H$4:$H$"&amp;$C$13),Analysis!Q41,INDIRECT("'Output 10-TUNIS'!$q$4:$q$"&amp;$C$13))</f>
        <v>0</v>
      </c>
      <c r="T41" s="5">
        <f ca="1">SUMIF(INDIRECT("'Output 1-CARBONARA'!$H$4:$H$"&amp;$C$4),Analysis!Q41,INDIRECT("'Output 1-CARBONARA'!$U$4:$U$"&amp;$C$4))
+SUMIF(INDIRECT("'Output 2-CACCIA'!$H$4:$H$"&amp;$C$5),Analysis!Q41,INDIRECT("'Output 2-CACCIA'!$U$4:$U$"&amp;$C$5))
+SUMIF(INDIRECT("'Output 3-ASINARA'!$H$4:$H$"&amp;$C$6),Analysis!Q41,INDIRECT("'Output 3-ASINARA'!$U$4:$U$"&amp;$C$6))
+SUMIF(INDIRECT("'Output 4-PELAGIE'!$H$4:$H$"&amp;$C$7),Analysis!Q41,INDIRECT("'Output 4-PELAGIE'!$U$4:$U$"&amp;$C$7))
+SUMIF(INDIRECT("'Output 5-EGADI'!$H$4:$H$"&amp;$C$8),Analysis!Q41,INDIRECT("'Output 5-EGADI'!$U$4:$U$"&amp;$C$8))
+SUMIF(INDIRECT("'Output 6-TG'!$H$4:$H$"&amp;$C$9),Analysis!Q41,INDIRECT("'Output 6-TG'!$U$4:$U$"&amp;$C$9))
+SUMIF(INDIRECT("'Output 7-PNAT'!$H$4:$H$"&amp;$C$10),Analysis!Q41,INDIRECT("'Output 7-PNAT'!$U$4:$U$"&amp;$C$10))
+SUMIF(INDIRECT("'Output 8-AEO'!$H$4:$H$"&amp;$C$11),Analysis!Q41,INDIRECT("'Output 8-AEO'!$U$4:$U$"&amp;$C$11))
+SUMIF(INDIRECT("'Output 9-EGADI2'!$H$4:$H$"&amp;$C$12),Analysis!Q41,INDIRECT("'Output 9-EGADI2'!$U$4:$U$"&amp;$C$12))
+SUMIF(INDIRECT("'Output 10-TUNIS'!$H$4:$H$"&amp;$C$13),Analysis!Q41,INDIRECT("'Output 10-TUNIS'!$U$4:$U$"&amp;$C$13))</f>
        <v>30</v>
      </c>
      <c r="U41" s="31"/>
      <c r="V41" s="5">
        <f>SUMIF('Unplanned Outputs'!$E$4:$E$500,Analysis!Q41,'Unplanned Outputs'!$J$4:$J$500)</f>
        <v>0</v>
      </c>
      <c r="W41" s="5">
        <f>SUMIF('Unplanned Outputs'!$E$4:$E$500,Analysis!$Q41,'Unplanned Outputs'!$N$4:$N$500)</f>
        <v>0</v>
      </c>
      <c r="X41" s="5">
        <f>SUMIF('Unplanned Outputs'!$E$4:$E$500,Analysis!$Q41,'Unplanned Outputs'!$R$4:$R$500)</f>
        <v>0</v>
      </c>
      <c r="Y41" s="15"/>
      <c r="Z41" s="38">
        <f t="shared" ca="1" si="9"/>
        <v>30</v>
      </c>
      <c r="AA41" s="38">
        <f t="shared" si="10"/>
        <v>0</v>
      </c>
      <c r="AB41" s="54">
        <f t="shared" ca="1" si="11"/>
        <v>30</v>
      </c>
      <c r="AC41" s="64">
        <f ca="1">SUMIF(INDIRECT("'Output 1-CARBONARA'!$H$5:$H$"&amp;$C$4),Analysis!$Q41,INDIRECT("'Output 1-CARBONARA'!$F$5:$F$"&amp;$C$4))
+SUMIF(INDIRECT("'Output 2-CACCIA'!$H$5:$H$"&amp;$C$5),Analysis!$Q41,INDIRECT("'Output 2-CACCIA'!$F$5:$F$"&amp;$C$5))
+SUMIF(INDIRECT("'Output 3-ASINARA'!$H$5:$H$"&amp;$C$6),Analysis!$Q41,INDIRECT("'Output 3-ASINARA'!$F$5:$F$"&amp;$C$6))
+SUMIF(INDIRECT("'Output 4-PELAGIE'!$H$5:$H$"&amp;$C$7),Analysis!$Q41,INDIRECT("'Output 4-PELAGIE'!$F$5:$F$"&amp;$C$7))
+SUMIF(INDIRECT("'Output 5-EGADI'!$H$5:$H$"&amp;$C$8),Analysis!$Q41,INDIRECT("'Output 5-EGADI'!$F$5:$F$"&amp;$C$8))
+SUMIF(INDIRECT("'Output 6-TG'!$H$5:$H$"&amp;$C$9),Analysis!$Q41,INDIRECT("'Output 6-TG'!$F$5:$F$"&amp;$C$9))
+SUMIF(INDIRECT("'Output 7-PNAT'!$H$5:$H$"&amp;$C$10),Analysis!$Q41,INDIRECT("'Output 7-PNAT'!$F$5:$F$"&amp;$C$10))
+SUMIF(INDIRECT("'Output 8-AEO'!$H$5:$H$"&amp;$C$11),Analysis!$Q41,INDIRECT("'Output 8-AEO'!$F$5:$F$"&amp;$C$11))
+SUMIF(INDIRECT("'Output 9-EGADI2'!$H$5:$H$"&amp;$C$12),Analysis!$Q41,INDIRECT("'Output 9-EGADI2'!$F$5:$F$"&amp;$C$12))
+SUMIF(INDIRECT("'Output 10-TUNIS'!$H$5:$H$"&amp;$C$13),Analysis!$Q41,INDIRECT("'Output 10-TUNIS'!$F$5:$F$"&amp;$C$13))</f>
        <v>0</v>
      </c>
    </row>
    <row r="42" spans="6:29">
      <c r="Q42" s="31" t="s">
        <v>725</v>
      </c>
      <c r="R42" s="5">
        <f ca="1">SUMIF(INDIRECT("'Output 1-CARBONARA'!$H$4:$H$"&amp;$C$4),Analysis!Q42,INDIRECT("'Output 1-CARBONARA'!$m$4:$m$"&amp;$C$4))
+SUMIF(INDIRECT("'Output 2-CACCIA'!$H$4:$H$"&amp;$C$5),Analysis!Q42,INDIRECT("'Output 2-CACCIA'!$m$4:$m$"&amp;$C$5))
+SUMIF(INDIRECT("'Output 3-ASINARA'!$H$4:$H$"&amp;$C$6),Analysis!Q42,INDIRECT("'Output 3-ASINARA'!$m$4:$m$"&amp;$C$6))
+SUMIF(INDIRECT("'Output 4-PELAGIE'!$H$4:$H$"&amp;$C$7),Analysis!Q42,INDIRECT("'Output 4-PELAGIE'!$m$4:$m$"&amp;$C$7))
+SUMIF(INDIRECT("'Output 5-EGADI'!$H$4:$H$"&amp;$C$8),Analysis!Q42,INDIRECT("'Output 5-EGADI'!$m$4:$m$"&amp;$C$8))
+SUMIF(INDIRECT("'Output 6-TG'!$H$4:$H$"&amp;$C$9),Analysis!Q42,INDIRECT("'Output 6-TG'!$m$4:$m$"&amp;$C$9))
+SUMIF(INDIRECT("'Output 7-PNAT'!$H$4:$H$"&amp;$C$10),Analysis!Q42,INDIRECT("'Output 7-PNAT'!$m$4:$m$"&amp;$C$10))
+SUMIF(INDIRECT("'Output 8-AEO'!$H$4:$H$"&amp;$C$11),Analysis!Q42,INDIRECT("'Output 8-AEO'!$m$4:$m$"&amp;$C$11))
+SUMIF(INDIRECT("'Output 9-EGADI2'!$H$4:$H$"&amp;$C$12),Analysis!Q42,INDIRECT("'Output 9-EGADI2'!$m$4:$m$"&amp;$C$12))
+SUMIF(INDIRECT("'Output 10-TUNIS'!$H$4:$H$"&amp;$C$13),Analysis!Q42,INDIRECT("'Output 10-TUNIS'!$m$4:$m$"&amp;$C$13))</f>
        <v>0</v>
      </c>
      <c r="S42" s="5">
        <f ca="1">SUMIF(INDIRECT("'Output 1-CARBONARA'!$H$4:$H$"&amp;$C$4),Analysis!Q42,INDIRECT("'Output 1-CARBONARA'!$q$4:$q$"&amp;$C$4))
+SUMIF(INDIRECT("'Output 2-CACCIA'!$H$4:$H$"&amp;$C$5),Analysis!Q42,INDIRECT("'Output 2-CACCIA'!$q$4:$q$"&amp;$C$5))
+SUMIF(INDIRECT("'Output 3-ASINARA'!$H$4:$H$"&amp;$C$6),Analysis!Q42,INDIRECT("'Output 3-ASINARA'!$q$4:$q$"&amp;$C$6))
+SUMIF(INDIRECT("'Output 4-PELAGIE'!$H$4:$H$"&amp;$C$7),Analysis!Q42,INDIRECT("'Output 4-PELAGIE'!$q$4:$q$"&amp;$C$7))
+SUMIF(INDIRECT("'Output 5-EGADI'!$H$4:$H$"&amp;$C$8),Analysis!Q42,INDIRECT("'Output 5-EGADI'!$q$4:$q$"&amp;$C$8))
+SUMIF(INDIRECT("'Output 6-TG'!$H$4:$H$"&amp;$C$9),Analysis!Q42,INDIRECT("'Output 6-TG'!$q$4:$q$"&amp;$C$9))
+SUMIF(INDIRECT("'Output 7-PNAT'!$H$4:$H$"&amp;$C$10),Analysis!Q42,INDIRECT("'Output 7-PNAT'!$q$4:$q$"&amp;$C$10))
+SUMIF(INDIRECT("'Output 8-AEO'!$H$4:$H$"&amp;$C$11),Analysis!Q42,INDIRECT("'Output 8-AEO'!$q$4:$q$"&amp;$C$11))
+SUMIF(INDIRECT("'Output 9-EGADI2'!$H$4:$H$"&amp;$C$12),Analysis!Q42,INDIRECT("'Output 9-EGADI2'!$q$4:$q$"&amp;$C$12))
+SUMIF(INDIRECT("'Output 10-TUNIS'!$H$4:$H$"&amp;$C$13),Analysis!Q42,INDIRECT("'Output 10-TUNIS'!$q$4:$q$"&amp;$C$13))</f>
        <v>0</v>
      </c>
      <c r="T42" s="5">
        <f ca="1">SUMIF(INDIRECT("'Output 1-CARBONARA'!$H$4:$H$"&amp;$C$4),Analysis!Q42,INDIRECT("'Output 1-CARBONARA'!$U$4:$U$"&amp;$C$4))
+SUMIF(INDIRECT("'Output 2-CACCIA'!$H$4:$H$"&amp;$C$5),Analysis!Q42,INDIRECT("'Output 2-CACCIA'!$U$4:$U$"&amp;$C$5))
+SUMIF(INDIRECT("'Output 3-ASINARA'!$H$4:$H$"&amp;$C$6),Analysis!Q42,INDIRECT("'Output 3-ASINARA'!$U$4:$U$"&amp;$C$6))
+SUMIF(INDIRECT("'Output 4-PELAGIE'!$H$4:$H$"&amp;$C$7),Analysis!Q42,INDIRECT("'Output 4-PELAGIE'!$U$4:$U$"&amp;$C$7))
+SUMIF(INDIRECT("'Output 5-EGADI'!$H$4:$H$"&amp;$C$8),Analysis!Q42,INDIRECT("'Output 5-EGADI'!$U$4:$U$"&amp;$C$8))
+SUMIF(INDIRECT("'Output 6-TG'!$H$4:$H$"&amp;$C$9),Analysis!Q42,INDIRECT("'Output 6-TG'!$U$4:$U$"&amp;$C$9))
+SUMIF(INDIRECT("'Output 7-PNAT'!$H$4:$H$"&amp;$C$10),Analysis!Q42,INDIRECT("'Output 7-PNAT'!$U$4:$U$"&amp;$C$10))
+SUMIF(INDIRECT("'Output 8-AEO'!$H$4:$H$"&amp;$C$11),Analysis!Q42,INDIRECT("'Output 8-AEO'!$U$4:$U$"&amp;$C$11))
+SUMIF(INDIRECT("'Output 9-EGADI2'!$H$4:$H$"&amp;$C$12),Analysis!Q42,INDIRECT("'Output 9-EGADI2'!$U$4:$U$"&amp;$C$12))
+SUMIF(INDIRECT("'Output 10-TUNIS'!$H$4:$H$"&amp;$C$13),Analysis!Q42,INDIRECT("'Output 10-TUNIS'!$U$4:$U$"&amp;$C$13))</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8">
        <f t="shared" ca="1" si="9"/>
        <v>0</v>
      </c>
      <c r="AA42" s="38">
        <f t="shared" si="10"/>
        <v>0</v>
      </c>
      <c r="AB42" s="54">
        <f t="shared" ca="1" si="11"/>
        <v>0</v>
      </c>
      <c r="AC42" s="64">
        <f ca="1">SUMIF(INDIRECT("'Output 1-CARBONARA'!$H$5:$H$"&amp;$C$4),Analysis!$Q42,INDIRECT("'Output 1-CARBONARA'!$F$5:$F$"&amp;$C$4))
+SUMIF(INDIRECT("'Output 2-CACCIA'!$H$5:$H$"&amp;$C$5),Analysis!$Q42,INDIRECT("'Output 2-CACCIA'!$F$5:$F$"&amp;$C$5))
+SUMIF(INDIRECT("'Output 3-ASINARA'!$H$5:$H$"&amp;$C$6),Analysis!$Q42,INDIRECT("'Output 3-ASINARA'!$F$5:$F$"&amp;$C$6))
+SUMIF(INDIRECT("'Output 4-PELAGIE'!$H$5:$H$"&amp;$C$7),Analysis!$Q42,INDIRECT("'Output 4-PELAGIE'!$F$5:$F$"&amp;$C$7))
+SUMIF(INDIRECT("'Output 5-EGADI'!$H$5:$H$"&amp;$C$8),Analysis!$Q42,INDIRECT("'Output 5-EGADI'!$F$5:$F$"&amp;$C$8))
+SUMIF(INDIRECT("'Output 6-TG'!$H$5:$H$"&amp;$C$9),Analysis!$Q42,INDIRECT("'Output 6-TG'!$F$5:$F$"&amp;$C$9))
+SUMIF(INDIRECT("'Output 7-PNAT'!$H$5:$H$"&amp;$C$10),Analysis!$Q42,INDIRECT("'Output 7-PNAT'!$F$5:$F$"&amp;$C$10))
+SUMIF(INDIRECT("'Output 8-AEO'!$H$5:$H$"&amp;$C$11),Analysis!$Q42,INDIRECT("'Output 8-AEO'!$F$5:$F$"&amp;$C$11))
+SUMIF(INDIRECT("'Output 9-EGADI2'!$H$5:$H$"&amp;$C$12),Analysis!$Q42,INDIRECT("'Output 9-EGADI2'!$F$5:$F$"&amp;$C$12))
+SUMIF(INDIRECT("'Output 10-TUNIS'!$H$5:$H$"&amp;$C$13),Analysis!$Q42,INDIRECT("'Output 10-TUNIS'!$F$5:$F$"&amp;$C$13))</f>
        <v>0</v>
      </c>
    </row>
    <row r="43" spans="6:29">
      <c r="Q43" s="31" t="s">
        <v>726</v>
      </c>
      <c r="R43" s="5">
        <f ca="1">SUMIF(INDIRECT("'Output 1-CARBONARA'!$H$4:$H$"&amp;$C$4),Analysis!Q43,INDIRECT("'Output 1-CARBONARA'!$m$4:$m$"&amp;$C$4))
+SUMIF(INDIRECT("'Output 2-CACCIA'!$H$4:$H$"&amp;$C$5),Analysis!Q43,INDIRECT("'Output 2-CACCIA'!$m$4:$m$"&amp;$C$5))
+SUMIF(INDIRECT("'Output 3-ASINARA'!$H$4:$H$"&amp;$C$6),Analysis!Q43,INDIRECT("'Output 3-ASINARA'!$m$4:$m$"&amp;$C$6))
+SUMIF(INDIRECT("'Output 4-PELAGIE'!$H$4:$H$"&amp;$C$7),Analysis!Q43,INDIRECT("'Output 4-PELAGIE'!$m$4:$m$"&amp;$C$7))
+SUMIF(INDIRECT("'Output 5-EGADI'!$H$4:$H$"&amp;$C$8),Analysis!Q43,INDIRECT("'Output 5-EGADI'!$m$4:$m$"&amp;$C$8))
+SUMIF(INDIRECT("'Output 6-TG'!$H$4:$H$"&amp;$C$9),Analysis!Q43,INDIRECT("'Output 6-TG'!$m$4:$m$"&amp;$C$9))
+SUMIF(INDIRECT("'Output 7-PNAT'!$H$4:$H$"&amp;$C$10),Analysis!Q43,INDIRECT("'Output 7-PNAT'!$m$4:$m$"&amp;$C$10))
+SUMIF(INDIRECT("'Output 8-AEO'!$H$4:$H$"&amp;$C$11),Analysis!Q43,INDIRECT("'Output 8-AEO'!$m$4:$m$"&amp;$C$11))
+SUMIF(INDIRECT("'Output 9-EGADI2'!$H$4:$H$"&amp;$C$12),Analysis!Q43,INDIRECT("'Output 9-EGADI2'!$m$4:$m$"&amp;$C$12))
+SUMIF(INDIRECT("'Output 10-TUNIS'!$H$4:$H$"&amp;$C$13),Analysis!Q43,INDIRECT("'Output 10-TUNIS'!$m$4:$m$"&amp;$C$13))</f>
        <v>0</v>
      </c>
      <c r="S43" s="5">
        <f ca="1">SUMIF(INDIRECT("'Output 1-CARBONARA'!$H$4:$H$"&amp;$C$4),Analysis!Q43,INDIRECT("'Output 1-CARBONARA'!$q$4:$q$"&amp;$C$4))
+SUMIF(INDIRECT("'Output 2-CACCIA'!$H$4:$H$"&amp;$C$5),Analysis!Q43,INDIRECT("'Output 2-CACCIA'!$q$4:$q$"&amp;$C$5))
+SUMIF(INDIRECT("'Output 3-ASINARA'!$H$4:$H$"&amp;$C$6),Analysis!Q43,INDIRECT("'Output 3-ASINARA'!$q$4:$q$"&amp;$C$6))
+SUMIF(INDIRECT("'Output 4-PELAGIE'!$H$4:$H$"&amp;$C$7),Analysis!Q43,INDIRECT("'Output 4-PELAGIE'!$q$4:$q$"&amp;$C$7))
+SUMIF(INDIRECT("'Output 5-EGADI'!$H$4:$H$"&amp;$C$8),Analysis!Q43,INDIRECT("'Output 5-EGADI'!$q$4:$q$"&amp;$C$8))
+SUMIF(INDIRECT("'Output 6-TG'!$H$4:$H$"&amp;$C$9),Analysis!Q43,INDIRECT("'Output 6-TG'!$q$4:$q$"&amp;$C$9))
+SUMIF(INDIRECT("'Output 7-PNAT'!$H$4:$H$"&amp;$C$10),Analysis!Q43,INDIRECT("'Output 7-PNAT'!$q$4:$q$"&amp;$C$10))
+SUMIF(INDIRECT("'Output 8-AEO'!$H$4:$H$"&amp;$C$11),Analysis!Q43,INDIRECT("'Output 8-AEO'!$q$4:$q$"&amp;$C$11))
+SUMIF(INDIRECT("'Output 9-EGADI2'!$H$4:$H$"&amp;$C$12),Analysis!Q43,INDIRECT("'Output 9-EGADI2'!$q$4:$q$"&amp;$C$12))
+SUMIF(INDIRECT("'Output 10-TUNIS'!$H$4:$H$"&amp;$C$13),Analysis!Q43,INDIRECT("'Output 10-TUNIS'!$q$4:$q$"&amp;$C$13))</f>
        <v>0</v>
      </c>
      <c r="T43" s="5">
        <f ca="1">SUMIF(INDIRECT("'Output 1-CARBONARA'!$H$4:$H$"&amp;$C$4),Analysis!Q43,INDIRECT("'Output 1-CARBONARA'!$U$4:$U$"&amp;$C$4))
+SUMIF(INDIRECT("'Output 2-CACCIA'!$H$4:$H$"&amp;$C$5),Analysis!Q43,INDIRECT("'Output 2-CACCIA'!$U$4:$U$"&amp;$C$5))
+SUMIF(INDIRECT("'Output 3-ASINARA'!$H$4:$H$"&amp;$C$6),Analysis!Q43,INDIRECT("'Output 3-ASINARA'!$U$4:$U$"&amp;$C$6))
+SUMIF(INDIRECT("'Output 4-PELAGIE'!$H$4:$H$"&amp;$C$7),Analysis!Q43,INDIRECT("'Output 4-PELAGIE'!$U$4:$U$"&amp;$C$7))
+SUMIF(INDIRECT("'Output 5-EGADI'!$H$4:$H$"&amp;$C$8),Analysis!Q43,INDIRECT("'Output 5-EGADI'!$U$4:$U$"&amp;$C$8))
+SUMIF(INDIRECT("'Output 6-TG'!$H$4:$H$"&amp;$C$9),Analysis!Q43,INDIRECT("'Output 6-TG'!$U$4:$U$"&amp;$C$9))
+SUMIF(INDIRECT("'Output 7-PNAT'!$H$4:$H$"&amp;$C$10),Analysis!Q43,INDIRECT("'Output 7-PNAT'!$U$4:$U$"&amp;$C$10))
+SUMIF(INDIRECT("'Output 8-AEO'!$H$4:$H$"&amp;$C$11),Analysis!Q43,INDIRECT("'Output 8-AEO'!$U$4:$U$"&amp;$C$11))
+SUMIF(INDIRECT("'Output 9-EGADI2'!$H$4:$H$"&amp;$C$12),Analysis!Q43,INDIRECT("'Output 9-EGADI2'!$U$4:$U$"&amp;$C$12))
+SUMIF(INDIRECT("'Output 10-TUNIS'!$H$4:$H$"&amp;$C$13),Analysis!Q43,INDIRECT("'Output 10-TUNIS'!$U$4:$U$"&amp;$C$13))</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8">
        <f t="shared" ca="1" si="9"/>
        <v>0</v>
      </c>
      <c r="AA43" s="38">
        <f t="shared" si="10"/>
        <v>0</v>
      </c>
      <c r="AB43" s="54">
        <f t="shared" ca="1" si="11"/>
        <v>0</v>
      </c>
      <c r="AC43" s="64">
        <f ca="1">SUMIF(INDIRECT("'Output 1-CARBONARA'!$H$5:$H$"&amp;$C$4),Analysis!$Q43,INDIRECT("'Output 1-CARBONARA'!$F$5:$F$"&amp;$C$4))
+SUMIF(INDIRECT("'Output 2-CACCIA'!$H$5:$H$"&amp;$C$5),Analysis!$Q43,INDIRECT("'Output 2-CACCIA'!$F$5:$F$"&amp;$C$5))
+SUMIF(INDIRECT("'Output 3-ASINARA'!$H$5:$H$"&amp;$C$6),Analysis!$Q43,INDIRECT("'Output 3-ASINARA'!$F$5:$F$"&amp;$C$6))
+SUMIF(INDIRECT("'Output 4-PELAGIE'!$H$5:$H$"&amp;$C$7),Analysis!$Q43,INDIRECT("'Output 4-PELAGIE'!$F$5:$F$"&amp;$C$7))
+SUMIF(INDIRECT("'Output 5-EGADI'!$H$5:$H$"&amp;$C$8),Analysis!$Q43,INDIRECT("'Output 5-EGADI'!$F$5:$F$"&amp;$C$8))
+SUMIF(INDIRECT("'Output 6-TG'!$H$5:$H$"&amp;$C$9),Analysis!$Q43,INDIRECT("'Output 6-TG'!$F$5:$F$"&amp;$C$9))
+SUMIF(INDIRECT("'Output 7-PNAT'!$H$5:$H$"&amp;$C$10),Analysis!$Q43,INDIRECT("'Output 7-PNAT'!$F$5:$F$"&amp;$C$10))
+SUMIF(INDIRECT("'Output 8-AEO'!$H$5:$H$"&amp;$C$11),Analysis!$Q43,INDIRECT("'Output 8-AEO'!$F$5:$F$"&amp;$C$11))
+SUMIF(INDIRECT("'Output 9-EGADI2'!$H$5:$H$"&amp;$C$12),Analysis!$Q43,INDIRECT("'Output 9-EGADI2'!$F$5:$F$"&amp;$C$12))
+SUMIF(INDIRECT("'Output 10-TUNIS'!$H$5:$H$"&amp;$C$13),Analysis!$Q43,INDIRECT("'Output 10-TUNIS'!$F$5:$F$"&amp;$C$13))</f>
        <v>0</v>
      </c>
    </row>
    <row r="44" spans="6:29">
      <c r="Q44" s="31">
        <v>3.3</v>
      </c>
      <c r="R44" s="5">
        <f ca="1">SUMIF(INDIRECT("'Output 1-CARBONARA'!$H$4:$H$"&amp;$C$4),Analysis!Q44,INDIRECT("'Output 1-CARBONARA'!$m$4:$m$"&amp;$C$4))
+SUMIF(INDIRECT("'Output 2-CACCIA'!$H$4:$H$"&amp;$C$5),Analysis!Q44,INDIRECT("'Output 2-CACCIA'!$m$4:$m$"&amp;$C$5))
+SUMIF(INDIRECT("'Output 3-ASINARA'!$H$4:$H$"&amp;$C$6),Analysis!Q44,INDIRECT("'Output 3-ASINARA'!$m$4:$m$"&amp;$C$6))
+SUMIF(INDIRECT("'Output 4-PELAGIE'!$H$4:$H$"&amp;$C$7),Analysis!Q44,INDIRECT("'Output 4-PELAGIE'!$m$4:$m$"&amp;$C$7))
+SUMIF(INDIRECT("'Output 5-EGADI'!$H$4:$H$"&amp;$C$8),Analysis!Q44,INDIRECT("'Output 5-EGADI'!$m$4:$m$"&amp;$C$8))
+SUMIF(INDIRECT("'Output 6-TG'!$H$4:$H$"&amp;$C$9),Analysis!Q44,INDIRECT("'Output 6-TG'!$m$4:$m$"&amp;$C$9))
+SUMIF(INDIRECT("'Output 7-PNAT'!$H$4:$H$"&amp;$C$10),Analysis!Q44,INDIRECT("'Output 7-PNAT'!$m$4:$m$"&amp;$C$10))
+SUMIF(INDIRECT("'Output 8-AEO'!$H$4:$H$"&amp;$C$11),Analysis!Q44,INDIRECT("'Output 8-AEO'!$m$4:$m$"&amp;$C$11))
+SUMIF(INDIRECT("'Output 9-EGADI2'!$H$4:$H$"&amp;$C$12),Analysis!Q44,INDIRECT("'Output 9-EGADI2'!$m$4:$m$"&amp;$C$12))
+SUMIF(INDIRECT("'Output 10-TUNIS'!$H$4:$H$"&amp;$C$13),Analysis!Q44,INDIRECT("'Output 10-TUNIS'!$m$4:$m$"&amp;$C$13))</f>
        <v>0</v>
      </c>
      <c r="S44" s="5">
        <f ca="1">SUMIF(INDIRECT("'Output 1-CARBONARA'!$H$4:$H$"&amp;$C$4),Analysis!Q44,INDIRECT("'Output 1-CARBONARA'!$q$4:$q$"&amp;$C$4))
+SUMIF(INDIRECT("'Output 2-CACCIA'!$H$4:$H$"&amp;$C$5),Analysis!Q44,INDIRECT("'Output 2-CACCIA'!$q$4:$q$"&amp;$C$5))
+SUMIF(INDIRECT("'Output 3-ASINARA'!$H$4:$H$"&amp;$C$6),Analysis!Q44,INDIRECT("'Output 3-ASINARA'!$q$4:$q$"&amp;$C$6))
+SUMIF(INDIRECT("'Output 4-PELAGIE'!$H$4:$H$"&amp;$C$7),Analysis!Q44,INDIRECT("'Output 4-PELAGIE'!$q$4:$q$"&amp;$C$7))
+SUMIF(INDIRECT("'Output 5-EGADI'!$H$4:$H$"&amp;$C$8),Analysis!Q44,INDIRECT("'Output 5-EGADI'!$q$4:$q$"&amp;$C$8))
+SUMIF(INDIRECT("'Output 6-TG'!$H$4:$H$"&amp;$C$9),Analysis!Q44,INDIRECT("'Output 6-TG'!$q$4:$q$"&amp;$C$9))
+SUMIF(INDIRECT("'Output 7-PNAT'!$H$4:$H$"&amp;$C$10),Analysis!Q44,INDIRECT("'Output 7-PNAT'!$q$4:$q$"&amp;$C$10))
+SUMIF(INDIRECT("'Output 8-AEO'!$H$4:$H$"&amp;$C$11),Analysis!Q44,INDIRECT("'Output 8-AEO'!$q$4:$q$"&amp;$C$11))
+SUMIF(INDIRECT("'Output 9-EGADI2'!$H$4:$H$"&amp;$C$12),Analysis!Q44,INDIRECT("'Output 9-EGADI2'!$q$4:$q$"&amp;$C$12))
+SUMIF(INDIRECT("'Output 10-TUNIS'!$H$4:$H$"&amp;$C$13),Analysis!Q44,INDIRECT("'Output 10-TUNIS'!$q$4:$q$"&amp;$C$13))</f>
        <v>0</v>
      </c>
      <c r="T44" s="5">
        <f ca="1">SUMIF(INDIRECT("'Output 1-CARBONARA'!$H$4:$H$"&amp;$C$4),Analysis!Q44,INDIRECT("'Output 1-CARBONARA'!$U$4:$U$"&amp;$C$4))
+SUMIF(INDIRECT("'Output 2-CACCIA'!$H$4:$H$"&amp;$C$5),Analysis!Q44,INDIRECT("'Output 2-CACCIA'!$U$4:$U$"&amp;$C$5))
+SUMIF(INDIRECT("'Output 3-ASINARA'!$H$4:$H$"&amp;$C$6),Analysis!Q44,INDIRECT("'Output 3-ASINARA'!$U$4:$U$"&amp;$C$6))
+SUMIF(INDIRECT("'Output 4-PELAGIE'!$H$4:$H$"&amp;$C$7),Analysis!Q44,INDIRECT("'Output 4-PELAGIE'!$U$4:$U$"&amp;$C$7))
+SUMIF(INDIRECT("'Output 5-EGADI'!$H$4:$H$"&amp;$C$8),Analysis!Q44,INDIRECT("'Output 5-EGADI'!$U$4:$U$"&amp;$C$8))
+SUMIF(INDIRECT("'Output 6-TG'!$H$4:$H$"&amp;$C$9),Analysis!Q44,INDIRECT("'Output 6-TG'!$U$4:$U$"&amp;$C$9))
+SUMIF(INDIRECT("'Output 7-PNAT'!$H$4:$H$"&amp;$C$10),Analysis!Q44,INDIRECT("'Output 7-PNAT'!$U$4:$U$"&amp;$C$10))
+SUMIF(INDIRECT("'Output 8-AEO'!$H$4:$H$"&amp;$C$11),Analysis!Q44,INDIRECT("'Output 8-AEO'!$U$4:$U$"&amp;$C$11))
+SUMIF(INDIRECT("'Output 9-EGADI2'!$H$4:$H$"&amp;$C$12),Analysis!Q44,INDIRECT("'Output 9-EGADI2'!$U$4:$U$"&amp;$C$12))
+SUMIF(INDIRECT("'Output 10-TUNIS'!$H$4:$H$"&amp;$C$13),Analysis!Q44,INDIRECT("'Output 10-TUNIS'!$U$4:$U$"&amp;$C$13))</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8">
        <f t="shared" ca="1" si="9"/>
        <v>0</v>
      </c>
      <c r="AA44" s="38">
        <f t="shared" si="10"/>
        <v>0</v>
      </c>
      <c r="AB44" s="54">
        <f t="shared" ca="1" si="11"/>
        <v>0</v>
      </c>
      <c r="AC44" s="64">
        <f ca="1">SUMIF(INDIRECT("'Output 1-CARBONARA'!$H$5:$H$"&amp;$C$4),Analysis!$Q44,INDIRECT("'Output 1-CARBONARA'!$F$5:$F$"&amp;$C$4))
+SUMIF(INDIRECT("'Output 2-CACCIA'!$H$5:$H$"&amp;$C$5),Analysis!$Q44,INDIRECT("'Output 2-CACCIA'!$F$5:$F$"&amp;$C$5))
+SUMIF(INDIRECT("'Output 3-ASINARA'!$H$5:$H$"&amp;$C$6),Analysis!$Q44,INDIRECT("'Output 3-ASINARA'!$F$5:$F$"&amp;$C$6))
+SUMIF(INDIRECT("'Output 4-PELAGIE'!$H$5:$H$"&amp;$C$7),Analysis!$Q44,INDIRECT("'Output 4-PELAGIE'!$F$5:$F$"&amp;$C$7))
+SUMIF(INDIRECT("'Output 5-EGADI'!$H$5:$H$"&amp;$C$8),Analysis!$Q44,INDIRECT("'Output 5-EGADI'!$F$5:$F$"&amp;$C$8))
+SUMIF(INDIRECT("'Output 6-TG'!$H$5:$H$"&amp;$C$9),Analysis!$Q44,INDIRECT("'Output 6-TG'!$F$5:$F$"&amp;$C$9))
+SUMIF(INDIRECT("'Output 7-PNAT'!$H$5:$H$"&amp;$C$10),Analysis!$Q44,INDIRECT("'Output 7-PNAT'!$F$5:$F$"&amp;$C$10))
+SUMIF(INDIRECT("'Output 8-AEO'!$H$5:$H$"&amp;$C$11),Analysis!$Q44,INDIRECT("'Output 8-AEO'!$F$5:$F$"&amp;$C$11))
+SUMIF(INDIRECT("'Output 9-EGADI2'!$H$5:$H$"&amp;$C$12),Analysis!$Q44,INDIRECT("'Output 9-EGADI2'!$F$5:$F$"&amp;$C$12))
+SUMIF(INDIRECT("'Output 10-TUNIS'!$H$5:$H$"&amp;$C$13),Analysis!$Q44,INDIRECT("'Output 10-TUNIS'!$F$5:$F$"&amp;$C$13))</f>
        <v>0</v>
      </c>
    </row>
    <row r="45" spans="6:29">
      <c r="Q45" s="31" t="s">
        <v>727</v>
      </c>
      <c r="R45" s="5">
        <f ca="1">SUMIF(INDIRECT("'Output 1-CARBONARA'!$H$4:$H$"&amp;$C$4),Analysis!Q45,INDIRECT("'Output 1-CARBONARA'!$m$4:$m$"&amp;$C$4))
+SUMIF(INDIRECT("'Output 2-CACCIA'!$H$4:$H$"&amp;$C$5),Analysis!Q45,INDIRECT("'Output 2-CACCIA'!$m$4:$m$"&amp;$C$5))
+SUMIF(INDIRECT("'Output 3-ASINARA'!$H$4:$H$"&amp;$C$6),Analysis!Q45,INDIRECT("'Output 3-ASINARA'!$m$4:$m$"&amp;$C$6))
+SUMIF(INDIRECT("'Output 4-PELAGIE'!$H$4:$H$"&amp;$C$7),Analysis!Q45,INDIRECT("'Output 4-PELAGIE'!$m$4:$m$"&amp;$C$7))
+SUMIF(INDIRECT("'Output 5-EGADI'!$H$4:$H$"&amp;$C$8),Analysis!Q45,INDIRECT("'Output 5-EGADI'!$m$4:$m$"&amp;$C$8))
+SUMIF(INDIRECT("'Output 6-TG'!$H$4:$H$"&amp;$C$9),Analysis!Q45,INDIRECT("'Output 6-TG'!$m$4:$m$"&amp;$C$9))
+SUMIF(INDIRECT("'Output 7-PNAT'!$H$4:$H$"&amp;$C$10),Analysis!Q45,INDIRECT("'Output 7-PNAT'!$m$4:$m$"&amp;$C$10))
+SUMIF(INDIRECT("'Output 8-AEO'!$H$4:$H$"&amp;$C$11),Analysis!Q45,INDIRECT("'Output 8-AEO'!$m$4:$m$"&amp;$C$11))
+SUMIF(INDIRECT("'Output 9-EGADI2'!$H$4:$H$"&amp;$C$12),Analysis!Q45,INDIRECT("'Output 9-EGADI2'!$m$4:$m$"&amp;$C$12))
+SUMIF(INDIRECT("'Output 10-TUNIS'!$H$4:$H$"&amp;$C$13),Analysis!Q45,INDIRECT("'Output 10-TUNIS'!$m$4:$m$"&amp;$C$13))</f>
        <v>0</v>
      </c>
      <c r="S45" s="5">
        <f ca="1">SUMIF(INDIRECT("'Output 1-CARBONARA'!$H$4:$H$"&amp;$C$4),Analysis!Q45,INDIRECT("'Output 1-CARBONARA'!$q$4:$q$"&amp;$C$4))
+SUMIF(INDIRECT("'Output 2-CACCIA'!$H$4:$H$"&amp;$C$5),Analysis!Q45,INDIRECT("'Output 2-CACCIA'!$q$4:$q$"&amp;$C$5))
+SUMIF(INDIRECT("'Output 3-ASINARA'!$H$4:$H$"&amp;$C$6),Analysis!Q45,INDIRECT("'Output 3-ASINARA'!$q$4:$q$"&amp;$C$6))
+SUMIF(INDIRECT("'Output 4-PELAGIE'!$H$4:$H$"&amp;$C$7),Analysis!Q45,INDIRECT("'Output 4-PELAGIE'!$q$4:$q$"&amp;$C$7))
+SUMIF(INDIRECT("'Output 5-EGADI'!$H$4:$H$"&amp;$C$8),Analysis!Q45,INDIRECT("'Output 5-EGADI'!$q$4:$q$"&amp;$C$8))
+SUMIF(INDIRECT("'Output 6-TG'!$H$4:$H$"&amp;$C$9),Analysis!Q45,INDIRECT("'Output 6-TG'!$q$4:$q$"&amp;$C$9))
+SUMIF(INDIRECT("'Output 7-PNAT'!$H$4:$H$"&amp;$C$10),Analysis!Q45,INDIRECT("'Output 7-PNAT'!$q$4:$q$"&amp;$C$10))
+SUMIF(INDIRECT("'Output 8-AEO'!$H$4:$H$"&amp;$C$11),Analysis!Q45,INDIRECT("'Output 8-AEO'!$q$4:$q$"&amp;$C$11))
+SUMIF(INDIRECT("'Output 9-EGADI2'!$H$4:$H$"&amp;$C$12),Analysis!Q45,INDIRECT("'Output 9-EGADI2'!$q$4:$q$"&amp;$C$12))
+SUMIF(INDIRECT("'Output 10-TUNIS'!$H$4:$H$"&amp;$C$13),Analysis!Q45,INDIRECT("'Output 10-TUNIS'!$q$4:$q$"&amp;$C$13))</f>
        <v>0</v>
      </c>
      <c r="T45" s="5">
        <f ca="1">SUMIF(INDIRECT("'Output 1-CARBONARA'!$H$4:$H$"&amp;$C$4),Analysis!Q45,INDIRECT("'Output 1-CARBONARA'!$U$4:$U$"&amp;$C$4))
+SUMIF(INDIRECT("'Output 2-CACCIA'!$H$4:$H$"&amp;$C$5),Analysis!Q45,INDIRECT("'Output 2-CACCIA'!$U$4:$U$"&amp;$C$5))
+SUMIF(INDIRECT("'Output 3-ASINARA'!$H$4:$H$"&amp;$C$6),Analysis!Q45,INDIRECT("'Output 3-ASINARA'!$U$4:$U$"&amp;$C$6))
+SUMIF(INDIRECT("'Output 4-PELAGIE'!$H$4:$H$"&amp;$C$7),Analysis!Q45,INDIRECT("'Output 4-PELAGIE'!$U$4:$U$"&amp;$C$7))
+SUMIF(INDIRECT("'Output 5-EGADI'!$H$4:$H$"&amp;$C$8),Analysis!Q45,INDIRECT("'Output 5-EGADI'!$U$4:$U$"&amp;$C$8))
+SUMIF(INDIRECT("'Output 6-TG'!$H$4:$H$"&amp;$C$9),Analysis!Q45,INDIRECT("'Output 6-TG'!$U$4:$U$"&amp;$C$9))
+SUMIF(INDIRECT("'Output 7-PNAT'!$H$4:$H$"&amp;$C$10),Analysis!Q45,INDIRECT("'Output 7-PNAT'!$U$4:$U$"&amp;$C$10))
+SUMIF(INDIRECT("'Output 8-AEO'!$H$4:$H$"&amp;$C$11),Analysis!Q45,INDIRECT("'Output 8-AEO'!$U$4:$U$"&amp;$C$11))
+SUMIF(INDIRECT("'Output 9-EGADI2'!$H$4:$H$"&amp;$C$12),Analysis!Q45,INDIRECT("'Output 9-EGADI2'!$U$4:$U$"&amp;$C$12))
+SUMIF(INDIRECT("'Output 10-TUNIS'!$H$4:$H$"&amp;$C$13),Analysis!Q45,INDIRECT("'Output 10-TUNIS'!$U$4:$U$"&amp;$C$13))</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8">
        <f t="shared" ca="1" si="9"/>
        <v>0</v>
      </c>
      <c r="AA45" s="38">
        <f t="shared" si="10"/>
        <v>0</v>
      </c>
      <c r="AB45" s="54">
        <f t="shared" ca="1" si="11"/>
        <v>0</v>
      </c>
      <c r="AC45" s="64">
        <f ca="1">SUMIF(INDIRECT("'Output 1-CARBONARA'!$H$5:$H$"&amp;$C$4),Analysis!$Q45,INDIRECT("'Output 1-CARBONARA'!$F$5:$F$"&amp;$C$4))
+SUMIF(INDIRECT("'Output 2-CACCIA'!$H$5:$H$"&amp;$C$5),Analysis!$Q45,INDIRECT("'Output 2-CACCIA'!$F$5:$F$"&amp;$C$5))
+SUMIF(INDIRECT("'Output 3-ASINARA'!$H$5:$H$"&amp;$C$6),Analysis!$Q45,INDIRECT("'Output 3-ASINARA'!$F$5:$F$"&amp;$C$6))
+SUMIF(INDIRECT("'Output 4-PELAGIE'!$H$5:$H$"&amp;$C$7),Analysis!$Q45,INDIRECT("'Output 4-PELAGIE'!$F$5:$F$"&amp;$C$7))
+SUMIF(INDIRECT("'Output 5-EGADI'!$H$5:$H$"&amp;$C$8),Analysis!$Q45,INDIRECT("'Output 5-EGADI'!$F$5:$F$"&amp;$C$8))
+SUMIF(INDIRECT("'Output 6-TG'!$H$5:$H$"&amp;$C$9),Analysis!$Q45,INDIRECT("'Output 6-TG'!$F$5:$F$"&amp;$C$9))
+SUMIF(INDIRECT("'Output 7-PNAT'!$H$5:$H$"&amp;$C$10),Analysis!$Q45,INDIRECT("'Output 7-PNAT'!$F$5:$F$"&amp;$C$10))
+SUMIF(INDIRECT("'Output 8-AEO'!$H$5:$H$"&amp;$C$11),Analysis!$Q45,INDIRECT("'Output 8-AEO'!$F$5:$F$"&amp;$C$11))
+SUMIF(INDIRECT("'Output 9-EGADI2'!$H$5:$H$"&amp;$C$12),Analysis!$Q45,INDIRECT("'Output 9-EGADI2'!$F$5:$F$"&amp;$C$12))
+SUMIF(INDIRECT("'Output 10-TUNIS'!$H$5:$H$"&amp;$C$13),Analysis!$Q45,INDIRECT("'Output 10-TUNIS'!$F$5:$F$"&amp;$C$13))</f>
        <v>0</v>
      </c>
    </row>
    <row r="46" spans="6:29">
      <c r="Q46" s="31" t="s">
        <v>728</v>
      </c>
      <c r="R46" s="5">
        <f ca="1">SUMIF(INDIRECT("'Output 1-CARBONARA'!$H$4:$H$"&amp;$C$4),Analysis!Q46,INDIRECT("'Output 1-CARBONARA'!$m$4:$m$"&amp;$C$4))
+SUMIF(INDIRECT("'Output 2-CACCIA'!$H$4:$H$"&amp;$C$5),Analysis!Q46,INDIRECT("'Output 2-CACCIA'!$m$4:$m$"&amp;$C$5))
+SUMIF(INDIRECT("'Output 3-ASINARA'!$H$4:$H$"&amp;$C$6),Analysis!Q46,INDIRECT("'Output 3-ASINARA'!$m$4:$m$"&amp;$C$6))
+SUMIF(INDIRECT("'Output 4-PELAGIE'!$H$4:$H$"&amp;$C$7),Analysis!Q46,INDIRECT("'Output 4-PELAGIE'!$m$4:$m$"&amp;$C$7))
+SUMIF(INDIRECT("'Output 5-EGADI'!$H$4:$H$"&amp;$C$8),Analysis!Q46,INDIRECT("'Output 5-EGADI'!$m$4:$m$"&amp;$C$8))
+SUMIF(INDIRECT("'Output 6-TG'!$H$4:$H$"&amp;$C$9),Analysis!Q46,INDIRECT("'Output 6-TG'!$m$4:$m$"&amp;$C$9))
+SUMIF(INDIRECT("'Output 7-PNAT'!$H$4:$H$"&amp;$C$10),Analysis!Q46,INDIRECT("'Output 7-PNAT'!$m$4:$m$"&amp;$C$10))
+SUMIF(INDIRECT("'Output 8-AEO'!$H$4:$H$"&amp;$C$11),Analysis!Q46,INDIRECT("'Output 8-AEO'!$m$4:$m$"&amp;$C$11))
+SUMIF(INDIRECT("'Output 9-EGADI2'!$H$4:$H$"&amp;$C$12),Analysis!Q46,INDIRECT("'Output 9-EGADI2'!$m$4:$m$"&amp;$C$12))
+SUMIF(INDIRECT("'Output 10-TUNIS'!$H$4:$H$"&amp;$C$13),Analysis!Q46,INDIRECT("'Output 10-TUNIS'!$m$4:$m$"&amp;$C$13))</f>
        <v>0</v>
      </c>
      <c r="S46" s="5">
        <f ca="1">SUMIF(INDIRECT("'Output 1-CARBONARA'!$H$4:$H$"&amp;$C$4),Analysis!Q46,INDIRECT("'Output 1-CARBONARA'!$q$4:$q$"&amp;$C$4))
+SUMIF(INDIRECT("'Output 2-CACCIA'!$H$4:$H$"&amp;$C$5),Analysis!Q46,INDIRECT("'Output 2-CACCIA'!$q$4:$q$"&amp;$C$5))
+SUMIF(INDIRECT("'Output 3-ASINARA'!$H$4:$H$"&amp;$C$6),Analysis!Q46,INDIRECT("'Output 3-ASINARA'!$q$4:$q$"&amp;$C$6))
+SUMIF(INDIRECT("'Output 4-PELAGIE'!$H$4:$H$"&amp;$C$7),Analysis!Q46,INDIRECT("'Output 4-PELAGIE'!$q$4:$q$"&amp;$C$7))
+SUMIF(INDIRECT("'Output 5-EGADI'!$H$4:$H$"&amp;$C$8),Analysis!Q46,INDIRECT("'Output 5-EGADI'!$q$4:$q$"&amp;$C$8))
+SUMIF(INDIRECT("'Output 6-TG'!$H$4:$H$"&amp;$C$9),Analysis!Q46,INDIRECT("'Output 6-TG'!$q$4:$q$"&amp;$C$9))
+SUMIF(INDIRECT("'Output 7-PNAT'!$H$4:$H$"&amp;$C$10),Analysis!Q46,INDIRECT("'Output 7-PNAT'!$q$4:$q$"&amp;$C$10))
+SUMIF(INDIRECT("'Output 8-AEO'!$H$4:$H$"&amp;$C$11),Analysis!Q46,INDIRECT("'Output 8-AEO'!$q$4:$q$"&amp;$C$11))
+SUMIF(INDIRECT("'Output 9-EGADI2'!$H$4:$H$"&amp;$C$12),Analysis!Q46,INDIRECT("'Output 9-EGADI2'!$q$4:$q$"&amp;$C$12))
+SUMIF(INDIRECT("'Output 10-TUNIS'!$H$4:$H$"&amp;$C$13),Analysis!Q46,INDIRECT("'Output 10-TUNIS'!$q$4:$q$"&amp;$C$13))</f>
        <v>0</v>
      </c>
      <c r="T46" s="5">
        <f ca="1">SUMIF(INDIRECT("'Output 1-CARBONARA'!$H$4:$H$"&amp;$C$4),Analysis!Q46,INDIRECT("'Output 1-CARBONARA'!$U$4:$U$"&amp;$C$4))
+SUMIF(INDIRECT("'Output 2-CACCIA'!$H$4:$H$"&amp;$C$5),Analysis!Q46,INDIRECT("'Output 2-CACCIA'!$U$4:$U$"&amp;$C$5))
+SUMIF(INDIRECT("'Output 3-ASINARA'!$H$4:$H$"&amp;$C$6),Analysis!Q46,INDIRECT("'Output 3-ASINARA'!$U$4:$U$"&amp;$C$6))
+SUMIF(INDIRECT("'Output 4-PELAGIE'!$H$4:$H$"&amp;$C$7),Analysis!Q46,INDIRECT("'Output 4-PELAGIE'!$U$4:$U$"&amp;$C$7))
+SUMIF(INDIRECT("'Output 5-EGADI'!$H$4:$H$"&amp;$C$8),Analysis!Q46,INDIRECT("'Output 5-EGADI'!$U$4:$U$"&amp;$C$8))
+SUMIF(INDIRECT("'Output 6-TG'!$H$4:$H$"&amp;$C$9),Analysis!Q46,INDIRECT("'Output 6-TG'!$U$4:$U$"&amp;$C$9))
+SUMIF(INDIRECT("'Output 7-PNAT'!$H$4:$H$"&amp;$C$10),Analysis!Q46,INDIRECT("'Output 7-PNAT'!$U$4:$U$"&amp;$C$10))
+SUMIF(INDIRECT("'Output 8-AEO'!$H$4:$H$"&amp;$C$11),Analysis!Q46,INDIRECT("'Output 8-AEO'!$U$4:$U$"&amp;$C$11))
+SUMIF(INDIRECT("'Output 9-EGADI2'!$H$4:$H$"&amp;$C$12),Analysis!Q46,INDIRECT("'Output 9-EGADI2'!$U$4:$U$"&amp;$C$12))
+SUMIF(INDIRECT("'Output 10-TUNIS'!$H$4:$H$"&amp;$C$13),Analysis!Q46,INDIRECT("'Output 10-TUNIS'!$U$4:$U$"&amp;$C$13))</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8">
        <f t="shared" ca="1" si="9"/>
        <v>0</v>
      </c>
      <c r="AA46" s="38">
        <f t="shared" si="10"/>
        <v>0</v>
      </c>
      <c r="AB46" s="54">
        <f t="shared" ca="1" si="11"/>
        <v>0</v>
      </c>
      <c r="AC46" s="64">
        <f ca="1">SUMIF(INDIRECT("'Output 1-CARBONARA'!$H$5:$H$"&amp;$C$4),Analysis!$Q46,INDIRECT("'Output 1-CARBONARA'!$F$5:$F$"&amp;$C$4))
+SUMIF(INDIRECT("'Output 2-CACCIA'!$H$5:$H$"&amp;$C$5),Analysis!$Q46,INDIRECT("'Output 2-CACCIA'!$F$5:$F$"&amp;$C$5))
+SUMIF(INDIRECT("'Output 3-ASINARA'!$H$5:$H$"&amp;$C$6),Analysis!$Q46,INDIRECT("'Output 3-ASINARA'!$F$5:$F$"&amp;$C$6))
+SUMIF(INDIRECT("'Output 4-PELAGIE'!$H$5:$H$"&amp;$C$7),Analysis!$Q46,INDIRECT("'Output 4-PELAGIE'!$F$5:$F$"&amp;$C$7))
+SUMIF(INDIRECT("'Output 5-EGADI'!$H$5:$H$"&amp;$C$8),Analysis!$Q46,INDIRECT("'Output 5-EGADI'!$F$5:$F$"&amp;$C$8))
+SUMIF(INDIRECT("'Output 6-TG'!$H$5:$H$"&amp;$C$9),Analysis!$Q46,INDIRECT("'Output 6-TG'!$F$5:$F$"&amp;$C$9))
+SUMIF(INDIRECT("'Output 7-PNAT'!$H$5:$H$"&amp;$C$10),Analysis!$Q46,INDIRECT("'Output 7-PNAT'!$F$5:$F$"&amp;$C$10))
+SUMIF(INDIRECT("'Output 8-AEO'!$H$5:$H$"&amp;$C$11),Analysis!$Q46,INDIRECT("'Output 8-AEO'!$F$5:$F$"&amp;$C$11))
+SUMIF(INDIRECT("'Output 9-EGADI2'!$H$5:$H$"&amp;$C$12),Analysis!$Q46,INDIRECT("'Output 9-EGADI2'!$F$5:$F$"&amp;$C$12))
+SUMIF(INDIRECT("'Output 10-TUNIS'!$H$5:$H$"&amp;$C$13),Analysis!$Q46,INDIRECT("'Output 10-TUNIS'!$F$5:$F$"&amp;$C$13))</f>
        <v>0</v>
      </c>
    </row>
    <row r="47" spans="6:29">
      <c r="Q47" s="31" t="s">
        <v>560</v>
      </c>
      <c r="R47" s="5">
        <f ca="1">SUMIF(INDIRECT("'Output 1-CARBONARA'!$H$4:$H$"&amp;$C$4),Analysis!Q47,INDIRECT("'Output 1-CARBONARA'!$m$4:$m$"&amp;$C$4))
+SUMIF(INDIRECT("'Output 2-CACCIA'!$H$4:$H$"&amp;$C$5),Analysis!Q47,INDIRECT("'Output 2-CACCIA'!$m$4:$m$"&amp;$C$5))
+SUMIF(INDIRECT("'Output 3-ASINARA'!$H$4:$H$"&amp;$C$6),Analysis!Q47,INDIRECT("'Output 3-ASINARA'!$m$4:$m$"&amp;$C$6))
+SUMIF(INDIRECT("'Output 4-PELAGIE'!$H$4:$H$"&amp;$C$7),Analysis!Q47,INDIRECT("'Output 4-PELAGIE'!$m$4:$m$"&amp;$C$7))
+SUMIF(INDIRECT("'Output 5-EGADI'!$H$4:$H$"&amp;$C$8),Analysis!Q47,INDIRECT("'Output 5-EGADI'!$m$4:$m$"&amp;$C$8))
+SUMIF(INDIRECT("'Output 6-TG'!$H$4:$H$"&amp;$C$9),Analysis!Q47,INDIRECT("'Output 6-TG'!$m$4:$m$"&amp;$C$9))
+SUMIF(INDIRECT("'Output 7-PNAT'!$H$4:$H$"&amp;$C$10),Analysis!Q47,INDIRECT("'Output 7-PNAT'!$m$4:$m$"&amp;$C$10))
+SUMIF(INDIRECT("'Output 8-AEO'!$H$4:$H$"&amp;$C$11),Analysis!Q47,INDIRECT("'Output 8-AEO'!$m$4:$m$"&amp;$C$11))
+SUMIF(INDIRECT("'Output 9-EGADI2'!$H$4:$H$"&amp;$C$12),Analysis!Q47,INDIRECT("'Output 9-EGADI2'!$m$4:$m$"&amp;$C$12))
+SUMIF(INDIRECT("'Output 10-TUNIS'!$H$4:$H$"&amp;$C$13),Analysis!Q47,INDIRECT("'Output 10-TUNIS'!$m$4:$m$"&amp;$C$13))</f>
        <v>0</v>
      </c>
      <c r="S47" s="5">
        <f ca="1">SUMIF(INDIRECT("'Output 1-CARBONARA'!$H$4:$H$"&amp;$C$4),Analysis!Q47,INDIRECT("'Output 1-CARBONARA'!$q$4:$q$"&amp;$C$4))
+SUMIF(INDIRECT("'Output 2-CACCIA'!$H$4:$H$"&amp;$C$5),Analysis!Q47,INDIRECT("'Output 2-CACCIA'!$q$4:$q$"&amp;$C$5))
+SUMIF(INDIRECT("'Output 3-ASINARA'!$H$4:$H$"&amp;$C$6),Analysis!Q47,INDIRECT("'Output 3-ASINARA'!$q$4:$q$"&amp;$C$6))
+SUMIF(INDIRECT("'Output 4-PELAGIE'!$H$4:$H$"&amp;$C$7),Analysis!Q47,INDIRECT("'Output 4-PELAGIE'!$q$4:$q$"&amp;$C$7))
+SUMIF(INDIRECT("'Output 5-EGADI'!$H$4:$H$"&amp;$C$8),Analysis!Q47,INDIRECT("'Output 5-EGADI'!$q$4:$q$"&amp;$C$8))
+SUMIF(INDIRECT("'Output 6-TG'!$H$4:$H$"&amp;$C$9),Analysis!Q47,INDIRECT("'Output 6-TG'!$q$4:$q$"&amp;$C$9))
+SUMIF(INDIRECT("'Output 7-PNAT'!$H$4:$H$"&amp;$C$10),Analysis!Q47,INDIRECT("'Output 7-PNAT'!$q$4:$q$"&amp;$C$10))
+SUMIF(INDIRECT("'Output 8-AEO'!$H$4:$H$"&amp;$C$11),Analysis!Q47,INDIRECT("'Output 8-AEO'!$q$4:$q$"&amp;$C$11))
+SUMIF(INDIRECT("'Output 9-EGADI2'!$H$4:$H$"&amp;$C$12),Analysis!Q47,INDIRECT("'Output 9-EGADI2'!$q$4:$q$"&amp;$C$12))
+SUMIF(INDIRECT("'Output 10-TUNIS'!$H$4:$H$"&amp;$C$13),Analysis!Q47,INDIRECT("'Output 10-TUNIS'!$q$4:$q$"&amp;$C$13))</f>
        <v>0</v>
      </c>
      <c r="T47" s="5">
        <f ca="1">SUMIF(INDIRECT("'Output 1-CARBONARA'!$H$4:$H$"&amp;$C$4),Analysis!Q47,INDIRECT("'Output 1-CARBONARA'!$U$4:$U$"&amp;$C$4))
+SUMIF(INDIRECT("'Output 2-CACCIA'!$H$4:$H$"&amp;$C$5),Analysis!Q47,INDIRECT("'Output 2-CACCIA'!$U$4:$U$"&amp;$C$5))
+SUMIF(INDIRECT("'Output 3-ASINARA'!$H$4:$H$"&amp;$C$6),Analysis!Q47,INDIRECT("'Output 3-ASINARA'!$U$4:$U$"&amp;$C$6))
+SUMIF(INDIRECT("'Output 4-PELAGIE'!$H$4:$H$"&amp;$C$7),Analysis!Q47,INDIRECT("'Output 4-PELAGIE'!$U$4:$U$"&amp;$C$7))
+SUMIF(INDIRECT("'Output 5-EGADI'!$H$4:$H$"&amp;$C$8),Analysis!Q47,INDIRECT("'Output 5-EGADI'!$U$4:$U$"&amp;$C$8))
+SUMIF(INDIRECT("'Output 6-TG'!$H$4:$H$"&amp;$C$9),Analysis!Q47,INDIRECT("'Output 6-TG'!$U$4:$U$"&amp;$C$9))
+SUMIF(INDIRECT("'Output 7-PNAT'!$H$4:$H$"&amp;$C$10),Analysis!Q47,INDIRECT("'Output 7-PNAT'!$U$4:$U$"&amp;$C$10))
+SUMIF(INDIRECT("'Output 8-AEO'!$H$4:$H$"&amp;$C$11),Analysis!Q47,INDIRECT("'Output 8-AEO'!$U$4:$U$"&amp;$C$11))
+SUMIF(INDIRECT("'Output 9-EGADI2'!$H$4:$H$"&amp;$C$12),Analysis!Q47,INDIRECT("'Output 9-EGADI2'!$U$4:$U$"&amp;$C$12))
+SUMIF(INDIRECT("'Output 10-TUNIS'!$H$4:$H$"&amp;$C$13),Analysis!Q47,INDIRECT("'Output 10-TUNIS'!$U$4:$U$"&amp;$C$13))</f>
        <v>3</v>
      </c>
      <c r="U47" s="31"/>
      <c r="V47" s="5">
        <f>SUMIF('Unplanned Outputs'!$E$4:$E$500,Analysis!Q47,'Unplanned Outputs'!$J$4:$J$500)</f>
        <v>0</v>
      </c>
      <c r="W47" s="5">
        <f>SUMIF('Unplanned Outputs'!$E$4:$E$500,Analysis!$Q47,'Unplanned Outputs'!$N$4:$N$500)</f>
        <v>0</v>
      </c>
      <c r="X47" s="5">
        <f>SUMIF('Unplanned Outputs'!$E$4:$E$500,Analysis!$Q47,'Unplanned Outputs'!$R$4:$R$500)</f>
        <v>0</v>
      </c>
      <c r="Y47" s="15"/>
      <c r="Z47" s="38">
        <f t="shared" ca="1" si="9"/>
        <v>3</v>
      </c>
      <c r="AA47" s="38">
        <f t="shared" si="10"/>
        <v>0</v>
      </c>
      <c r="AB47" s="54">
        <f t="shared" ca="1" si="11"/>
        <v>3</v>
      </c>
      <c r="AC47" s="64">
        <f ca="1">SUMIF(INDIRECT("'Output 1-CARBONARA'!$H$5:$H$"&amp;$C$4),Analysis!$Q47,INDIRECT("'Output 1-CARBONARA'!$F$5:$F$"&amp;$C$4))
+SUMIF(INDIRECT("'Output 2-CACCIA'!$H$5:$H$"&amp;$C$5),Analysis!$Q47,INDIRECT("'Output 2-CACCIA'!$F$5:$F$"&amp;$C$5))
+SUMIF(INDIRECT("'Output 3-ASINARA'!$H$5:$H$"&amp;$C$6),Analysis!$Q47,INDIRECT("'Output 3-ASINARA'!$F$5:$F$"&amp;$C$6))
+SUMIF(INDIRECT("'Output 4-PELAGIE'!$H$5:$H$"&amp;$C$7),Analysis!$Q47,INDIRECT("'Output 4-PELAGIE'!$F$5:$F$"&amp;$C$7))
+SUMIF(INDIRECT("'Output 5-EGADI'!$H$5:$H$"&amp;$C$8),Analysis!$Q47,INDIRECT("'Output 5-EGADI'!$F$5:$F$"&amp;$C$8))
+SUMIF(INDIRECT("'Output 6-TG'!$H$5:$H$"&amp;$C$9),Analysis!$Q47,INDIRECT("'Output 6-TG'!$F$5:$F$"&amp;$C$9))
+SUMIF(INDIRECT("'Output 7-PNAT'!$H$5:$H$"&amp;$C$10),Analysis!$Q47,INDIRECT("'Output 7-PNAT'!$F$5:$F$"&amp;$C$10))
+SUMIF(INDIRECT("'Output 8-AEO'!$H$5:$H$"&amp;$C$11),Analysis!$Q47,INDIRECT("'Output 8-AEO'!$F$5:$F$"&amp;$C$11))
+SUMIF(INDIRECT("'Output 9-EGADI2'!$H$5:$H$"&amp;$C$12),Analysis!$Q47,INDIRECT("'Output 9-EGADI2'!$F$5:$F$"&amp;$C$12))
+SUMIF(INDIRECT("'Output 10-TUNIS'!$H$5:$H$"&amp;$C$13),Analysis!$Q47,INDIRECT("'Output 10-TUNIS'!$F$5:$F$"&amp;$C$13))</f>
        <v>0</v>
      </c>
    </row>
    <row r="48" spans="6:29">
      <c r="Q48" s="31">
        <v>3.4</v>
      </c>
      <c r="R48" s="5">
        <f ca="1">SUMIF(INDIRECT("'Output 1-CARBONARA'!$H$4:$H$"&amp;$C$4),Analysis!Q48,INDIRECT("'Output 1-CARBONARA'!$m$4:$m$"&amp;$C$4))
+SUMIF(INDIRECT("'Output 2-CACCIA'!$H$4:$H$"&amp;$C$5),Analysis!Q48,INDIRECT("'Output 2-CACCIA'!$m$4:$m$"&amp;$C$5))
+SUMIF(INDIRECT("'Output 3-ASINARA'!$H$4:$H$"&amp;$C$6),Analysis!Q48,INDIRECT("'Output 3-ASINARA'!$m$4:$m$"&amp;$C$6))
+SUMIF(INDIRECT("'Output 4-PELAGIE'!$H$4:$H$"&amp;$C$7),Analysis!Q48,INDIRECT("'Output 4-PELAGIE'!$m$4:$m$"&amp;$C$7))
+SUMIF(INDIRECT("'Output 5-EGADI'!$H$4:$H$"&amp;$C$8),Analysis!Q48,INDIRECT("'Output 5-EGADI'!$m$4:$m$"&amp;$C$8))
+SUMIF(INDIRECT("'Output 6-TG'!$H$4:$H$"&amp;$C$9),Analysis!Q48,INDIRECT("'Output 6-TG'!$m$4:$m$"&amp;$C$9))
+SUMIF(INDIRECT("'Output 7-PNAT'!$H$4:$H$"&amp;$C$10),Analysis!Q48,INDIRECT("'Output 7-PNAT'!$m$4:$m$"&amp;$C$10))
+SUMIF(INDIRECT("'Output 8-AEO'!$H$4:$H$"&amp;$C$11),Analysis!Q48,INDIRECT("'Output 8-AEO'!$m$4:$m$"&amp;$C$11))
+SUMIF(INDIRECT("'Output 9-EGADI2'!$H$4:$H$"&amp;$C$12),Analysis!Q48,INDIRECT("'Output 9-EGADI2'!$m$4:$m$"&amp;$C$12))
+SUMIF(INDIRECT("'Output 10-TUNIS'!$H$4:$H$"&amp;$C$13),Analysis!Q48,INDIRECT("'Output 10-TUNIS'!$m$4:$m$"&amp;$C$13))</f>
        <v>0</v>
      </c>
      <c r="S48" s="5">
        <f ca="1">SUMIF(INDIRECT("'Output 1-CARBONARA'!$H$4:$H$"&amp;$C$4),Analysis!Q48,INDIRECT("'Output 1-CARBONARA'!$q$4:$q$"&amp;$C$4))
+SUMIF(INDIRECT("'Output 2-CACCIA'!$H$4:$H$"&amp;$C$5),Analysis!Q48,INDIRECT("'Output 2-CACCIA'!$q$4:$q$"&amp;$C$5))
+SUMIF(INDIRECT("'Output 3-ASINARA'!$H$4:$H$"&amp;$C$6),Analysis!Q48,INDIRECT("'Output 3-ASINARA'!$q$4:$q$"&amp;$C$6))
+SUMIF(INDIRECT("'Output 4-PELAGIE'!$H$4:$H$"&amp;$C$7),Analysis!Q48,INDIRECT("'Output 4-PELAGIE'!$q$4:$q$"&amp;$C$7))
+SUMIF(INDIRECT("'Output 5-EGADI'!$H$4:$H$"&amp;$C$8),Analysis!Q48,INDIRECT("'Output 5-EGADI'!$q$4:$q$"&amp;$C$8))
+SUMIF(INDIRECT("'Output 6-TG'!$H$4:$H$"&amp;$C$9),Analysis!Q48,INDIRECT("'Output 6-TG'!$q$4:$q$"&amp;$C$9))
+SUMIF(INDIRECT("'Output 7-PNAT'!$H$4:$H$"&amp;$C$10),Analysis!Q48,INDIRECT("'Output 7-PNAT'!$q$4:$q$"&amp;$C$10))
+SUMIF(INDIRECT("'Output 8-AEO'!$H$4:$H$"&amp;$C$11),Analysis!Q48,INDIRECT("'Output 8-AEO'!$q$4:$q$"&amp;$C$11))
+SUMIF(INDIRECT("'Output 9-EGADI2'!$H$4:$H$"&amp;$C$12),Analysis!Q48,INDIRECT("'Output 9-EGADI2'!$q$4:$q$"&amp;$C$12))
+SUMIF(INDIRECT("'Output 10-TUNIS'!$H$4:$H$"&amp;$C$13),Analysis!Q48,INDIRECT("'Output 10-TUNIS'!$q$4:$q$"&amp;$C$13))</f>
        <v>0</v>
      </c>
      <c r="T48" s="5">
        <f ca="1">SUMIF(INDIRECT("'Output 1-CARBONARA'!$H$4:$H$"&amp;$C$4),Analysis!Q48,INDIRECT("'Output 1-CARBONARA'!$U$4:$U$"&amp;$C$4))
+SUMIF(INDIRECT("'Output 2-CACCIA'!$H$4:$H$"&amp;$C$5),Analysis!Q48,INDIRECT("'Output 2-CACCIA'!$U$4:$U$"&amp;$C$5))
+SUMIF(INDIRECT("'Output 3-ASINARA'!$H$4:$H$"&amp;$C$6),Analysis!Q48,INDIRECT("'Output 3-ASINARA'!$U$4:$U$"&amp;$C$6))
+SUMIF(INDIRECT("'Output 4-PELAGIE'!$H$4:$H$"&amp;$C$7),Analysis!Q48,INDIRECT("'Output 4-PELAGIE'!$U$4:$U$"&amp;$C$7))
+SUMIF(INDIRECT("'Output 5-EGADI'!$H$4:$H$"&amp;$C$8),Analysis!Q48,INDIRECT("'Output 5-EGADI'!$U$4:$U$"&amp;$C$8))
+SUMIF(INDIRECT("'Output 6-TG'!$H$4:$H$"&amp;$C$9),Analysis!Q48,INDIRECT("'Output 6-TG'!$U$4:$U$"&amp;$C$9))
+SUMIF(INDIRECT("'Output 7-PNAT'!$H$4:$H$"&amp;$C$10),Analysis!Q48,INDIRECT("'Output 7-PNAT'!$U$4:$U$"&amp;$C$10))
+SUMIF(INDIRECT("'Output 8-AEO'!$H$4:$H$"&amp;$C$11),Analysis!Q48,INDIRECT("'Output 8-AEO'!$U$4:$U$"&amp;$C$11))
+SUMIF(INDIRECT("'Output 9-EGADI2'!$H$4:$H$"&amp;$C$12),Analysis!Q48,INDIRECT("'Output 9-EGADI2'!$U$4:$U$"&amp;$C$12))
+SUMIF(INDIRECT("'Output 10-TUNIS'!$H$4:$H$"&amp;$C$13),Analysis!Q48,INDIRECT("'Output 10-TUNIS'!$U$4:$U$"&amp;$C$13))</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8">
        <f t="shared" ca="1" si="9"/>
        <v>0</v>
      </c>
      <c r="AA48" s="38">
        <f t="shared" si="10"/>
        <v>0</v>
      </c>
      <c r="AB48" s="54">
        <f t="shared" ca="1" si="11"/>
        <v>0</v>
      </c>
      <c r="AC48" s="64">
        <f ca="1">SUMIF(INDIRECT("'Output 1-CARBONARA'!$H$5:$H$"&amp;$C$4),Analysis!$Q48,INDIRECT("'Output 1-CARBONARA'!$F$5:$F$"&amp;$C$4))
+SUMIF(INDIRECT("'Output 2-CACCIA'!$H$5:$H$"&amp;$C$5),Analysis!$Q48,INDIRECT("'Output 2-CACCIA'!$F$5:$F$"&amp;$C$5))
+SUMIF(INDIRECT("'Output 3-ASINARA'!$H$5:$H$"&amp;$C$6),Analysis!$Q48,INDIRECT("'Output 3-ASINARA'!$F$5:$F$"&amp;$C$6))
+SUMIF(INDIRECT("'Output 4-PELAGIE'!$H$5:$H$"&amp;$C$7),Analysis!$Q48,INDIRECT("'Output 4-PELAGIE'!$F$5:$F$"&amp;$C$7))
+SUMIF(INDIRECT("'Output 5-EGADI'!$H$5:$H$"&amp;$C$8),Analysis!$Q48,INDIRECT("'Output 5-EGADI'!$F$5:$F$"&amp;$C$8))
+SUMIF(INDIRECT("'Output 6-TG'!$H$5:$H$"&amp;$C$9),Analysis!$Q48,INDIRECT("'Output 6-TG'!$F$5:$F$"&amp;$C$9))
+SUMIF(INDIRECT("'Output 7-PNAT'!$H$5:$H$"&amp;$C$10),Analysis!$Q48,INDIRECT("'Output 7-PNAT'!$F$5:$F$"&amp;$C$10))
+SUMIF(INDIRECT("'Output 8-AEO'!$H$5:$H$"&amp;$C$11),Analysis!$Q48,INDIRECT("'Output 8-AEO'!$F$5:$F$"&amp;$C$11))
+SUMIF(INDIRECT("'Output 9-EGADI2'!$H$5:$H$"&amp;$C$12),Analysis!$Q48,INDIRECT("'Output 9-EGADI2'!$F$5:$F$"&amp;$C$12))
+SUMIF(INDIRECT("'Output 10-TUNIS'!$H$5:$H$"&amp;$C$13),Analysis!$Q48,INDIRECT("'Output 10-TUNIS'!$F$5:$F$"&amp;$C$13))</f>
        <v>0</v>
      </c>
    </row>
    <row r="49" spans="17:29">
      <c r="Q49" s="31" t="s">
        <v>53</v>
      </c>
      <c r="R49" s="5">
        <f ca="1">SUMIF(INDIRECT("'Output 1-CARBONARA'!$H$4:$H$"&amp;$C$4),Analysis!Q49,INDIRECT("'Output 1-CARBONARA'!$m$4:$m$"&amp;$C$4))
+SUMIF(INDIRECT("'Output 2-CACCIA'!$H$4:$H$"&amp;$C$5),Analysis!Q49,INDIRECT("'Output 2-CACCIA'!$m$4:$m$"&amp;$C$5))
+SUMIF(INDIRECT("'Output 3-ASINARA'!$H$4:$H$"&amp;$C$6),Analysis!Q49,INDIRECT("'Output 3-ASINARA'!$m$4:$m$"&amp;$C$6))
+SUMIF(INDIRECT("'Output 4-PELAGIE'!$H$4:$H$"&amp;$C$7),Analysis!Q49,INDIRECT("'Output 4-PELAGIE'!$m$4:$m$"&amp;$C$7))
+SUMIF(INDIRECT("'Output 5-EGADI'!$H$4:$H$"&amp;$C$8),Analysis!Q49,INDIRECT("'Output 5-EGADI'!$m$4:$m$"&amp;$C$8))
+SUMIF(INDIRECT("'Output 6-TG'!$H$4:$H$"&amp;$C$9),Analysis!Q49,INDIRECT("'Output 6-TG'!$m$4:$m$"&amp;$C$9))
+SUMIF(INDIRECT("'Output 7-PNAT'!$H$4:$H$"&amp;$C$10),Analysis!Q49,INDIRECT("'Output 7-PNAT'!$m$4:$m$"&amp;$C$10))
+SUMIF(INDIRECT("'Output 8-AEO'!$H$4:$H$"&amp;$C$11),Analysis!Q49,INDIRECT("'Output 8-AEO'!$m$4:$m$"&amp;$C$11))
+SUMIF(INDIRECT("'Output 9-EGADI2'!$H$4:$H$"&amp;$C$12),Analysis!Q49,INDIRECT("'Output 9-EGADI2'!$m$4:$m$"&amp;$C$12))
+SUMIF(INDIRECT("'Output 10-TUNIS'!$H$4:$H$"&amp;$C$13),Analysis!Q49,INDIRECT("'Output 10-TUNIS'!$m$4:$m$"&amp;$C$13))</f>
        <v>0</v>
      </c>
      <c r="S49" s="5">
        <f ca="1">SUMIF(INDIRECT("'Output 1-CARBONARA'!$H$4:$H$"&amp;$C$4),Analysis!Q49,INDIRECT("'Output 1-CARBONARA'!$q$4:$q$"&amp;$C$4))
+SUMIF(INDIRECT("'Output 2-CACCIA'!$H$4:$H$"&amp;$C$5),Analysis!Q49,INDIRECT("'Output 2-CACCIA'!$q$4:$q$"&amp;$C$5))
+SUMIF(INDIRECT("'Output 3-ASINARA'!$H$4:$H$"&amp;$C$6),Analysis!Q49,INDIRECT("'Output 3-ASINARA'!$q$4:$q$"&amp;$C$6))
+SUMIF(INDIRECT("'Output 4-PELAGIE'!$H$4:$H$"&amp;$C$7),Analysis!Q49,INDIRECT("'Output 4-PELAGIE'!$q$4:$q$"&amp;$C$7))
+SUMIF(INDIRECT("'Output 5-EGADI'!$H$4:$H$"&amp;$C$8),Analysis!Q49,INDIRECT("'Output 5-EGADI'!$q$4:$q$"&amp;$C$8))
+SUMIF(INDIRECT("'Output 6-TG'!$H$4:$H$"&amp;$C$9),Analysis!Q49,INDIRECT("'Output 6-TG'!$q$4:$q$"&amp;$C$9))
+SUMIF(INDIRECT("'Output 7-PNAT'!$H$4:$H$"&amp;$C$10),Analysis!Q49,INDIRECT("'Output 7-PNAT'!$q$4:$q$"&amp;$C$10))
+SUMIF(INDIRECT("'Output 8-AEO'!$H$4:$H$"&amp;$C$11),Analysis!Q49,INDIRECT("'Output 8-AEO'!$q$4:$q$"&amp;$C$11))
+SUMIF(INDIRECT("'Output 9-EGADI2'!$H$4:$H$"&amp;$C$12),Analysis!Q49,INDIRECT("'Output 9-EGADI2'!$q$4:$q$"&amp;$C$12))
+SUMIF(INDIRECT("'Output 10-TUNIS'!$H$4:$H$"&amp;$C$13),Analysis!Q49,INDIRECT("'Output 10-TUNIS'!$q$4:$q$"&amp;$C$13))</f>
        <v>0</v>
      </c>
      <c r="T49" s="5">
        <f ca="1">SUMIF(INDIRECT("'Output 1-CARBONARA'!$H$4:$H$"&amp;$C$4),Analysis!Q49,INDIRECT("'Output 1-CARBONARA'!$U$4:$U$"&amp;$C$4))
+SUMIF(INDIRECT("'Output 2-CACCIA'!$H$4:$H$"&amp;$C$5),Analysis!Q49,INDIRECT("'Output 2-CACCIA'!$U$4:$U$"&amp;$C$5))
+SUMIF(INDIRECT("'Output 3-ASINARA'!$H$4:$H$"&amp;$C$6),Analysis!Q49,INDIRECT("'Output 3-ASINARA'!$U$4:$U$"&amp;$C$6))
+SUMIF(INDIRECT("'Output 4-PELAGIE'!$H$4:$H$"&amp;$C$7),Analysis!Q49,INDIRECT("'Output 4-PELAGIE'!$U$4:$U$"&amp;$C$7))
+SUMIF(INDIRECT("'Output 5-EGADI'!$H$4:$H$"&amp;$C$8),Analysis!Q49,INDIRECT("'Output 5-EGADI'!$U$4:$U$"&amp;$C$8))
+SUMIF(INDIRECT("'Output 6-TG'!$H$4:$H$"&amp;$C$9),Analysis!Q49,INDIRECT("'Output 6-TG'!$U$4:$U$"&amp;$C$9))
+SUMIF(INDIRECT("'Output 7-PNAT'!$H$4:$H$"&amp;$C$10),Analysis!Q49,INDIRECT("'Output 7-PNAT'!$U$4:$U$"&amp;$C$10))
+SUMIF(INDIRECT("'Output 8-AEO'!$H$4:$H$"&amp;$C$11),Analysis!Q49,INDIRECT("'Output 8-AEO'!$U$4:$U$"&amp;$C$11))
+SUMIF(INDIRECT("'Output 9-EGADI2'!$H$4:$H$"&amp;$C$12),Analysis!Q49,INDIRECT("'Output 9-EGADI2'!$U$4:$U$"&amp;$C$12))
+SUMIF(INDIRECT("'Output 10-TUNIS'!$H$4:$H$"&amp;$C$13),Analysis!Q49,INDIRECT("'Output 10-TUNIS'!$U$4:$U$"&amp;$C$13))</f>
        <v>1032</v>
      </c>
      <c r="U49" s="31"/>
      <c r="V49" s="5">
        <f>SUMIF('Unplanned Outputs'!$E$4:$E$500,Analysis!Q49,'Unplanned Outputs'!$J$4:$J$500)</f>
        <v>0</v>
      </c>
      <c r="W49" s="5">
        <f>SUMIF('Unplanned Outputs'!$E$4:$E$500,Analysis!$Q49,'Unplanned Outputs'!$N$4:$N$500)</f>
        <v>0</v>
      </c>
      <c r="X49" s="5">
        <f>SUMIF('Unplanned Outputs'!$E$4:$E$500,Analysis!$Q49,'Unplanned Outputs'!$R$4:$R$500)</f>
        <v>0</v>
      </c>
      <c r="Y49" s="15"/>
      <c r="Z49" s="38">
        <f t="shared" ca="1" si="9"/>
        <v>1032</v>
      </c>
      <c r="AA49" s="38">
        <f t="shared" si="10"/>
        <v>0</v>
      </c>
      <c r="AB49" s="54">
        <f t="shared" ca="1" si="11"/>
        <v>1032</v>
      </c>
      <c r="AC49" s="64">
        <f ca="1">SUMIF(INDIRECT("'Output 1-CARBONARA'!$H$5:$H$"&amp;$C$4),Analysis!$Q49,INDIRECT("'Output 1-CARBONARA'!$F$5:$F$"&amp;$C$4))
+SUMIF(INDIRECT("'Output 2-CACCIA'!$H$5:$H$"&amp;$C$5),Analysis!$Q49,INDIRECT("'Output 2-CACCIA'!$F$5:$F$"&amp;$C$5))
+SUMIF(INDIRECT("'Output 3-ASINARA'!$H$5:$H$"&amp;$C$6),Analysis!$Q49,INDIRECT("'Output 3-ASINARA'!$F$5:$F$"&amp;$C$6))
+SUMIF(INDIRECT("'Output 4-PELAGIE'!$H$5:$H$"&amp;$C$7),Analysis!$Q49,INDIRECT("'Output 4-PELAGIE'!$F$5:$F$"&amp;$C$7))
+SUMIF(INDIRECT("'Output 5-EGADI'!$H$5:$H$"&amp;$C$8),Analysis!$Q49,INDIRECT("'Output 5-EGADI'!$F$5:$F$"&amp;$C$8))
+SUMIF(INDIRECT("'Output 6-TG'!$H$5:$H$"&amp;$C$9),Analysis!$Q49,INDIRECT("'Output 6-TG'!$F$5:$F$"&amp;$C$9))
+SUMIF(INDIRECT("'Output 7-PNAT'!$H$5:$H$"&amp;$C$10),Analysis!$Q49,INDIRECT("'Output 7-PNAT'!$F$5:$F$"&amp;$C$10))
+SUMIF(INDIRECT("'Output 8-AEO'!$H$5:$H$"&amp;$C$11),Analysis!$Q49,INDIRECT("'Output 8-AEO'!$F$5:$F$"&amp;$C$11))
+SUMIF(INDIRECT("'Output 9-EGADI2'!$H$5:$H$"&amp;$C$12),Analysis!$Q49,INDIRECT("'Output 9-EGADI2'!$F$5:$F$"&amp;$C$12))
+SUMIF(INDIRECT("'Output 10-TUNIS'!$H$5:$H$"&amp;$C$13),Analysis!$Q49,INDIRECT("'Output 10-TUNIS'!$F$5:$F$"&amp;$C$13))</f>
        <v>1025</v>
      </c>
    </row>
    <row r="50" spans="17:29">
      <c r="Q50" s="31" t="s">
        <v>729</v>
      </c>
      <c r="R50" s="5">
        <f ca="1">SUMIF(INDIRECT("'Output 1-CARBONARA'!$H$4:$H$"&amp;$C$4),Analysis!Q50,INDIRECT("'Output 1-CARBONARA'!$m$4:$m$"&amp;$C$4))
+SUMIF(INDIRECT("'Output 2-CACCIA'!$H$4:$H$"&amp;$C$5),Analysis!Q50,INDIRECT("'Output 2-CACCIA'!$m$4:$m$"&amp;$C$5))
+SUMIF(INDIRECT("'Output 3-ASINARA'!$H$4:$H$"&amp;$C$6),Analysis!Q50,INDIRECT("'Output 3-ASINARA'!$m$4:$m$"&amp;$C$6))
+SUMIF(INDIRECT("'Output 4-PELAGIE'!$H$4:$H$"&amp;$C$7),Analysis!Q50,INDIRECT("'Output 4-PELAGIE'!$m$4:$m$"&amp;$C$7))
+SUMIF(INDIRECT("'Output 5-EGADI'!$H$4:$H$"&amp;$C$8),Analysis!Q50,INDIRECT("'Output 5-EGADI'!$m$4:$m$"&amp;$C$8))
+SUMIF(INDIRECT("'Output 6-TG'!$H$4:$H$"&amp;$C$9),Analysis!Q50,INDIRECT("'Output 6-TG'!$m$4:$m$"&amp;$C$9))
+SUMIF(INDIRECT("'Output 7-PNAT'!$H$4:$H$"&amp;$C$10),Analysis!Q50,INDIRECT("'Output 7-PNAT'!$m$4:$m$"&amp;$C$10))
+SUMIF(INDIRECT("'Output 8-AEO'!$H$4:$H$"&amp;$C$11),Analysis!Q50,INDIRECT("'Output 8-AEO'!$m$4:$m$"&amp;$C$11))
+SUMIF(INDIRECT("'Output 9-EGADI2'!$H$4:$H$"&amp;$C$12),Analysis!Q50,INDIRECT("'Output 9-EGADI2'!$m$4:$m$"&amp;$C$12))
+SUMIF(INDIRECT("'Output 10-TUNIS'!$H$4:$H$"&amp;$C$13),Analysis!Q50,INDIRECT("'Output 10-TUNIS'!$m$4:$m$"&amp;$C$13))</f>
        <v>0</v>
      </c>
      <c r="S50" s="5">
        <f ca="1">SUMIF(INDIRECT("'Output 1-CARBONARA'!$H$4:$H$"&amp;$C$4),Analysis!Q50,INDIRECT("'Output 1-CARBONARA'!$q$4:$q$"&amp;$C$4))
+SUMIF(INDIRECT("'Output 2-CACCIA'!$H$4:$H$"&amp;$C$5),Analysis!Q50,INDIRECT("'Output 2-CACCIA'!$q$4:$q$"&amp;$C$5))
+SUMIF(INDIRECT("'Output 3-ASINARA'!$H$4:$H$"&amp;$C$6),Analysis!Q50,INDIRECT("'Output 3-ASINARA'!$q$4:$q$"&amp;$C$6))
+SUMIF(INDIRECT("'Output 4-PELAGIE'!$H$4:$H$"&amp;$C$7),Analysis!Q50,INDIRECT("'Output 4-PELAGIE'!$q$4:$q$"&amp;$C$7))
+SUMIF(INDIRECT("'Output 5-EGADI'!$H$4:$H$"&amp;$C$8),Analysis!Q50,INDIRECT("'Output 5-EGADI'!$q$4:$q$"&amp;$C$8))
+SUMIF(INDIRECT("'Output 6-TG'!$H$4:$H$"&amp;$C$9),Analysis!Q50,INDIRECT("'Output 6-TG'!$q$4:$q$"&amp;$C$9))
+SUMIF(INDIRECT("'Output 7-PNAT'!$H$4:$H$"&amp;$C$10),Analysis!Q50,INDIRECT("'Output 7-PNAT'!$q$4:$q$"&amp;$C$10))
+SUMIF(INDIRECT("'Output 8-AEO'!$H$4:$H$"&amp;$C$11),Analysis!Q50,INDIRECT("'Output 8-AEO'!$q$4:$q$"&amp;$C$11))
+SUMIF(INDIRECT("'Output 9-EGADI2'!$H$4:$H$"&amp;$C$12),Analysis!Q50,INDIRECT("'Output 9-EGADI2'!$q$4:$q$"&amp;$C$12))
+SUMIF(INDIRECT("'Output 10-TUNIS'!$H$4:$H$"&amp;$C$13),Analysis!Q50,INDIRECT("'Output 10-TUNIS'!$q$4:$q$"&amp;$C$13))</f>
        <v>0</v>
      </c>
      <c r="T50" s="5">
        <f ca="1">SUMIF(INDIRECT("'Output 1-CARBONARA'!$H$4:$H$"&amp;$C$4),Analysis!Q50,INDIRECT("'Output 1-CARBONARA'!$U$4:$U$"&amp;$C$4))
+SUMIF(INDIRECT("'Output 2-CACCIA'!$H$4:$H$"&amp;$C$5),Analysis!Q50,INDIRECT("'Output 2-CACCIA'!$U$4:$U$"&amp;$C$5))
+SUMIF(INDIRECT("'Output 3-ASINARA'!$H$4:$H$"&amp;$C$6),Analysis!Q50,INDIRECT("'Output 3-ASINARA'!$U$4:$U$"&amp;$C$6))
+SUMIF(INDIRECT("'Output 4-PELAGIE'!$H$4:$H$"&amp;$C$7),Analysis!Q50,INDIRECT("'Output 4-PELAGIE'!$U$4:$U$"&amp;$C$7))
+SUMIF(INDIRECT("'Output 5-EGADI'!$H$4:$H$"&amp;$C$8),Analysis!Q50,INDIRECT("'Output 5-EGADI'!$U$4:$U$"&amp;$C$8))
+SUMIF(INDIRECT("'Output 6-TG'!$H$4:$H$"&amp;$C$9),Analysis!Q50,INDIRECT("'Output 6-TG'!$U$4:$U$"&amp;$C$9))
+SUMIF(INDIRECT("'Output 7-PNAT'!$H$4:$H$"&amp;$C$10),Analysis!Q50,INDIRECT("'Output 7-PNAT'!$U$4:$U$"&amp;$C$10))
+SUMIF(INDIRECT("'Output 8-AEO'!$H$4:$H$"&amp;$C$11),Analysis!Q50,INDIRECT("'Output 8-AEO'!$U$4:$U$"&amp;$C$11))
+SUMIF(INDIRECT("'Output 9-EGADI2'!$H$4:$H$"&amp;$C$12),Analysis!Q50,INDIRECT("'Output 9-EGADI2'!$U$4:$U$"&amp;$C$12))
+SUMIF(INDIRECT("'Output 10-TUNIS'!$H$4:$H$"&amp;$C$13),Analysis!Q50,INDIRECT("'Output 10-TUNIS'!$U$4:$U$"&amp;$C$13))</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8">
        <f t="shared" ca="1" si="9"/>
        <v>0</v>
      </c>
      <c r="AA50" s="38">
        <f t="shared" si="10"/>
        <v>0</v>
      </c>
      <c r="AB50" s="54">
        <f t="shared" ca="1" si="11"/>
        <v>0</v>
      </c>
      <c r="AC50" s="64">
        <f ca="1">SUMIF(INDIRECT("'Output 1-CARBONARA'!$H$5:$H$"&amp;$C$4),Analysis!$Q50,INDIRECT("'Output 1-CARBONARA'!$F$5:$F$"&amp;$C$4))
+SUMIF(INDIRECT("'Output 2-CACCIA'!$H$5:$H$"&amp;$C$5),Analysis!$Q50,INDIRECT("'Output 2-CACCIA'!$F$5:$F$"&amp;$C$5))
+SUMIF(INDIRECT("'Output 3-ASINARA'!$H$5:$H$"&amp;$C$6),Analysis!$Q50,INDIRECT("'Output 3-ASINARA'!$F$5:$F$"&amp;$C$6))
+SUMIF(INDIRECT("'Output 4-PELAGIE'!$H$5:$H$"&amp;$C$7),Analysis!$Q50,INDIRECT("'Output 4-PELAGIE'!$F$5:$F$"&amp;$C$7))
+SUMIF(INDIRECT("'Output 5-EGADI'!$H$5:$H$"&amp;$C$8),Analysis!$Q50,INDIRECT("'Output 5-EGADI'!$F$5:$F$"&amp;$C$8))
+SUMIF(INDIRECT("'Output 6-TG'!$H$5:$H$"&amp;$C$9),Analysis!$Q50,INDIRECT("'Output 6-TG'!$F$5:$F$"&amp;$C$9))
+SUMIF(INDIRECT("'Output 7-PNAT'!$H$5:$H$"&amp;$C$10),Analysis!$Q50,INDIRECT("'Output 7-PNAT'!$F$5:$F$"&amp;$C$10))
+SUMIF(INDIRECT("'Output 8-AEO'!$H$5:$H$"&amp;$C$11),Analysis!$Q50,INDIRECT("'Output 8-AEO'!$F$5:$F$"&amp;$C$11))
+SUMIF(INDIRECT("'Output 9-EGADI2'!$H$5:$H$"&amp;$C$12),Analysis!$Q50,INDIRECT("'Output 9-EGADI2'!$F$5:$F$"&amp;$C$12))
+SUMIF(INDIRECT("'Output 10-TUNIS'!$H$5:$H$"&amp;$C$13),Analysis!$Q50,INDIRECT("'Output 10-TUNIS'!$F$5:$F$"&amp;$C$13))</f>
        <v>0</v>
      </c>
    </row>
    <row r="51" spans="17:29">
      <c r="Q51" s="31" t="s">
        <v>312</v>
      </c>
      <c r="R51" s="5">
        <f ca="1">SUMIF(INDIRECT("'Output 1-CARBONARA'!$H$4:$H$"&amp;$C$4),Analysis!Q51,INDIRECT("'Output 1-CARBONARA'!$m$4:$m$"&amp;$C$4))
+SUMIF(INDIRECT("'Output 2-CACCIA'!$H$4:$H$"&amp;$C$5),Analysis!Q51,INDIRECT("'Output 2-CACCIA'!$m$4:$m$"&amp;$C$5))
+SUMIF(INDIRECT("'Output 3-ASINARA'!$H$4:$H$"&amp;$C$6),Analysis!Q51,INDIRECT("'Output 3-ASINARA'!$m$4:$m$"&amp;$C$6))
+SUMIF(INDIRECT("'Output 4-PELAGIE'!$H$4:$H$"&amp;$C$7),Analysis!Q51,INDIRECT("'Output 4-PELAGIE'!$m$4:$m$"&amp;$C$7))
+SUMIF(INDIRECT("'Output 5-EGADI'!$H$4:$H$"&amp;$C$8),Analysis!Q51,INDIRECT("'Output 5-EGADI'!$m$4:$m$"&amp;$C$8))
+SUMIF(INDIRECT("'Output 6-TG'!$H$4:$H$"&amp;$C$9),Analysis!Q51,INDIRECT("'Output 6-TG'!$m$4:$m$"&amp;$C$9))
+SUMIF(INDIRECT("'Output 7-PNAT'!$H$4:$H$"&amp;$C$10),Analysis!Q51,INDIRECT("'Output 7-PNAT'!$m$4:$m$"&amp;$C$10))
+SUMIF(INDIRECT("'Output 8-AEO'!$H$4:$H$"&amp;$C$11),Analysis!Q51,INDIRECT("'Output 8-AEO'!$m$4:$m$"&amp;$C$11))
+SUMIF(INDIRECT("'Output 9-EGADI2'!$H$4:$H$"&amp;$C$12),Analysis!Q51,INDIRECT("'Output 9-EGADI2'!$m$4:$m$"&amp;$C$12))
+SUMIF(INDIRECT("'Output 10-TUNIS'!$H$4:$H$"&amp;$C$13),Analysis!Q51,INDIRECT("'Output 10-TUNIS'!$m$4:$m$"&amp;$C$13))</f>
        <v>0</v>
      </c>
      <c r="S51" s="5">
        <f ca="1">SUMIF(INDIRECT("'Output 1-CARBONARA'!$H$4:$H$"&amp;$C$4),Analysis!Q51,INDIRECT("'Output 1-CARBONARA'!$q$4:$q$"&amp;$C$4))
+SUMIF(INDIRECT("'Output 2-CACCIA'!$H$4:$H$"&amp;$C$5),Analysis!Q51,INDIRECT("'Output 2-CACCIA'!$q$4:$q$"&amp;$C$5))
+SUMIF(INDIRECT("'Output 3-ASINARA'!$H$4:$H$"&amp;$C$6),Analysis!Q51,INDIRECT("'Output 3-ASINARA'!$q$4:$q$"&amp;$C$6))
+SUMIF(INDIRECT("'Output 4-PELAGIE'!$H$4:$H$"&amp;$C$7),Analysis!Q51,INDIRECT("'Output 4-PELAGIE'!$q$4:$q$"&amp;$C$7))
+SUMIF(INDIRECT("'Output 5-EGADI'!$H$4:$H$"&amp;$C$8),Analysis!Q51,INDIRECT("'Output 5-EGADI'!$q$4:$q$"&amp;$C$8))
+SUMIF(INDIRECT("'Output 6-TG'!$H$4:$H$"&amp;$C$9),Analysis!Q51,INDIRECT("'Output 6-TG'!$q$4:$q$"&amp;$C$9))
+SUMIF(INDIRECT("'Output 7-PNAT'!$H$4:$H$"&amp;$C$10),Analysis!Q51,INDIRECT("'Output 7-PNAT'!$q$4:$q$"&amp;$C$10))
+SUMIF(INDIRECT("'Output 8-AEO'!$H$4:$H$"&amp;$C$11),Analysis!Q51,INDIRECT("'Output 8-AEO'!$q$4:$q$"&amp;$C$11))
+SUMIF(INDIRECT("'Output 9-EGADI2'!$H$4:$H$"&amp;$C$12),Analysis!Q51,INDIRECT("'Output 9-EGADI2'!$q$4:$q$"&amp;$C$12))
+SUMIF(INDIRECT("'Output 10-TUNIS'!$H$4:$H$"&amp;$C$13),Analysis!Q51,INDIRECT("'Output 10-TUNIS'!$q$4:$q$"&amp;$C$13))</f>
        <v>0</v>
      </c>
      <c r="T51" s="5">
        <f ca="1">SUMIF(INDIRECT("'Output 1-CARBONARA'!$H$4:$H$"&amp;$C$4),Analysis!Q51,INDIRECT("'Output 1-CARBONARA'!$U$4:$U$"&amp;$C$4))
+SUMIF(INDIRECT("'Output 2-CACCIA'!$H$4:$H$"&amp;$C$5),Analysis!Q51,INDIRECT("'Output 2-CACCIA'!$U$4:$U$"&amp;$C$5))
+SUMIF(INDIRECT("'Output 3-ASINARA'!$H$4:$H$"&amp;$C$6),Analysis!Q51,INDIRECT("'Output 3-ASINARA'!$U$4:$U$"&amp;$C$6))
+SUMIF(INDIRECT("'Output 4-PELAGIE'!$H$4:$H$"&amp;$C$7),Analysis!Q51,INDIRECT("'Output 4-PELAGIE'!$U$4:$U$"&amp;$C$7))
+SUMIF(INDIRECT("'Output 5-EGADI'!$H$4:$H$"&amp;$C$8),Analysis!Q51,INDIRECT("'Output 5-EGADI'!$U$4:$U$"&amp;$C$8))
+SUMIF(INDIRECT("'Output 6-TG'!$H$4:$H$"&amp;$C$9),Analysis!Q51,INDIRECT("'Output 6-TG'!$U$4:$U$"&amp;$C$9))
+SUMIF(INDIRECT("'Output 7-PNAT'!$H$4:$H$"&amp;$C$10),Analysis!Q51,INDIRECT("'Output 7-PNAT'!$U$4:$U$"&amp;$C$10))
+SUMIF(INDIRECT("'Output 8-AEO'!$H$4:$H$"&amp;$C$11),Analysis!Q51,INDIRECT("'Output 8-AEO'!$U$4:$U$"&amp;$C$11))
+SUMIF(INDIRECT("'Output 9-EGADI2'!$H$4:$H$"&amp;$C$12),Analysis!Q51,INDIRECT("'Output 9-EGADI2'!$U$4:$U$"&amp;$C$12))
+SUMIF(INDIRECT("'Output 10-TUNIS'!$H$4:$H$"&amp;$C$13),Analysis!Q51,INDIRECT("'Output 10-TUNIS'!$U$4:$U$"&amp;$C$13))</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8">
        <f t="shared" ca="1" si="9"/>
        <v>0</v>
      </c>
      <c r="AA51" s="38">
        <f t="shared" si="10"/>
        <v>0</v>
      </c>
      <c r="AB51" s="54">
        <f t="shared" ca="1" si="11"/>
        <v>0</v>
      </c>
      <c r="AC51" s="64">
        <f ca="1">SUMIF(INDIRECT("'Output 1-CARBONARA'!$H$5:$H$"&amp;$C$4),Analysis!$Q51,INDIRECT("'Output 1-CARBONARA'!$F$5:$F$"&amp;$C$4))
+SUMIF(INDIRECT("'Output 2-CACCIA'!$H$5:$H$"&amp;$C$5),Analysis!$Q51,INDIRECT("'Output 2-CACCIA'!$F$5:$F$"&amp;$C$5))
+SUMIF(INDIRECT("'Output 3-ASINARA'!$H$5:$H$"&amp;$C$6),Analysis!$Q51,INDIRECT("'Output 3-ASINARA'!$F$5:$F$"&amp;$C$6))
+SUMIF(INDIRECT("'Output 4-PELAGIE'!$H$5:$H$"&amp;$C$7),Analysis!$Q51,INDIRECT("'Output 4-PELAGIE'!$F$5:$F$"&amp;$C$7))
+SUMIF(INDIRECT("'Output 5-EGADI'!$H$5:$H$"&amp;$C$8),Analysis!$Q51,INDIRECT("'Output 5-EGADI'!$F$5:$F$"&amp;$C$8))
+SUMIF(INDIRECT("'Output 6-TG'!$H$5:$H$"&amp;$C$9),Analysis!$Q51,INDIRECT("'Output 6-TG'!$F$5:$F$"&amp;$C$9))
+SUMIF(INDIRECT("'Output 7-PNAT'!$H$5:$H$"&amp;$C$10),Analysis!$Q51,INDIRECT("'Output 7-PNAT'!$F$5:$F$"&amp;$C$10))
+SUMIF(INDIRECT("'Output 8-AEO'!$H$5:$H$"&amp;$C$11),Analysis!$Q51,INDIRECT("'Output 8-AEO'!$F$5:$F$"&amp;$C$11))
+SUMIF(INDIRECT("'Output 9-EGADI2'!$H$5:$H$"&amp;$C$12),Analysis!$Q51,INDIRECT("'Output 9-EGADI2'!$F$5:$F$"&amp;$C$12))
+SUMIF(INDIRECT("'Output 10-TUNIS'!$H$5:$H$"&amp;$C$13),Analysis!$Q51,INDIRECT("'Output 10-TUNIS'!$F$5:$F$"&amp;$C$13))</f>
        <v>0</v>
      </c>
    </row>
    <row r="52" spans="17:29">
      <c r="Q52" s="31">
        <v>4.0999999999999996</v>
      </c>
      <c r="R52" s="5">
        <f ca="1">SUMIF(INDIRECT("'Output 1-CARBONARA'!$H$4:$H$"&amp;$C$4),Analysis!Q52,INDIRECT("'Output 1-CARBONARA'!$m$4:$m$"&amp;$C$4))
+SUMIF(INDIRECT("'Output 2-CACCIA'!$H$4:$H$"&amp;$C$5),Analysis!Q52,INDIRECT("'Output 2-CACCIA'!$m$4:$m$"&amp;$C$5))
+SUMIF(INDIRECT("'Output 3-ASINARA'!$H$4:$H$"&amp;$C$6),Analysis!Q52,INDIRECT("'Output 3-ASINARA'!$m$4:$m$"&amp;$C$6))
+SUMIF(INDIRECT("'Output 4-PELAGIE'!$H$4:$H$"&amp;$C$7),Analysis!Q52,INDIRECT("'Output 4-PELAGIE'!$m$4:$m$"&amp;$C$7))
+SUMIF(INDIRECT("'Output 5-EGADI'!$H$4:$H$"&amp;$C$8),Analysis!Q52,INDIRECT("'Output 5-EGADI'!$m$4:$m$"&amp;$C$8))
+SUMIF(INDIRECT("'Output 6-TG'!$H$4:$H$"&amp;$C$9),Analysis!Q52,INDIRECT("'Output 6-TG'!$m$4:$m$"&amp;$C$9))
+SUMIF(INDIRECT("'Output 7-PNAT'!$H$4:$H$"&amp;$C$10),Analysis!Q52,INDIRECT("'Output 7-PNAT'!$m$4:$m$"&amp;$C$10))
+SUMIF(INDIRECT("'Output 8-AEO'!$H$4:$H$"&amp;$C$11),Analysis!Q52,INDIRECT("'Output 8-AEO'!$m$4:$m$"&amp;$C$11))
+SUMIF(INDIRECT("'Output 9-EGADI2'!$H$4:$H$"&amp;$C$12),Analysis!Q52,INDIRECT("'Output 9-EGADI2'!$m$4:$m$"&amp;$C$12))
+SUMIF(INDIRECT("'Output 10-TUNIS'!$H$4:$H$"&amp;$C$13),Analysis!Q52,INDIRECT("'Output 10-TUNIS'!$m$4:$m$"&amp;$C$13))</f>
        <v>0</v>
      </c>
      <c r="S52" s="5">
        <f ca="1">SUMIF(INDIRECT("'Output 1-CARBONARA'!$H$4:$H$"&amp;$C$4),Analysis!Q52,INDIRECT("'Output 1-CARBONARA'!$q$4:$q$"&amp;$C$4))
+SUMIF(INDIRECT("'Output 2-CACCIA'!$H$4:$H$"&amp;$C$5),Analysis!Q52,INDIRECT("'Output 2-CACCIA'!$q$4:$q$"&amp;$C$5))
+SUMIF(INDIRECT("'Output 3-ASINARA'!$H$4:$H$"&amp;$C$6),Analysis!Q52,INDIRECT("'Output 3-ASINARA'!$q$4:$q$"&amp;$C$6))
+SUMIF(INDIRECT("'Output 4-PELAGIE'!$H$4:$H$"&amp;$C$7),Analysis!Q52,INDIRECT("'Output 4-PELAGIE'!$q$4:$q$"&amp;$C$7))
+SUMIF(INDIRECT("'Output 5-EGADI'!$H$4:$H$"&amp;$C$8),Analysis!Q52,INDIRECT("'Output 5-EGADI'!$q$4:$q$"&amp;$C$8))
+SUMIF(INDIRECT("'Output 6-TG'!$H$4:$H$"&amp;$C$9),Analysis!Q52,INDIRECT("'Output 6-TG'!$q$4:$q$"&amp;$C$9))
+SUMIF(INDIRECT("'Output 7-PNAT'!$H$4:$H$"&amp;$C$10),Analysis!Q52,INDIRECT("'Output 7-PNAT'!$q$4:$q$"&amp;$C$10))
+SUMIF(INDIRECT("'Output 8-AEO'!$H$4:$H$"&amp;$C$11),Analysis!Q52,INDIRECT("'Output 8-AEO'!$q$4:$q$"&amp;$C$11))
+SUMIF(INDIRECT("'Output 9-EGADI2'!$H$4:$H$"&amp;$C$12),Analysis!Q52,INDIRECT("'Output 9-EGADI2'!$q$4:$q$"&amp;$C$12))
+SUMIF(INDIRECT("'Output 10-TUNIS'!$H$4:$H$"&amp;$C$13),Analysis!Q52,INDIRECT("'Output 10-TUNIS'!$q$4:$q$"&amp;$C$13))</f>
        <v>0</v>
      </c>
      <c r="T52" s="5">
        <f ca="1">SUMIF(INDIRECT("'Output 1-CARBONARA'!$H$4:$H$"&amp;$C$4),Analysis!Q52,INDIRECT("'Output 1-CARBONARA'!$U$4:$U$"&amp;$C$4))
+SUMIF(INDIRECT("'Output 2-CACCIA'!$H$4:$H$"&amp;$C$5),Analysis!Q52,INDIRECT("'Output 2-CACCIA'!$U$4:$U$"&amp;$C$5))
+SUMIF(INDIRECT("'Output 3-ASINARA'!$H$4:$H$"&amp;$C$6),Analysis!Q52,INDIRECT("'Output 3-ASINARA'!$U$4:$U$"&amp;$C$6))
+SUMIF(INDIRECT("'Output 4-PELAGIE'!$H$4:$H$"&amp;$C$7),Analysis!Q52,INDIRECT("'Output 4-PELAGIE'!$U$4:$U$"&amp;$C$7))
+SUMIF(INDIRECT("'Output 5-EGADI'!$H$4:$H$"&amp;$C$8),Analysis!Q52,INDIRECT("'Output 5-EGADI'!$U$4:$U$"&amp;$C$8))
+SUMIF(INDIRECT("'Output 6-TG'!$H$4:$H$"&amp;$C$9),Analysis!Q52,INDIRECT("'Output 6-TG'!$U$4:$U$"&amp;$C$9))
+SUMIF(INDIRECT("'Output 7-PNAT'!$H$4:$H$"&amp;$C$10),Analysis!Q52,INDIRECT("'Output 7-PNAT'!$U$4:$U$"&amp;$C$10))
+SUMIF(INDIRECT("'Output 8-AEO'!$H$4:$H$"&amp;$C$11),Analysis!Q52,INDIRECT("'Output 8-AEO'!$U$4:$U$"&amp;$C$11))
+SUMIF(INDIRECT("'Output 9-EGADI2'!$H$4:$H$"&amp;$C$12),Analysis!Q52,INDIRECT("'Output 9-EGADI2'!$U$4:$U$"&amp;$C$12))
+SUMIF(INDIRECT("'Output 10-TUNIS'!$H$4:$H$"&amp;$C$13),Analysis!Q52,INDIRECT("'Output 10-TUNIS'!$U$4:$U$"&amp;$C$13))</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8">
        <f t="shared" ca="1" si="9"/>
        <v>0</v>
      </c>
      <c r="AA52" s="38">
        <f t="shared" si="10"/>
        <v>0</v>
      </c>
      <c r="AB52" s="54">
        <f t="shared" ca="1" si="11"/>
        <v>0</v>
      </c>
      <c r="AC52" s="64">
        <f ca="1">SUMIF(INDIRECT("'Output 1-CARBONARA'!$H$5:$H$"&amp;$C$4),Analysis!$Q52,INDIRECT("'Output 1-CARBONARA'!$F$5:$F$"&amp;$C$4))
+SUMIF(INDIRECT("'Output 2-CACCIA'!$H$5:$H$"&amp;$C$5),Analysis!$Q52,INDIRECT("'Output 2-CACCIA'!$F$5:$F$"&amp;$C$5))
+SUMIF(INDIRECT("'Output 3-ASINARA'!$H$5:$H$"&amp;$C$6),Analysis!$Q52,INDIRECT("'Output 3-ASINARA'!$F$5:$F$"&amp;$C$6))
+SUMIF(INDIRECT("'Output 4-PELAGIE'!$H$5:$H$"&amp;$C$7),Analysis!$Q52,INDIRECT("'Output 4-PELAGIE'!$F$5:$F$"&amp;$C$7))
+SUMIF(INDIRECT("'Output 5-EGADI'!$H$5:$H$"&amp;$C$8),Analysis!$Q52,INDIRECT("'Output 5-EGADI'!$F$5:$F$"&amp;$C$8))
+SUMIF(INDIRECT("'Output 6-TG'!$H$5:$H$"&amp;$C$9),Analysis!$Q52,INDIRECT("'Output 6-TG'!$F$5:$F$"&amp;$C$9))
+SUMIF(INDIRECT("'Output 7-PNAT'!$H$5:$H$"&amp;$C$10),Analysis!$Q52,INDIRECT("'Output 7-PNAT'!$F$5:$F$"&amp;$C$10))
+SUMIF(INDIRECT("'Output 8-AEO'!$H$5:$H$"&amp;$C$11),Analysis!$Q52,INDIRECT("'Output 8-AEO'!$F$5:$F$"&amp;$C$11))
+SUMIF(INDIRECT("'Output 9-EGADI2'!$H$5:$H$"&amp;$C$12),Analysis!$Q52,INDIRECT("'Output 9-EGADI2'!$F$5:$F$"&amp;$C$12))
+SUMIF(INDIRECT("'Output 10-TUNIS'!$H$5:$H$"&amp;$C$13),Analysis!$Q52,INDIRECT("'Output 10-TUNIS'!$F$5:$F$"&amp;$C$13))</f>
        <v>0</v>
      </c>
    </row>
    <row r="53" spans="17:29">
      <c r="Q53" s="31" t="s">
        <v>91</v>
      </c>
      <c r="R53" s="5">
        <f ca="1">SUMIF(INDIRECT("'Output 1-CARBONARA'!$H$4:$H$"&amp;$C$4),Analysis!Q53,INDIRECT("'Output 1-CARBONARA'!$m$4:$m$"&amp;$C$4))
+SUMIF(INDIRECT("'Output 2-CACCIA'!$H$4:$H$"&amp;$C$5),Analysis!Q53,INDIRECT("'Output 2-CACCIA'!$m$4:$m$"&amp;$C$5))
+SUMIF(INDIRECT("'Output 3-ASINARA'!$H$4:$H$"&amp;$C$6),Analysis!Q53,INDIRECT("'Output 3-ASINARA'!$m$4:$m$"&amp;$C$6))
+SUMIF(INDIRECT("'Output 4-PELAGIE'!$H$4:$H$"&amp;$C$7),Analysis!Q53,INDIRECT("'Output 4-PELAGIE'!$m$4:$m$"&amp;$C$7))
+SUMIF(INDIRECT("'Output 5-EGADI'!$H$4:$H$"&amp;$C$8),Analysis!Q53,INDIRECT("'Output 5-EGADI'!$m$4:$m$"&amp;$C$8))
+SUMIF(INDIRECT("'Output 6-TG'!$H$4:$H$"&amp;$C$9),Analysis!Q53,INDIRECT("'Output 6-TG'!$m$4:$m$"&amp;$C$9))
+SUMIF(INDIRECT("'Output 7-PNAT'!$H$4:$H$"&amp;$C$10),Analysis!Q53,INDIRECT("'Output 7-PNAT'!$m$4:$m$"&amp;$C$10))
+SUMIF(INDIRECT("'Output 8-AEO'!$H$4:$H$"&amp;$C$11),Analysis!Q53,INDIRECT("'Output 8-AEO'!$m$4:$m$"&amp;$C$11))
+SUMIF(INDIRECT("'Output 9-EGADI2'!$H$4:$H$"&amp;$C$12),Analysis!Q53,INDIRECT("'Output 9-EGADI2'!$m$4:$m$"&amp;$C$12))
+SUMIF(INDIRECT("'Output 10-TUNIS'!$H$4:$H$"&amp;$C$13),Analysis!Q53,INDIRECT("'Output 10-TUNIS'!$m$4:$m$"&amp;$C$13))</f>
        <v>0</v>
      </c>
      <c r="S53" s="5">
        <f ca="1">SUMIF(INDIRECT("'Output 1-CARBONARA'!$H$4:$H$"&amp;$C$4),Analysis!Q53,INDIRECT("'Output 1-CARBONARA'!$q$4:$q$"&amp;$C$4))
+SUMIF(INDIRECT("'Output 2-CACCIA'!$H$4:$H$"&amp;$C$5),Analysis!Q53,INDIRECT("'Output 2-CACCIA'!$q$4:$q$"&amp;$C$5))
+SUMIF(INDIRECT("'Output 3-ASINARA'!$H$4:$H$"&amp;$C$6),Analysis!Q53,INDIRECT("'Output 3-ASINARA'!$q$4:$q$"&amp;$C$6))
+SUMIF(INDIRECT("'Output 4-PELAGIE'!$H$4:$H$"&amp;$C$7),Analysis!Q53,INDIRECT("'Output 4-PELAGIE'!$q$4:$q$"&amp;$C$7))
+SUMIF(INDIRECT("'Output 5-EGADI'!$H$4:$H$"&amp;$C$8),Analysis!Q53,INDIRECT("'Output 5-EGADI'!$q$4:$q$"&amp;$C$8))
+SUMIF(INDIRECT("'Output 6-TG'!$H$4:$H$"&amp;$C$9),Analysis!Q53,INDIRECT("'Output 6-TG'!$q$4:$q$"&amp;$C$9))
+SUMIF(INDIRECT("'Output 7-PNAT'!$H$4:$H$"&amp;$C$10),Analysis!Q53,INDIRECT("'Output 7-PNAT'!$q$4:$q$"&amp;$C$10))
+SUMIF(INDIRECT("'Output 8-AEO'!$H$4:$H$"&amp;$C$11),Analysis!Q53,INDIRECT("'Output 8-AEO'!$q$4:$q$"&amp;$C$11))
+SUMIF(INDIRECT("'Output 9-EGADI2'!$H$4:$H$"&amp;$C$12),Analysis!Q53,INDIRECT("'Output 9-EGADI2'!$q$4:$q$"&amp;$C$12))
+SUMIF(INDIRECT("'Output 10-TUNIS'!$H$4:$H$"&amp;$C$13),Analysis!Q53,INDIRECT("'Output 10-TUNIS'!$q$4:$q$"&amp;$C$13))</f>
        <v>0</v>
      </c>
      <c r="T53" s="5">
        <f ca="1">SUMIF(INDIRECT("'Output 1-CARBONARA'!$H$4:$H$"&amp;$C$4),Analysis!Q53,INDIRECT("'Output 1-CARBONARA'!$U$4:$U$"&amp;$C$4))
+SUMIF(INDIRECT("'Output 2-CACCIA'!$H$4:$H$"&amp;$C$5),Analysis!Q53,INDIRECT("'Output 2-CACCIA'!$U$4:$U$"&amp;$C$5))
+SUMIF(INDIRECT("'Output 3-ASINARA'!$H$4:$H$"&amp;$C$6),Analysis!Q53,INDIRECT("'Output 3-ASINARA'!$U$4:$U$"&amp;$C$6))
+SUMIF(INDIRECT("'Output 4-PELAGIE'!$H$4:$H$"&amp;$C$7),Analysis!Q53,INDIRECT("'Output 4-PELAGIE'!$U$4:$U$"&amp;$C$7))
+SUMIF(INDIRECT("'Output 5-EGADI'!$H$4:$H$"&amp;$C$8),Analysis!Q53,INDIRECT("'Output 5-EGADI'!$U$4:$U$"&amp;$C$8))
+SUMIF(INDIRECT("'Output 6-TG'!$H$4:$H$"&amp;$C$9),Analysis!Q53,INDIRECT("'Output 6-TG'!$U$4:$U$"&amp;$C$9))
+SUMIF(INDIRECT("'Output 7-PNAT'!$H$4:$H$"&amp;$C$10),Analysis!Q53,INDIRECT("'Output 7-PNAT'!$U$4:$U$"&amp;$C$10))
+SUMIF(INDIRECT("'Output 8-AEO'!$H$4:$H$"&amp;$C$11),Analysis!Q53,INDIRECT("'Output 8-AEO'!$U$4:$U$"&amp;$C$11))
+SUMIF(INDIRECT("'Output 9-EGADI2'!$H$4:$H$"&amp;$C$12),Analysis!Q53,INDIRECT("'Output 9-EGADI2'!$U$4:$U$"&amp;$C$12))
+SUMIF(INDIRECT("'Output 10-TUNIS'!$H$4:$H$"&amp;$C$13),Analysis!Q53,INDIRECT("'Output 10-TUNIS'!$U$4:$U$"&amp;$C$13))</f>
        <v>4</v>
      </c>
      <c r="U53" s="31"/>
      <c r="V53" s="5">
        <f>SUMIF('Unplanned Outputs'!$E$4:$E$500,Analysis!Q53,'Unplanned Outputs'!$J$4:$J$500)</f>
        <v>0</v>
      </c>
      <c r="W53" s="5">
        <f>SUMIF('Unplanned Outputs'!$E$4:$E$500,Analysis!$Q53,'Unplanned Outputs'!$N$4:$N$500)</f>
        <v>0</v>
      </c>
      <c r="X53" s="5">
        <f>SUMIF('Unplanned Outputs'!$E$4:$E$500,Analysis!$Q53,'Unplanned Outputs'!$R$4:$R$500)</f>
        <v>0</v>
      </c>
      <c r="Y53" s="15"/>
      <c r="Z53" s="38">
        <f t="shared" ca="1" si="9"/>
        <v>4</v>
      </c>
      <c r="AA53" s="38">
        <f t="shared" si="10"/>
        <v>0</v>
      </c>
      <c r="AB53" s="54">
        <f t="shared" ca="1" si="11"/>
        <v>4</v>
      </c>
      <c r="AC53" s="64">
        <f ca="1">SUMIF(INDIRECT("'Output 1-CARBONARA'!$H$5:$H$"&amp;$C$4),Analysis!$Q53,INDIRECT("'Output 1-CARBONARA'!$F$5:$F$"&amp;$C$4))
+SUMIF(INDIRECT("'Output 2-CACCIA'!$H$5:$H$"&amp;$C$5),Analysis!$Q53,INDIRECT("'Output 2-CACCIA'!$F$5:$F$"&amp;$C$5))
+SUMIF(INDIRECT("'Output 3-ASINARA'!$H$5:$H$"&amp;$C$6),Analysis!$Q53,INDIRECT("'Output 3-ASINARA'!$F$5:$F$"&amp;$C$6))
+SUMIF(INDIRECT("'Output 4-PELAGIE'!$H$5:$H$"&amp;$C$7),Analysis!$Q53,INDIRECT("'Output 4-PELAGIE'!$F$5:$F$"&amp;$C$7))
+SUMIF(INDIRECT("'Output 5-EGADI'!$H$5:$H$"&amp;$C$8),Analysis!$Q53,INDIRECT("'Output 5-EGADI'!$F$5:$F$"&amp;$C$8))
+SUMIF(INDIRECT("'Output 6-TG'!$H$5:$H$"&amp;$C$9),Analysis!$Q53,INDIRECT("'Output 6-TG'!$F$5:$F$"&amp;$C$9))
+SUMIF(INDIRECT("'Output 7-PNAT'!$H$5:$H$"&amp;$C$10),Analysis!$Q53,INDIRECT("'Output 7-PNAT'!$F$5:$F$"&amp;$C$10))
+SUMIF(INDIRECT("'Output 8-AEO'!$H$5:$H$"&amp;$C$11),Analysis!$Q53,INDIRECT("'Output 8-AEO'!$F$5:$F$"&amp;$C$11))
+SUMIF(INDIRECT("'Output 9-EGADI2'!$H$5:$H$"&amp;$C$12),Analysis!$Q53,INDIRECT("'Output 9-EGADI2'!$F$5:$F$"&amp;$C$12))
+SUMIF(INDIRECT("'Output 10-TUNIS'!$H$5:$H$"&amp;$C$13),Analysis!$Q53,INDIRECT("'Output 10-TUNIS'!$F$5:$F$"&amp;$C$13))</f>
        <v>5</v>
      </c>
    </row>
    <row r="54" spans="17:29">
      <c r="Q54" s="31" t="s">
        <v>145</v>
      </c>
      <c r="R54" s="5">
        <f ca="1">SUMIF(INDIRECT("'Output 1-CARBONARA'!$H$4:$H$"&amp;$C$4),Analysis!Q54,INDIRECT("'Output 1-CARBONARA'!$m$4:$m$"&amp;$C$4))
+SUMIF(INDIRECT("'Output 2-CACCIA'!$H$4:$H$"&amp;$C$5),Analysis!Q54,INDIRECT("'Output 2-CACCIA'!$m$4:$m$"&amp;$C$5))
+SUMIF(INDIRECT("'Output 3-ASINARA'!$H$4:$H$"&amp;$C$6),Analysis!Q54,INDIRECT("'Output 3-ASINARA'!$m$4:$m$"&amp;$C$6))
+SUMIF(INDIRECT("'Output 4-PELAGIE'!$H$4:$H$"&amp;$C$7),Analysis!Q54,INDIRECT("'Output 4-PELAGIE'!$m$4:$m$"&amp;$C$7))
+SUMIF(INDIRECT("'Output 5-EGADI'!$H$4:$H$"&amp;$C$8),Analysis!Q54,INDIRECT("'Output 5-EGADI'!$m$4:$m$"&amp;$C$8))
+SUMIF(INDIRECT("'Output 6-TG'!$H$4:$H$"&amp;$C$9),Analysis!Q54,INDIRECT("'Output 6-TG'!$m$4:$m$"&amp;$C$9))
+SUMIF(INDIRECT("'Output 7-PNAT'!$H$4:$H$"&amp;$C$10),Analysis!Q54,INDIRECT("'Output 7-PNAT'!$m$4:$m$"&amp;$C$10))
+SUMIF(INDIRECT("'Output 8-AEO'!$H$4:$H$"&amp;$C$11),Analysis!Q54,INDIRECT("'Output 8-AEO'!$m$4:$m$"&amp;$C$11))
+SUMIF(INDIRECT("'Output 9-EGADI2'!$H$4:$H$"&amp;$C$12),Analysis!Q54,INDIRECT("'Output 9-EGADI2'!$m$4:$m$"&amp;$C$12))
+SUMIF(INDIRECT("'Output 10-TUNIS'!$H$4:$H$"&amp;$C$13),Analysis!Q54,INDIRECT("'Output 10-TUNIS'!$m$4:$m$"&amp;$C$13))</f>
        <v>0</v>
      </c>
      <c r="S54" s="5">
        <f ca="1">SUMIF(INDIRECT("'Output 1-CARBONARA'!$H$4:$H$"&amp;$C$4),Analysis!Q54,INDIRECT("'Output 1-CARBONARA'!$q$4:$q$"&amp;$C$4))
+SUMIF(INDIRECT("'Output 2-CACCIA'!$H$4:$H$"&amp;$C$5),Analysis!Q54,INDIRECT("'Output 2-CACCIA'!$q$4:$q$"&amp;$C$5))
+SUMIF(INDIRECT("'Output 3-ASINARA'!$H$4:$H$"&amp;$C$6),Analysis!Q54,INDIRECT("'Output 3-ASINARA'!$q$4:$q$"&amp;$C$6))
+SUMIF(INDIRECT("'Output 4-PELAGIE'!$H$4:$H$"&amp;$C$7),Analysis!Q54,INDIRECT("'Output 4-PELAGIE'!$q$4:$q$"&amp;$C$7))
+SUMIF(INDIRECT("'Output 5-EGADI'!$H$4:$H$"&amp;$C$8),Analysis!Q54,INDIRECT("'Output 5-EGADI'!$q$4:$q$"&amp;$C$8))
+SUMIF(INDIRECT("'Output 6-TG'!$H$4:$H$"&amp;$C$9),Analysis!Q54,INDIRECT("'Output 6-TG'!$q$4:$q$"&amp;$C$9))
+SUMIF(INDIRECT("'Output 7-PNAT'!$H$4:$H$"&amp;$C$10),Analysis!Q54,INDIRECT("'Output 7-PNAT'!$q$4:$q$"&amp;$C$10))
+SUMIF(INDIRECT("'Output 8-AEO'!$H$4:$H$"&amp;$C$11),Analysis!Q54,INDIRECT("'Output 8-AEO'!$q$4:$q$"&amp;$C$11))
+SUMIF(INDIRECT("'Output 9-EGADI2'!$H$4:$H$"&amp;$C$12),Analysis!Q54,INDIRECT("'Output 9-EGADI2'!$q$4:$q$"&amp;$C$12))
+SUMIF(INDIRECT("'Output 10-TUNIS'!$H$4:$H$"&amp;$C$13),Analysis!Q54,INDIRECT("'Output 10-TUNIS'!$q$4:$q$"&amp;$C$13))</f>
        <v>0</v>
      </c>
      <c r="T54" s="5">
        <f ca="1">SUMIF(INDIRECT("'Output 1-CARBONARA'!$H$4:$H$"&amp;$C$4),Analysis!Q54,INDIRECT("'Output 1-CARBONARA'!$U$4:$U$"&amp;$C$4))
+SUMIF(INDIRECT("'Output 2-CACCIA'!$H$4:$H$"&amp;$C$5),Analysis!Q54,INDIRECT("'Output 2-CACCIA'!$U$4:$U$"&amp;$C$5))
+SUMIF(INDIRECT("'Output 3-ASINARA'!$H$4:$H$"&amp;$C$6),Analysis!Q54,INDIRECT("'Output 3-ASINARA'!$U$4:$U$"&amp;$C$6))
+SUMIF(INDIRECT("'Output 4-PELAGIE'!$H$4:$H$"&amp;$C$7),Analysis!Q54,INDIRECT("'Output 4-PELAGIE'!$U$4:$U$"&amp;$C$7))
+SUMIF(INDIRECT("'Output 5-EGADI'!$H$4:$H$"&amp;$C$8),Analysis!Q54,INDIRECT("'Output 5-EGADI'!$U$4:$U$"&amp;$C$8))
+SUMIF(INDIRECT("'Output 6-TG'!$H$4:$H$"&amp;$C$9),Analysis!Q54,INDIRECT("'Output 6-TG'!$U$4:$U$"&amp;$C$9))
+SUMIF(INDIRECT("'Output 7-PNAT'!$H$4:$H$"&amp;$C$10),Analysis!Q54,INDIRECT("'Output 7-PNAT'!$U$4:$U$"&amp;$C$10))
+SUMIF(INDIRECT("'Output 8-AEO'!$H$4:$H$"&amp;$C$11),Analysis!Q54,INDIRECT("'Output 8-AEO'!$U$4:$U$"&amp;$C$11))
+SUMIF(INDIRECT("'Output 9-EGADI2'!$H$4:$H$"&amp;$C$12),Analysis!Q54,INDIRECT("'Output 9-EGADI2'!$U$4:$U$"&amp;$C$12))
+SUMIF(INDIRECT("'Output 10-TUNIS'!$H$4:$H$"&amp;$C$13),Analysis!Q54,INDIRECT("'Output 10-TUNIS'!$U$4:$U$"&amp;$C$13))</f>
        <v>790</v>
      </c>
      <c r="U54" s="31"/>
      <c r="V54" s="5">
        <f>SUMIF('Unplanned Outputs'!$E$4:$E$500,Analysis!Q54,'Unplanned Outputs'!$J$4:$J$500)</f>
        <v>0</v>
      </c>
      <c r="W54" s="5">
        <f>SUMIF('Unplanned Outputs'!$E$4:$E$500,Analysis!$Q54,'Unplanned Outputs'!$N$4:$N$500)</f>
        <v>0</v>
      </c>
      <c r="X54" s="5">
        <f>SUMIF('Unplanned Outputs'!$E$4:$E$500,Analysis!$Q54,'Unplanned Outputs'!$R$4:$R$500)</f>
        <v>0</v>
      </c>
      <c r="Y54" s="15"/>
      <c r="Z54" s="38">
        <f t="shared" ca="1" si="9"/>
        <v>790</v>
      </c>
      <c r="AA54" s="38">
        <f t="shared" si="10"/>
        <v>0</v>
      </c>
      <c r="AB54" s="54">
        <f t="shared" ca="1" si="11"/>
        <v>790</v>
      </c>
      <c r="AC54" s="64">
        <f ca="1">SUMIF(INDIRECT("'Output 1-CARBONARA'!$H$5:$H$"&amp;$C$4),Analysis!$Q54,INDIRECT("'Output 1-CARBONARA'!$F$5:$F$"&amp;$C$4))
+SUMIF(INDIRECT("'Output 2-CACCIA'!$H$5:$H$"&amp;$C$5),Analysis!$Q54,INDIRECT("'Output 2-CACCIA'!$F$5:$F$"&amp;$C$5))
+SUMIF(INDIRECT("'Output 3-ASINARA'!$H$5:$H$"&amp;$C$6),Analysis!$Q54,INDIRECT("'Output 3-ASINARA'!$F$5:$F$"&amp;$C$6))
+SUMIF(INDIRECT("'Output 4-PELAGIE'!$H$5:$H$"&amp;$C$7),Analysis!$Q54,INDIRECT("'Output 4-PELAGIE'!$F$5:$F$"&amp;$C$7))
+SUMIF(INDIRECT("'Output 5-EGADI'!$H$5:$H$"&amp;$C$8),Analysis!$Q54,INDIRECT("'Output 5-EGADI'!$F$5:$F$"&amp;$C$8))
+SUMIF(INDIRECT("'Output 6-TG'!$H$5:$H$"&amp;$C$9),Analysis!$Q54,INDIRECT("'Output 6-TG'!$F$5:$F$"&amp;$C$9))
+SUMIF(INDIRECT("'Output 7-PNAT'!$H$5:$H$"&amp;$C$10),Analysis!$Q54,INDIRECT("'Output 7-PNAT'!$F$5:$F$"&amp;$C$10))
+SUMIF(INDIRECT("'Output 8-AEO'!$H$5:$H$"&amp;$C$11),Analysis!$Q54,INDIRECT("'Output 8-AEO'!$F$5:$F$"&amp;$C$11))
+SUMIF(INDIRECT("'Output 9-EGADI2'!$H$5:$H$"&amp;$C$12),Analysis!$Q54,INDIRECT("'Output 9-EGADI2'!$F$5:$F$"&amp;$C$12))
+SUMIF(INDIRECT("'Output 10-TUNIS'!$H$5:$H$"&amp;$C$13),Analysis!$Q54,INDIRECT("'Output 10-TUNIS'!$F$5:$F$"&amp;$C$13))</f>
        <v>71</v>
      </c>
    </row>
    <row r="55" spans="17:29">
      <c r="Q55" s="31">
        <v>4.2</v>
      </c>
      <c r="R55" s="5">
        <f ca="1">SUMIF(INDIRECT("'Output 1-CARBONARA'!$H$4:$H$"&amp;$C$4),Analysis!Q55,INDIRECT("'Output 1-CARBONARA'!$m$4:$m$"&amp;$C$4))
+SUMIF(INDIRECT("'Output 2-CACCIA'!$H$4:$H$"&amp;$C$5),Analysis!Q55,INDIRECT("'Output 2-CACCIA'!$m$4:$m$"&amp;$C$5))
+SUMIF(INDIRECT("'Output 3-ASINARA'!$H$4:$H$"&amp;$C$6),Analysis!Q55,INDIRECT("'Output 3-ASINARA'!$m$4:$m$"&amp;$C$6))
+SUMIF(INDIRECT("'Output 4-PELAGIE'!$H$4:$H$"&amp;$C$7),Analysis!Q55,INDIRECT("'Output 4-PELAGIE'!$m$4:$m$"&amp;$C$7))
+SUMIF(INDIRECT("'Output 5-EGADI'!$H$4:$H$"&amp;$C$8),Analysis!Q55,INDIRECT("'Output 5-EGADI'!$m$4:$m$"&amp;$C$8))
+SUMIF(INDIRECT("'Output 6-TG'!$H$4:$H$"&amp;$C$9),Analysis!Q55,INDIRECT("'Output 6-TG'!$m$4:$m$"&amp;$C$9))
+SUMIF(INDIRECT("'Output 7-PNAT'!$H$4:$H$"&amp;$C$10),Analysis!Q55,INDIRECT("'Output 7-PNAT'!$m$4:$m$"&amp;$C$10))
+SUMIF(INDIRECT("'Output 8-AEO'!$H$4:$H$"&amp;$C$11),Analysis!Q55,INDIRECT("'Output 8-AEO'!$m$4:$m$"&amp;$C$11))
+SUMIF(INDIRECT("'Output 9-EGADI2'!$H$4:$H$"&amp;$C$12),Analysis!Q55,INDIRECT("'Output 9-EGADI2'!$m$4:$m$"&amp;$C$12))
+SUMIF(INDIRECT("'Output 10-TUNIS'!$H$4:$H$"&amp;$C$13),Analysis!Q55,INDIRECT("'Output 10-TUNIS'!$m$4:$m$"&amp;$C$13))</f>
        <v>0</v>
      </c>
      <c r="S55" s="5">
        <f ca="1">SUMIF(INDIRECT("'Output 1-CARBONARA'!$H$4:$H$"&amp;$C$4),Analysis!Q55,INDIRECT("'Output 1-CARBONARA'!$q$4:$q$"&amp;$C$4))
+SUMIF(INDIRECT("'Output 2-CACCIA'!$H$4:$H$"&amp;$C$5),Analysis!Q55,INDIRECT("'Output 2-CACCIA'!$q$4:$q$"&amp;$C$5))
+SUMIF(INDIRECT("'Output 3-ASINARA'!$H$4:$H$"&amp;$C$6),Analysis!Q55,INDIRECT("'Output 3-ASINARA'!$q$4:$q$"&amp;$C$6))
+SUMIF(INDIRECT("'Output 4-PELAGIE'!$H$4:$H$"&amp;$C$7),Analysis!Q55,INDIRECT("'Output 4-PELAGIE'!$q$4:$q$"&amp;$C$7))
+SUMIF(INDIRECT("'Output 5-EGADI'!$H$4:$H$"&amp;$C$8),Analysis!Q55,INDIRECT("'Output 5-EGADI'!$q$4:$q$"&amp;$C$8))
+SUMIF(INDIRECT("'Output 6-TG'!$H$4:$H$"&amp;$C$9),Analysis!Q55,INDIRECT("'Output 6-TG'!$q$4:$q$"&amp;$C$9))
+SUMIF(INDIRECT("'Output 7-PNAT'!$H$4:$H$"&amp;$C$10),Analysis!Q55,INDIRECT("'Output 7-PNAT'!$q$4:$q$"&amp;$C$10))
+SUMIF(INDIRECT("'Output 8-AEO'!$H$4:$H$"&amp;$C$11),Analysis!Q55,INDIRECT("'Output 8-AEO'!$q$4:$q$"&amp;$C$11))
+SUMIF(INDIRECT("'Output 9-EGADI2'!$H$4:$H$"&amp;$C$12),Analysis!Q55,INDIRECT("'Output 9-EGADI2'!$q$4:$q$"&amp;$C$12))
+SUMIF(INDIRECT("'Output 10-TUNIS'!$H$4:$H$"&amp;$C$13),Analysis!Q55,INDIRECT("'Output 10-TUNIS'!$q$4:$q$"&amp;$C$13))</f>
        <v>0</v>
      </c>
      <c r="T55" s="5">
        <f ca="1">SUMIF(INDIRECT("'Output 1-CARBONARA'!$H$4:$H$"&amp;$C$4),Analysis!Q55,INDIRECT("'Output 1-CARBONARA'!$U$4:$U$"&amp;$C$4))
+SUMIF(INDIRECT("'Output 2-CACCIA'!$H$4:$H$"&amp;$C$5),Analysis!Q55,INDIRECT("'Output 2-CACCIA'!$U$4:$U$"&amp;$C$5))
+SUMIF(INDIRECT("'Output 3-ASINARA'!$H$4:$H$"&amp;$C$6),Analysis!Q55,INDIRECT("'Output 3-ASINARA'!$U$4:$U$"&amp;$C$6))
+SUMIF(INDIRECT("'Output 4-PELAGIE'!$H$4:$H$"&amp;$C$7),Analysis!Q55,INDIRECT("'Output 4-PELAGIE'!$U$4:$U$"&amp;$C$7))
+SUMIF(INDIRECT("'Output 5-EGADI'!$H$4:$H$"&amp;$C$8),Analysis!Q55,INDIRECT("'Output 5-EGADI'!$U$4:$U$"&amp;$C$8))
+SUMIF(INDIRECT("'Output 6-TG'!$H$4:$H$"&amp;$C$9),Analysis!Q55,INDIRECT("'Output 6-TG'!$U$4:$U$"&amp;$C$9))
+SUMIF(INDIRECT("'Output 7-PNAT'!$H$4:$H$"&amp;$C$10),Analysis!Q55,INDIRECT("'Output 7-PNAT'!$U$4:$U$"&amp;$C$10))
+SUMIF(INDIRECT("'Output 8-AEO'!$H$4:$H$"&amp;$C$11),Analysis!Q55,INDIRECT("'Output 8-AEO'!$U$4:$U$"&amp;$C$11))
+SUMIF(INDIRECT("'Output 9-EGADI2'!$H$4:$H$"&amp;$C$12),Analysis!Q55,INDIRECT("'Output 9-EGADI2'!$U$4:$U$"&amp;$C$12))
+SUMIF(INDIRECT("'Output 10-TUNIS'!$H$4:$H$"&amp;$C$13),Analysis!Q55,INDIRECT("'Output 10-TUNIS'!$U$4:$U$"&amp;$C$13))</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8">
        <f t="shared" ca="1" si="9"/>
        <v>0</v>
      </c>
      <c r="AA55" s="38">
        <f t="shared" si="10"/>
        <v>0</v>
      </c>
      <c r="AB55" s="54">
        <f t="shared" ca="1" si="11"/>
        <v>0</v>
      </c>
      <c r="AC55" s="64">
        <f ca="1">SUMIF(INDIRECT("'Output 1-CARBONARA'!$H$5:$H$"&amp;$C$4),Analysis!$Q55,INDIRECT("'Output 1-CARBONARA'!$F$5:$F$"&amp;$C$4))
+SUMIF(INDIRECT("'Output 2-CACCIA'!$H$5:$H$"&amp;$C$5),Analysis!$Q55,INDIRECT("'Output 2-CACCIA'!$F$5:$F$"&amp;$C$5))
+SUMIF(INDIRECT("'Output 3-ASINARA'!$H$5:$H$"&amp;$C$6),Analysis!$Q55,INDIRECT("'Output 3-ASINARA'!$F$5:$F$"&amp;$C$6))
+SUMIF(INDIRECT("'Output 4-PELAGIE'!$H$5:$H$"&amp;$C$7),Analysis!$Q55,INDIRECT("'Output 4-PELAGIE'!$F$5:$F$"&amp;$C$7))
+SUMIF(INDIRECT("'Output 5-EGADI'!$H$5:$H$"&amp;$C$8),Analysis!$Q55,INDIRECT("'Output 5-EGADI'!$F$5:$F$"&amp;$C$8))
+SUMIF(INDIRECT("'Output 6-TG'!$H$5:$H$"&amp;$C$9),Analysis!$Q55,INDIRECT("'Output 6-TG'!$F$5:$F$"&amp;$C$9))
+SUMIF(INDIRECT("'Output 7-PNAT'!$H$5:$H$"&amp;$C$10),Analysis!$Q55,INDIRECT("'Output 7-PNAT'!$F$5:$F$"&amp;$C$10))
+SUMIF(INDIRECT("'Output 8-AEO'!$H$5:$H$"&amp;$C$11),Analysis!$Q55,INDIRECT("'Output 8-AEO'!$F$5:$F$"&amp;$C$11))
+SUMIF(INDIRECT("'Output 9-EGADI2'!$H$5:$H$"&amp;$C$12),Analysis!$Q55,INDIRECT("'Output 9-EGADI2'!$F$5:$F$"&amp;$C$12))
+SUMIF(INDIRECT("'Output 10-TUNIS'!$H$5:$H$"&amp;$C$13),Analysis!$Q55,INDIRECT("'Output 10-TUNIS'!$F$5:$F$"&amp;$C$13))</f>
        <v>0</v>
      </c>
    </row>
    <row r="56" spans="17:29">
      <c r="Q56" s="31" t="s">
        <v>78</v>
      </c>
      <c r="R56" s="5">
        <f ca="1">SUMIF(INDIRECT("'Output 1-CARBONARA'!$H$4:$H$"&amp;$C$4),Analysis!Q56,INDIRECT("'Output 1-CARBONARA'!$m$4:$m$"&amp;$C$4))
+SUMIF(INDIRECT("'Output 2-CACCIA'!$H$4:$H$"&amp;$C$5),Analysis!Q56,INDIRECT("'Output 2-CACCIA'!$m$4:$m$"&amp;$C$5))
+SUMIF(INDIRECT("'Output 3-ASINARA'!$H$4:$H$"&amp;$C$6),Analysis!Q56,INDIRECT("'Output 3-ASINARA'!$m$4:$m$"&amp;$C$6))
+SUMIF(INDIRECT("'Output 4-PELAGIE'!$H$4:$H$"&amp;$C$7),Analysis!Q56,INDIRECT("'Output 4-PELAGIE'!$m$4:$m$"&amp;$C$7))
+SUMIF(INDIRECT("'Output 5-EGADI'!$H$4:$H$"&amp;$C$8),Analysis!Q56,INDIRECT("'Output 5-EGADI'!$m$4:$m$"&amp;$C$8))
+SUMIF(INDIRECT("'Output 6-TG'!$H$4:$H$"&amp;$C$9),Analysis!Q56,INDIRECT("'Output 6-TG'!$m$4:$m$"&amp;$C$9))
+SUMIF(INDIRECT("'Output 7-PNAT'!$H$4:$H$"&amp;$C$10),Analysis!Q56,INDIRECT("'Output 7-PNAT'!$m$4:$m$"&amp;$C$10))
+SUMIF(INDIRECT("'Output 8-AEO'!$H$4:$H$"&amp;$C$11),Analysis!Q56,INDIRECT("'Output 8-AEO'!$m$4:$m$"&amp;$C$11))
+SUMIF(INDIRECT("'Output 9-EGADI2'!$H$4:$H$"&amp;$C$12),Analysis!Q56,INDIRECT("'Output 9-EGADI2'!$m$4:$m$"&amp;$C$12))
+SUMIF(INDIRECT("'Output 10-TUNIS'!$H$4:$H$"&amp;$C$13),Analysis!Q56,INDIRECT("'Output 10-TUNIS'!$m$4:$m$"&amp;$C$13))</f>
        <v>0</v>
      </c>
      <c r="S56" s="5">
        <f ca="1">SUMIF(INDIRECT("'Output 1-CARBONARA'!$H$4:$H$"&amp;$C$4),Analysis!Q56,INDIRECT("'Output 1-CARBONARA'!$q$4:$q$"&amp;$C$4))
+SUMIF(INDIRECT("'Output 2-CACCIA'!$H$4:$H$"&amp;$C$5),Analysis!Q56,INDIRECT("'Output 2-CACCIA'!$q$4:$q$"&amp;$C$5))
+SUMIF(INDIRECT("'Output 3-ASINARA'!$H$4:$H$"&amp;$C$6),Analysis!Q56,INDIRECT("'Output 3-ASINARA'!$q$4:$q$"&amp;$C$6))
+SUMIF(INDIRECT("'Output 4-PELAGIE'!$H$4:$H$"&amp;$C$7),Analysis!Q56,INDIRECT("'Output 4-PELAGIE'!$q$4:$q$"&amp;$C$7))
+SUMIF(INDIRECT("'Output 5-EGADI'!$H$4:$H$"&amp;$C$8),Analysis!Q56,INDIRECT("'Output 5-EGADI'!$q$4:$q$"&amp;$C$8))
+SUMIF(INDIRECT("'Output 6-TG'!$H$4:$H$"&amp;$C$9),Analysis!Q56,INDIRECT("'Output 6-TG'!$q$4:$q$"&amp;$C$9))
+SUMIF(INDIRECT("'Output 7-PNAT'!$H$4:$H$"&amp;$C$10),Analysis!Q56,INDIRECT("'Output 7-PNAT'!$q$4:$q$"&amp;$C$10))
+SUMIF(INDIRECT("'Output 8-AEO'!$H$4:$H$"&amp;$C$11),Analysis!Q56,INDIRECT("'Output 8-AEO'!$q$4:$q$"&amp;$C$11))
+SUMIF(INDIRECT("'Output 9-EGADI2'!$H$4:$H$"&amp;$C$12),Analysis!Q56,INDIRECT("'Output 9-EGADI2'!$q$4:$q$"&amp;$C$12))
+SUMIF(INDIRECT("'Output 10-TUNIS'!$H$4:$H$"&amp;$C$13),Analysis!Q56,INDIRECT("'Output 10-TUNIS'!$q$4:$q$"&amp;$C$13))</f>
        <v>0</v>
      </c>
      <c r="T56" s="5">
        <f ca="1">SUMIF(INDIRECT("'Output 1-CARBONARA'!$H$4:$H$"&amp;$C$4),Analysis!Q56,INDIRECT("'Output 1-CARBONARA'!$U$4:$U$"&amp;$C$4))
+SUMIF(INDIRECT("'Output 2-CACCIA'!$H$4:$H$"&amp;$C$5),Analysis!Q56,INDIRECT("'Output 2-CACCIA'!$U$4:$U$"&amp;$C$5))
+SUMIF(INDIRECT("'Output 3-ASINARA'!$H$4:$H$"&amp;$C$6),Analysis!Q56,INDIRECT("'Output 3-ASINARA'!$U$4:$U$"&amp;$C$6))
+SUMIF(INDIRECT("'Output 4-PELAGIE'!$H$4:$H$"&amp;$C$7),Analysis!Q56,INDIRECT("'Output 4-PELAGIE'!$U$4:$U$"&amp;$C$7))
+SUMIF(INDIRECT("'Output 5-EGADI'!$H$4:$H$"&amp;$C$8),Analysis!Q56,INDIRECT("'Output 5-EGADI'!$U$4:$U$"&amp;$C$8))
+SUMIF(INDIRECT("'Output 6-TG'!$H$4:$H$"&amp;$C$9),Analysis!Q56,INDIRECT("'Output 6-TG'!$U$4:$U$"&amp;$C$9))
+SUMIF(INDIRECT("'Output 7-PNAT'!$H$4:$H$"&amp;$C$10),Analysis!Q56,INDIRECT("'Output 7-PNAT'!$U$4:$U$"&amp;$C$10))
+SUMIF(INDIRECT("'Output 8-AEO'!$H$4:$H$"&amp;$C$11),Analysis!Q56,INDIRECT("'Output 8-AEO'!$U$4:$U$"&amp;$C$11))
+SUMIF(INDIRECT("'Output 9-EGADI2'!$H$4:$H$"&amp;$C$12),Analysis!Q56,INDIRECT("'Output 9-EGADI2'!$U$4:$U$"&amp;$C$12))
+SUMIF(INDIRECT("'Output 10-TUNIS'!$H$4:$H$"&amp;$C$13),Analysis!Q56,INDIRECT("'Output 10-TUNIS'!$U$4:$U$"&amp;$C$13))</f>
        <v>2459</v>
      </c>
      <c r="U56" s="31"/>
      <c r="V56" s="5">
        <f>SUMIF('Unplanned Outputs'!$E$4:$E$500,Analysis!Q56,'Unplanned Outputs'!$J$4:$J$500)</f>
        <v>0</v>
      </c>
      <c r="W56" s="5">
        <f>SUMIF('Unplanned Outputs'!$E$4:$E$500,Analysis!$Q56,'Unplanned Outputs'!$N$4:$N$500)</f>
        <v>156330</v>
      </c>
      <c r="X56" s="5">
        <f>SUMIF('Unplanned Outputs'!$E$4:$E$500,Analysis!$Q56,'Unplanned Outputs'!$R$4:$R$500)</f>
        <v>0</v>
      </c>
      <c r="Y56" s="15"/>
      <c r="Z56" s="38">
        <f t="shared" ca="1" si="9"/>
        <v>2459</v>
      </c>
      <c r="AA56" s="38">
        <f t="shared" si="10"/>
        <v>156330</v>
      </c>
      <c r="AB56" s="54">
        <f t="shared" ca="1" si="11"/>
        <v>158789</v>
      </c>
      <c r="AC56" s="64">
        <f ca="1">SUMIF(INDIRECT("'Output 1-CARBONARA'!$H$5:$H$"&amp;$C$4),Analysis!$Q56,INDIRECT("'Output 1-CARBONARA'!$F$5:$F$"&amp;$C$4))
+SUMIF(INDIRECT("'Output 2-CACCIA'!$H$5:$H$"&amp;$C$5),Analysis!$Q56,INDIRECT("'Output 2-CACCIA'!$F$5:$F$"&amp;$C$5))
+SUMIF(INDIRECT("'Output 3-ASINARA'!$H$5:$H$"&amp;$C$6),Analysis!$Q56,INDIRECT("'Output 3-ASINARA'!$F$5:$F$"&amp;$C$6))
+SUMIF(INDIRECT("'Output 4-PELAGIE'!$H$5:$H$"&amp;$C$7),Analysis!$Q56,INDIRECT("'Output 4-PELAGIE'!$F$5:$F$"&amp;$C$7))
+SUMIF(INDIRECT("'Output 5-EGADI'!$H$5:$H$"&amp;$C$8),Analysis!$Q56,INDIRECT("'Output 5-EGADI'!$F$5:$F$"&amp;$C$8))
+SUMIF(INDIRECT("'Output 6-TG'!$H$5:$H$"&amp;$C$9),Analysis!$Q56,INDIRECT("'Output 6-TG'!$F$5:$F$"&amp;$C$9))
+SUMIF(INDIRECT("'Output 7-PNAT'!$H$5:$H$"&amp;$C$10),Analysis!$Q56,INDIRECT("'Output 7-PNAT'!$F$5:$F$"&amp;$C$10))
+SUMIF(INDIRECT("'Output 8-AEO'!$H$5:$H$"&amp;$C$11),Analysis!$Q56,INDIRECT("'Output 8-AEO'!$F$5:$F$"&amp;$C$11))
+SUMIF(INDIRECT("'Output 9-EGADI2'!$H$5:$H$"&amp;$C$12),Analysis!$Q56,INDIRECT("'Output 9-EGADI2'!$F$5:$F$"&amp;$C$12))
+SUMIF(INDIRECT("'Output 10-TUNIS'!$H$5:$H$"&amp;$C$13),Analysis!$Q56,INDIRECT("'Output 10-TUNIS'!$F$5:$F$"&amp;$C$13))</f>
        <v>364</v>
      </c>
    </row>
    <row r="57" spans="17:29">
      <c r="Q57" s="31" t="s">
        <v>70</v>
      </c>
      <c r="R57" s="5">
        <f ca="1">SUMIF(INDIRECT("'Output 1-CARBONARA'!$H$4:$H$"&amp;$C$4),Analysis!Q57,INDIRECT("'Output 1-CARBONARA'!$m$4:$m$"&amp;$C$4))
+SUMIF(INDIRECT("'Output 2-CACCIA'!$H$4:$H$"&amp;$C$5),Analysis!Q57,INDIRECT("'Output 2-CACCIA'!$m$4:$m$"&amp;$C$5))
+SUMIF(INDIRECT("'Output 3-ASINARA'!$H$4:$H$"&amp;$C$6),Analysis!Q57,INDIRECT("'Output 3-ASINARA'!$m$4:$m$"&amp;$C$6))
+SUMIF(INDIRECT("'Output 4-PELAGIE'!$H$4:$H$"&amp;$C$7),Analysis!Q57,INDIRECT("'Output 4-PELAGIE'!$m$4:$m$"&amp;$C$7))
+SUMIF(INDIRECT("'Output 5-EGADI'!$H$4:$H$"&amp;$C$8),Analysis!Q57,INDIRECT("'Output 5-EGADI'!$m$4:$m$"&amp;$C$8))
+SUMIF(INDIRECT("'Output 6-TG'!$H$4:$H$"&amp;$C$9),Analysis!Q57,INDIRECT("'Output 6-TG'!$m$4:$m$"&amp;$C$9))
+SUMIF(INDIRECT("'Output 7-PNAT'!$H$4:$H$"&amp;$C$10),Analysis!Q57,INDIRECT("'Output 7-PNAT'!$m$4:$m$"&amp;$C$10))
+SUMIF(INDIRECT("'Output 8-AEO'!$H$4:$H$"&amp;$C$11),Analysis!Q57,INDIRECT("'Output 8-AEO'!$m$4:$m$"&amp;$C$11))
+SUMIF(INDIRECT("'Output 9-EGADI2'!$H$4:$H$"&amp;$C$12),Analysis!Q57,INDIRECT("'Output 9-EGADI2'!$m$4:$m$"&amp;$C$12))
+SUMIF(INDIRECT("'Output 10-TUNIS'!$H$4:$H$"&amp;$C$13),Analysis!Q57,INDIRECT("'Output 10-TUNIS'!$m$4:$m$"&amp;$C$13))</f>
        <v>39</v>
      </c>
      <c r="S57" s="5">
        <f ca="1">SUMIF(INDIRECT("'Output 1-CARBONARA'!$H$4:$H$"&amp;$C$4),Analysis!Q57,INDIRECT("'Output 1-CARBONARA'!$q$4:$q$"&amp;$C$4))
+SUMIF(INDIRECT("'Output 2-CACCIA'!$H$4:$H$"&amp;$C$5),Analysis!Q57,INDIRECT("'Output 2-CACCIA'!$q$4:$q$"&amp;$C$5))
+SUMIF(INDIRECT("'Output 3-ASINARA'!$H$4:$H$"&amp;$C$6),Analysis!Q57,INDIRECT("'Output 3-ASINARA'!$q$4:$q$"&amp;$C$6))
+SUMIF(INDIRECT("'Output 4-PELAGIE'!$H$4:$H$"&amp;$C$7),Analysis!Q57,INDIRECT("'Output 4-PELAGIE'!$q$4:$q$"&amp;$C$7))
+SUMIF(INDIRECT("'Output 5-EGADI'!$H$4:$H$"&amp;$C$8),Analysis!Q57,INDIRECT("'Output 5-EGADI'!$q$4:$q$"&amp;$C$8))
+SUMIF(INDIRECT("'Output 6-TG'!$H$4:$H$"&amp;$C$9),Analysis!Q57,INDIRECT("'Output 6-TG'!$q$4:$q$"&amp;$C$9))
+SUMIF(INDIRECT("'Output 7-PNAT'!$H$4:$H$"&amp;$C$10),Analysis!Q57,INDIRECT("'Output 7-PNAT'!$q$4:$q$"&amp;$C$10))
+SUMIF(INDIRECT("'Output 8-AEO'!$H$4:$H$"&amp;$C$11),Analysis!Q57,INDIRECT("'Output 8-AEO'!$q$4:$q$"&amp;$C$11))
+SUMIF(INDIRECT("'Output 9-EGADI2'!$H$4:$H$"&amp;$C$12),Analysis!Q57,INDIRECT("'Output 9-EGADI2'!$q$4:$q$"&amp;$C$12))
+SUMIF(INDIRECT("'Output 10-TUNIS'!$H$4:$H$"&amp;$C$13),Analysis!Q57,INDIRECT("'Output 10-TUNIS'!$q$4:$q$"&amp;$C$13))</f>
        <v>0</v>
      </c>
      <c r="T57" s="5">
        <f ca="1">SUMIF(INDIRECT("'Output 1-CARBONARA'!$H$4:$H$"&amp;$C$4),Analysis!Q57,INDIRECT("'Output 1-CARBONARA'!$U$4:$U$"&amp;$C$4))
+SUMIF(INDIRECT("'Output 2-CACCIA'!$H$4:$H$"&amp;$C$5),Analysis!Q57,INDIRECT("'Output 2-CACCIA'!$U$4:$U$"&amp;$C$5))
+SUMIF(INDIRECT("'Output 3-ASINARA'!$H$4:$H$"&amp;$C$6),Analysis!Q57,INDIRECT("'Output 3-ASINARA'!$U$4:$U$"&amp;$C$6))
+SUMIF(INDIRECT("'Output 4-PELAGIE'!$H$4:$H$"&amp;$C$7),Analysis!Q57,INDIRECT("'Output 4-PELAGIE'!$U$4:$U$"&amp;$C$7))
+SUMIF(INDIRECT("'Output 5-EGADI'!$H$4:$H$"&amp;$C$8),Analysis!Q57,INDIRECT("'Output 5-EGADI'!$U$4:$U$"&amp;$C$8))
+SUMIF(INDIRECT("'Output 6-TG'!$H$4:$H$"&amp;$C$9),Analysis!Q57,INDIRECT("'Output 6-TG'!$U$4:$U$"&amp;$C$9))
+SUMIF(INDIRECT("'Output 7-PNAT'!$H$4:$H$"&amp;$C$10),Analysis!Q57,INDIRECT("'Output 7-PNAT'!$U$4:$U$"&amp;$C$10))
+SUMIF(INDIRECT("'Output 8-AEO'!$H$4:$H$"&amp;$C$11),Analysis!Q57,INDIRECT("'Output 8-AEO'!$U$4:$U$"&amp;$C$11))
+SUMIF(INDIRECT("'Output 9-EGADI2'!$H$4:$H$"&amp;$C$12),Analysis!Q57,INDIRECT("'Output 9-EGADI2'!$U$4:$U$"&amp;$C$12))
+SUMIF(INDIRECT("'Output 10-TUNIS'!$H$4:$H$"&amp;$C$13),Analysis!Q57,INDIRECT("'Output 10-TUNIS'!$U$4:$U$"&amp;$C$13))</f>
        <v>271</v>
      </c>
      <c r="U57" s="31"/>
      <c r="V57" s="5">
        <f>SUMIF('Unplanned Outputs'!$E$4:$E$500,Analysis!Q57,'Unplanned Outputs'!$J$4:$J$500)</f>
        <v>0</v>
      </c>
      <c r="W57" s="5">
        <f>SUMIF('Unplanned Outputs'!$E$4:$E$500,Analysis!$Q57,'Unplanned Outputs'!$N$4:$N$500)</f>
        <v>0</v>
      </c>
      <c r="X57" s="5">
        <f>SUMIF('Unplanned Outputs'!$E$4:$E$500,Analysis!$Q57,'Unplanned Outputs'!$R$4:$R$500)</f>
        <v>0</v>
      </c>
      <c r="Y57" s="15"/>
      <c r="Z57" s="38">
        <f t="shared" ca="1" si="9"/>
        <v>310</v>
      </c>
      <c r="AA57" s="38">
        <f t="shared" si="10"/>
        <v>0</v>
      </c>
      <c r="AB57" s="54">
        <f t="shared" ca="1" si="11"/>
        <v>310</v>
      </c>
      <c r="AC57" s="64">
        <f ca="1">SUMIF(INDIRECT("'Output 1-CARBONARA'!$H$5:$H$"&amp;$C$4),Analysis!$Q57,INDIRECT("'Output 1-CARBONARA'!$F$5:$F$"&amp;$C$4))
+SUMIF(INDIRECT("'Output 2-CACCIA'!$H$5:$H$"&amp;$C$5),Analysis!$Q57,INDIRECT("'Output 2-CACCIA'!$F$5:$F$"&amp;$C$5))
+SUMIF(INDIRECT("'Output 3-ASINARA'!$H$5:$H$"&amp;$C$6),Analysis!$Q57,INDIRECT("'Output 3-ASINARA'!$F$5:$F$"&amp;$C$6))
+SUMIF(INDIRECT("'Output 4-PELAGIE'!$H$5:$H$"&amp;$C$7),Analysis!$Q57,INDIRECT("'Output 4-PELAGIE'!$F$5:$F$"&amp;$C$7))
+SUMIF(INDIRECT("'Output 5-EGADI'!$H$5:$H$"&amp;$C$8),Analysis!$Q57,INDIRECT("'Output 5-EGADI'!$F$5:$F$"&amp;$C$8))
+SUMIF(INDIRECT("'Output 6-TG'!$H$5:$H$"&amp;$C$9),Analysis!$Q57,INDIRECT("'Output 6-TG'!$F$5:$F$"&amp;$C$9))
+SUMIF(INDIRECT("'Output 7-PNAT'!$H$5:$H$"&amp;$C$10),Analysis!$Q57,INDIRECT("'Output 7-PNAT'!$F$5:$F$"&amp;$C$10))
+SUMIF(INDIRECT("'Output 8-AEO'!$H$5:$H$"&amp;$C$11),Analysis!$Q57,INDIRECT("'Output 8-AEO'!$F$5:$F$"&amp;$C$11))
+SUMIF(INDIRECT("'Output 9-EGADI2'!$H$5:$H$"&amp;$C$12),Analysis!$Q57,INDIRECT("'Output 9-EGADI2'!$F$5:$F$"&amp;$C$12))
+SUMIF(INDIRECT("'Output 10-TUNIS'!$H$5:$H$"&amp;$C$13),Analysis!$Q57,INDIRECT("'Output 10-TUNIS'!$F$5:$F$"&amp;$C$13))</f>
        <v>821</v>
      </c>
    </row>
    <row r="58" spans="17:29">
      <c r="Q58" s="31" t="s">
        <v>86</v>
      </c>
      <c r="R58" s="5">
        <f ca="1">SUMIF(INDIRECT("'Output 1-CARBONARA'!$H$4:$H$"&amp;$C$4),Analysis!Q58,INDIRECT("'Output 1-CARBONARA'!$m$4:$m$"&amp;$C$4))
+SUMIF(INDIRECT("'Output 2-CACCIA'!$H$4:$H$"&amp;$C$5),Analysis!Q58,INDIRECT("'Output 2-CACCIA'!$m$4:$m$"&amp;$C$5))
+SUMIF(INDIRECT("'Output 3-ASINARA'!$H$4:$H$"&amp;$C$6),Analysis!Q58,INDIRECT("'Output 3-ASINARA'!$m$4:$m$"&amp;$C$6))
+SUMIF(INDIRECT("'Output 4-PELAGIE'!$H$4:$H$"&amp;$C$7),Analysis!Q58,INDIRECT("'Output 4-PELAGIE'!$m$4:$m$"&amp;$C$7))
+SUMIF(INDIRECT("'Output 5-EGADI'!$H$4:$H$"&amp;$C$8),Analysis!Q58,INDIRECT("'Output 5-EGADI'!$m$4:$m$"&amp;$C$8))
+SUMIF(INDIRECT("'Output 6-TG'!$H$4:$H$"&amp;$C$9),Analysis!Q58,INDIRECT("'Output 6-TG'!$m$4:$m$"&amp;$C$9))
+SUMIF(INDIRECT("'Output 7-PNAT'!$H$4:$H$"&amp;$C$10),Analysis!Q58,INDIRECT("'Output 7-PNAT'!$m$4:$m$"&amp;$C$10))
+SUMIF(INDIRECT("'Output 8-AEO'!$H$4:$H$"&amp;$C$11),Analysis!Q58,INDIRECT("'Output 8-AEO'!$m$4:$m$"&amp;$C$11))
+SUMIF(INDIRECT("'Output 9-EGADI2'!$H$4:$H$"&amp;$C$12),Analysis!Q58,INDIRECT("'Output 9-EGADI2'!$m$4:$m$"&amp;$C$12))
+SUMIF(INDIRECT("'Output 10-TUNIS'!$H$4:$H$"&amp;$C$13),Analysis!Q58,INDIRECT("'Output 10-TUNIS'!$m$4:$m$"&amp;$C$13))</f>
        <v>0</v>
      </c>
      <c r="S58" s="5">
        <f ca="1">SUMIF(INDIRECT("'Output 1-CARBONARA'!$H$4:$H$"&amp;$C$4),Analysis!Q58,INDIRECT("'Output 1-CARBONARA'!$q$4:$q$"&amp;$C$4))
+SUMIF(INDIRECT("'Output 2-CACCIA'!$H$4:$H$"&amp;$C$5),Analysis!Q58,INDIRECT("'Output 2-CACCIA'!$q$4:$q$"&amp;$C$5))
+SUMIF(INDIRECT("'Output 3-ASINARA'!$H$4:$H$"&amp;$C$6),Analysis!Q58,INDIRECT("'Output 3-ASINARA'!$q$4:$q$"&amp;$C$6))
+SUMIF(INDIRECT("'Output 4-PELAGIE'!$H$4:$H$"&amp;$C$7),Analysis!Q58,INDIRECT("'Output 4-PELAGIE'!$q$4:$q$"&amp;$C$7))
+SUMIF(INDIRECT("'Output 5-EGADI'!$H$4:$H$"&amp;$C$8),Analysis!Q58,INDIRECT("'Output 5-EGADI'!$q$4:$q$"&amp;$C$8))
+SUMIF(INDIRECT("'Output 6-TG'!$H$4:$H$"&amp;$C$9),Analysis!Q58,INDIRECT("'Output 6-TG'!$q$4:$q$"&amp;$C$9))
+SUMIF(INDIRECT("'Output 7-PNAT'!$H$4:$H$"&amp;$C$10),Analysis!Q58,INDIRECT("'Output 7-PNAT'!$q$4:$q$"&amp;$C$10))
+SUMIF(INDIRECT("'Output 8-AEO'!$H$4:$H$"&amp;$C$11),Analysis!Q58,INDIRECT("'Output 8-AEO'!$q$4:$q$"&amp;$C$11))
+SUMIF(INDIRECT("'Output 9-EGADI2'!$H$4:$H$"&amp;$C$12),Analysis!Q58,INDIRECT("'Output 9-EGADI2'!$q$4:$q$"&amp;$C$12))
+SUMIF(INDIRECT("'Output 10-TUNIS'!$H$4:$H$"&amp;$C$13),Analysis!Q58,INDIRECT("'Output 10-TUNIS'!$q$4:$q$"&amp;$C$13))</f>
        <v>0</v>
      </c>
      <c r="T58" s="5">
        <f ca="1">SUMIF(INDIRECT("'Output 1-CARBONARA'!$H$4:$H$"&amp;$C$4),Analysis!Q58,INDIRECT("'Output 1-CARBONARA'!$U$4:$U$"&amp;$C$4))
+SUMIF(INDIRECT("'Output 2-CACCIA'!$H$4:$H$"&amp;$C$5),Analysis!Q58,INDIRECT("'Output 2-CACCIA'!$U$4:$U$"&amp;$C$5))
+SUMIF(INDIRECT("'Output 3-ASINARA'!$H$4:$H$"&amp;$C$6),Analysis!Q58,INDIRECT("'Output 3-ASINARA'!$U$4:$U$"&amp;$C$6))
+SUMIF(INDIRECT("'Output 4-PELAGIE'!$H$4:$H$"&amp;$C$7),Analysis!Q58,INDIRECT("'Output 4-PELAGIE'!$U$4:$U$"&amp;$C$7))
+SUMIF(INDIRECT("'Output 5-EGADI'!$H$4:$H$"&amp;$C$8),Analysis!Q58,INDIRECT("'Output 5-EGADI'!$U$4:$U$"&amp;$C$8))
+SUMIF(INDIRECT("'Output 6-TG'!$H$4:$H$"&amp;$C$9),Analysis!Q58,INDIRECT("'Output 6-TG'!$U$4:$U$"&amp;$C$9))
+SUMIF(INDIRECT("'Output 7-PNAT'!$H$4:$H$"&amp;$C$10),Analysis!Q58,INDIRECT("'Output 7-PNAT'!$U$4:$U$"&amp;$C$10))
+SUMIF(INDIRECT("'Output 8-AEO'!$H$4:$H$"&amp;$C$11),Analysis!Q58,INDIRECT("'Output 8-AEO'!$U$4:$U$"&amp;$C$11))
+SUMIF(INDIRECT("'Output 9-EGADI2'!$H$4:$H$"&amp;$C$12),Analysis!Q58,INDIRECT("'Output 9-EGADI2'!$U$4:$U$"&amp;$C$12))
+SUMIF(INDIRECT("'Output 10-TUNIS'!$H$4:$H$"&amp;$C$13),Analysis!Q58,INDIRECT("'Output 10-TUNIS'!$U$4:$U$"&amp;$C$13))</f>
        <v>101</v>
      </c>
      <c r="U58" s="31"/>
      <c r="V58" s="5">
        <f>SUMIF('Unplanned Outputs'!$E$4:$E$500,Analysis!Q58,'Unplanned Outputs'!$J$4:$J$500)</f>
        <v>0</v>
      </c>
      <c r="W58" s="5">
        <f>SUMIF('Unplanned Outputs'!$E$4:$E$500,Analysis!$Q58,'Unplanned Outputs'!$N$4:$N$500)</f>
        <v>0</v>
      </c>
      <c r="X58" s="5">
        <f>SUMIF('Unplanned Outputs'!$E$4:$E$500,Analysis!$Q58,'Unplanned Outputs'!$R$4:$R$500)</f>
        <v>0</v>
      </c>
      <c r="Y58" s="15"/>
      <c r="Z58" s="38">
        <f t="shared" ca="1" si="9"/>
        <v>101</v>
      </c>
      <c r="AA58" s="38">
        <f t="shared" si="10"/>
        <v>0</v>
      </c>
      <c r="AB58" s="54">
        <f t="shared" ca="1" si="11"/>
        <v>101</v>
      </c>
      <c r="AC58" s="64">
        <f ca="1">SUMIF(INDIRECT("'Output 1-CARBONARA'!$H$5:$H$"&amp;$C$4),Analysis!$Q58,INDIRECT("'Output 1-CARBONARA'!$F$5:$F$"&amp;$C$4))
+SUMIF(INDIRECT("'Output 2-CACCIA'!$H$5:$H$"&amp;$C$5),Analysis!$Q58,INDIRECT("'Output 2-CACCIA'!$F$5:$F$"&amp;$C$5))
+SUMIF(INDIRECT("'Output 3-ASINARA'!$H$5:$H$"&amp;$C$6),Analysis!$Q58,INDIRECT("'Output 3-ASINARA'!$F$5:$F$"&amp;$C$6))
+SUMIF(INDIRECT("'Output 4-PELAGIE'!$H$5:$H$"&amp;$C$7),Analysis!$Q58,INDIRECT("'Output 4-PELAGIE'!$F$5:$F$"&amp;$C$7))
+SUMIF(INDIRECT("'Output 5-EGADI'!$H$5:$H$"&amp;$C$8),Analysis!$Q58,INDIRECT("'Output 5-EGADI'!$F$5:$F$"&amp;$C$8))
+SUMIF(INDIRECT("'Output 6-TG'!$H$5:$H$"&amp;$C$9),Analysis!$Q58,INDIRECT("'Output 6-TG'!$F$5:$F$"&amp;$C$9))
+SUMIF(INDIRECT("'Output 7-PNAT'!$H$5:$H$"&amp;$C$10),Analysis!$Q58,INDIRECT("'Output 7-PNAT'!$F$5:$F$"&amp;$C$10))
+SUMIF(INDIRECT("'Output 8-AEO'!$H$5:$H$"&amp;$C$11),Analysis!$Q58,INDIRECT("'Output 8-AEO'!$F$5:$F$"&amp;$C$11))
+SUMIF(INDIRECT("'Output 9-EGADI2'!$H$5:$H$"&amp;$C$12),Analysis!$Q58,INDIRECT("'Output 9-EGADI2'!$F$5:$F$"&amp;$C$12))
+SUMIF(INDIRECT("'Output 10-TUNIS'!$H$5:$H$"&amp;$C$13),Analysis!$Q58,INDIRECT("'Output 10-TUNIS'!$F$5:$F$"&amp;$C$13))</f>
        <v>101.64</v>
      </c>
    </row>
    <row r="59" spans="17:29">
      <c r="Q59" s="31">
        <v>4.3</v>
      </c>
      <c r="R59" s="5">
        <f ca="1">SUMIF(INDIRECT("'Output 1-CARBONARA'!$H$4:$H$"&amp;$C$4),Analysis!Q59,INDIRECT("'Output 1-CARBONARA'!$m$4:$m$"&amp;$C$4))
+SUMIF(INDIRECT("'Output 2-CACCIA'!$H$4:$H$"&amp;$C$5),Analysis!Q59,INDIRECT("'Output 2-CACCIA'!$m$4:$m$"&amp;$C$5))
+SUMIF(INDIRECT("'Output 3-ASINARA'!$H$4:$H$"&amp;$C$6),Analysis!Q59,INDIRECT("'Output 3-ASINARA'!$m$4:$m$"&amp;$C$6))
+SUMIF(INDIRECT("'Output 4-PELAGIE'!$H$4:$H$"&amp;$C$7),Analysis!Q59,INDIRECT("'Output 4-PELAGIE'!$m$4:$m$"&amp;$C$7))
+SUMIF(INDIRECT("'Output 5-EGADI'!$H$4:$H$"&amp;$C$8),Analysis!Q59,INDIRECT("'Output 5-EGADI'!$m$4:$m$"&amp;$C$8))
+SUMIF(INDIRECT("'Output 6-TG'!$H$4:$H$"&amp;$C$9),Analysis!Q59,INDIRECT("'Output 6-TG'!$m$4:$m$"&amp;$C$9))
+SUMIF(INDIRECT("'Output 7-PNAT'!$H$4:$H$"&amp;$C$10),Analysis!Q59,INDIRECT("'Output 7-PNAT'!$m$4:$m$"&amp;$C$10))
+SUMIF(INDIRECT("'Output 8-AEO'!$H$4:$H$"&amp;$C$11),Analysis!Q59,INDIRECT("'Output 8-AEO'!$m$4:$m$"&amp;$C$11))
+SUMIF(INDIRECT("'Output 9-EGADI2'!$H$4:$H$"&amp;$C$12),Analysis!Q59,INDIRECT("'Output 9-EGADI2'!$m$4:$m$"&amp;$C$12))
+SUMIF(INDIRECT("'Output 10-TUNIS'!$H$4:$H$"&amp;$C$13),Analysis!Q59,INDIRECT("'Output 10-TUNIS'!$m$4:$m$"&amp;$C$13))</f>
        <v>0</v>
      </c>
      <c r="S59" s="5">
        <f ca="1">SUMIF(INDIRECT("'Output 1-CARBONARA'!$H$4:$H$"&amp;$C$4),Analysis!Q59,INDIRECT("'Output 1-CARBONARA'!$q$4:$q$"&amp;$C$4))
+SUMIF(INDIRECT("'Output 2-CACCIA'!$H$4:$H$"&amp;$C$5),Analysis!Q59,INDIRECT("'Output 2-CACCIA'!$q$4:$q$"&amp;$C$5))
+SUMIF(INDIRECT("'Output 3-ASINARA'!$H$4:$H$"&amp;$C$6),Analysis!Q59,INDIRECT("'Output 3-ASINARA'!$q$4:$q$"&amp;$C$6))
+SUMIF(INDIRECT("'Output 4-PELAGIE'!$H$4:$H$"&amp;$C$7),Analysis!Q59,INDIRECT("'Output 4-PELAGIE'!$q$4:$q$"&amp;$C$7))
+SUMIF(INDIRECT("'Output 5-EGADI'!$H$4:$H$"&amp;$C$8),Analysis!Q59,INDIRECT("'Output 5-EGADI'!$q$4:$q$"&amp;$C$8))
+SUMIF(INDIRECT("'Output 6-TG'!$H$4:$H$"&amp;$C$9),Analysis!Q59,INDIRECT("'Output 6-TG'!$q$4:$q$"&amp;$C$9))
+SUMIF(INDIRECT("'Output 7-PNAT'!$H$4:$H$"&amp;$C$10),Analysis!Q59,INDIRECT("'Output 7-PNAT'!$q$4:$q$"&amp;$C$10))
+SUMIF(INDIRECT("'Output 8-AEO'!$H$4:$H$"&amp;$C$11),Analysis!Q59,INDIRECT("'Output 8-AEO'!$q$4:$q$"&amp;$C$11))
+SUMIF(INDIRECT("'Output 9-EGADI2'!$H$4:$H$"&amp;$C$12),Analysis!Q59,INDIRECT("'Output 9-EGADI2'!$q$4:$q$"&amp;$C$12))
+SUMIF(INDIRECT("'Output 10-TUNIS'!$H$4:$H$"&amp;$C$13),Analysis!Q59,INDIRECT("'Output 10-TUNIS'!$q$4:$q$"&amp;$C$13))</f>
        <v>0</v>
      </c>
      <c r="T59" s="5">
        <f ca="1">SUMIF(INDIRECT("'Output 1-CARBONARA'!$H$4:$H$"&amp;$C$4),Analysis!Q59,INDIRECT("'Output 1-CARBONARA'!$U$4:$U$"&amp;$C$4))
+SUMIF(INDIRECT("'Output 2-CACCIA'!$H$4:$H$"&amp;$C$5),Analysis!Q59,INDIRECT("'Output 2-CACCIA'!$U$4:$U$"&amp;$C$5))
+SUMIF(INDIRECT("'Output 3-ASINARA'!$H$4:$H$"&amp;$C$6),Analysis!Q59,INDIRECT("'Output 3-ASINARA'!$U$4:$U$"&amp;$C$6))
+SUMIF(INDIRECT("'Output 4-PELAGIE'!$H$4:$H$"&amp;$C$7),Analysis!Q59,INDIRECT("'Output 4-PELAGIE'!$U$4:$U$"&amp;$C$7))
+SUMIF(INDIRECT("'Output 5-EGADI'!$H$4:$H$"&amp;$C$8),Analysis!Q59,INDIRECT("'Output 5-EGADI'!$U$4:$U$"&amp;$C$8))
+SUMIF(INDIRECT("'Output 6-TG'!$H$4:$H$"&amp;$C$9),Analysis!Q59,INDIRECT("'Output 6-TG'!$U$4:$U$"&amp;$C$9))
+SUMIF(INDIRECT("'Output 7-PNAT'!$H$4:$H$"&amp;$C$10),Analysis!Q59,INDIRECT("'Output 7-PNAT'!$U$4:$U$"&amp;$C$10))
+SUMIF(INDIRECT("'Output 8-AEO'!$H$4:$H$"&amp;$C$11),Analysis!Q59,INDIRECT("'Output 8-AEO'!$U$4:$U$"&amp;$C$11))
+SUMIF(INDIRECT("'Output 9-EGADI2'!$H$4:$H$"&amp;$C$12),Analysis!Q59,INDIRECT("'Output 9-EGADI2'!$U$4:$U$"&amp;$C$12))
+SUMIF(INDIRECT("'Output 10-TUNIS'!$H$4:$H$"&amp;$C$13),Analysis!Q59,INDIRECT("'Output 10-TUNIS'!$U$4:$U$"&amp;$C$13))</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8">
        <f t="shared" ca="1" si="9"/>
        <v>0</v>
      </c>
      <c r="AA59" s="38">
        <f t="shared" si="10"/>
        <v>0</v>
      </c>
      <c r="AB59" s="54">
        <f t="shared" ca="1" si="11"/>
        <v>0</v>
      </c>
      <c r="AC59" s="64">
        <f ca="1">SUMIF(INDIRECT("'Output 1-CARBONARA'!$H$5:$H$"&amp;$C$4),Analysis!$Q59,INDIRECT("'Output 1-CARBONARA'!$F$5:$F$"&amp;$C$4))
+SUMIF(INDIRECT("'Output 2-CACCIA'!$H$5:$H$"&amp;$C$5),Analysis!$Q59,INDIRECT("'Output 2-CACCIA'!$F$5:$F$"&amp;$C$5))
+SUMIF(INDIRECT("'Output 3-ASINARA'!$H$5:$H$"&amp;$C$6),Analysis!$Q59,INDIRECT("'Output 3-ASINARA'!$F$5:$F$"&amp;$C$6))
+SUMIF(INDIRECT("'Output 4-PELAGIE'!$H$5:$H$"&amp;$C$7),Analysis!$Q59,INDIRECT("'Output 4-PELAGIE'!$F$5:$F$"&amp;$C$7))
+SUMIF(INDIRECT("'Output 5-EGADI'!$H$5:$H$"&amp;$C$8),Analysis!$Q59,INDIRECT("'Output 5-EGADI'!$F$5:$F$"&amp;$C$8))
+SUMIF(INDIRECT("'Output 6-TG'!$H$5:$H$"&amp;$C$9),Analysis!$Q59,INDIRECT("'Output 6-TG'!$F$5:$F$"&amp;$C$9))
+SUMIF(INDIRECT("'Output 7-PNAT'!$H$5:$H$"&amp;$C$10),Analysis!$Q59,INDIRECT("'Output 7-PNAT'!$F$5:$F$"&amp;$C$10))
+SUMIF(INDIRECT("'Output 8-AEO'!$H$5:$H$"&amp;$C$11),Analysis!$Q59,INDIRECT("'Output 8-AEO'!$F$5:$F$"&amp;$C$11))
+SUMIF(INDIRECT("'Output 9-EGADI2'!$H$5:$H$"&amp;$C$12),Analysis!$Q59,INDIRECT("'Output 9-EGADI2'!$F$5:$F$"&amp;$C$12))
+SUMIF(INDIRECT("'Output 10-TUNIS'!$H$5:$H$"&amp;$C$13),Analysis!$Q59,INDIRECT("'Output 10-TUNIS'!$F$5:$F$"&amp;$C$13))</f>
        <v>0</v>
      </c>
    </row>
    <row r="60" spans="17:29">
      <c r="Q60" s="31" t="s">
        <v>730</v>
      </c>
      <c r="R60" s="5">
        <f ca="1">SUMIF(INDIRECT("'Output 1-CARBONARA'!$H$4:$H$"&amp;$C$4),Analysis!Q60,INDIRECT("'Output 1-CARBONARA'!$m$4:$m$"&amp;$C$4))
+SUMIF(INDIRECT("'Output 2-CACCIA'!$H$4:$H$"&amp;$C$5),Analysis!Q60,INDIRECT("'Output 2-CACCIA'!$m$4:$m$"&amp;$C$5))
+SUMIF(INDIRECT("'Output 3-ASINARA'!$H$4:$H$"&amp;$C$6),Analysis!Q60,INDIRECT("'Output 3-ASINARA'!$m$4:$m$"&amp;$C$6))
+SUMIF(INDIRECT("'Output 4-PELAGIE'!$H$4:$H$"&amp;$C$7),Analysis!Q60,INDIRECT("'Output 4-PELAGIE'!$m$4:$m$"&amp;$C$7))
+SUMIF(INDIRECT("'Output 5-EGADI'!$H$4:$H$"&amp;$C$8),Analysis!Q60,INDIRECT("'Output 5-EGADI'!$m$4:$m$"&amp;$C$8))
+SUMIF(INDIRECT("'Output 6-TG'!$H$4:$H$"&amp;$C$9),Analysis!Q60,INDIRECT("'Output 6-TG'!$m$4:$m$"&amp;$C$9))
+SUMIF(INDIRECT("'Output 7-PNAT'!$H$4:$H$"&amp;$C$10),Analysis!Q60,INDIRECT("'Output 7-PNAT'!$m$4:$m$"&amp;$C$10))
+SUMIF(INDIRECT("'Output 8-AEO'!$H$4:$H$"&amp;$C$11),Analysis!Q60,INDIRECT("'Output 8-AEO'!$m$4:$m$"&amp;$C$11))
+SUMIF(INDIRECT("'Output 9-EGADI2'!$H$4:$H$"&amp;$C$12),Analysis!Q60,INDIRECT("'Output 9-EGADI2'!$m$4:$m$"&amp;$C$12))
+SUMIF(INDIRECT("'Output 10-TUNIS'!$H$4:$H$"&amp;$C$13),Analysis!Q60,INDIRECT("'Output 10-TUNIS'!$m$4:$m$"&amp;$C$13))</f>
        <v>0</v>
      </c>
      <c r="S60" s="5">
        <f ca="1">SUMIF(INDIRECT("'Output 1-CARBONARA'!$H$4:$H$"&amp;$C$4),Analysis!Q60,INDIRECT("'Output 1-CARBONARA'!$q$4:$q$"&amp;$C$4))
+SUMIF(INDIRECT("'Output 2-CACCIA'!$H$4:$H$"&amp;$C$5),Analysis!Q60,INDIRECT("'Output 2-CACCIA'!$q$4:$q$"&amp;$C$5))
+SUMIF(INDIRECT("'Output 3-ASINARA'!$H$4:$H$"&amp;$C$6),Analysis!Q60,INDIRECT("'Output 3-ASINARA'!$q$4:$q$"&amp;$C$6))
+SUMIF(INDIRECT("'Output 4-PELAGIE'!$H$4:$H$"&amp;$C$7),Analysis!Q60,INDIRECT("'Output 4-PELAGIE'!$q$4:$q$"&amp;$C$7))
+SUMIF(INDIRECT("'Output 5-EGADI'!$H$4:$H$"&amp;$C$8),Analysis!Q60,INDIRECT("'Output 5-EGADI'!$q$4:$q$"&amp;$C$8))
+SUMIF(INDIRECT("'Output 6-TG'!$H$4:$H$"&amp;$C$9),Analysis!Q60,INDIRECT("'Output 6-TG'!$q$4:$q$"&amp;$C$9))
+SUMIF(INDIRECT("'Output 7-PNAT'!$H$4:$H$"&amp;$C$10),Analysis!Q60,INDIRECT("'Output 7-PNAT'!$q$4:$q$"&amp;$C$10))
+SUMIF(INDIRECT("'Output 8-AEO'!$H$4:$H$"&amp;$C$11),Analysis!Q60,INDIRECT("'Output 8-AEO'!$q$4:$q$"&amp;$C$11))
+SUMIF(INDIRECT("'Output 9-EGADI2'!$H$4:$H$"&amp;$C$12),Analysis!Q60,INDIRECT("'Output 9-EGADI2'!$q$4:$q$"&amp;$C$12))
+SUMIF(INDIRECT("'Output 10-TUNIS'!$H$4:$H$"&amp;$C$13),Analysis!Q60,INDIRECT("'Output 10-TUNIS'!$q$4:$q$"&amp;$C$13))</f>
        <v>0</v>
      </c>
      <c r="T60" s="5">
        <f ca="1">SUMIF(INDIRECT("'Output 1-CARBONARA'!$H$4:$H$"&amp;$C$4),Analysis!Q60,INDIRECT("'Output 1-CARBONARA'!$U$4:$U$"&amp;$C$4))
+SUMIF(INDIRECT("'Output 2-CACCIA'!$H$4:$H$"&amp;$C$5),Analysis!Q60,INDIRECT("'Output 2-CACCIA'!$U$4:$U$"&amp;$C$5))
+SUMIF(INDIRECT("'Output 3-ASINARA'!$H$4:$H$"&amp;$C$6),Analysis!Q60,INDIRECT("'Output 3-ASINARA'!$U$4:$U$"&amp;$C$6))
+SUMIF(INDIRECT("'Output 4-PELAGIE'!$H$4:$H$"&amp;$C$7),Analysis!Q60,INDIRECT("'Output 4-PELAGIE'!$U$4:$U$"&amp;$C$7))
+SUMIF(INDIRECT("'Output 5-EGADI'!$H$4:$H$"&amp;$C$8),Analysis!Q60,INDIRECT("'Output 5-EGADI'!$U$4:$U$"&amp;$C$8))
+SUMIF(INDIRECT("'Output 6-TG'!$H$4:$H$"&amp;$C$9),Analysis!Q60,INDIRECT("'Output 6-TG'!$U$4:$U$"&amp;$C$9))
+SUMIF(INDIRECT("'Output 7-PNAT'!$H$4:$H$"&amp;$C$10),Analysis!Q60,INDIRECT("'Output 7-PNAT'!$U$4:$U$"&amp;$C$10))
+SUMIF(INDIRECT("'Output 8-AEO'!$H$4:$H$"&amp;$C$11),Analysis!Q60,INDIRECT("'Output 8-AEO'!$U$4:$U$"&amp;$C$11))
+SUMIF(INDIRECT("'Output 9-EGADI2'!$H$4:$H$"&amp;$C$12),Analysis!Q60,INDIRECT("'Output 9-EGADI2'!$U$4:$U$"&amp;$C$12))
+SUMIF(INDIRECT("'Output 10-TUNIS'!$H$4:$H$"&amp;$C$13),Analysis!Q60,INDIRECT("'Output 10-TUNIS'!$U$4:$U$"&amp;$C$13))</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8">
        <f t="shared" ca="1" si="9"/>
        <v>0</v>
      </c>
      <c r="AA60" s="38">
        <f t="shared" si="10"/>
        <v>0</v>
      </c>
      <c r="AB60" s="54">
        <f t="shared" ca="1" si="11"/>
        <v>0</v>
      </c>
      <c r="AC60" s="64">
        <f ca="1">SUMIF(INDIRECT("'Output 1-CARBONARA'!$H$5:$H$"&amp;$C$4),Analysis!$Q60,INDIRECT("'Output 1-CARBONARA'!$F$5:$F$"&amp;$C$4))
+SUMIF(INDIRECT("'Output 2-CACCIA'!$H$5:$H$"&amp;$C$5),Analysis!$Q60,INDIRECT("'Output 2-CACCIA'!$F$5:$F$"&amp;$C$5))
+SUMIF(INDIRECT("'Output 3-ASINARA'!$H$5:$H$"&amp;$C$6),Analysis!$Q60,INDIRECT("'Output 3-ASINARA'!$F$5:$F$"&amp;$C$6))
+SUMIF(INDIRECT("'Output 4-PELAGIE'!$H$5:$H$"&amp;$C$7),Analysis!$Q60,INDIRECT("'Output 4-PELAGIE'!$F$5:$F$"&amp;$C$7))
+SUMIF(INDIRECT("'Output 5-EGADI'!$H$5:$H$"&amp;$C$8),Analysis!$Q60,INDIRECT("'Output 5-EGADI'!$F$5:$F$"&amp;$C$8))
+SUMIF(INDIRECT("'Output 6-TG'!$H$5:$H$"&amp;$C$9),Analysis!$Q60,INDIRECT("'Output 6-TG'!$F$5:$F$"&amp;$C$9))
+SUMIF(INDIRECT("'Output 7-PNAT'!$H$5:$H$"&amp;$C$10),Analysis!$Q60,INDIRECT("'Output 7-PNAT'!$F$5:$F$"&amp;$C$10))
+SUMIF(INDIRECT("'Output 8-AEO'!$H$5:$H$"&amp;$C$11),Analysis!$Q60,INDIRECT("'Output 8-AEO'!$F$5:$F$"&amp;$C$11))
+SUMIF(INDIRECT("'Output 9-EGADI2'!$H$5:$H$"&amp;$C$12),Analysis!$Q60,INDIRECT("'Output 9-EGADI2'!$F$5:$F$"&amp;$C$12))
+SUMIF(INDIRECT("'Output 10-TUNIS'!$H$5:$H$"&amp;$C$13),Analysis!$Q60,INDIRECT("'Output 10-TUNIS'!$F$5:$F$"&amp;$C$13))</f>
        <v>0</v>
      </c>
    </row>
    <row r="61" spans="17:29">
      <c r="Q61" s="31">
        <v>5.0999999999999996</v>
      </c>
      <c r="R61" s="5">
        <f ca="1">SUMIF(INDIRECT("'Output 1-CARBONARA'!$H$4:$H$"&amp;$C$4),Analysis!Q61,INDIRECT("'Output 1-CARBONARA'!$m$4:$m$"&amp;$C$4))
+SUMIF(INDIRECT("'Output 2-CACCIA'!$H$4:$H$"&amp;$C$5),Analysis!Q61,INDIRECT("'Output 2-CACCIA'!$m$4:$m$"&amp;$C$5))
+SUMIF(INDIRECT("'Output 3-ASINARA'!$H$4:$H$"&amp;$C$6),Analysis!Q61,INDIRECT("'Output 3-ASINARA'!$m$4:$m$"&amp;$C$6))
+SUMIF(INDIRECT("'Output 4-PELAGIE'!$H$4:$H$"&amp;$C$7),Analysis!Q61,INDIRECT("'Output 4-PELAGIE'!$m$4:$m$"&amp;$C$7))
+SUMIF(INDIRECT("'Output 5-EGADI'!$H$4:$H$"&amp;$C$8),Analysis!Q61,INDIRECT("'Output 5-EGADI'!$m$4:$m$"&amp;$C$8))
+SUMIF(INDIRECT("'Output 6-TG'!$H$4:$H$"&amp;$C$9),Analysis!Q61,INDIRECT("'Output 6-TG'!$m$4:$m$"&amp;$C$9))
+SUMIF(INDIRECT("'Output 7-PNAT'!$H$4:$H$"&amp;$C$10),Analysis!Q61,INDIRECT("'Output 7-PNAT'!$m$4:$m$"&amp;$C$10))
+SUMIF(INDIRECT("'Output 8-AEO'!$H$4:$H$"&amp;$C$11),Analysis!Q61,INDIRECT("'Output 8-AEO'!$m$4:$m$"&amp;$C$11))
+SUMIF(INDIRECT("'Output 9-EGADI2'!$H$4:$H$"&amp;$C$12),Analysis!Q61,INDIRECT("'Output 9-EGADI2'!$m$4:$m$"&amp;$C$12))
+SUMIF(INDIRECT("'Output 10-TUNIS'!$H$4:$H$"&amp;$C$13),Analysis!Q61,INDIRECT("'Output 10-TUNIS'!$m$4:$m$"&amp;$C$13))</f>
        <v>0</v>
      </c>
      <c r="S61" s="5">
        <f ca="1">SUMIF(INDIRECT("'Output 1-CARBONARA'!$H$4:$H$"&amp;$C$4),Analysis!Q61,INDIRECT("'Output 1-CARBONARA'!$q$4:$q$"&amp;$C$4))
+SUMIF(INDIRECT("'Output 2-CACCIA'!$H$4:$H$"&amp;$C$5),Analysis!Q61,INDIRECT("'Output 2-CACCIA'!$q$4:$q$"&amp;$C$5))
+SUMIF(INDIRECT("'Output 3-ASINARA'!$H$4:$H$"&amp;$C$6),Analysis!Q61,INDIRECT("'Output 3-ASINARA'!$q$4:$q$"&amp;$C$6))
+SUMIF(INDIRECT("'Output 4-PELAGIE'!$H$4:$H$"&amp;$C$7),Analysis!Q61,INDIRECT("'Output 4-PELAGIE'!$q$4:$q$"&amp;$C$7))
+SUMIF(INDIRECT("'Output 5-EGADI'!$H$4:$H$"&amp;$C$8),Analysis!Q61,INDIRECT("'Output 5-EGADI'!$q$4:$q$"&amp;$C$8))
+SUMIF(INDIRECT("'Output 6-TG'!$H$4:$H$"&amp;$C$9),Analysis!Q61,INDIRECT("'Output 6-TG'!$q$4:$q$"&amp;$C$9))
+SUMIF(INDIRECT("'Output 7-PNAT'!$H$4:$H$"&amp;$C$10),Analysis!Q61,INDIRECT("'Output 7-PNAT'!$q$4:$q$"&amp;$C$10))
+SUMIF(INDIRECT("'Output 8-AEO'!$H$4:$H$"&amp;$C$11),Analysis!Q61,INDIRECT("'Output 8-AEO'!$q$4:$q$"&amp;$C$11))
+SUMIF(INDIRECT("'Output 9-EGADI2'!$H$4:$H$"&amp;$C$12),Analysis!Q61,INDIRECT("'Output 9-EGADI2'!$q$4:$q$"&amp;$C$12))
+SUMIF(INDIRECT("'Output 10-TUNIS'!$H$4:$H$"&amp;$C$13),Analysis!Q61,INDIRECT("'Output 10-TUNIS'!$q$4:$q$"&amp;$C$13))</f>
        <v>0</v>
      </c>
      <c r="T61" s="5">
        <f ca="1">SUMIF(INDIRECT("'Output 1-CARBONARA'!$H$4:$H$"&amp;$C$4),Analysis!Q61,INDIRECT("'Output 1-CARBONARA'!$U$4:$U$"&amp;$C$4))
+SUMIF(INDIRECT("'Output 2-CACCIA'!$H$4:$H$"&amp;$C$5),Analysis!Q61,INDIRECT("'Output 2-CACCIA'!$U$4:$U$"&amp;$C$5))
+SUMIF(INDIRECT("'Output 3-ASINARA'!$H$4:$H$"&amp;$C$6),Analysis!Q61,INDIRECT("'Output 3-ASINARA'!$U$4:$U$"&amp;$C$6))
+SUMIF(INDIRECT("'Output 4-PELAGIE'!$H$4:$H$"&amp;$C$7),Analysis!Q61,INDIRECT("'Output 4-PELAGIE'!$U$4:$U$"&amp;$C$7))
+SUMIF(INDIRECT("'Output 5-EGADI'!$H$4:$H$"&amp;$C$8),Analysis!Q61,INDIRECT("'Output 5-EGADI'!$U$4:$U$"&amp;$C$8))
+SUMIF(INDIRECT("'Output 6-TG'!$H$4:$H$"&amp;$C$9),Analysis!Q61,INDIRECT("'Output 6-TG'!$U$4:$U$"&amp;$C$9))
+SUMIF(INDIRECT("'Output 7-PNAT'!$H$4:$H$"&amp;$C$10),Analysis!Q61,INDIRECT("'Output 7-PNAT'!$U$4:$U$"&amp;$C$10))
+SUMIF(INDIRECT("'Output 8-AEO'!$H$4:$H$"&amp;$C$11),Analysis!Q61,INDIRECT("'Output 8-AEO'!$U$4:$U$"&amp;$C$11))
+SUMIF(INDIRECT("'Output 9-EGADI2'!$H$4:$H$"&amp;$C$12),Analysis!Q61,INDIRECT("'Output 9-EGADI2'!$U$4:$U$"&amp;$C$12))
+SUMIF(INDIRECT("'Output 10-TUNIS'!$H$4:$H$"&amp;$C$13),Analysis!Q61,INDIRECT("'Output 10-TUNIS'!$U$4:$U$"&amp;$C$13))</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8">
        <f t="shared" ca="1" si="9"/>
        <v>0</v>
      </c>
      <c r="AA61" s="38">
        <f t="shared" si="10"/>
        <v>0</v>
      </c>
      <c r="AB61" s="54">
        <f t="shared" ca="1" si="11"/>
        <v>0</v>
      </c>
      <c r="AC61" s="64">
        <f ca="1">SUMIF(INDIRECT("'Output 1-CARBONARA'!$H$5:$H$"&amp;$C$4),Analysis!$Q61,INDIRECT("'Output 1-CARBONARA'!$F$5:$F$"&amp;$C$4))
+SUMIF(INDIRECT("'Output 2-CACCIA'!$H$5:$H$"&amp;$C$5),Analysis!$Q61,INDIRECT("'Output 2-CACCIA'!$F$5:$F$"&amp;$C$5))
+SUMIF(INDIRECT("'Output 3-ASINARA'!$H$5:$H$"&amp;$C$6),Analysis!$Q61,INDIRECT("'Output 3-ASINARA'!$F$5:$F$"&amp;$C$6))
+SUMIF(INDIRECT("'Output 4-PELAGIE'!$H$5:$H$"&amp;$C$7),Analysis!$Q61,INDIRECT("'Output 4-PELAGIE'!$F$5:$F$"&amp;$C$7))
+SUMIF(INDIRECT("'Output 5-EGADI'!$H$5:$H$"&amp;$C$8),Analysis!$Q61,INDIRECT("'Output 5-EGADI'!$F$5:$F$"&amp;$C$8))
+SUMIF(INDIRECT("'Output 6-TG'!$H$5:$H$"&amp;$C$9),Analysis!$Q61,INDIRECT("'Output 6-TG'!$F$5:$F$"&amp;$C$9))
+SUMIF(INDIRECT("'Output 7-PNAT'!$H$5:$H$"&amp;$C$10),Analysis!$Q61,INDIRECT("'Output 7-PNAT'!$F$5:$F$"&amp;$C$10))
+SUMIF(INDIRECT("'Output 8-AEO'!$H$5:$H$"&amp;$C$11),Analysis!$Q61,INDIRECT("'Output 8-AEO'!$F$5:$F$"&amp;$C$11))
+SUMIF(INDIRECT("'Output 9-EGADI2'!$H$5:$H$"&amp;$C$12),Analysis!$Q61,INDIRECT("'Output 9-EGADI2'!$F$5:$F$"&amp;$C$12))
+SUMIF(INDIRECT("'Output 10-TUNIS'!$H$5:$H$"&amp;$C$13),Analysis!$Q61,INDIRECT("'Output 10-TUNIS'!$F$5:$F$"&amp;$C$13))</f>
        <v>0</v>
      </c>
    </row>
    <row r="62" spans="17:29">
      <c r="Q62" s="31" t="s">
        <v>731</v>
      </c>
      <c r="R62" s="5">
        <f ca="1">SUMIF(INDIRECT("'Output 1-CARBONARA'!$H$4:$H$"&amp;$C$4),Analysis!Q62,INDIRECT("'Output 1-CARBONARA'!$m$4:$m$"&amp;$C$4))
+SUMIF(INDIRECT("'Output 2-CACCIA'!$H$4:$H$"&amp;$C$5),Analysis!Q62,INDIRECT("'Output 2-CACCIA'!$m$4:$m$"&amp;$C$5))
+SUMIF(INDIRECT("'Output 3-ASINARA'!$H$4:$H$"&amp;$C$6),Analysis!Q62,INDIRECT("'Output 3-ASINARA'!$m$4:$m$"&amp;$C$6))
+SUMIF(INDIRECT("'Output 4-PELAGIE'!$H$4:$H$"&amp;$C$7),Analysis!Q62,INDIRECT("'Output 4-PELAGIE'!$m$4:$m$"&amp;$C$7))
+SUMIF(INDIRECT("'Output 5-EGADI'!$H$4:$H$"&amp;$C$8),Analysis!Q62,INDIRECT("'Output 5-EGADI'!$m$4:$m$"&amp;$C$8))
+SUMIF(INDIRECT("'Output 6-TG'!$H$4:$H$"&amp;$C$9),Analysis!Q62,INDIRECT("'Output 6-TG'!$m$4:$m$"&amp;$C$9))
+SUMIF(INDIRECT("'Output 7-PNAT'!$H$4:$H$"&amp;$C$10),Analysis!Q62,INDIRECT("'Output 7-PNAT'!$m$4:$m$"&amp;$C$10))
+SUMIF(INDIRECT("'Output 8-AEO'!$H$4:$H$"&amp;$C$11),Analysis!Q62,INDIRECT("'Output 8-AEO'!$m$4:$m$"&amp;$C$11))
+SUMIF(INDIRECT("'Output 9-EGADI2'!$H$4:$H$"&amp;$C$12),Analysis!Q62,INDIRECT("'Output 9-EGADI2'!$m$4:$m$"&amp;$C$12))
+SUMIF(INDIRECT("'Output 10-TUNIS'!$H$4:$H$"&amp;$C$13),Analysis!Q62,INDIRECT("'Output 10-TUNIS'!$m$4:$m$"&amp;$C$13))</f>
        <v>0</v>
      </c>
      <c r="S62" s="5">
        <f ca="1">SUMIF(INDIRECT("'Output 1-CARBONARA'!$H$4:$H$"&amp;$C$4),Analysis!Q62,INDIRECT("'Output 1-CARBONARA'!$q$4:$q$"&amp;$C$4))
+SUMIF(INDIRECT("'Output 2-CACCIA'!$H$4:$H$"&amp;$C$5),Analysis!Q62,INDIRECT("'Output 2-CACCIA'!$q$4:$q$"&amp;$C$5))
+SUMIF(INDIRECT("'Output 3-ASINARA'!$H$4:$H$"&amp;$C$6),Analysis!Q62,INDIRECT("'Output 3-ASINARA'!$q$4:$q$"&amp;$C$6))
+SUMIF(INDIRECT("'Output 4-PELAGIE'!$H$4:$H$"&amp;$C$7),Analysis!Q62,INDIRECT("'Output 4-PELAGIE'!$q$4:$q$"&amp;$C$7))
+SUMIF(INDIRECT("'Output 5-EGADI'!$H$4:$H$"&amp;$C$8),Analysis!Q62,INDIRECT("'Output 5-EGADI'!$q$4:$q$"&amp;$C$8))
+SUMIF(INDIRECT("'Output 6-TG'!$H$4:$H$"&amp;$C$9),Analysis!Q62,INDIRECT("'Output 6-TG'!$q$4:$q$"&amp;$C$9))
+SUMIF(INDIRECT("'Output 7-PNAT'!$H$4:$H$"&amp;$C$10),Analysis!Q62,INDIRECT("'Output 7-PNAT'!$q$4:$q$"&amp;$C$10))
+SUMIF(INDIRECT("'Output 8-AEO'!$H$4:$H$"&amp;$C$11),Analysis!Q62,INDIRECT("'Output 8-AEO'!$q$4:$q$"&amp;$C$11))
+SUMIF(INDIRECT("'Output 9-EGADI2'!$H$4:$H$"&amp;$C$12),Analysis!Q62,INDIRECT("'Output 9-EGADI2'!$q$4:$q$"&amp;$C$12))
+SUMIF(INDIRECT("'Output 10-TUNIS'!$H$4:$H$"&amp;$C$13),Analysis!Q62,INDIRECT("'Output 10-TUNIS'!$q$4:$q$"&amp;$C$13))</f>
        <v>0</v>
      </c>
      <c r="T62" s="5">
        <f ca="1">SUMIF(INDIRECT("'Output 1-CARBONARA'!$H$4:$H$"&amp;$C$4),Analysis!Q62,INDIRECT("'Output 1-CARBONARA'!$U$4:$U$"&amp;$C$4))
+SUMIF(INDIRECT("'Output 2-CACCIA'!$H$4:$H$"&amp;$C$5),Analysis!Q62,INDIRECT("'Output 2-CACCIA'!$U$4:$U$"&amp;$C$5))
+SUMIF(INDIRECT("'Output 3-ASINARA'!$H$4:$H$"&amp;$C$6),Analysis!Q62,INDIRECT("'Output 3-ASINARA'!$U$4:$U$"&amp;$C$6))
+SUMIF(INDIRECT("'Output 4-PELAGIE'!$H$4:$H$"&amp;$C$7),Analysis!Q62,INDIRECT("'Output 4-PELAGIE'!$U$4:$U$"&amp;$C$7))
+SUMIF(INDIRECT("'Output 5-EGADI'!$H$4:$H$"&amp;$C$8),Analysis!Q62,INDIRECT("'Output 5-EGADI'!$U$4:$U$"&amp;$C$8))
+SUMIF(INDIRECT("'Output 6-TG'!$H$4:$H$"&amp;$C$9),Analysis!Q62,INDIRECT("'Output 6-TG'!$U$4:$U$"&amp;$C$9))
+SUMIF(INDIRECT("'Output 7-PNAT'!$H$4:$H$"&amp;$C$10),Analysis!Q62,INDIRECT("'Output 7-PNAT'!$U$4:$U$"&amp;$C$10))
+SUMIF(INDIRECT("'Output 8-AEO'!$H$4:$H$"&amp;$C$11),Analysis!Q62,INDIRECT("'Output 8-AEO'!$U$4:$U$"&amp;$C$11))
+SUMIF(INDIRECT("'Output 9-EGADI2'!$H$4:$H$"&amp;$C$12),Analysis!Q62,INDIRECT("'Output 9-EGADI2'!$U$4:$U$"&amp;$C$12))
+SUMIF(INDIRECT("'Output 10-TUNIS'!$H$4:$H$"&amp;$C$13),Analysis!Q62,INDIRECT("'Output 10-TUNIS'!$U$4:$U$"&amp;$C$13))</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8">
        <f t="shared" ca="1" si="9"/>
        <v>0</v>
      </c>
      <c r="AA62" s="38">
        <f t="shared" si="10"/>
        <v>0</v>
      </c>
      <c r="AB62" s="54">
        <f t="shared" ca="1" si="11"/>
        <v>0</v>
      </c>
      <c r="AC62" s="64">
        <f ca="1">SUMIF(INDIRECT("'Output 1-CARBONARA'!$H$5:$H$"&amp;$C$4),Analysis!$Q62,INDIRECT("'Output 1-CARBONARA'!$F$5:$F$"&amp;$C$4))
+SUMIF(INDIRECT("'Output 2-CACCIA'!$H$5:$H$"&amp;$C$5),Analysis!$Q62,INDIRECT("'Output 2-CACCIA'!$F$5:$F$"&amp;$C$5))
+SUMIF(INDIRECT("'Output 3-ASINARA'!$H$5:$H$"&amp;$C$6),Analysis!$Q62,INDIRECT("'Output 3-ASINARA'!$F$5:$F$"&amp;$C$6))
+SUMIF(INDIRECT("'Output 4-PELAGIE'!$H$5:$H$"&amp;$C$7),Analysis!$Q62,INDIRECT("'Output 4-PELAGIE'!$F$5:$F$"&amp;$C$7))
+SUMIF(INDIRECT("'Output 5-EGADI'!$H$5:$H$"&amp;$C$8),Analysis!$Q62,INDIRECT("'Output 5-EGADI'!$F$5:$F$"&amp;$C$8))
+SUMIF(INDIRECT("'Output 6-TG'!$H$5:$H$"&amp;$C$9),Analysis!$Q62,INDIRECT("'Output 6-TG'!$F$5:$F$"&amp;$C$9))
+SUMIF(INDIRECT("'Output 7-PNAT'!$H$5:$H$"&amp;$C$10),Analysis!$Q62,INDIRECT("'Output 7-PNAT'!$F$5:$F$"&amp;$C$10))
+SUMIF(INDIRECT("'Output 8-AEO'!$H$5:$H$"&amp;$C$11),Analysis!$Q62,INDIRECT("'Output 8-AEO'!$F$5:$F$"&amp;$C$11))
+SUMIF(INDIRECT("'Output 9-EGADI2'!$H$5:$H$"&amp;$C$12),Analysis!$Q62,INDIRECT("'Output 9-EGADI2'!$F$5:$F$"&amp;$C$12))
+SUMIF(INDIRECT("'Output 10-TUNIS'!$H$5:$H$"&amp;$C$13),Analysis!$Q62,INDIRECT("'Output 10-TUNIS'!$F$5:$F$"&amp;$C$13))</f>
        <v>0</v>
      </c>
    </row>
    <row r="63" spans="17:29">
      <c r="Q63" s="31" t="s">
        <v>732</v>
      </c>
      <c r="R63" s="5">
        <f ca="1">SUMIF(INDIRECT("'Output 1-CARBONARA'!$H$4:$H$"&amp;$C$4),Analysis!Q63,INDIRECT("'Output 1-CARBONARA'!$m$4:$m$"&amp;$C$4))
+SUMIF(INDIRECT("'Output 2-CACCIA'!$H$4:$H$"&amp;$C$5),Analysis!Q63,INDIRECT("'Output 2-CACCIA'!$m$4:$m$"&amp;$C$5))
+SUMIF(INDIRECT("'Output 3-ASINARA'!$H$4:$H$"&amp;$C$6),Analysis!Q63,INDIRECT("'Output 3-ASINARA'!$m$4:$m$"&amp;$C$6))
+SUMIF(INDIRECT("'Output 4-PELAGIE'!$H$4:$H$"&amp;$C$7),Analysis!Q63,INDIRECT("'Output 4-PELAGIE'!$m$4:$m$"&amp;$C$7))
+SUMIF(INDIRECT("'Output 5-EGADI'!$H$4:$H$"&amp;$C$8),Analysis!Q63,INDIRECT("'Output 5-EGADI'!$m$4:$m$"&amp;$C$8))
+SUMIF(INDIRECT("'Output 6-TG'!$H$4:$H$"&amp;$C$9),Analysis!Q63,INDIRECT("'Output 6-TG'!$m$4:$m$"&amp;$C$9))
+SUMIF(INDIRECT("'Output 7-PNAT'!$H$4:$H$"&amp;$C$10),Analysis!Q63,INDIRECT("'Output 7-PNAT'!$m$4:$m$"&amp;$C$10))
+SUMIF(INDIRECT("'Output 8-AEO'!$H$4:$H$"&amp;$C$11),Analysis!Q63,INDIRECT("'Output 8-AEO'!$m$4:$m$"&amp;$C$11))
+SUMIF(INDIRECT("'Output 9-EGADI2'!$H$4:$H$"&amp;$C$12),Analysis!Q63,INDIRECT("'Output 9-EGADI2'!$m$4:$m$"&amp;$C$12))
+SUMIF(INDIRECT("'Output 10-TUNIS'!$H$4:$H$"&amp;$C$13),Analysis!Q63,INDIRECT("'Output 10-TUNIS'!$m$4:$m$"&amp;$C$13))</f>
        <v>0</v>
      </c>
      <c r="S63" s="5">
        <f ca="1">SUMIF(INDIRECT("'Output 1-CARBONARA'!$H$4:$H$"&amp;$C$4),Analysis!Q63,INDIRECT("'Output 1-CARBONARA'!$q$4:$q$"&amp;$C$4))
+SUMIF(INDIRECT("'Output 2-CACCIA'!$H$4:$H$"&amp;$C$5),Analysis!Q63,INDIRECT("'Output 2-CACCIA'!$q$4:$q$"&amp;$C$5))
+SUMIF(INDIRECT("'Output 3-ASINARA'!$H$4:$H$"&amp;$C$6),Analysis!Q63,INDIRECT("'Output 3-ASINARA'!$q$4:$q$"&amp;$C$6))
+SUMIF(INDIRECT("'Output 4-PELAGIE'!$H$4:$H$"&amp;$C$7),Analysis!Q63,INDIRECT("'Output 4-PELAGIE'!$q$4:$q$"&amp;$C$7))
+SUMIF(INDIRECT("'Output 5-EGADI'!$H$4:$H$"&amp;$C$8),Analysis!Q63,INDIRECT("'Output 5-EGADI'!$q$4:$q$"&amp;$C$8))
+SUMIF(INDIRECT("'Output 6-TG'!$H$4:$H$"&amp;$C$9),Analysis!Q63,INDIRECT("'Output 6-TG'!$q$4:$q$"&amp;$C$9))
+SUMIF(INDIRECT("'Output 7-PNAT'!$H$4:$H$"&amp;$C$10),Analysis!Q63,INDIRECT("'Output 7-PNAT'!$q$4:$q$"&amp;$C$10))
+SUMIF(INDIRECT("'Output 8-AEO'!$H$4:$H$"&amp;$C$11),Analysis!Q63,INDIRECT("'Output 8-AEO'!$q$4:$q$"&amp;$C$11))
+SUMIF(INDIRECT("'Output 9-EGADI2'!$H$4:$H$"&amp;$C$12),Analysis!Q63,INDIRECT("'Output 9-EGADI2'!$q$4:$q$"&amp;$C$12))
+SUMIF(INDIRECT("'Output 10-TUNIS'!$H$4:$H$"&amp;$C$13),Analysis!Q63,INDIRECT("'Output 10-TUNIS'!$q$4:$q$"&amp;$C$13))</f>
        <v>0</v>
      </c>
      <c r="T63" s="5">
        <f ca="1">SUMIF(INDIRECT("'Output 1-CARBONARA'!$H$4:$H$"&amp;$C$4),Analysis!Q63,INDIRECT("'Output 1-CARBONARA'!$U$4:$U$"&amp;$C$4))
+SUMIF(INDIRECT("'Output 2-CACCIA'!$H$4:$H$"&amp;$C$5),Analysis!Q63,INDIRECT("'Output 2-CACCIA'!$U$4:$U$"&amp;$C$5))
+SUMIF(INDIRECT("'Output 3-ASINARA'!$H$4:$H$"&amp;$C$6),Analysis!Q63,INDIRECT("'Output 3-ASINARA'!$U$4:$U$"&amp;$C$6))
+SUMIF(INDIRECT("'Output 4-PELAGIE'!$H$4:$H$"&amp;$C$7),Analysis!Q63,INDIRECT("'Output 4-PELAGIE'!$U$4:$U$"&amp;$C$7))
+SUMIF(INDIRECT("'Output 5-EGADI'!$H$4:$H$"&amp;$C$8),Analysis!Q63,INDIRECT("'Output 5-EGADI'!$U$4:$U$"&amp;$C$8))
+SUMIF(INDIRECT("'Output 6-TG'!$H$4:$H$"&amp;$C$9),Analysis!Q63,INDIRECT("'Output 6-TG'!$U$4:$U$"&amp;$C$9))
+SUMIF(INDIRECT("'Output 7-PNAT'!$H$4:$H$"&amp;$C$10),Analysis!Q63,INDIRECT("'Output 7-PNAT'!$U$4:$U$"&amp;$C$10))
+SUMIF(INDIRECT("'Output 8-AEO'!$H$4:$H$"&amp;$C$11),Analysis!Q63,INDIRECT("'Output 8-AEO'!$U$4:$U$"&amp;$C$11))
+SUMIF(INDIRECT("'Output 9-EGADI2'!$H$4:$H$"&amp;$C$12),Analysis!Q63,INDIRECT("'Output 9-EGADI2'!$U$4:$U$"&amp;$C$12))
+SUMIF(INDIRECT("'Output 10-TUNIS'!$H$4:$H$"&amp;$C$13),Analysis!Q63,INDIRECT("'Output 10-TUNIS'!$U$4:$U$"&amp;$C$13))</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8">
        <f t="shared" ca="1" si="9"/>
        <v>0</v>
      </c>
      <c r="AA63" s="38">
        <f t="shared" si="10"/>
        <v>0</v>
      </c>
      <c r="AB63" s="54">
        <f t="shared" ca="1" si="11"/>
        <v>0</v>
      </c>
      <c r="AC63" s="64">
        <f ca="1">SUMIF(INDIRECT("'Output 1-CARBONARA'!$H$5:$H$"&amp;$C$4),Analysis!$Q63,INDIRECT("'Output 1-CARBONARA'!$F$5:$F$"&amp;$C$4))
+SUMIF(INDIRECT("'Output 2-CACCIA'!$H$5:$H$"&amp;$C$5),Analysis!$Q63,INDIRECT("'Output 2-CACCIA'!$F$5:$F$"&amp;$C$5))
+SUMIF(INDIRECT("'Output 3-ASINARA'!$H$5:$H$"&amp;$C$6),Analysis!$Q63,INDIRECT("'Output 3-ASINARA'!$F$5:$F$"&amp;$C$6))
+SUMIF(INDIRECT("'Output 4-PELAGIE'!$H$5:$H$"&amp;$C$7),Analysis!$Q63,INDIRECT("'Output 4-PELAGIE'!$F$5:$F$"&amp;$C$7))
+SUMIF(INDIRECT("'Output 5-EGADI'!$H$5:$H$"&amp;$C$8),Analysis!$Q63,INDIRECT("'Output 5-EGADI'!$F$5:$F$"&amp;$C$8))
+SUMIF(INDIRECT("'Output 6-TG'!$H$5:$H$"&amp;$C$9),Analysis!$Q63,INDIRECT("'Output 6-TG'!$F$5:$F$"&amp;$C$9))
+SUMIF(INDIRECT("'Output 7-PNAT'!$H$5:$H$"&amp;$C$10),Analysis!$Q63,INDIRECT("'Output 7-PNAT'!$F$5:$F$"&amp;$C$10))
+SUMIF(INDIRECT("'Output 8-AEO'!$H$5:$H$"&amp;$C$11),Analysis!$Q63,INDIRECT("'Output 8-AEO'!$F$5:$F$"&amp;$C$11))
+SUMIF(INDIRECT("'Output 9-EGADI2'!$H$5:$H$"&amp;$C$12),Analysis!$Q63,INDIRECT("'Output 9-EGADI2'!$F$5:$F$"&amp;$C$12))
+SUMIF(INDIRECT("'Output 10-TUNIS'!$H$5:$H$"&amp;$C$13),Analysis!$Q63,INDIRECT("'Output 10-TUNIS'!$F$5:$F$"&amp;$C$13))</f>
        <v>0</v>
      </c>
    </row>
    <row r="64" spans="17:29">
      <c r="Q64" s="31" t="s">
        <v>733</v>
      </c>
      <c r="R64" s="5">
        <f ca="1">SUMIF(INDIRECT("'Output 1-CARBONARA'!$H$4:$H$"&amp;$C$4),Analysis!Q64,INDIRECT("'Output 1-CARBONARA'!$m$4:$m$"&amp;$C$4))
+SUMIF(INDIRECT("'Output 2-CACCIA'!$H$4:$H$"&amp;$C$5),Analysis!Q64,INDIRECT("'Output 2-CACCIA'!$m$4:$m$"&amp;$C$5))
+SUMIF(INDIRECT("'Output 3-ASINARA'!$H$4:$H$"&amp;$C$6),Analysis!Q64,INDIRECT("'Output 3-ASINARA'!$m$4:$m$"&amp;$C$6))
+SUMIF(INDIRECT("'Output 4-PELAGIE'!$H$4:$H$"&amp;$C$7),Analysis!Q64,INDIRECT("'Output 4-PELAGIE'!$m$4:$m$"&amp;$C$7))
+SUMIF(INDIRECT("'Output 5-EGADI'!$H$4:$H$"&amp;$C$8),Analysis!Q64,INDIRECT("'Output 5-EGADI'!$m$4:$m$"&amp;$C$8))
+SUMIF(INDIRECT("'Output 6-TG'!$H$4:$H$"&amp;$C$9),Analysis!Q64,INDIRECT("'Output 6-TG'!$m$4:$m$"&amp;$C$9))
+SUMIF(INDIRECT("'Output 7-PNAT'!$H$4:$H$"&amp;$C$10),Analysis!Q64,INDIRECT("'Output 7-PNAT'!$m$4:$m$"&amp;$C$10))
+SUMIF(INDIRECT("'Output 8-AEO'!$H$4:$H$"&amp;$C$11),Analysis!Q64,INDIRECT("'Output 8-AEO'!$m$4:$m$"&amp;$C$11))
+SUMIF(INDIRECT("'Output 9-EGADI2'!$H$4:$H$"&amp;$C$12),Analysis!Q64,INDIRECT("'Output 9-EGADI2'!$m$4:$m$"&amp;$C$12))
+SUMIF(INDIRECT("'Output 10-TUNIS'!$H$4:$H$"&amp;$C$13),Analysis!Q64,INDIRECT("'Output 10-TUNIS'!$m$4:$m$"&amp;$C$13))</f>
        <v>0</v>
      </c>
      <c r="S64" s="5">
        <f ca="1">SUMIF(INDIRECT("'Output 1-CARBONARA'!$H$4:$H$"&amp;$C$4),Analysis!Q64,INDIRECT("'Output 1-CARBONARA'!$q$4:$q$"&amp;$C$4))
+SUMIF(INDIRECT("'Output 2-CACCIA'!$H$4:$H$"&amp;$C$5),Analysis!Q64,INDIRECT("'Output 2-CACCIA'!$q$4:$q$"&amp;$C$5))
+SUMIF(INDIRECT("'Output 3-ASINARA'!$H$4:$H$"&amp;$C$6),Analysis!Q64,INDIRECT("'Output 3-ASINARA'!$q$4:$q$"&amp;$C$6))
+SUMIF(INDIRECT("'Output 4-PELAGIE'!$H$4:$H$"&amp;$C$7),Analysis!Q64,INDIRECT("'Output 4-PELAGIE'!$q$4:$q$"&amp;$C$7))
+SUMIF(INDIRECT("'Output 5-EGADI'!$H$4:$H$"&amp;$C$8),Analysis!Q64,INDIRECT("'Output 5-EGADI'!$q$4:$q$"&amp;$C$8))
+SUMIF(INDIRECT("'Output 6-TG'!$H$4:$H$"&amp;$C$9),Analysis!Q64,INDIRECT("'Output 6-TG'!$q$4:$q$"&amp;$C$9))
+SUMIF(INDIRECT("'Output 7-PNAT'!$H$4:$H$"&amp;$C$10),Analysis!Q64,INDIRECT("'Output 7-PNAT'!$q$4:$q$"&amp;$C$10))
+SUMIF(INDIRECT("'Output 8-AEO'!$H$4:$H$"&amp;$C$11),Analysis!Q64,INDIRECT("'Output 8-AEO'!$q$4:$q$"&amp;$C$11))
+SUMIF(INDIRECT("'Output 9-EGADI2'!$H$4:$H$"&amp;$C$12),Analysis!Q64,INDIRECT("'Output 9-EGADI2'!$q$4:$q$"&amp;$C$12))
+SUMIF(INDIRECT("'Output 10-TUNIS'!$H$4:$H$"&amp;$C$13),Analysis!Q64,INDIRECT("'Output 10-TUNIS'!$q$4:$q$"&amp;$C$13))</f>
        <v>0</v>
      </c>
      <c r="T64" s="5">
        <f ca="1">SUMIF(INDIRECT("'Output 1-CARBONARA'!$H$4:$H$"&amp;$C$4),Analysis!Q64,INDIRECT("'Output 1-CARBONARA'!$U$4:$U$"&amp;$C$4))
+SUMIF(INDIRECT("'Output 2-CACCIA'!$H$4:$H$"&amp;$C$5),Analysis!Q64,INDIRECT("'Output 2-CACCIA'!$U$4:$U$"&amp;$C$5))
+SUMIF(INDIRECT("'Output 3-ASINARA'!$H$4:$H$"&amp;$C$6),Analysis!Q64,INDIRECT("'Output 3-ASINARA'!$U$4:$U$"&amp;$C$6))
+SUMIF(INDIRECT("'Output 4-PELAGIE'!$H$4:$H$"&amp;$C$7),Analysis!Q64,INDIRECT("'Output 4-PELAGIE'!$U$4:$U$"&amp;$C$7))
+SUMIF(INDIRECT("'Output 5-EGADI'!$H$4:$H$"&amp;$C$8),Analysis!Q64,INDIRECT("'Output 5-EGADI'!$U$4:$U$"&amp;$C$8))
+SUMIF(INDIRECT("'Output 6-TG'!$H$4:$H$"&amp;$C$9),Analysis!Q64,INDIRECT("'Output 6-TG'!$U$4:$U$"&amp;$C$9))
+SUMIF(INDIRECT("'Output 7-PNAT'!$H$4:$H$"&amp;$C$10),Analysis!Q64,INDIRECT("'Output 7-PNAT'!$U$4:$U$"&amp;$C$10))
+SUMIF(INDIRECT("'Output 8-AEO'!$H$4:$H$"&amp;$C$11),Analysis!Q64,INDIRECT("'Output 8-AEO'!$U$4:$U$"&amp;$C$11))
+SUMIF(INDIRECT("'Output 9-EGADI2'!$H$4:$H$"&amp;$C$12),Analysis!Q64,INDIRECT("'Output 9-EGADI2'!$U$4:$U$"&amp;$C$12))
+SUMIF(INDIRECT("'Output 10-TUNIS'!$H$4:$H$"&amp;$C$13),Analysis!Q64,INDIRECT("'Output 10-TUNIS'!$U$4:$U$"&amp;$C$13))</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8">
        <f t="shared" ca="1" si="9"/>
        <v>0</v>
      </c>
      <c r="AA64" s="38">
        <f t="shared" si="10"/>
        <v>0</v>
      </c>
      <c r="AB64" s="54">
        <f t="shared" ca="1" si="11"/>
        <v>0</v>
      </c>
      <c r="AC64" s="64">
        <f ca="1">SUMIF(INDIRECT("'Output 1-CARBONARA'!$H$5:$H$"&amp;$C$4),Analysis!$Q64,INDIRECT("'Output 1-CARBONARA'!$F$5:$F$"&amp;$C$4))
+SUMIF(INDIRECT("'Output 2-CACCIA'!$H$5:$H$"&amp;$C$5),Analysis!$Q64,INDIRECT("'Output 2-CACCIA'!$F$5:$F$"&amp;$C$5))
+SUMIF(INDIRECT("'Output 3-ASINARA'!$H$5:$H$"&amp;$C$6),Analysis!$Q64,INDIRECT("'Output 3-ASINARA'!$F$5:$F$"&amp;$C$6))
+SUMIF(INDIRECT("'Output 4-PELAGIE'!$H$5:$H$"&amp;$C$7),Analysis!$Q64,INDIRECT("'Output 4-PELAGIE'!$F$5:$F$"&amp;$C$7))
+SUMIF(INDIRECT("'Output 5-EGADI'!$H$5:$H$"&amp;$C$8),Analysis!$Q64,INDIRECT("'Output 5-EGADI'!$F$5:$F$"&amp;$C$8))
+SUMIF(INDIRECT("'Output 6-TG'!$H$5:$H$"&amp;$C$9),Analysis!$Q64,INDIRECT("'Output 6-TG'!$F$5:$F$"&amp;$C$9))
+SUMIF(INDIRECT("'Output 7-PNAT'!$H$5:$H$"&amp;$C$10),Analysis!$Q64,INDIRECT("'Output 7-PNAT'!$F$5:$F$"&amp;$C$10))
+SUMIF(INDIRECT("'Output 8-AEO'!$H$5:$H$"&amp;$C$11),Analysis!$Q64,INDIRECT("'Output 8-AEO'!$F$5:$F$"&amp;$C$11))
+SUMIF(INDIRECT("'Output 9-EGADI2'!$H$5:$H$"&amp;$C$12),Analysis!$Q64,INDIRECT("'Output 9-EGADI2'!$F$5:$F$"&amp;$C$12))
+SUMIF(INDIRECT("'Output 10-TUNIS'!$H$5:$H$"&amp;$C$13),Analysis!$Q64,INDIRECT("'Output 10-TUNIS'!$F$5:$F$"&amp;$C$13))</f>
        <v>0</v>
      </c>
    </row>
    <row r="65" spans="17:29">
      <c r="Q65" s="31">
        <v>5.2</v>
      </c>
      <c r="R65" s="5">
        <f ca="1">SUMIF(INDIRECT("'Output 1-CARBONARA'!$H$4:$H$"&amp;$C$4),Analysis!Q65,INDIRECT("'Output 1-CARBONARA'!$m$4:$m$"&amp;$C$4))
+SUMIF(INDIRECT("'Output 2-CACCIA'!$H$4:$H$"&amp;$C$5),Analysis!Q65,INDIRECT("'Output 2-CACCIA'!$m$4:$m$"&amp;$C$5))
+SUMIF(INDIRECT("'Output 3-ASINARA'!$H$4:$H$"&amp;$C$6),Analysis!Q65,INDIRECT("'Output 3-ASINARA'!$m$4:$m$"&amp;$C$6))
+SUMIF(INDIRECT("'Output 4-PELAGIE'!$H$4:$H$"&amp;$C$7),Analysis!Q65,INDIRECT("'Output 4-PELAGIE'!$m$4:$m$"&amp;$C$7))
+SUMIF(INDIRECT("'Output 5-EGADI'!$H$4:$H$"&amp;$C$8),Analysis!Q65,INDIRECT("'Output 5-EGADI'!$m$4:$m$"&amp;$C$8))
+SUMIF(INDIRECT("'Output 6-TG'!$H$4:$H$"&amp;$C$9),Analysis!Q65,INDIRECT("'Output 6-TG'!$m$4:$m$"&amp;$C$9))
+SUMIF(INDIRECT("'Output 7-PNAT'!$H$4:$H$"&amp;$C$10),Analysis!Q65,INDIRECT("'Output 7-PNAT'!$m$4:$m$"&amp;$C$10))
+SUMIF(INDIRECT("'Output 8-AEO'!$H$4:$H$"&amp;$C$11),Analysis!Q65,INDIRECT("'Output 8-AEO'!$m$4:$m$"&amp;$C$11))
+SUMIF(INDIRECT("'Output 9-EGADI2'!$H$4:$H$"&amp;$C$12),Analysis!Q65,INDIRECT("'Output 9-EGADI2'!$m$4:$m$"&amp;$C$12))
+SUMIF(INDIRECT("'Output 10-TUNIS'!$H$4:$H$"&amp;$C$13),Analysis!Q65,INDIRECT("'Output 10-TUNIS'!$m$4:$m$"&amp;$C$13))</f>
        <v>0</v>
      </c>
      <c r="S65" s="5">
        <f ca="1">SUMIF(INDIRECT("'Output 1-CARBONARA'!$H$4:$H$"&amp;$C$4),Analysis!Q65,INDIRECT("'Output 1-CARBONARA'!$q$4:$q$"&amp;$C$4))
+SUMIF(INDIRECT("'Output 2-CACCIA'!$H$4:$H$"&amp;$C$5),Analysis!Q65,INDIRECT("'Output 2-CACCIA'!$q$4:$q$"&amp;$C$5))
+SUMIF(INDIRECT("'Output 3-ASINARA'!$H$4:$H$"&amp;$C$6),Analysis!Q65,INDIRECT("'Output 3-ASINARA'!$q$4:$q$"&amp;$C$6))
+SUMIF(INDIRECT("'Output 4-PELAGIE'!$H$4:$H$"&amp;$C$7),Analysis!Q65,INDIRECT("'Output 4-PELAGIE'!$q$4:$q$"&amp;$C$7))
+SUMIF(INDIRECT("'Output 5-EGADI'!$H$4:$H$"&amp;$C$8),Analysis!Q65,INDIRECT("'Output 5-EGADI'!$q$4:$q$"&amp;$C$8))
+SUMIF(INDIRECT("'Output 6-TG'!$H$4:$H$"&amp;$C$9),Analysis!Q65,INDIRECT("'Output 6-TG'!$q$4:$q$"&amp;$C$9))
+SUMIF(INDIRECT("'Output 7-PNAT'!$H$4:$H$"&amp;$C$10),Analysis!Q65,INDIRECT("'Output 7-PNAT'!$q$4:$q$"&amp;$C$10))
+SUMIF(INDIRECT("'Output 8-AEO'!$H$4:$H$"&amp;$C$11),Analysis!Q65,INDIRECT("'Output 8-AEO'!$q$4:$q$"&amp;$C$11))
+SUMIF(INDIRECT("'Output 9-EGADI2'!$H$4:$H$"&amp;$C$12),Analysis!Q65,INDIRECT("'Output 9-EGADI2'!$q$4:$q$"&amp;$C$12))
+SUMIF(INDIRECT("'Output 10-TUNIS'!$H$4:$H$"&amp;$C$13),Analysis!Q65,INDIRECT("'Output 10-TUNIS'!$q$4:$q$"&amp;$C$13))</f>
        <v>0</v>
      </c>
      <c r="T65" s="5">
        <f ca="1">SUMIF(INDIRECT("'Output 1-CARBONARA'!$H$4:$H$"&amp;$C$4),Analysis!Q65,INDIRECT("'Output 1-CARBONARA'!$U$4:$U$"&amp;$C$4))
+SUMIF(INDIRECT("'Output 2-CACCIA'!$H$4:$H$"&amp;$C$5),Analysis!Q65,INDIRECT("'Output 2-CACCIA'!$U$4:$U$"&amp;$C$5))
+SUMIF(INDIRECT("'Output 3-ASINARA'!$H$4:$H$"&amp;$C$6),Analysis!Q65,INDIRECT("'Output 3-ASINARA'!$U$4:$U$"&amp;$C$6))
+SUMIF(INDIRECT("'Output 4-PELAGIE'!$H$4:$H$"&amp;$C$7),Analysis!Q65,INDIRECT("'Output 4-PELAGIE'!$U$4:$U$"&amp;$C$7))
+SUMIF(INDIRECT("'Output 5-EGADI'!$H$4:$H$"&amp;$C$8),Analysis!Q65,INDIRECT("'Output 5-EGADI'!$U$4:$U$"&amp;$C$8))
+SUMIF(INDIRECT("'Output 6-TG'!$H$4:$H$"&amp;$C$9),Analysis!Q65,INDIRECT("'Output 6-TG'!$U$4:$U$"&amp;$C$9))
+SUMIF(INDIRECT("'Output 7-PNAT'!$H$4:$H$"&amp;$C$10),Analysis!Q65,INDIRECT("'Output 7-PNAT'!$U$4:$U$"&amp;$C$10))
+SUMIF(INDIRECT("'Output 8-AEO'!$H$4:$H$"&amp;$C$11),Analysis!Q65,INDIRECT("'Output 8-AEO'!$U$4:$U$"&amp;$C$11))
+SUMIF(INDIRECT("'Output 9-EGADI2'!$H$4:$H$"&amp;$C$12),Analysis!Q65,INDIRECT("'Output 9-EGADI2'!$U$4:$U$"&amp;$C$12))
+SUMIF(INDIRECT("'Output 10-TUNIS'!$H$4:$H$"&amp;$C$13),Analysis!Q65,INDIRECT("'Output 10-TUNIS'!$U$4:$U$"&amp;$C$13))</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8">
        <f t="shared" ca="1" si="9"/>
        <v>0</v>
      </c>
      <c r="AA65" s="38">
        <f t="shared" si="10"/>
        <v>0</v>
      </c>
      <c r="AB65" s="54">
        <f t="shared" ca="1" si="11"/>
        <v>0</v>
      </c>
      <c r="AC65" s="64">
        <f ca="1">SUMIF(INDIRECT("'Output 1-CARBONARA'!$H$5:$H$"&amp;$C$4),Analysis!$Q65,INDIRECT("'Output 1-CARBONARA'!$F$5:$F$"&amp;$C$4))
+SUMIF(INDIRECT("'Output 2-CACCIA'!$H$5:$H$"&amp;$C$5),Analysis!$Q65,INDIRECT("'Output 2-CACCIA'!$F$5:$F$"&amp;$C$5))
+SUMIF(INDIRECT("'Output 3-ASINARA'!$H$5:$H$"&amp;$C$6),Analysis!$Q65,INDIRECT("'Output 3-ASINARA'!$F$5:$F$"&amp;$C$6))
+SUMIF(INDIRECT("'Output 4-PELAGIE'!$H$5:$H$"&amp;$C$7),Analysis!$Q65,INDIRECT("'Output 4-PELAGIE'!$F$5:$F$"&amp;$C$7))
+SUMIF(INDIRECT("'Output 5-EGADI'!$H$5:$H$"&amp;$C$8),Analysis!$Q65,INDIRECT("'Output 5-EGADI'!$F$5:$F$"&amp;$C$8))
+SUMIF(INDIRECT("'Output 6-TG'!$H$5:$H$"&amp;$C$9),Analysis!$Q65,INDIRECT("'Output 6-TG'!$F$5:$F$"&amp;$C$9))
+SUMIF(INDIRECT("'Output 7-PNAT'!$H$5:$H$"&amp;$C$10),Analysis!$Q65,INDIRECT("'Output 7-PNAT'!$F$5:$F$"&amp;$C$10))
+SUMIF(INDIRECT("'Output 8-AEO'!$H$5:$H$"&amp;$C$11),Analysis!$Q65,INDIRECT("'Output 8-AEO'!$F$5:$F$"&amp;$C$11))
+SUMIF(INDIRECT("'Output 9-EGADI2'!$H$5:$H$"&amp;$C$12),Analysis!$Q65,INDIRECT("'Output 9-EGADI2'!$F$5:$F$"&amp;$C$12))
+SUMIF(INDIRECT("'Output 10-TUNIS'!$H$5:$H$"&amp;$C$13),Analysis!$Q65,INDIRECT("'Output 10-TUNIS'!$F$5:$F$"&amp;$C$13))</f>
        <v>0</v>
      </c>
    </row>
    <row r="66" spans="17:29">
      <c r="Q66" s="31" t="s">
        <v>734</v>
      </c>
      <c r="R66" s="5">
        <f ca="1">SUMIF(INDIRECT("'Output 1-CARBONARA'!$H$4:$H$"&amp;$C$4),Analysis!Q66,INDIRECT("'Output 1-CARBONARA'!$m$4:$m$"&amp;$C$4))
+SUMIF(INDIRECT("'Output 2-CACCIA'!$H$4:$H$"&amp;$C$5),Analysis!Q66,INDIRECT("'Output 2-CACCIA'!$m$4:$m$"&amp;$C$5))
+SUMIF(INDIRECT("'Output 3-ASINARA'!$H$4:$H$"&amp;$C$6),Analysis!Q66,INDIRECT("'Output 3-ASINARA'!$m$4:$m$"&amp;$C$6))
+SUMIF(INDIRECT("'Output 4-PELAGIE'!$H$4:$H$"&amp;$C$7),Analysis!Q66,INDIRECT("'Output 4-PELAGIE'!$m$4:$m$"&amp;$C$7))
+SUMIF(INDIRECT("'Output 5-EGADI'!$H$4:$H$"&amp;$C$8),Analysis!Q66,INDIRECT("'Output 5-EGADI'!$m$4:$m$"&amp;$C$8))
+SUMIF(INDIRECT("'Output 6-TG'!$H$4:$H$"&amp;$C$9),Analysis!Q66,INDIRECT("'Output 6-TG'!$m$4:$m$"&amp;$C$9))
+SUMIF(INDIRECT("'Output 7-PNAT'!$H$4:$H$"&amp;$C$10),Analysis!Q66,INDIRECT("'Output 7-PNAT'!$m$4:$m$"&amp;$C$10))
+SUMIF(INDIRECT("'Output 8-AEO'!$H$4:$H$"&amp;$C$11),Analysis!Q66,INDIRECT("'Output 8-AEO'!$m$4:$m$"&amp;$C$11))
+SUMIF(INDIRECT("'Output 9-EGADI2'!$H$4:$H$"&amp;$C$12),Analysis!Q66,INDIRECT("'Output 9-EGADI2'!$m$4:$m$"&amp;$C$12))
+SUMIF(INDIRECT("'Output 10-TUNIS'!$H$4:$H$"&amp;$C$13),Analysis!Q66,INDIRECT("'Output 10-TUNIS'!$m$4:$m$"&amp;$C$13))</f>
        <v>0</v>
      </c>
      <c r="S66" s="5">
        <f ca="1">SUMIF(INDIRECT("'Output 1-CARBONARA'!$H$4:$H$"&amp;$C$4),Analysis!Q66,INDIRECT("'Output 1-CARBONARA'!$q$4:$q$"&amp;$C$4))
+SUMIF(INDIRECT("'Output 2-CACCIA'!$H$4:$H$"&amp;$C$5),Analysis!Q66,INDIRECT("'Output 2-CACCIA'!$q$4:$q$"&amp;$C$5))
+SUMIF(INDIRECT("'Output 3-ASINARA'!$H$4:$H$"&amp;$C$6),Analysis!Q66,INDIRECT("'Output 3-ASINARA'!$q$4:$q$"&amp;$C$6))
+SUMIF(INDIRECT("'Output 4-PELAGIE'!$H$4:$H$"&amp;$C$7),Analysis!Q66,INDIRECT("'Output 4-PELAGIE'!$q$4:$q$"&amp;$C$7))
+SUMIF(INDIRECT("'Output 5-EGADI'!$H$4:$H$"&amp;$C$8),Analysis!Q66,INDIRECT("'Output 5-EGADI'!$q$4:$q$"&amp;$C$8))
+SUMIF(INDIRECT("'Output 6-TG'!$H$4:$H$"&amp;$C$9),Analysis!Q66,INDIRECT("'Output 6-TG'!$q$4:$q$"&amp;$C$9))
+SUMIF(INDIRECT("'Output 7-PNAT'!$H$4:$H$"&amp;$C$10),Analysis!Q66,INDIRECT("'Output 7-PNAT'!$q$4:$q$"&amp;$C$10))
+SUMIF(INDIRECT("'Output 8-AEO'!$H$4:$H$"&amp;$C$11),Analysis!Q66,INDIRECT("'Output 8-AEO'!$q$4:$q$"&amp;$C$11))
+SUMIF(INDIRECT("'Output 9-EGADI2'!$H$4:$H$"&amp;$C$12),Analysis!Q66,INDIRECT("'Output 9-EGADI2'!$q$4:$q$"&amp;$C$12))
+SUMIF(INDIRECT("'Output 10-TUNIS'!$H$4:$H$"&amp;$C$13),Analysis!Q66,INDIRECT("'Output 10-TUNIS'!$q$4:$q$"&amp;$C$13))</f>
        <v>0</v>
      </c>
      <c r="T66" s="5">
        <f ca="1">SUMIF(INDIRECT("'Output 1-CARBONARA'!$H$4:$H$"&amp;$C$4),Analysis!Q66,INDIRECT("'Output 1-CARBONARA'!$U$4:$U$"&amp;$C$4))
+SUMIF(INDIRECT("'Output 2-CACCIA'!$H$4:$H$"&amp;$C$5),Analysis!Q66,INDIRECT("'Output 2-CACCIA'!$U$4:$U$"&amp;$C$5))
+SUMIF(INDIRECT("'Output 3-ASINARA'!$H$4:$H$"&amp;$C$6),Analysis!Q66,INDIRECT("'Output 3-ASINARA'!$U$4:$U$"&amp;$C$6))
+SUMIF(INDIRECT("'Output 4-PELAGIE'!$H$4:$H$"&amp;$C$7),Analysis!Q66,INDIRECT("'Output 4-PELAGIE'!$U$4:$U$"&amp;$C$7))
+SUMIF(INDIRECT("'Output 5-EGADI'!$H$4:$H$"&amp;$C$8),Analysis!Q66,INDIRECT("'Output 5-EGADI'!$U$4:$U$"&amp;$C$8))
+SUMIF(INDIRECT("'Output 6-TG'!$H$4:$H$"&amp;$C$9),Analysis!Q66,INDIRECT("'Output 6-TG'!$U$4:$U$"&amp;$C$9))
+SUMIF(INDIRECT("'Output 7-PNAT'!$H$4:$H$"&amp;$C$10),Analysis!Q66,INDIRECT("'Output 7-PNAT'!$U$4:$U$"&amp;$C$10))
+SUMIF(INDIRECT("'Output 8-AEO'!$H$4:$H$"&amp;$C$11),Analysis!Q66,INDIRECT("'Output 8-AEO'!$U$4:$U$"&amp;$C$11))
+SUMIF(INDIRECT("'Output 9-EGADI2'!$H$4:$H$"&amp;$C$12),Analysis!Q66,INDIRECT("'Output 9-EGADI2'!$U$4:$U$"&amp;$C$12))
+SUMIF(INDIRECT("'Output 10-TUNIS'!$H$4:$H$"&amp;$C$13),Analysis!Q66,INDIRECT("'Output 10-TUNIS'!$U$4:$U$"&amp;$C$13))</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8">
        <f t="shared" ca="1" si="9"/>
        <v>0</v>
      </c>
      <c r="AA66" s="38">
        <f t="shared" si="10"/>
        <v>0</v>
      </c>
      <c r="AB66" s="54">
        <f t="shared" ca="1" si="11"/>
        <v>0</v>
      </c>
      <c r="AC66" s="64">
        <f ca="1">SUMIF(INDIRECT("'Output 1-CARBONARA'!$H$5:$H$"&amp;$C$4),Analysis!$Q66,INDIRECT("'Output 1-CARBONARA'!$F$5:$F$"&amp;$C$4))
+SUMIF(INDIRECT("'Output 2-CACCIA'!$H$5:$H$"&amp;$C$5),Analysis!$Q66,INDIRECT("'Output 2-CACCIA'!$F$5:$F$"&amp;$C$5))
+SUMIF(INDIRECT("'Output 3-ASINARA'!$H$5:$H$"&amp;$C$6),Analysis!$Q66,INDIRECT("'Output 3-ASINARA'!$F$5:$F$"&amp;$C$6))
+SUMIF(INDIRECT("'Output 4-PELAGIE'!$H$5:$H$"&amp;$C$7),Analysis!$Q66,INDIRECT("'Output 4-PELAGIE'!$F$5:$F$"&amp;$C$7))
+SUMIF(INDIRECT("'Output 5-EGADI'!$H$5:$H$"&amp;$C$8),Analysis!$Q66,INDIRECT("'Output 5-EGADI'!$F$5:$F$"&amp;$C$8))
+SUMIF(INDIRECT("'Output 6-TG'!$H$5:$H$"&amp;$C$9),Analysis!$Q66,INDIRECT("'Output 6-TG'!$F$5:$F$"&amp;$C$9))
+SUMIF(INDIRECT("'Output 7-PNAT'!$H$5:$H$"&amp;$C$10),Analysis!$Q66,INDIRECT("'Output 7-PNAT'!$F$5:$F$"&amp;$C$10))
+SUMIF(INDIRECT("'Output 8-AEO'!$H$5:$H$"&amp;$C$11),Analysis!$Q66,INDIRECT("'Output 8-AEO'!$F$5:$F$"&amp;$C$11))
+SUMIF(INDIRECT("'Output 9-EGADI2'!$H$5:$H$"&amp;$C$12),Analysis!$Q66,INDIRECT("'Output 9-EGADI2'!$F$5:$F$"&amp;$C$12))
+SUMIF(INDIRECT("'Output 10-TUNIS'!$H$5:$H$"&amp;$C$13),Analysis!$Q66,INDIRECT("'Output 10-TUNIS'!$F$5:$F$"&amp;$C$13))</f>
        <v>0</v>
      </c>
    </row>
    <row r="67" spans="17:29">
      <c r="Q67" s="31" t="s">
        <v>735</v>
      </c>
      <c r="R67" s="5">
        <f ca="1">SUMIF(INDIRECT("'Output 1-CARBONARA'!$H$4:$H$"&amp;$C$4),Analysis!Q67,INDIRECT("'Output 1-CARBONARA'!$m$4:$m$"&amp;$C$4))
+SUMIF(INDIRECT("'Output 2-CACCIA'!$H$4:$H$"&amp;$C$5),Analysis!Q67,INDIRECT("'Output 2-CACCIA'!$m$4:$m$"&amp;$C$5))
+SUMIF(INDIRECT("'Output 3-ASINARA'!$H$4:$H$"&amp;$C$6),Analysis!Q67,INDIRECT("'Output 3-ASINARA'!$m$4:$m$"&amp;$C$6))
+SUMIF(INDIRECT("'Output 4-PELAGIE'!$H$4:$H$"&amp;$C$7),Analysis!Q67,INDIRECT("'Output 4-PELAGIE'!$m$4:$m$"&amp;$C$7))
+SUMIF(INDIRECT("'Output 5-EGADI'!$H$4:$H$"&amp;$C$8),Analysis!Q67,INDIRECT("'Output 5-EGADI'!$m$4:$m$"&amp;$C$8))
+SUMIF(INDIRECT("'Output 6-TG'!$H$4:$H$"&amp;$C$9),Analysis!Q67,INDIRECT("'Output 6-TG'!$m$4:$m$"&amp;$C$9))
+SUMIF(INDIRECT("'Output 7-PNAT'!$H$4:$H$"&amp;$C$10),Analysis!Q67,INDIRECT("'Output 7-PNAT'!$m$4:$m$"&amp;$C$10))
+SUMIF(INDIRECT("'Output 8-AEO'!$H$4:$H$"&amp;$C$11),Analysis!Q67,INDIRECT("'Output 8-AEO'!$m$4:$m$"&amp;$C$11))
+SUMIF(INDIRECT("'Output 9-EGADI2'!$H$4:$H$"&amp;$C$12),Analysis!Q67,INDIRECT("'Output 9-EGADI2'!$m$4:$m$"&amp;$C$12))
+SUMIF(INDIRECT("'Output 10-TUNIS'!$H$4:$H$"&amp;$C$13),Analysis!Q67,INDIRECT("'Output 10-TUNIS'!$m$4:$m$"&amp;$C$13))</f>
        <v>0</v>
      </c>
      <c r="S67" s="5">
        <f ca="1">SUMIF(INDIRECT("'Output 1-CARBONARA'!$H$4:$H$"&amp;$C$4),Analysis!Q67,INDIRECT("'Output 1-CARBONARA'!$q$4:$q$"&amp;$C$4))
+SUMIF(INDIRECT("'Output 2-CACCIA'!$H$4:$H$"&amp;$C$5),Analysis!Q67,INDIRECT("'Output 2-CACCIA'!$q$4:$q$"&amp;$C$5))
+SUMIF(INDIRECT("'Output 3-ASINARA'!$H$4:$H$"&amp;$C$6),Analysis!Q67,INDIRECT("'Output 3-ASINARA'!$q$4:$q$"&amp;$C$6))
+SUMIF(INDIRECT("'Output 4-PELAGIE'!$H$4:$H$"&amp;$C$7),Analysis!Q67,INDIRECT("'Output 4-PELAGIE'!$q$4:$q$"&amp;$C$7))
+SUMIF(INDIRECT("'Output 5-EGADI'!$H$4:$H$"&amp;$C$8),Analysis!Q67,INDIRECT("'Output 5-EGADI'!$q$4:$q$"&amp;$C$8))
+SUMIF(INDIRECT("'Output 6-TG'!$H$4:$H$"&amp;$C$9),Analysis!Q67,INDIRECT("'Output 6-TG'!$q$4:$q$"&amp;$C$9))
+SUMIF(INDIRECT("'Output 7-PNAT'!$H$4:$H$"&amp;$C$10),Analysis!Q67,INDIRECT("'Output 7-PNAT'!$q$4:$q$"&amp;$C$10))
+SUMIF(INDIRECT("'Output 8-AEO'!$H$4:$H$"&amp;$C$11),Analysis!Q67,INDIRECT("'Output 8-AEO'!$q$4:$q$"&amp;$C$11))
+SUMIF(INDIRECT("'Output 9-EGADI2'!$H$4:$H$"&amp;$C$12),Analysis!Q67,INDIRECT("'Output 9-EGADI2'!$q$4:$q$"&amp;$C$12))
+SUMIF(INDIRECT("'Output 10-TUNIS'!$H$4:$H$"&amp;$C$13),Analysis!Q67,INDIRECT("'Output 10-TUNIS'!$q$4:$q$"&amp;$C$13))</f>
        <v>0</v>
      </c>
      <c r="T67" s="5">
        <f ca="1">SUMIF(INDIRECT("'Output 1-CARBONARA'!$H$4:$H$"&amp;$C$4),Analysis!Q67,INDIRECT("'Output 1-CARBONARA'!$U$4:$U$"&amp;$C$4))
+SUMIF(INDIRECT("'Output 2-CACCIA'!$H$4:$H$"&amp;$C$5),Analysis!Q67,INDIRECT("'Output 2-CACCIA'!$U$4:$U$"&amp;$C$5))
+SUMIF(INDIRECT("'Output 3-ASINARA'!$H$4:$H$"&amp;$C$6),Analysis!Q67,INDIRECT("'Output 3-ASINARA'!$U$4:$U$"&amp;$C$6))
+SUMIF(INDIRECT("'Output 4-PELAGIE'!$H$4:$H$"&amp;$C$7),Analysis!Q67,INDIRECT("'Output 4-PELAGIE'!$U$4:$U$"&amp;$C$7))
+SUMIF(INDIRECT("'Output 5-EGADI'!$H$4:$H$"&amp;$C$8),Analysis!Q67,INDIRECT("'Output 5-EGADI'!$U$4:$U$"&amp;$C$8))
+SUMIF(INDIRECT("'Output 6-TG'!$H$4:$H$"&amp;$C$9),Analysis!Q67,INDIRECT("'Output 6-TG'!$U$4:$U$"&amp;$C$9))
+SUMIF(INDIRECT("'Output 7-PNAT'!$H$4:$H$"&amp;$C$10),Analysis!Q67,INDIRECT("'Output 7-PNAT'!$U$4:$U$"&amp;$C$10))
+SUMIF(INDIRECT("'Output 8-AEO'!$H$4:$H$"&amp;$C$11),Analysis!Q67,INDIRECT("'Output 8-AEO'!$U$4:$U$"&amp;$C$11))
+SUMIF(INDIRECT("'Output 9-EGADI2'!$H$4:$H$"&amp;$C$12),Analysis!Q67,INDIRECT("'Output 9-EGADI2'!$U$4:$U$"&amp;$C$12))
+SUMIF(INDIRECT("'Output 10-TUNIS'!$H$4:$H$"&amp;$C$13),Analysis!Q67,INDIRECT("'Output 10-TUNIS'!$U$4:$U$"&amp;$C$13))</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8">
        <f t="shared" ca="1" si="9"/>
        <v>0</v>
      </c>
      <c r="AA67" s="38">
        <f t="shared" si="10"/>
        <v>0</v>
      </c>
      <c r="AB67" s="54">
        <f t="shared" ca="1" si="11"/>
        <v>0</v>
      </c>
      <c r="AC67" s="64">
        <f ca="1">SUMIF(INDIRECT("'Output 1-CARBONARA'!$H$5:$H$"&amp;$C$4),Analysis!$Q67,INDIRECT("'Output 1-CARBONARA'!$F$5:$F$"&amp;$C$4))
+SUMIF(INDIRECT("'Output 2-CACCIA'!$H$5:$H$"&amp;$C$5),Analysis!$Q67,INDIRECT("'Output 2-CACCIA'!$F$5:$F$"&amp;$C$5))
+SUMIF(INDIRECT("'Output 3-ASINARA'!$H$5:$H$"&amp;$C$6),Analysis!$Q67,INDIRECT("'Output 3-ASINARA'!$F$5:$F$"&amp;$C$6))
+SUMIF(INDIRECT("'Output 4-PELAGIE'!$H$5:$H$"&amp;$C$7),Analysis!$Q67,INDIRECT("'Output 4-PELAGIE'!$F$5:$F$"&amp;$C$7))
+SUMIF(INDIRECT("'Output 5-EGADI'!$H$5:$H$"&amp;$C$8),Analysis!$Q67,INDIRECT("'Output 5-EGADI'!$F$5:$F$"&amp;$C$8))
+SUMIF(INDIRECT("'Output 6-TG'!$H$5:$H$"&amp;$C$9),Analysis!$Q67,INDIRECT("'Output 6-TG'!$F$5:$F$"&amp;$C$9))
+SUMIF(INDIRECT("'Output 7-PNAT'!$H$5:$H$"&amp;$C$10),Analysis!$Q67,INDIRECT("'Output 7-PNAT'!$F$5:$F$"&amp;$C$10))
+SUMIF(INDIRECT("'Output 8-AEO'!$H$5:$H$"&amp;$C$11),Analysis!$Q67,INDIRECT("'Output 8-AEO'!$F$5:$F$"&amp;$C$11))
+SUMIF(INDIRECT("'Output 9-EGADI2'!$H$5:$H$"&amp;$C$12),Analysis!$Q67,INDIRECT("'Output 9-EGADI2'!$F$5:$F$"&amp;$C$12))
+SUMIF(INDIRECT("'Output 10-TUNIS'!$H$5:$H$"&amp;$C$13),Analysis!$Q67,INDIRECT("'Output 10-TUNIS'!$F$5:$F$"&amp;$C$13))</f>
        <v>0</v>
      </c>
    </row>
    <row r="68" spans="17:29">
      <c r="Q68" s="31">
        <v>5.3</v>
      </c>
      <c r="R68" s="5">
        <f ca="1">SUMIF(INDIRECT("'Output 1-CARBONARA'!$H$4:$H$"&amp;$C$4),Analysis!Q68,INDIRECT("'Output 1-CARBONARA'!$m$4:$m$"&amp;$C$4))
+SUMIF(INDIRECT("'Output 2-CACCIA'!$H$4:$H$"&amp;$C$5),Analysis!Q68,INDIRECT("'Output 2-CACCIA'!$m$4:$m$"&amp;$C$5))
+SUMIF(INDIRECT("'Output 3-ASINARA'!$H$4:$H$"&amp;$C$6),Analysis!Q68,INDIRECT("'Output 3-ASINARA'!$m$4:$m$"&amp;$C$6))
+SUMIF(INDIRECT("'Output 4-PELAGIE'!$H$4:$H$"&amp;$C$7),Analysis!Q68,INDIRECT("'Output 4-PELAGIE'!$m$4:$m$"&amp;$C$7))
+SUMIF(INDIRECT("'Output 5-EGADI'!$H$4:$H$"&amp;$C$8),Analysis!Q68,INDIRECT("'Output 5-EGADI'!$m$4:$m$"&amp;$C$8))
+SUMIF(INDIRECT("'Output 6-TG'!$H$4:$H$"&amp;$C$9),Analysis!Q68,INDIRECT("'Output 6-TG'!$m$4:$m$"&amp;$C$9))
+SUMIF(INDIRECT("'Output 7-PNAT'!$H$4:$H$"&amp;$C$10),Analysis!Q68,INDIRECT("'Output 7-PNAT'!$m$4:$m$"&amp;$C$10))
+SUMIF(INDIRECT("'Output 8-AEO'!$H$4:$H$"&amp;$C$11),Analysis!Q68,INDIRECT("'Output 8-AEO'!$m$4:$m$"&amp;$C$11))
+SUMIF(INDIRECT("'Output 9-EGADI2'!$H$4:$H$"&amp;$C$12),Analysis!Q68,INDIRECT("'Output 9-EGADI2'!$m$4:$m$"&amp;$C$12))
+SUMIF(INDIRECT("'Output 10-TUNIS'!$H$4:$H$"&amp;$C$13),Analysis!Q68,INDIRECT("'Output 10-TUNIS'!$m$4:$m$"&amp;$C$13))</f>
        <v>0</v>
      </c>
      <c r="S68" s="5">
        <f ca="1">SUMIF(INDIRECT("'Output 1-CARBONARA'!$H$4:$H$"&amp;$C$4),Analysis!Q68,INDIRECT("'Output 1-CARBONARA'!$q$4:$q$"&amp;$C$4))
+SUMIF(INDIRECT("'Output 2-CACCIA'!$H$4:$H$"&amp;$C$5),Analysis!Q68,INDIRECT("'Output 2-CACCIA'!$q$4:$q$"&amp;$C$5))
+SUMIF(INDIRECT("'Output 3-ASINARA'!$H$4:$H$"&amp;$C$6),Analysis!Q68,INDIRECT("'Output 3-ASINARA'!$q$4:$q$"&amp;$C$6))
+SUMIF(INDIRECT("'Output 4-PELAGIE'!$H$4:$H$"&amp;$C$7),Analysis!Q68,INDIRECT("'Output 4-PELAGIE'!$q$4:$q$"&amp;$C$7))
+SUMIF(INDIRECT("'Output 5-EGADI'!$H$4:$H$"&amp;$C$8),Analysis!Q68,INDIRECT("'Output 5-EGADI'!$q$4:$q$"&amp;$C$8))
+SUMIF(INDIRECT("'Output 6-TG'!$H$4:$H$"&amp;$C$9),Analysis!Q68,INDIRECT("'Output 6-TG'!$q$4:$q$"&amp;$C$9))
+SUMIF(INDIRECT("'Output 7-PNAT'!$H$4:$H$"&amp;$C$10),Analysis!Q68,INDIRECT("'Output 7-PNAT'!$q$4:$q$"&amp;$C$10))
+SUMIF(INDIRECT("'Output 8-AEO'!$H$4:$H$"&amp;$C$11),Analysis!Q68,INDIRECT("'Output 8-AEO'!$q$4:$q$"&amp;$C$11))
+SUMIF(INDIRECT("'Output 9-EGADI2'!$H$4:$H$"&amp;$C$12),Analysis!Q68,INDIRECT("'Output 9-EGADI2'!$q$4:$q$"&amp;$C$12))
+SUMIF(INDIRECT("'Output 10-TUNIS'!$H$4:$H$"&amp;$C$13),Analysis!Q68,INDIRECT("'Output 10-TUNIS'!$q$4:$q$"&amp;$C$13))</f>
        <v>0</v>
      </c>
      <c r="T68" s="5">
        <f ca="1">SUMIF(INDIRECT("'Output 1-CARBONARA'!$H$4:$H$"&amp;$C$4),Analysis!Q68,INDIRECT("'Output 1-CARBONARA'!$U$4:$U$"&amp;$C$4))
+SUMIF(INDIRECT("'Output 2-CACCIA'!$H$4:$H$"&amp;$C$5),Analysis!Q68,INDIRECT("'Output 2-CACCIA'!$U$4:$U$"&amp;$C$5))
+SUMIF(INDIRECT("'Output 3-ASINARA'!$H$4:$H$"&amp;$C$6),Analysis!Q68,INDIRECT("'Output 3-ASINARA'!$U$4:$U$"&amp;$C$6))
+SUMIF(INDIRECT("'Output 4-PELAGIE'!$H$4:$H$"&amp;$C$7),Analysis!Q68,INDIRECT("'Output 4-PELAGIE'!$U$4:$U$"&amp;$C$7))
+SUMIF(INDIRECT("'Output 5-EGADI'!$H$4:$H$"&amp;$C$8),Analysis!Q68,INDIRECT("'Output 5-EGADI'!$U$4:$U$"&amp;$C$8))
+SUMIF(INDIRECT("'Output 6-TG'!$H$4:$H$"&amp;$C$9),Analysis!Q68,INDIRECT("'Output 6-TG'!$U$4:$U$"&amp;$C$9))
+SUMIF(INDIRECT("'Output 7-PNAT'!$H$4:$H$"&amp;$C$10),Analysis!Q68,INDIRECT("'Output 7-PNAT'!$U$4:$U$"&amp;$C$10))
+SUMIF(INDIRECT("'Output 8-AEO'!$H$4:$H$"&amp;$C$11),Analysis!Q68,INDIRECT("'Output 8-AEO'!$U$4:$U$"&amp;$C$11))
+SUMIF(INDIRECT("'Output 9-EGADI2'!$H$4:$H$"&amp;$C$12),Analysis!Q68,INDIRECT("'Output 9-EGADI2'!$U$4:$U$"&amp;$C$12))
+SUMIF(INDIRECT("'Output 10-TUNIS'!$H$4:$H$"&amp;$C$13),Analysis!Q68,INDIRECT("'Output 10-TUNIS'!$U$4:$U$"&amp;$C$13))</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8">
        <f t="shared" ref="Z68:Z80" ca="1" si="12">SUM(R68:T68)</f>
        <v>0</v>
      </c>
      <c r="AA68" s="38">
        <f t="shared" ref="AA68:AA80" si="13">SUM(V68:X68)</f>
        <v>0</v>
      </c>
      <c r="AB68" s="54">
        <f t="shared" ref="AB68:AB80" ca="1" si="14">AA68+Z68</f>
        <v>0</v>
      </c>
      <c r="AC68" s="64">
        <f ca="1">SUMIF(INDIRECT("'Output 1-CARBONARA'!$H$5:$H$"&amp;$C$4),Analysis!$Q68,INDIRECT("'Output 1-CARBONARA'!$F$5:$F$"&amp;$C$4))
+SUMIF(INDIRECT("'Output 2-CACCIA'!$H$5:$H$"&amp;$C$5),Analysis!$Q68,INDIRECT("'Output 2-CACCIA'!$F$5:$F$"&amp;$C$5))
+SUMIF(INDIRECT("'Output 3-ASINARA'!$H$5:$H$"&amp;$C$6),Analysis!$Q68,INDIRECT("'Output 3-ASINARA'!$F$5:$F$"&amp;$C$6))
+SUMIF(INDIRECT("'Output 4-PELAGIE'!$H$5:$H$"&amp;$C$7),Analysis!$Q68,INDIRECT("'Output 4-PELAGIE'!$F$5:$F$"&amp;$C$7))
+SUMIF(INDIRECT("'Output 5-EGADI'!$H$5:$H$"&amp;$C$8),Analysis!$Q68,INDIRECT("'Output 5-EGADI'!$F$5:$F$"&amp;$C$8))
+SUMIF(INDIRECT("'Output 6-TG'!$H$5:$H$"&amp;$C$9),Analysis!$Q68,INDIRECT("'Output 6-TG'!$F$5:$F$"&amp;$C$9))
+SUMIF(INDIRECT("'Output 7-PNAT'!$H$5:$H$"&amp;$C$10),Analysis!$Q68,INDIRECT("'Output 7-PNAT'!$F$5:$F$"&amp;$C$10))
+SUMIF(INDIRECT("'Output 8-AEO'!$H$5:$H$"&amp;$C$11),Analysis!$Q68,INDIRECT("'Output 8-AEO'!$F$5:$F$"&amp;$C$11))
+SUMIF(INDIRECT("'Output 9-EGADI2'!$H$5:$H$"&amp;$C$12),Analysis!$Q68,INDIRECT("'Output 9-EGADI2'!$F$5:$F$"&amp;$C$12))
+SUMIF(INDIRECT("'Output 10-TUNIS'!$H$5:$H$"&amp;$C$13),Analysis!$Q68,INDIRECT("'Output 10-TUNIS'!$F$5:$F$"&amp;$C$13))</f>
        <v>0</v>
      </c>
    </row>
    <row r="69" spans="17:29">
      <c r="Q69" s="31" t="s">
        <v>736</v>
      </c>
      <c r="R69" s="5">
        <f ca="1">SUMIF(INDIRECT("'Output 1-CARBONARA'!$H$4:$H$"&amp;$C$4),Analysis!Q69,INDIRECT("'Output 1-CARBONARA'!$m$4:$m$"&amp;$C$4))
+SUMIF(INDIRECT("'Output 2-CACCIA'!$H$4:$H$"&amp;$C$5),Analysis!Q69,INDIRECT("'Output 2-CACCIA'!$m$4:$m$"&amp;$C$5))
+SUMIF(INDIRECT("'Output 3-ASINARA'!$H$4:$H$"&amp;$C$6),Analysis!Q69,INDIRECT("'Output 3-ASINARA'!$m$4:$m$"&amp;$C$6))
+SUMIF(INDIRECT("'Output 4-PELAGIE'!$H$4:$H$"&amp;$C$7),Analysis!Q69,INDIRECT("'Output 4-PELAGIE'!$m$4:$m$"&amp;$C$7))
+SUMIF(INDIRECT("'Output 5-EGADI'!$H$4:$H$"&amp;$C$8),Analysis!Q69,INDIRECT("'Output 5-EGADI'!$m$4:$m$"&amp;$C$8))
+SUMIF(INDIRECT("'Output 6-TG'!$H$4:$H$"&amp;$C$9),Analysis!Q69,INDIRECT("'Output 6-TG'!$m$4:$m$"&amp;$C$9))
+SUMIF(INDIRECT("'Output 7-PNAT'!$H$4:$H$"&amp;$C$10),Analysis!Q69,INDIRECT("'Output 7-PNAT'!$m$4:$m$"&amp;$C$10))
+SUMIF(INDIRECT("'Output 8-AEO'!$H$4:$H$"&amp;$C$11),Analysis!Q69,INDIRECT("'Output 8-AEO'!$m$4:$m$"&amp;$C$11))
+SUMIF(INDIRECT("'Output 9-EGADI2'!$H$4:$H$"&amp;$C$12),Analysis!Q69,INDIRECT("'Output 9-EGADI2'!$m$4:$m$"&amp;$C$12))
+SUMIF(INDIRECT("'Output 10-TUNIS'!$H$4:$H$"&amp;$C$13),Analysis!Q69,INDIRECT("'Output 10-TUNIS'!$m$4:$m$"&amp;$C$13))</f>
        <v>0</v>
      </c>
      <c r="S69" s="5">
        <f ca="1">SUMIF(INDIRECT("'Output 1-CARBONARA'!$H$4:$H$"&amp;$C$4),Analysis!Q69,INDIRECT("'Output 1-CARBONARA'!$q$4:$q$"&amp;$C$4))
+SUMIF(INDIRECT("'Output 2-CACCIA'!$H$4:$H$"&amp;$C$5),Analysis!Q69,INDIRECT("'Output 2-CACCIA'!$q$4:$q$"&amp;$C$5))
+SUMIF(INDIRECT("'Output 3-ASINARA'!$H$4:$H$"&amp;$C$6),Analysis!Q69,INDIRECT("'Output 3-ASINARA'!$q$4:$q$"&amp;$C$6))
+SUMIF(INDIRECT("'Output 4-PELAGIE'!$H$4:$H$"&amp;$C$7),Analysis!Q69,INDIRECT("'Output 4-PELAGIE'!$q$4:$q$"&amp;$C$7))
+SUMIF(INDIRECT("'Output 5-EGADI'!$H$4:$H$"&amp;$C$8),Analysis!Q69,INDIRECT("'Output 5-EGADI'!$q$4:$q$"&amp;$C$8))
+SUMIF(INDIRECT("'Output 6-TG'!$H$4:$H$"&amp;$C$9),Analysis!Q69,INDIRECT("'Output 6-TG'!$q$4:$q$"&amp;$C$9))
+SUMIF(INDIRECT("'Output 7-PNAT'!$H$4:$H$"&amp;$C$10),Analysis!Q69,INDIRECT("'Output 7-PNAT'!$q$4:$q$"&amp;$C$10))
+SUMIF(INDIRECT("'Output 8-AEO'!$H$4:$H$"&amp;$C$11),Analysis!Q69,INDIRECT("'Output 8-AEO'!$q$4:$q$"&amp;$C$11))
+SUMIF(INDIRECT("'Output 9-EGADI2'!$H$4:$H$"&amp;$C$12),Analysis!Q69,INDIRECT("'Output 9-EGADI2'!$q$4:$q$"&amp;$C$12))
+SUMIF(INDIRECT("'Output 10-TUNIS'!$H$4:$H$"&amp;$C$13),Analysis!Q69,INDIRECT("'Output 10-TUNIS'!$q$4:$q$"&amp;$C$13))</f>
        <v>0</v>
      </c>
      <c r="T69" s="5">
        <f ca="1">SUMIF(INDIRECT("'Output 1-CARBONARA'!$H$4:$H$"&amp;$C$4),Analysis!Q69,INDIRECT("'Output 1-CARBONARA'!$U$4:$U$"&amp;$C$4))
+SUMIF(INDIRECT("'Output 2-CACCIA'!$H$4:$H$"&amp;$C$5),Analysis!Q69,INDIRECT("'Output 2-CACCIA'!$U$4:$U$"&amp;$C$5))
+SUMIF(INDIRECT("'Output 3-ASINARA'!$H$4:$H$"&amp;$C$6),Analysis!Q69,INDIRECT("'Output 3-ASINARA'!$U$4:$U$"&amp;$C$6))
+SUMIF(INDIRECT("'Output 4-PELAGIE'!$H$4:$H$"&amp;$C$7),Analysis!Q69,INDIRECT("'Output 4-PELAGIE'!$U$4:$U$"&amp;$C$7))
+SUMIF(INDIRECT("'Output 5-EGADI'!$H$4:$H$"&amp;$C$8),Analysis!Q69,INDIRECT("'Output 5-EGADI'!$U$4:$U$"&amp;$C$8))
+SUMIF(INDIRECT("'Output 6-TG'!$H$4:$H$"&amp;$C$9),Analysis!Q69,INDIRECT("'Output 6-TG'!$U$4:$U$"&amp;$C$9))
+SUMIF(INDIRECT("'Output 7-PNAT'!$H$4:$H$"&amp;$C$10),Analysis!Q69,INDIRECT("'Output 7-PNAT'!$U$4:$U$"&amp;$C$10))
+SUMIF(INDIRECT("'Output 8-AEO'!$H$4:$H$"&amp;$C$11),Analysis!Q69,INDIRECT("'Output 8-AEO'!$U$4:$U$"&amp;$C$11))
+SUMIF(INDIRECT("'Output 9-EGADI2'!$H$4:$H$"&amp;$C$12),Analysis!Q69,INDIRECT("'Output 9-EGADI2'!$U$4:$U$"&amp;$C$12))
+SUMIF(INDIRECT("'Output 10-TUNIS'!$H$4:$H$"&amp;$C$13),Analysis!Q69,INDIRECT("'Output 10-TUNIS'!$U$4:$U$"&amp;$C$13))</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8">
        <f t="shared" ca="1" si="12"/>
        <v>0</v>
      </c>
      <c r="AA69" s="38">
        <f t="shared" si="13"/>
        <v>0</v>
      </c>
      <c r="AB69" s="54">
        <f t="shared" ca="1" si="14"/>
        <v>0</v>
      </c>
      <c r="AC69" s="64">
        <f ca="1">SUMIF(INDIRECT("'Output 1-CARBONARA'!$H$5:$H$"&amp;$C$4),Analysis!$Q69,INDIRECT("'Output 1-CARBONARA'!$F$5:$F$"&amp;$C$4))
+SUMIF(INDIRECT("'Output 2-CACCIA'!$H$5:$H$"&amp;$C$5),Analysis!$Q69,INDIRECT("'Output 2-CACCIA'!$F$5:$F$"&amp;$C$5))
+SUMIF(INDIRECT("'Output 3-ASINARA'!$H$5:$H$"&amp;$C$6),Analysis!$Q69,INDIRECT("'Output 3-ASINARA'!$F$5:$F$"&amp;$C$6))
+SUMIF(INDIRECT("'Output 4-PELAGIE'!$H$5:$H$"&amp;$C$7),Analysis!$Q69,INDIRECT("'Output 4-PELAGIE'!$F$5:$F$"&amp;$C$7))
+SUMIF(INDIRECT("'Output 5-EGADI'!$H$5:$H$"&amp;$C$8),Analysis!$Q69,INDIRECT("'Output 5-EGADI'!$F$5:$F$"&amp;$C$8))
+SUMIF(INDIRECT("'Output 6-TG'!$H$5:$H$"&amp;$C$9),Analysis!$Q69,INDIRECT("'Output 6-TG'!$F$5:$F$"&amp;$C$9))
+SUMIF(INDIRECT("'Output 7-PNAT'!$H$5:$H$"&amp;$C$10),Analysis!$Q69,INDIRECT("'Output 7-PNAT'!$F$5:$F$"&amp;$C$10))
+SUMIF(INDIRECT("'Output 8-AEO'!$H$5:$H$"&amp;$C$11),Analysis!$Q69,INDIRECT("'Output 8-AEO'!$F$5:$F$"&amp;$C$11))
+SUMIF(INDIRECT("'Output 9-EGADI2'!$H$5:$H$"&amp;$C$12),Analysis!$Q69,INDIRECT("'Output 9-EGADI2'!$F$5:$F$"&amp;$C$12))
+SUMIF(INDIRECT("'Output 10-TUNIS'!$H$5:$H$"&amp;$C$13),Analysis!$Q69,INDIRECT("'Output 10-TUNIS'!$F$5:$F$"&amp;$C$13))</f>
        <v>0</v>
      </c>
    </row>
    <row r="70" spans="17:29">
      <c r="Q70" s="31" t="s">
        <v>737</v>
      </c>
      <c r="R70" s="5">
        <f ca="1">SUMIF(INDIRECT("'Output 1-CARBONARA'!$H$4:$H$"&amp;$C$4),Analysis!Q70,INDIRECT("'Output 1-CARBONARA'!$m$4:$m$"&amp;$C$4))
+SUMIF(INDIRECT("'Output 2-CACCIA'!$H$4:$H$"&amp;$C$5),Analysis!Q70,INDIRECT("'Output 2-CACCIA'!$m$4:$m$"&amp;$C$5))
+SUMIF(INDIRECT("'Output 3-ASINARA'!$H$4:$H$"&amp;$C$6),Analysis!Q70,INDIRECT("'Output 3-ASINARA'!$m$4:$m$"&amp;$C$6))
+SUMIF(INDIRECT("'Output 4-PELAGIE'!$H$4:$H$"&amp;$C$7),Analysis!Q70,INDIRECT("'Output 4-PELAGIE'!$m$4:$m$"&amp;$C$7))
+SUMIF(INDIRECT("'Output 5-EGADI'!$H$4:$H$"&amp;$C$8),Analysis!Q70,INDIRECT("'Output 5-EGADI'!$m$4:$m$"&amp;$C$8))
+SUMIF(INDIRECT("'Output 6-TG'!$H$4:$H$"&amp;$C$9),Analysis!Q70,INDIRECT("'Output 6-TG'!$m$4:$m$"&amp;$C$9))
+SUMIF(INDIRECT("'Output 7-PNAT'!$H$4:$H$"&amp;$C$10),Analysis!Q70,INDIRECT("'Output 7-PNAT'!$m$4:$m$"&amp;$C$10))
+SUMIF(INDIRECT("'Output 8-AEO'!$H$4:$H$"&amp;$C$11),Analysis!Q70,INDIRECT("'Output 8-AEO'!$m$4:$m$"&amp;$C$11))
+SUMIF(INDIRECT("'Output 9-EGADI2'!$H$4:$H$"&amp;$C$12),Analysis!Q70,INDIRECT("'Output 9-EGADI2'!$m$4:$m$"&amp;$C$12))
+SUMIF(INDIRECT("'Output 10-TUNIS'!$H$4:$H$"&amp;$C$13),Analysis!Q70,INDIRECT("'Output 10-TUNIS'!$m$4:$m$"&amp;$C$13))</f>
        <v>0</v>
      </c>
      <c r="S70" s="5">
        <f ca="1">SUMIF(INDIRECT("'Output 1-CARBONARA'!$H$4:$H$"&amp;$C$4),Analysis!Q70,INDIRECT("'Output 1-CARBONARA'!$q$4:$q$"&amp;$C$4))
+SUMIF(INDIRECT("'Output 2-CACCIA'!$H$4:$H$"&amp;$C$5),Analysis!Q70,INDIRECT("'Output 2-CACCIA'!$q$4:$q$"&amp;$C$5))
+SUMIF(INDIRECT("'Output 3-ASINARA'!$H$4:$H$"&amp;$C$6),Analysis!Q70,INDIRECT("'Output 3-ASINARA'!$q$4:$q$"&amp;$C$6))
+SUMIF(INDIRECT("'Output 4-PELAGIE'!$H$4:$H$"&amp;$C$7),Analysis!Q70,INDIRECT("'Output 4-PELAGIE'!$q$4:$q$"&amp;$C$7))
+SUMIF(INDIRECT("'Output 5-EGADI'!$H$4:$H$"&amp;$C$8),Analysis!Q70,INDIRECT("'Output 5-EGADI'!$q$4:$q$"&amp;$C$8))
+SUMIF(INDIRECT("'Output 6-TG'!$H$4:$H$"&amp;$C$9),Analysis!Q70,INDIRECT("'Output 6-TG'!$q$4:$q$"&amp;$C$9))
+SUMIF(INDIRECT("'Output 7-PNAT'!$H$4:$H$"&amp;$C$10),Analysis!Q70,INDIRECT("'Output 7-PNAT'!$q$4:$q$"&amp;$C$10))
+SUMIF(INDIRECT("'Output 8-AEO'!$H$4:$H$"&amp;$C$11),Analysis!Q70,INDIRECT("'Output 8-AEO'!$q$4:$q$"&amp;$C$11))
+SUMIF(INDIRECT("'Output 9-EGADI2'!$H$4:$H$"&amp;$C$12),Analysis!Q70,INDIRECT("'Output 9-EGADI2'!$q$4:$q$"&amp;$C$12))
+SUMIF(INDIRECT("'Output 10-TUNIS'!$H$4:$H$"&amp;$C$13),Analysis!Q70,INDIRECT("'Output 10-TUNIS'!$q$4:$q$"&amp;$C$13))</f>
        <v>0</v>
      </c>
      <c r="T70" s="5">
        <f ca="1">SUMIF(INDIRECT("'Output 1-CARBONARA'!$H$4:$H$"&amp;$C$4),Analysis!Q70,INDIRECT("'Output 1-CARBONARA'!$U$4:$U$"&amp;$C$4))
+SUMIF(INDIRECT("'Output 2-CACCIA'!$H$4:$H$"&amp;$C$5),Analysis!Q70,INDIRECT("'Output 2-CACCIA'!$U$4:$U$"&amp;$C$5))
+SUMIF(INDIRECT("'Output 3-ASINARA'!$H$4:$H$"&amp;$C$6),Analysis!Q70,INDIRECT("'Output 3-ASINARA'!$U$4:$U$"&amp;$C$6))
+SUMIF(INDIRECT("'Output 4-PELAGIE'!$H$4:$H$"&amp;$C$7),Analysis!Q70,INDIRECT("'Output 4-PELAGIE'!$U$4:$U$"&amp;$C$7))
+SUMIF(INDIRECT("'Output 5-EGADI'!$H$4:$H$"&amp;$C$8),Analysis!Q70,INDIRECT("'Output 5-EGADI'!$U$4:$U$"&amp;$C$8))
+SUMIF(INDIRECT("'Output 6-TG'!$H$4:$H$"&amp;$C$9),Analysis!Q70,INDIRECT("'Output 6-TG'!$U$4:$U$"&amp;$C$9))
+SUMIF(INDIRECT("'Output 7-PNAT'!$H$4:$H$"&amp;$C$10),Analysis!Q70,INDIRECT("'Output 7-PNAT'!$U$4:$U$"&amp;$C$10))
+SUMIF(INDIRECT("'Output 8-AEO'!$H$4:$H$"&amp;$C$11),Analysis!Q70,INDIRECT("'Output 8-AEO'!$U$4:$U$"&amp;$C$11))
+SUMIF(INDIRECT("'Output 9-EGADI2'!$H$4:$H$"&amp;$C$12),Analysis!Q70,INDIRECT("'Output 9-EGADI2'!$U$4:$U$"&amp;$C$12))
+SUMIF(INDIRECT("'Output 10-TUNIS'!$H$4:$H$"&amp;$C$13),Analysis!Q70,INDIRECT("'Output 10-TUNIS'!$U$4:$U$"&amp;$C$13))</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8">
        <f t="shared" ca="1" si="12"/>
        <v>0</v>
      </c>
      <c r="AA70" s="38">
        <f t="shared" si="13"/>
        <v>0</v>
      </c>
      <c r="AB70" s="54">
        <f t="shared" ca="1" si="14"/>
        <v>0</v>
      </c>
      <c r="AC70" s="64">
        <f ca="1">SUMIF(INDIRECT("'Output 1-CARBONARA'!$H$5:$H$"&amp;$C$4),Analysis!$Q70,INDIRECT("'Output 1-CARBONARA'!$F$5:$F$"&amp;$C$4))
+SUMIF(INDIRECT("'Output 2-CACCIA'!$H$5:$H$"&amp;$C$5),Analysis!$Q70,INDIRECT("'Output 2-CACCIA'!$F$5:$F$"&amp;$C$5))
+SUMIF(INDIRECT("'Output 3-ASINARA'!$H$5:$H$"&amp;$C$6),Analysis!$Q70,INDIRECT("'Output 3-ASINARA'!$F$5:$F$"&amp;$C$6))
+SUMIF(INDIRECT("'Output 4-PELAGIE'!$H$5:$H$"&amp;$C$7),Analysis!$Q70,INDIRECT("'Output 4-PELAGIE'!$F$5:$F$"&amp;$C$7))
+SUMIF(INDIRECT("'Output 5-EGADI'!$H$5:$H$"&amp;$C$8),Analysis!$Q70,INDIRECT("'Output 5-EGADI'!$F$5:$F$"&amp;$C$8))
+SUMIF(INDIRECT("'Output 6-TG'!$H$5:$H$"&amp;$C$9),Analysis!$Q70,INDIRECT("'Output 6-TG'!$F$5:$F$"&amp;$C$9))
+SUMIF(INDIRECT("'Output 7-PNAT'!$H$5:$H$"&amp;$C$10),Analysis!$Q70,INDIRECT("'Output 7-PNAT'!$F$5:$F$"&amp;$C$10))
+SUMIF(INDIRECT("'Output 8-AEO'!$H$5:$H$"&amp;$C$11),Analysis!$Q70,INDIRECT("'Output 8-AEO'!$F$5:$F$"&amp;$C$11))
+SUMIF(INDIRECT("'Output 9-EGADI2'!$H$5:$H$"&amp;$C$12),Analysis!$Q70,INDIRECT("'Output 9-EGADI2'!$F$5:$F$"&amp;$C$12))
+SUMIF(INDIRECT("'Output 10-TUNIS'!$H$5:$H$"&amp;$C$13),Analysis!$Q70,INDIRECT("'Output 10-TUNIS'!$F$5:$F$"&amp;$C$13))</f>
        <v>0</v>
      </c>
    </row>
    <row r="71" spans="17:29">
      <c r="Q71" s="31" t="s">
        <v>738</v>
      </c>
      <c r="R71" s="5">
        <f ca="1">SUMIF(INDIRECT("'Output 1-CARBONARA'!$H$4:$H$"&amp;$C$4),Analysis!Q71,INDIRECT("'Output 1-CARBONARA'!$m$4:$m$"&amp;$C$4))
+SUMIF(INDIRECT("'Output 2-CACCIA'!$H$4:$H$"&amp;$C$5),Analysis!Q71,INDIRECT("'Output 2-CACCIA'!$m$4:$m$"&amp;$C$5))
+SUMIF(INDIRECT("'Output 3-ASINARA'!$H$4:$H$"&amp;$C$6),Analysis!Q71,INDIRECT("'Output 3-ASINARA'!$m$4:$m$"&amp;$C$6))
+SUMIF(INDIRECT("'Output 4-PELAGIE'!$H$4:$H$"&amp;$C$7),Analysis!Q71,INDIRECT("'Output 4-PELAGIE'!$m$4:$m$"&amp;$C$7))
+SUMIF(INDIRECT("'Output 5-EGADI'!$H$4:$H$"&amp;$C$8),Analysis!Q71,INDIRECT("'Output 5-EGADI'!$m$4:$m$"&amp;$C$8))
+SUMIF(INDIRECT("'Output 6-TG'!$H$4:$H$"&amp;$C$9),Analysis!Q71,INDIRECT("'Output 6-TG'!$m$4:$m$"&amp;$C$9))
+SUMIF(INDIRECT("'Output 7-PNAT'!$H$4:$H$"&amp;$C$10),Analysis!Q71,INDIRECT("'Output 7-PNAT'!$m$4:$m$"&amp;$C$10))
+SUMIF(INDIRECT("'Output 8-AEO'!$H$4:$H$"&amp;$C$11),Analysis!Q71,INDIRECT("'Output 8-AEO'!$m$4:$m$"&amp;$C$11))
+SUMIF(INDIRECT("'Output 9-EGADI2'!$H$4:$H$"&amp;$C$12),Analysis!Q71,INDIRECT("'Output 9-EGADI2'!$m$4:$m$"&amp;$C$12))
+SUMIF(INDIRECT("'Output 10-TUNIS'!$H$4:$H$"&amp;$C$13),Analysis!Q71,INDIRECT("'Output 10-TUNIS'!$m$4:$m$"&amp;$C$13))</f>
        <v>0</v>
      </c>
      <c r="S71" s="5">
        <f ca="1">SUMIF(INDIRECT("'Output 1-CARBONARA'!$H$4:$H$"&amp;$C$4),Analysis!Q71,INDIRECT("'Output 1-CARBONARA'!$q$4:$q$"&amp;$C$4))
+SUMIF(INDIRECT("'Output 2-CACCIA'!$H$4:$H$"&amp;$C$5),Analysis!Q71,INDIRECT("'Output 2-CACCIA'!$q$4:$q$"&amp;$C$5))
+SUMIF(INDIRECT("'Output 3-ASINARA'!$H$4:$H$"&amp;$C$6),Analysis!Q71,INDIRECT("'Output 3-ASINARA'!$q$4:$q$"&amp;$C$6))
+SUMIF(INDIRECT("'Output 4-PELAGIE'!$H$4:$H$"&amp;$C$7),Analysis!Q71,INDIRECT("'Output 4-PELAGIE'!$q$4:$q$"&amp;$C$7))
+SUMIF(INDIRECT("'Output 5-EGADI'!$H$4:$H$"&amp;$C$8),Analysis!Q71,INDIRECT("'Output 5-EGADI'!$q$4:$q$"&amp;$C$8))
+SUMIF(INDIRECT("'Output 6-TG'!$H$4:$H$"&amp;$C$9),Analysis!Q71,INDIRECT("'Output 6-TG'!$q$4:$q$"&amp;$C$9))
+SUMIF(INDIRECT("'Output 7-PNAT'!$H$4:$H$"&amp;$C$10),Analysis!Q71,INDIRECT("'Output 7-PNAT'!$q$4:$q$"&amp;$C$10))
+SUMIF(INDIRECT("'Output 8-AEO'!$H$4:$H$"&amp;$C$11),Analysis!Q71,INDIRECT("'Output 8-AEO'!$q$4:$q$"&amp;$C$11))
+SUMIF(INDIRECT("'Output 9-EGADI2'!$H$4:$H$"&amp;$C$12),Analysis!Q71,INDIRECT("'Output 9-EGADI2'!$q$4:$q$"&amp;$C$12))
+SUMIF(INDIRECT("'Output 10-TUNIS'!$H$4:$H$"&amp;$C$13),Analysis!Q71,INDIRECT("'Output 10-TUNIS'!$q$4:$q$"&amp;$C$13))</f>
        <v>0</v>
      </c>
      <c r="T71" s="5">
        <f ca="1">SUMIF(INDIRECT("'Output 1-CARBONARA'!$H$4:$H$"&amp;$C$4),Analysis!Q71,INDIRECT("'Output 1-CARBONARA'!$U$4:$U$"&amp;$C$4))
+SUMIF(INDIRECT("'Output 2-CACCIA'!$H$4:$H$"&amp;$C$5),Analysis!Q71,INDIRECT("'Output 2-CACCIA'!$U$4:$U$"&amp;$C$5))
+SUMIF(INDIRECT("'Output 3-ASINARA'!$H$4:$H$"&amp;$C$6),Analysis!Q71,INDIRECT("'Output 3-ASINARA'!$U$4:$U$"&amp;$C$6))
+SUMIF(INDIRECT("'Output 4-PELAGIE'!$H$4:$H$"&amp;$C$7),Analysis!Q71,INDIRECT("'Output 4-PELAGIE'!$U$4:$U$"&amp;$C$7))
+SUMIF(INDIRECT("'Output 5-EGADI'!$H$4:$H$"&amp;$C$8),Analysis!Q71,INDIRECT("'Output 5-EGADI'!$U$4:$U$"&amp;$C$8))
+SUMIF(INDIRECT("'Output 6-TG'!$H$4:$H$"&amp;$C$9),Analysis!Q71,INDIRECT("'Output 6-TG'!$U$4:$U$"&amp;$C$9))
+SUMIF(INDIRECT("'Output 7-PNAT'!$H$4:$H$"&amp;$C$10),Analysis!Q71,INDIRECT("'Output 7-PNAT'!$U$4:$U$"&amp;$C$10))
+SUMIF(INDIRECT("'Output 8-AEO'!$H$4:$H$"&amp;$C$11),Analysis!Q71,INDIRECT("'Output 8-AEO'!$U$4:$U$"&amp;$C$11))
+SUMIF(INDIRECT("'Output 9-EGADI2'!$H$4:$H$"&amp;$C$12),Analysis!Q71,INDIRECT("'Output 9-EGADI2'!$U$4:$U$"&amp;$C$12))
+SUMIF(INDIRECT("'Output 10-TUNIS'!$H$4:$H$"&amp;$C$13),Analysis!Q71,INDIRECT("'Output 10-TUNIS'!$U$4:$U$"&amp;$C$13))</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8">
        <f t="shared" ca="1" si="12"/>
        <v>0</v>
      </c>
      <c r="AA71" s="38">
        <f t="shared" si="13"/>
        <v>0</v>
      </c>
      <c r="AB71" s="54">
        <f t="shared" ca="1" si="14"/>
        <v>0</v>
      </c>
      <c r="AC71" s="64">
        <f ca="1">SUMIF(INDIRECT("'Output 1-CARBONARA'!$H$5:$H$"&amp;$C$4),Analysis!$Q71,INDIRECT("'Output 1-CARBONARA'!$F$5:$F$"&amp;$C$4))
+SUMIF(INDIRECT("'Output 2-CACCIA'!$H$5:$H$"&amp;$C$5),Analysis!$Q71,INDIRECT("'Output 2-CACCIA'!$F$5:$F$"&amp;$C$5))
+SUMIF(INDIRECT("'Output 3-ASINARA'!$H$5:$H$"&amp;$C$6),Analysis!$Q71,INDIRECT("'Output 3-ASINARA'!$F$5:$F$"&amp;$C$6))
+SUMIF(INDIRECT("'Output 4-PELAGIE'!$H$5:$H$"&amp;$C$7),Analysis!$Q71,INDIRECT("'Output 4-PELAGIE'!$F$5:$F$"&amp;$C$7))
+SUMIF(INDIRECT("'Output 5-EGADI'!$H$5:$H$"&amp;$C$8),Analysis!$Q71,INDIRECT("'Output 5-EGADI'!$F$5:$F$"&amp;$C$8))
+SUMIF(INDIRECT("'Output 6-TG'!$H$5:$H$"&amp;$C$9),Analysis!$Q71,INDIRECT("'Output 6-TG'!$F$5:$F$"&amp;$C$9))
+SUMIF(INDIRECT("'Output 7-PNAT'!$H$5:$H$"&amp;$C$10),Analysis!$Q71,INDIRECT("'Output 7-PNAT'!$F$5:$F$"&amp;$C$10))
+SUMIF(INDIRECT("'Output 8-AEO'!$H$5:$H$"&amp;$C$11),Analysis!$Q71,INDIRECT("'Output 8-AEO'!$F$5:$F$"&amp;$C$11))
+SUMIF(INDIRECT("'Output 9-EGADI2'!$H$5:$H$"&amp;$C$12),Analysis!$Q71,INDIRECT("'Output 9-EGADI2'!$F$5:$F$"&amp;$C$12))
+SUMIF(INDIRECT("'Output 10-TUNIS'!$H$5:$H$"&amp;$C$13),Analysis!$Q71,INDIRECT("'Output 10-TUNIS'!$F$5:$F$"&amp;$C$13))</f>
        <v>0</v>
      </c>
    </row>
    <row r="72" spans="17:29">
      <c r="Q72" s="31">
        <v>5.4</v>
      </c>
      <c r="R72" s="5">
        <f ca="1">SUMIF(INDIRECT("'Output 1-CARBONARA'!$H$4:$H$"&amp;$C$4),Analysis!Q72,INDIRECT("'Output 1-CARBONARA'!$m$4:$m$"&amp;$C$4))
+SUMIF(INDIRECT("'Output 2-CACCIA'!$H$4:$H$"&amp;$C$5),Analysis!Q72,INDIRECT("'Output 2-CACCIA'!$m$4:$m$"&amp;$C$5))
+SUMIF(INDIRECT("'Output 3-ASINARA'!$H$4:$H$"&amp;$C$6),Analysis!Q72,INDIRECT("'Output 3-ASINARA'!$m$4:$m$"&amp;$C$6))
+SUMIF(INDIRECT("'Output 4-PELAGIE'!$H$4:$H$"&amp;$C$7),Analysis!Q72,INDIRECT("'Output 4-PELAGIE'!$m$4:$m$"&amp;$C$7))
+SUMIF(INDIRECT("'Output 5-EGADI'!$H$4:$H$"&amp;$C$8),Analysis!Q72,INDIRECT("'Output 5-EGADI'!$m$4:$m$"&amp;$C$8))
+SUMIF(INDIRECT("'Output 6-TG'!$H$4:$H$"&amp;$C$9),Analysis!Q72,INDIRECT("'Output 6-TG'!$m$4:$m$"&amp;$C$9))
+SUMIF(INDIRECT("'Output 7-PNAT'!$H$4:$H$"&amp;$C$10),Analysis!Q72,INDIRECT("'Output 7-PNAT'!$m$4:$m$"&amp;$C$10))
+SUMIF(INDIRECT("'Output 8-AEO'!$H$4:$H$"&amp;$C$11),Analysis!Q72,INDIRECT("'Output 8-AEO'!$m$4:$m$"&amp;$C$11))
+SUMIF(INDIRECT("'Output 9-EGADI2'!$H$4:$H$"&amp;$C$12),Analysis!Q72,INDIRECT("'Output 9-EGADI2'!$m$4:$m$"&amp;$C$12))
+SUMIF(INDIRECT("'Output 10-TUNIS'!$H$4:$H$"&amp;$C$13),Analysis!Q72,INDIRECT("'Output 10-TUNIS'!$m$4:$m$"&amp;$C$13))</f>
        <v>0</v>
      </c>
      <c r="S72" s="5">
        <f ca="1">SUMIF(INDIRECT("'Output 1-CARBONARA'!$H$4:$H$"&amp;$C$4),Analysis!Q72,INDIRECT("'Output 1-CARBONARA'!$q$4:$q$"&amp;$C$4))
+SUMIF(INDIRECT("'Output 2-CACCIA'!$H$4:$H$"&amp;$C$5),Analysis!Q72,INDIRECT("'Output 2-CACCIA'!$q$4:$q$"&amp;$C$5))
+SUMIF(INDIRECT("'Output 3-ASINARA'!$H$4:$H$"&amp;$C$6),Analysis!Q72,INDIRECT("'Output 3-ASINARA'!$q$4:$q$"&amp;$C$6))
+SUMIF(INDIRECT("'Output 4-PELAGIE'!$H$4:$H$"&amp;$C$7),Analysis!Q72,INDIRECT("'Output 4-PELAGIE'!$q$4:$q$"&amp;$C$7))
+SUMIF(INDIRECT("'Output 5-EGADI'!$H$4:$H$"&amp;$C$8),Analysis!Q72,INDIRECT("'Output 5-EGADI'!$q$4:$q$"&amp;$C$8))
+SUMIF(INDIRECT("'Output 6-TG'!$H$4:$H$"&amp;$C$9),Analysis!Q72,INDIRECT("'Output 6-TG'!$q$4:$q$"&amp;$C$9))
+SUMIF(INDIRECT("'Output 7-PNAT'!$H$4:$H$"&amp;$C$10),Analysis!Q72,INDIRECT("'Output 7-PNAT'!$q$4:$q$"&amp;$C$10))
+SUMIF(INDIRECT("'Output 8-AEO'!$H$4:$H$"&amp;$C$11),Analysis!Q72,INDIRECT("'Output 8-AEO'!$q$4:$q$"&amp;$C$11))
+SUMIF(INDIRECT("'Output 9-EGADI2'!$H$4:$H$"&amp;$C$12),Analysis!Q72,INDIRECT("'Output 9-EGADI2'!$q$4:$q$"&amp;$C$12))
+SUMIF(INDIRECT("'Output 10-TUNIS'!$H$4:$H$"&amp;$C$13),Analysis!Q72,INDIRECT("'Output 10-TUNIS'!$q$4:$q$"&amp;$C$13))</f>
        <v>0</v>
      </c>
      <c r="T72" s="5">
        <f ca="1">SUMIF(INDIRECT("'Output 1-CARBONARA'!$H$4:$H$"&amp;$C$4),Analysis!Q72,INDIRECT("'Output 1-CARBONARA'!$U$4:$U$"&amp;$C$4))
+SUMIF(INDIRECT("'Output 2-CACCIA'!$H$4:$H$"&amp;$C$5),Analysis!Q72,INDIRECT("'Output 2-CACCIA'!$U$4:$U$"&amp;$C$5))
+SUMIF(INDIRECT("'Output 3-ASINARA'!$H$4:$H$"&amp;$C$6),Analysis!Q72,INDIRECT("'Output 3-ASINARA'!$U$4:$U$"&amp;$C$6))
+SUMIF(INDIRECT("'Output 4-PELAGIE'!$H$4:$H$"&amp;$C$7),Analysis!Q72,INDIRECT("'Output 4-PELAGIE'!$U$4:$U$"&amp;$C$7))
+SUMIF(INDIRECT("'Output 5-EGADI'!$H$4:$H$"&amp;$C$8),Analysis!Q72,INDIRECT("'Output 5-EGADI'!$U$4:$U$"&amp;$C$8))
+SUMIF(INDIRECT("'Output 6-TG'!$H$4:$H$"&amp;$C$9),Analysis!Q72,INDIRECT("'Output 6-TG'!$U$4:$U$"&amp;$C$9))
+SUMIF(INDIRECT("'Output 7-PNAT'!$H$4:$H$"&amp;$C$10),Analysis!Q72,INDIRECT("'Output 7-PNAT'!$U$4:$U$"&amp;$C$10))
+SUMIF(INDIRECT("'Output 8-AEO'!$H$4:$H$"&amp;$C$11),Analysis!Q72,INDIRECT("'Output 8-AEO'!$U$4:$U$"&amp;$C$11))
+SUMIF(INDIRECT("'Output 9-EGADI2'!$H$4:$H$"&amp;$C$12),Analysis!Q72,INDIRECT("'Output 9-EGADI2'!$U$4:$U$"&amp;$C$12))
+SUMIF(INDIRECT("'Output 10-TUNIS'!$H$4:$H$"&amp;$C$13),Analysis!Q72,INDIRECT("'Output 10-TUNIS'!$U$4:$U$"&amp;$C$13))</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8">
        <f t="shared" ref="Z72:Z75" ca="1" si="15">SUM(R72:T72)</f>
        <v>0</v>
      </c>
      <c r="AA72" s="38">
        <f t="shared" ref="AA72:AA75" si="16">SUM(V72:X72)</f>
        <v>0</v>
      </c>
      <c r="AB72" s="54">
        <f t="shared" ref="AB72:AB75" ca="1" si="17">AA72+Z72</f>
        <v>0</v>
      </c>
      <c r="AC72" s="64">
        <f ca="1">SUMIF(INDIRECT("'Output 1-CARBONARA'!$H$5:$H$"&amp;$C$4),Analysis!$Q72,INDIRECT("'Output 1-CARBONARA'!$F$5:$F$"&amp;$C$4))
+SUMIF(INDIRECT("'Output 2-CACCIA'!$H$5:$H$"&amp;$C$5),Analysis!$Q72,INDIRECT("'Output 2-CACCIA'!$F$5:$F$"&amp;$C$5))
+SUMIF(INDIRECT("'Output 3-ASINARA'!$H$5:$H$"&amp;$C$6),Analysis!$Q72,INDIRECT("'Output 3-ASINARA'!$F$5:$F$"&amp;$C$6))
+SUMIF(INDIRECT("'Output 4-PELAGIE'!$H$5:$H$"&amp;$C$7),Analysis!$Q72,INDIRECT("'Output 4-PELAGIE'!$F$5:$F$"&amp;$C$7))
+SUMIF(INDIRECT("'Output 5-EGADI'!$H$5:$H$"&amp;$C$8),Analysis!$Q72,INDIRECT("'Output 5-EGADI'!$F$5:$F$"&amp;$C$8))
+SUMIF(INDIRECT("'Output 6-TG'!$H$5:$H$"&amp;$C$9),Analysis!$Q72,INDIRECT("'Output 6-TG'!$F$5:$F$"&amp;$C$9))
+SUMIF(INDIRECT("'Output 7-PNAT'!$H$5:$H$"&amp;$C$10),Analysis!$Q72,INDIRECT("'Output 7-PNAT'!$F$5:$F$"&amp;$C$10))
+SUMIF(INDIRECT("'Output 8-AEO'!$H$5:$H$"&amp;$C$11),Analysis!$Q72,INDIRECT("'Output 8-AEO'!$F$5:$F$"&amp;$C$11))
+SUMIF(INDIRECT("'Output 9-EGADI2'!$H$5:$H$"&amp;$C$12),Analysis!$Q72,INDIRECT("'Output 9-EGADI2'!$F$5:$F$"&amp;$C$12))
+SUMIF(INDIRECT("'Output 10-TUNIS'!$H$5:$H$"&amp;$C$13),Analysis!$Q72,INDIRECT("'Output 10-TUNIS'!$F$5:$F$"&amp;$C$13))</f>
        <v>0</v>
      </c>
    </row>
    <row r="73" spans="17:29">
      <c r="Q73" s="31" t="s">
        <v>739</v>
      </c>
      <c r="R73" s="5">
        <f ca="1">SUMIF(INDIRECT("'Output 1-CARBONARA'!$H$4:$H$"&amp;$C$4),Analysis!Q73,INDIRECT("'Output 1-CARBONARA'!$m$4:$m$"&amp;$C$4))
+SUMIF(INDIRECT("'Output 2-CACCIA'!$H$4:$H$"&amp;$C$5),Analysis!Q73,INDIRECT("'Output 2-CACCIA'!$m$4:$m$"&amp;$C$5))
+SUMIF(INDIRECT("'Output 3-ASINARA'!$H$4:$H$"&amp;$C$6),Analysis!Q73,INDIRECT("'Output 3-ASINARA'!$m$4:$m$"&amp;$C$6))
+SUMIF(INDIRECT("'Output 4-PELAGIE'!$H$4:$H$"&amp;$C$7),Analysis!Q73,INDIRECT("'Output 4-PELAGIE'!$m$4:$m$"&amp;$C$7))
+SUMIF(INDIRECT("'Output 5-EGADI'!$H$4:$H$"&amp;$C$8),Analysis!Q73,INDIRECT("'Output 5-EGADI'!$m$4:$m$"&amp;$C$8))
+SUMIF(INDIRECT("'Output 6-TG'!$H$4:$H$"&amp;$C$9),Analysis!Q73,INDIRECT("'Output 6-TG'!$m$4:$m$"&amp;$C$9))
+SUMIF(INDIRECT("'Output 7-PNAT'!$H$4:$H$"&amp;$C$10),Analysis!Q73,INDIRECT("'Output 7-PNAT'!$m$4:$m$"&amp;$C$10))
+SUMIF(INDIRECT("'Output 8-AEO'!$H$4:$H$"&amp;$C$11),Analysis!Q73,INDIRECT("'Output 8-AEO'!$m$4:$m$"&amp;$C$11))
+SUMIF(INDIRECT("'Output 9-EGADI2'!$H$4:$H$"&amp;$C$12),Analysis!Q73,INDIRECT("'Output 9-EGADI2'!$m$4:$m$"&amp;$C$12))
+SUMIF(INDIRECT("'Output 10-TUNIS'!$H$4:$H$"&amp;$C$13),Analysis!Q73,INDIRECT("'Output 10-TUNIS'!$m$4:$m$"&amp;$C$13))</f>
        <v>0</v>
      </c>
      <c r="S73" s="5">
        <f ca="1">SUMIF(INDIRECT("'Output 1-CARBONARA'!$H$4:$H$"&amp;$C$4),Analysis!Q73,INDIRECT("'Output 1-CARBONARA'!$q$4:$q$"&amp;$C$4))
+SUMIF(INDIRECT("'Output 2-CACCIA'!$H$4:$H$"&amp;$C$5),Analysis!Q73,INDIRECT("'Output 2-CACCIA'!$q$4:$q$"&amp;$C$5))
+SUMIF(INDIRECT("'Output 3-ASINARA'!$H$4:$H$"&amp;$C$6),Analysis!Q73,INDIRECT("'Output 3-ASINARA'!$q$4:$q$"&amp;$C$6))
+SUMIF(INDIRECT("'Output 4-PELAGIE'!$H$4:$H$"&amp;$C$7),Analysis!Q73,INDIRECT("'Output 4-PELAGIE'!$q$4:$q$"&amp;$C$7))
+SUMIF(INDIRECT("'Output 5-EGADI'!$H$4:$H$"&amp;$C$8),Analysis!Q73,INDIRECT("'Output 5-EGADI'!$q$4:$q$"&amp;$C$8))
+SUMIF(INDIRECT("'Output 6-TG'!$H$4:$H$"&amp;$C$9),Analysis!Q73,INDIRECT("'Output 6-TG'!$q$4:$q$"&amp;$C$9))
+SUMIF(INDIRECT("'Output 7-PNAT'!$H$4:$H$"&amp;$C$10),Analysis!Q73,INDIRECT("'Output 7-PNAT'!$q$4:$q$"&amp;$C$10))
+SUMIF(INDIRECT("'Output 8-AEO'!$H$4:$H$"&amp;$C$11),Analysis!Q73,INDIRECT("'Output 8-AEO'!$q$4:$q$"&amp;$C$11))
+SUMIF(INDIRECT("'Output 9-EGADI2'!$H$4:$H$"&amp;$C$12),Analysis!Q73,INDIRECT("'Output 9-EGADI2'!$q$4:$q$"&amp;$C$12))
+SUMIF(INDIRECT("'Output 10-TUNIS'!$H$4:$H$"&amp;$C$13),Analysis!Q73,INDIRECT("'Output 10-TUNIS'!$q$4:$q$"&amp;$C$13))</f>
        <v>0</v>
      </c>
      <c r="T73" s="5">
        <f ca="1">SUMIF(INDIRECT("'Output 1-CARBONARA'!$H$4:$H$"&amp;$C$4),Analysis!Q73,INDIRECT("'Output 1-CARBONARA'!$U$4:$U$"&amp;$C$4))
+SUMIF(INDIRECT("'Output 2-CACCIA'!$H$4:$H$"&amp;$C$5),Analysis!Q73,INDIRECT("'Output 2-CACCIA'!$U$4:$U$"&amp;$C$5))
+SUMIF(INDIRECT("'Output 3-ASINARA'!$H$4:$H$"&amp;$C$6),Analysis!Q73,INDIRECT("'Output 3-ASINARA'!$U$4:$U$"&amp;$C$6))
+SUMIF(INDIRECT("'Output 4-PELAGIE'!$H$4:$H$"&amp;$C$7),Analysis!Q73,INDIRECT("'Output 4-PELAGIE'!$U$4:$U$"&amp;$C$7))
+SUMIF(INDIRECT("'Output 5-EGADI'!$H$4:$H$"&amp;$C$8),Analysis!Q73,INDIRECT("'Output 5-EGADI'!$U$4:$U$"&amp;$C$8))
+SUMIF(INDIRECT("'Output 6-TG'!$H$4:$H$"&amp;$C$9),Analysis!Q73,INDIRECT("'Output 6-TG'!$U$4:$U$"&amp;$C$9))
+SUMIF(INDIRECT("'Output 7-PNAT'!$H$4:$H$"&amp;$C$10),Analysis!Q73,INDIRECT("'Output 7-PNAT'!$U$4:$U$"&amp;$C$10))
+SUMIF(INDIRECT("'Output 8-AEO'!$H$4:$H$"&amp;$C$11),Analysis!Q73,INDIRECT("'Output 8-AEO'!$U$4:$U$"&amp;$C$11))
+SUMIF(INDIRECT("'Output 9-EGADI2'!$H$4:$H$"&amp;$C$12),Analysis!Q73,INDIRECT("'Output 9-EGADI2'!$U$4:$U$"&amp;$C$12))
+SUMIF(INDIRECT("'Output 10-TUNIS'!$H$4:$H$"&amp;$C$13),Analysis!Q73,INDIRECT("'Output 10-TUNIS'!$U$4:$U$"&amp;$C$13))</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8">
        <f t="shared" ca="1" si="15"/>
        <v>0</v>
      </c>
      <c r="AA73" s="38">
        <f t="shared" si="16"/>
        <v>0</v>
      </c>
      <c r="AB73" s="54">
        <f t="shared" ca="1" si="17"/>
        <v>0</v>
      </c>
      <c r="AC73" s="64">
        <f ca="1">SUMIF(INDIRECT("'Output 1-CARBONARA'!$H$5:$H$"&amp;$C$4),Analysis!$Q73,INDIRECT("'Output 1-CARBONARA'!$F$5:$F$"&amp;$C$4))
+SUMIF(INDIRECT("'Output 2-CACCIA'!$H$5:$H$"&amp;$C$5),Analysis!$Q73,INDIRECT("'Output 2-CACCIA'!$F$5:$F$"&amp;$C$5))
+SUMIF(INDIRECT("'Output 3-ASINARA'!$H$5:$H$"&amp;$C$6),Analysis!$Q73,INDIRECT("'Output 3-ASINARA'!$F$5:$F$"&amp;$C$6))
+SUMIF(INDIRECT("'Output 4-PELAGIE'!$H$5:$H$"&amp;$C$7),Analysis!$Q73,INDIRECT("'Output 4-PELAGIE'!$F$5:$F$"&amp;$C$7))
+SUMIF(INDIRECT("'Output 5-EGADI'!$H$5:$H$"&amp;$C$8),Analysis!$Q73,INDIRECT("'Output 5-EGADI'!$F$5:$F$"&amp;$C$8))
+SUMIF(INDIRECT("'Output 6-TG'!$H$5:$H$"&amp;$C$9),Analysis!$Q73,INDIRECT("'Output 6-TG'!$F$5:$F$"&amp;$C$9))
+SUMIF(INDIRECT("'Output 7-PNAT'!$H$5:$H$"&amp;$C$10),Analysis!$Q73,INDIRECT("'Output 7-PNAT'!$F$5:$F$"&amp;$C$10))
+SUMIF(INDIRECT("'Output 8-AEO'!$H$5:$H$"&amp;$C$11),Analysis!$Q73,INDIRECT("'Output 8-AEO'!$F$5:$F$"&amp;$C$11))
+SUMIF(INDIRECT("'Output 9-EGADI2'!$H$5:$H$"&amp;$C$12),Analysis!$Q73,INDIRECT("'Output 9-EGADI2'!$F$5:$F$"&amp;$C$12))
+SUMIF(INDIRECT("'Output 10-TUNIS'!$H$5:$H$"&amp;$C$13),Analysis!$Q73,INDIRECT("'Output 10-TUNIS'!$F$5:$F$"&amp;$C$13))</f>
        <v>0</v>
      </c>
    </row>
    <row r="74" spans="17:29">
      <c r="Q74" s="31" t="s">
        <v>740</v>
      </c>
      <c r="R74" s="5">
        <f ca="1">SUMIF(INDIRECT("'Output 1-CARBONARA'!$H$4:$H$"&amp;$C$4),Analysis!Q74,INDIRECT("'Output 1-CARBONARA'!$m$4:$m$"&amp;$C$4))
+SUMIF(INDIRECT("'Output 2-CACCIA'!$H$4:$H$"&amp;$C$5),Analysis!Q74,INDIRECT("'Output 2-CACCIA'!$m$4:$m$"&amp;$C$5))
+SUMIF(INDIRECT("'Output 3-ASINARA'!$H$4:$H$"&amp;$C$6),Analysis!Q74,INDIRECT("'Output 3-ASINARA'!$m$4:$m$"&amp;$C$6))
+SUMIF(INDIRECT("'Output 4-PELAGIE'!$H$4:$H$"&amp;$C$7),Analysis!Q74,INDIRECT("'Output 4-PELAGIE'!$m$4:$m$"&amp;$C$7))
+SUMIF(INDIRECT("'Output 5-EGADI'!$H$4:$H$"&amp;$C$8),Analysis!Q74,INDIRECT("'Output 5-EGADI'!$m$4:$m$"&amp;$C$8))
+SUMIF(INDIRECT("'Output 6-TG'!$H$4:$H$"&amp;$C$9),Analysis!Q74,INDIRECT("'Output 6-TG'!$m$4:$m$"&amp;$C$9))
+SUMIF(INDIRECT("'Output 7-PNAT'!$H$4:$H$"&amp;$C$10),Analysis!Q74,INDIRECT("'Output 7-PNAT'!$m$4:$m$"&amp;$C$10))
+SUMIF(INDIRECT("'Output 8-AEO'!$H$4:$H$"&amp;$C$11),Analysis!Q74,INDIRECT("'Output 8-AEO'!$m$4:$m$"&amp;$C$11))
+SUMIF(INDIRECT("'Output 9-EGADI2'!$H$4:$H$"&amp;$C$12),Analysis!Q74,INDIRECT("'Output 9-EGADI2'!$m$4:$m$"&amp;$C$12))
+SUMIF(INDIRECT("'Output 10-TUNIS'!$H$4:$H$"&amp;$C$13),Analysis!Q74,INDIRECT("'Output 10-TUNIS'!$m$4:$m$"&amp;$C$13))</f>
        <v>0</v>
      </c>
      <c r="S74" s="5">
        <f ca="1">SUMIF(INDIRECT("'Output 1-CARBONARA'!$H$4:$H$"&amp;$C$4),Analysis!Q74,INDIRECT("'Output 1-CARBONARA'!$q$4:$q$"&amp;$C$4))
+SUMIF(INDIRECT("'Output 2-CACCIA'!$H$4:$H$"&amp;$C$5),Analysis!Q74,INDIRECT("'Output 2-CACCIA'!$q$4:$q$"&amp;$C$5))
+SUMIF(INDIRECT("'Output 3-ASINARA'!$H$4:$H$"&amp;$C$6),Analysis!Q74,INDIRECT("'Output 3-ASINARA'!$q$4:$q$"&amp;$C$6))
+SUMIF(INDIRECT("'Output 4-PELAGIE'!$H$4:$H$"&amp;$C$7),Analysis!Q74,INDIRECT("'Output 4-PELAGIE'!$q$4:$q$"&amp;$C$7))
+SUMIF(INDIRECT("'Output 5-EGADI'!$H$4:$H$"&amp;$C$8),Analysis!Q74,INDIRECT("'Output 5-EGADI'!$q$4:$q$"&amp;$C$8))
+SUMIF(INDIRECT("'Output 6-TG'!$H$4:$H$"&amp;$C$9),Analysis!Q74,INDIRECT("'Output 6-TG'!$q$4:$q$"&amp;$C$9))
+SUMIF(INDIRECT("'Output 7-PNAT'!$H$4:$H$"&amp;$C$10),Analysis!Q74,INDIRECT("'Output 7-PNAT'!$q$4:$q$"&amp;$C$10))
+SUMIF(INDIRECT("'Output 8-AEO'!$H$4:$H$"&amp;$C$11),Analysis!Q74,INDIRECT("'Output 8-AEO'!$q$4:$q$"&amp;$C$11))
+SUMIF(INDIRECT("'Output 9-EGADI2'!$H$4:$H$"&amp;$C$12),Analysis!Q74,INDIRECT("'Output 9-EGADI2'!$q$4:$q$"&amp;$C$12))
+SUMIF(INDIRECT("'Output 10-TUNIS'!$H$4:$H$"&amp;$C$13),Analysis!Q74,INDIRECT("'Output 10-TUNIS'!$q$4:$q$"&amp;$C$13))</f>
        <v>0</v>
      </c>
      <c r="T74" s="5">
        <f ca="1">SUMIF(INDIRECT("'Output 1-CARBONARA'!$H$4:$H$"&amp;$C$4),Analysis!Q74,INDIRECT("'Output 1-CARBONARA'!$U$4:$U$"&amp;$C$4))
+SUMIF(INDIRECT("'Output 2-CACCIA'!$H$4:$H$"&amp;$C$5),Analysis!Q74,INDIRECT("'Output 2-CACCIA'!$U$4:$U$"&amp;$C$5))
+SUMIF(INDIRECT("'Output 3-ASINARA'!$H$4:$H$"&amp;$C$6),Analysis!Q74,INDIRECT("'Output 3-ASINARA'!$U$4:$U$"&amp;$C$6))
+SUMIF(INDIRECT("'Output 4-PELAGIE'!$H$4:$H$"&amp;$C$7),Analysis!Q74,INDIRECT("'Output 4-PELAGIE'!$U$4:$U$"&amp;$C$7))
+SUMIF(INDIRECT("'Output 5-EGADI'!$H$4:$H$"&amp;$C$8),Analysis!Q74,INDIRECT("'Output 5-EGADI'!$U$4:$U$"&amp;$C$8))
+SUMIF(INDIRECT("'Output 6-TG'!$H$4:$H$"&amp;$C$9),Analysis!Q74,INDIRECT("'Output 6-TG'!$U$4:$U$"&amp;$C$9))
+SUMIF(INDIRECT("'Output 7-PNAT'!$H$4:$H$"&amp;$C$10),Analysis!Q74,INDIRECT("'Output 7-PNAT'!$U$4:$U$"&amp;$C$10))
+SUMIF(INDIRECT("'Output 8-AEO'!$H$4:$H$"&amp;$C$11),Analysis!Q74,INDIRECT("'Output 8-AEO'!$U$4:$U$"&amp;$C$11))
+SUMIF(INDIRECT("'Output 9-EGADI2'!$H$4:$H$"&amp;$C$12),Analysis!Q74,INDIRECT("'Output 9-EGADI2'!$U$4:$U$"&amp;$C$12))
+SUMIF(INDIRECT("'Output 10-TUNIS'!$H$4:$H$"&amp;$C$13),Analysis!Q74,INDIRECT("'Output 10-TUNIS'!$U$4:$U$"&amp;$C$13))</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8">
        <f t="shared" ca="1" si="15"/>
        <v>0</v>
      </c>
      <c r="AA74" s="38">
        <f t="shared" si="16"/>
        <v>0</v>
      </c>
      <c r="AB74" s="54">
        <f t="shared" ca="1" si="17"/>
        <v>0</v>
      </c>
      <c r="AC74" s="64">
        <f ca="1">SUMIF(INDIRECT("'Output 1-CARBONARA'!$H$5:$H$"&amp;$C$4),Analysis!$Q74,INDIRECT("'Output 1-CARBONARA'!$F$5:$F$"&amp;$C$4))
+SUMIF(INDIRECT("'Output 2-CACCIA'!$H$5:$H$"&amp;$C$5),Analysis!$Q74,INDIRECT("'Output 2-CACCIA'!$F$5:$F$"&amp;$C$5))
+SUMIF(INDIRECT("'Output 3-ASINARA'!$H$5:$H$"&amp;$C$6),Analysis!$Q74,INDIRECT("'Output 3-ASINARA'!$F$5:$F$"&amp;$C$6))
+SUMIF(INDIRECT("'Output 4-PELAGIE'!$H$5:$H$"&amp;$C$7),Analysis!$Q74,INDIRECT("'Output 4-PELAGIE'!$F$5:$F$"&amp;$C$7))
+SUMIF(INDIRECT("'Output 5-EGADI'!$H$5:$H$"&amp;$C$8),Analysis!$Q74,INDIRECT("'Output 5-EGADI'!$F$5:$F$"&amp;$C$8))
+SUMIF(INDIRECT("'Output 6-TG'!$H$5:$H$"&amp;$C$9),Analysis!$Q74,INDIRECT("'Output 6-TG'!$F$5:$F$"&amp;$C$9))
+SUMIF(INDIRECT("'Output 7-PNAT'!$H$5:$H$"&amp;$C$10),Analysis!$Q74,INDIRECT("'Output 7-PNAT'!$F$5:$F$"&amp;$C$10))
+SUMIF(INDIRECT("'Output 8-AEO'!$H$5:$H$"&amp;$C$11),Analysis!$Q74,INDIRECT("'Output 8-AEO'!$F$5:$F$"&amp;$C$11))
+SUMIF(INDIRECT("'Output 9-EGADI2'!$H$5:$H$"&amp;$C$12),Analysis!$Q74,INDIRECT("'Output 9-EGADI2'!$F$5:$F$"&amp;$C$12))
+SUMIF(INDIRECT("'Output 10-TUNIS'!$H$5:$H$"&amp;$C$13),Analysis!$Q74,INDIRECT("'Output 10-TUNIS'!$F$5:$F$"&amp;$C$13))</f>
        <v>0</v>
      </c>
    </row>
    <row r="75" spans="17:29">
      <c r="Q75" s="31" t="s">
        <v>741</v>
      </c>
      <c r="R75" s="5">
        <f ca="1">SUMIF(INDIRECT("'Output 1-CARBONARA'!$H$4:$H$"&amp;$C$4),Analysis!Q75,INDIRECT("'Output 1-CARBONARA'!$m$4:$m$"&amp;$C$4))
+SUMIF(INDIRECT("'Output 2-CACCIA'!$H$4:$H$"&amp;$C$5),Analysis!Q75,INDIRECT("'Output 2-CACCIA'!$m$4:$m$"&amp;$C$5))
+SUMIF(INDIRECT("'Output 3-ASINARA'!$H$4:$H$"&amp;$C$6),Analysis!Q75,INDIRECT("'Output 3-ASINARA'!$m$4:$m$"&amp;$C$6))
+SUMIF(INDIRECT("'Output 4-PELAGIE'!$H$4:$H$"&amp;$C$7),Analysis!Q75,INDIRECT("'Output 4-PELAGIE'!$m$4:$m$"&amp;$C$7))
+SUMIF(INDIRECT("'Output 5-EGADI'!$H$4:$H$"&amp;$C$8),Analysis!Q75,INDIRECT("'Output 5-EGADI'!$m$4:$m$"&amp;$C$8))
+SUMIF(INDIRECT("'Output 6-TG'!$H$4:$H$"&amp;$C$9),Analysis!Q75,INDIRECT("'Output 6-TG'!$m$4:$m$"&amp;$C$9))
+SUMIF(INDIRECT("'Output 7-PNAT'!$H$4:$H$"&amp;$C$10),Analysis!Q75,INDIRECT("'Output 7-PNAT'!$m$4:$m$"&amp;$C$10))
+SUMIF(INDIRECT("'Output 8-AEO'!$H$4:$H$"&amp;$C$11),Analysis!Q75,INDIRECT("'Output 8-AEO'!$m$4:$m$"&amp;$C$11))
+SUMIF(INDIRECT("'Output 9-EGADI2'!$H$4:$H$"&amp;$C$12),Analysis!Q75,INDIRECT("'Output 9-EGADI2'!$m$4:$m$"&amp;$C$12))
+SUMIF(INDIRECT("'Output 10-TUNIS'!$H$4:$H$"&amp;$C$13),Analysis!Q75,INDIRECT("'Output 10-TUNIS'!$m$4:$m$"&amp;$C$13))</f>
        <v>0</v>
      </c>
      <c r="S75" s="5">
        <f ca="1">SUMIF(INDIRECT("'Output 1-CARBONARA'!$H$4:$H$"&amp;$C$4),Analysis!Q75,INDIRECT("'Output 1-CARBONARA'!$q$4:$q$"&amp;$C$4))
+SUMIF(INDIRECT("'Output 2-CACCIA'!$H$4:$H$"&amp;$C$5),Analysis!Q75,INDIRECT("'Output 2-CACCIA'!$q$4:$q$"&amp;$C$5))
+SUMIF(INDIRECT("'Output 3-ASINARA'!$H$4:$H$"&amp;$C$6),Analysis!Q75,INDIRECT("'Output 3-ASINARA'!$q$4:$q$"&amp;$C$6))
+SUMIF(INDIRECT("'Output 4-PELAGIE'!$H$4:$H$"&amp;$C$7),Analysis!Q75,INDIRECT("'Output 4-PELAGIE'!$q$4:$q$"&amp;$C$7))
+SUMIF(INDIRECT("'Output 5-EGADI'!$H$4:$H$"&amp;$C$8),Analysis!Q75,INDIRECT("'Output 5-EGADI'!$q$4:$q$"&amp;$C$8))
+SUMIF(INDIRECT("'Output 6-TG'!$H$4:$H$"&amp;$C$9),Analysis!Q75,INDIRECT("'Output 6-TG'!$q$4:$q$"&amp;$C$9))
+SUMIF(INDIRECT("'Output 7-PNAT'!$H$4:$H$"&amp;$C$10),Analysis!Q75,INDIRECT("'Output 7-PNAT'!$q$4:$q$"&amp;$C$10))
+SUMIF(INDIRECT("'Output 8-AEO'!$H$4:$H$"&amp;$C$11),Analysis!Q75,INDIRECT("'Output 8-AEO'!$q$4:$q$"&amp;$C$11))
+SUMIF(INDIRECT("'Output 9-EGADI2'!$H$4:$H$"&amp;$C$12),Analysis!Q75,INDIRECT("'Output 9-EGADI2'!$q$4:$q$"&amp;$C$12))
+SUMIF(INDIRECT("'Output 10-TUNIS'!$H$4:$H$"&amp;$C$13),Analysis!Q75,INDIRECT("'Output 10-TUNIS'!$q$4:$q$"&amp;$C$13))</f>
        <v>0</v>
      </c>
      <c r="T75" s="5">
        <f ca="1">SUMIF(INDIRECT("'Output 1-CARBONARA'!$H$4:$H$"&amp;$C$4),Analysis!Q75,INDIRECT("'Output 1-CARBONARA'!$U$4:$U$"&amp;$C$4))
+SUMIF(INDIRECT("'Output 2-CACCIA'!$H$4:$H$"&amp;$C$5),Analysis!Q75,INDIRECT("'Output 2-CACCIA'!$U$4:$U$"&amp;$C$5))
+SUMIF(INDIRECT("'Output 3-ASINARA'!$H$4:$H$"&amp;$C$6),Analysis!Q75,INDIRECT("'Output 3-ASINARA'!$U$4:$U$"&amp;$C$6))
+SUMIF(INDIRECT("'Output 4-PELAGIE'!$H$4:$H$"&amp;$C$7),Analysis!Q75,INDIRECT("'Output 4-PELAGIE'!$U$4:$U$"&amp;$C$7))
+SUMIF(INDIRECT("'Output 5-EGADI'!$H$4:$H$"&amp;$C$8),Analysis!Q75,INDIRECT("'Output 5-EGADI'!$U$4:$U$"&amp;$C$8))
+SUMIF(INDIRECT("'Output 6-TG'!$H$4:$H$"&amp;$C$9),Analysis!Q75,INDIRECT("'Output 6-TG'!$U$4:$U$"&amp;$C$9))
+SUMIF(INDIRECT("'Output 7-PNAT'!$H$4:$H$"&amp;$C$10),Analysis!Q75,INDIRECT("'Output 7-PNAT'!$U$4:$U$"&amp;$C$10))
+SUMIF(INDIRECT("'Output 8-AEO'!$H$4:$H$"&amp;$C$11),Analysis!Q75,INDIRECT("'Output 8-AEO'!$U$4:$U$"&amp;$C$11))
+SUMIF(INDIRECT("'Output 9-EGADI2'!$H$4:$H$"&amp;$C$12),Analysis!Q75,INDIRECT("'Output 9-EGADI2'!$U$4:$U$"&amp;$C$12))
+SUMIF(INDIRECT("'Output 10-TUNIS'!$H$4:$H$"&amp;$C$13),Analysis!Q75,INDIRECT("'Output 10-TUNIS'!$U$4:$U$"&amp;$C$13))</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8">
        <f t="shared" ca="1" si="15"/>
        <v>0</v>
      </c>
      <c r="AA75" s="38">
        <f t="shared" si="16"/>
        <v>0</v>
      </c>
      <c r="AB75" s="54">
        <f t="shared" ca="1" si="17"/>
        <v>0</v>
      </c>
      <c r="AC75" s="64">
        <f ca="1">SUMIF(INDIRECT("'Output 1-CARBONARA'!$H$5:$H$"&amp;$C$4),Analysis!$Q75,INDIRECT("'Output 1-CARBONARA'!$F$5:$F$"&amp;$C$4))
+SUMIF(INDIRECT("'Output 2-CACCIA'!$H$5:$H$"&amp;$C$5),Analysis!$Q75,INDIRECT("'Output 2-CACCIA'!$F$5:$F$"&amp;$C$5))
+SUMIF(INDIRECT("'Output 3-ASINARA'!$H$5:$H$"&amp;$C$6),Analysis!$Q75,INDIRECT("'Output 3-ASINARA'!$F$5:$F$"&amp;$C$6))
+SUMIF(INDIRECT("'Output 4-PELAGIE'!$H$5:$H$"&amp;$C$7),Analysis!$Q75,INDIRECT("'Output 4-PELAGIE'!$F$5:$F$"&amp;$C$7))
+SUMIF(INDIRECT("'Output 5-EGADI'!$H$5:$H$"&amp;$C$8),Analysis!$Q75,INDIRECT("'Output 5-EGADI'!$F$5:$F$"&amp;$C$8))
+SUMIF(INDIRECT("'Output 6-TG'!$H$5:$H$"&amp;$C$9),Analysis!$Q75,INDIRECT("'Output 6-TG'!$F$5:$F$"&amp;$C$9))
+SUMIF(INDIRECT("'Output 7-PNAT'!$H$5:$H$"&amp;$C$10),Analysis!$Q75,INDIRECT("'Output 7-PNAT'!$F$5:$F$"&amp;$C$10))
+SUMIF(INDIRECT("'Output 8-AEO'!$H$5:$H$"&amp;$C$11),Analysis!$Q75,INDIRECT("'Output 8-AEO'!$F$5:$F$"&amp;$C$11))
+SUMIF(INDIRECT("'Output 9-EGADI2'!$H$5:$H$"&amp;$C$12),Analysis!$Q75,INDIRECT("'Output 9-EGADI2'!$F$5:$F$"&amp;$C$12))
+SUMIF(INDIRECT("'Output 10-TUNIS'!$H$5:$H$"&amp;$C$13),Analysis!$Q75,INDIRECT("'Output 10-TUNIS'!$F$5:$F$"&amp;$C$13))</f>
        <v>0</v>
      </c>
    </row>
    <row r="76" spans="17:29">
      <c r="Q76" s="31">
        <v>6.1</v>
      </c>
      <c r="R76" s="5">
        <f ca="1">SUMIF(INDIRECT("'Output 1-CARBONARA'!$H$4:$H$"&amp;$C$4),Analysis!Q76,INDIRECT("'Output 1-CARBONARA'!$m$4:$m$"&amp;$C$4))
+SUMIF(INDIRECT("'Output 2-CACCIA'!$H$4:$H$"&amp;$C$5),Analysis!Q76,INDIRECT("'Output 2-CACCIA'!$m$4:$m$"&amp;$C$5))
+SUMIF(INDIRECT("'Output 3-ASINARA'!$H$4:$H$"&amp;$C$6),Analysis!Q76,INDIRECT("'Output 3-ASINARA'!$m$4:$m$"&amp;$C$6))
+SUMIF(INDIRECT("'Output 4-PELAGIE'!$H$4:$H$"&amp;$C$7),Analysis!Q76,INDIRECT("'Output 4-PELAGIE'!$m$4:$m$"&amp;$C$7))
+SUMIF(INDIRECT("'Output 5-EGADI'!$H$4:$H$"&amp;$C$8),Analysis!Q76,INDIRECT("'Output 5-EGADI'!$m$4:$m$"&amp;$C$8))
+SUMIF(INDIRECT("'Output 6-TG'!$H$4:$H$"&amp;$C$9),Analysis!Q76,INDIRECT("'Output 6-TG'!$m$4:$m$"&amp;$C$9))
+SUMIF(INDIRECT("'Output 7-PNAT'!$H$4:$H$"&amp;$C$10),Analysis!Q76,INDIRECT("'Output 7-PNAT'!$m$4:$m$"&amp;$C$10))
+SUMIF(INDIRECT("'Output 8-AEO'!$H$4:$H$"&amp;$C$11),Analysis!Q76,INDIRECT("'Output 8-AEO'!$m$4:$m$"&amp;$C$11))
+SUMIF(INDIRECT("'Output 9-EGADI2'!$H$4:$H$"&amp;$C$12),Analysis!Q76,INDIRECT("'Output 9-EGADI2'!$m$4:$m$"&amp;$C$12))
+SUMIF(INDIRECT("'Output 10-TUNIS'!$H$4:$H$"&amp;$C$13),Analysis!Q76,INDIRECT("'Output 10-TUNIS'!$m$4:$m$"&amp;$C$13))</f>
        <v>0</v>
      </c>
      <c r="S76" s="5">
        <f ca="1">SUMIF(INDIRECT("'Output 1-CARBONARA'!$H$4:$H$"&amp;$C$4),Analysis!Q76,INDIRECT("'Output 1-CARBONARA'!$q$4:$q$"&amp;$C$4))
+SUMIF(INDIRECT("'Output 2-CACCIA'!$H$4:$H$"&amp;$C$5),Analysis!Q76,INDIRECT("'Output 2-CACCIA'!$q$4:$q$"&amp;$C$5))
+SUMIF(INDIRECT("'Output 3-ASINARA'!$H$4:$H$"&amp;$C$6),Analysis!Q76,INDIRECT("'Output 3-ASINARA'!$q$4:$q$"&amp;$C$6))
+SUMIF(INDIRECT("'Output 4-PELAGIE'!$H$4:$H$"&amp;$C$7),Analysis!Q76,INDIRECT("'Output 4-PELAGIE'!$q$4:$q$"&amp;$C$7))
+SUMIF(INDIRECT("'Output 5-EGADI'!$H$4:$H$"&amp;$C$8),Analysis!Q76,INDIRECT("'Output 5-EGADI'!$q$4:$q$"&amp;$C$8))
+SUMIF(INDIRECT("'Output 6-TG'!$H$4:$H$"&amp;$C$9),Analysis!Q76,INDIRECT("'Output 6-TG'!$q$4:$q$"&amp;$C$9))
+SUMIF(INDIRECT("'Output 7-PNAT'!$H$4:$H$"&amp;$C$10),Analysis!Q76,INDIRECT("'Output 7-PNAT'!$q$4:$q$"&amp;$C$10))
+SUMIF(INDIRECT("'Output 8-AEO'!$H$4:$H$"&amp;$C$11),Analysis!Q76,INDIRECT("'Output 8-AEO'!$q$4:$q$"&amp;$C$11))
+SUMIF(INDIRECT("'Output 9-EGADI2'!$H$4:$H$"&amp;$C$12),Analysis!Q76,INDIRECT("'Output 9-EGADI2'!$q$4:$q$"&amp;$C$12))
+SUMIF(INDIRECT("'Output 10-TUNIS'!$H$4:$H$"&amp;$C$13),Analysis!Q76,INDIRECT("'Output 10-TUNIS'!$q$4:$q$"&amp;$C$13))</f>
        <v>0</v>
      </c>
      <c r="T76" s="5">
        <f ca="1">SUMIF(INDIRECT("'Output 1-CARBONARA'!$H$4:$H$"&amp;$C$4),Analysis!Q76,INDIRECT("'Output 1-CARBONARA'!$U$4:$U$"&amp;$C$4))
+SUMIF(INDIRECT("'Output 2-CACCIA'!$H$4:$H$"&amp;$C$5),Analysis!Q76,INDIRECT("'Output 2-CACCIA'!$U$4:$U$"&amp;$C$5))
+SUMIF(INDIRECT("'Output 3-ASINARA'!$H$4:$H$"&amp;$C$6),Analysis!Q76,INDIRECT("'Output 3-ASINARA'!$U$4:$U$"&amp;$C$6))
+SUMIF(INDIRECT("'Output 4-PELAGIE'!$H$4:$H$"&amp;$C$7),Analysis!Q76,INDIRECT("'Output 4-PELAGIE'!$U$4:$U$"&amp;$C$7))
+SUMIF(INDIRECT("'Output 5-EGADI'!$H$4:$H$"&amp;$C$8),Analysis!Q76,INDIRECT("'Output 5-EGADI'!$U$4:$U$"&amp;$C$8))
+SUMIF(INDIRECT("'Output 6-TG'!$H$4:$H$"&amp;$C$9),Analysis!Q76,INDIRECT("'Output 6-TG'!$U$4:$U$"&amp;$C$9))
+SUMIF(INDIRECT("'Output 7-PNAT'!$H$4:$H$"&amp;$C$10),Analysis!Q76,INDIRECT("'Output 7-PNAT'!$U$4:$U$"&amp;$C$10))
+SUMIF(INDIRECT("'Output 8-AEO'!$H$4:$H$"&amp;$C$11),Analysis!Q76,INDIRECT("'Output 8-AEO'!$U$4:$U$"&amp;$C$11))
+SUMIF(INDIRECT("'Output 9-EGADI2'!$H$4:$H$"&amp;$C$12),Analysis!Q76,INDIRECT("'Output 9-EGADI2'!$U$4:$U$"&amp;$C$12))
+SUMIF(INDIRECT("'Output 10-TUNIS'!$H$4:$H$"&amp;$C$13),Analysis!Q76,INDIRECT("'Output 10-TUNIS'!$U$4:$U$"&amp;$C$13))</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8">
        <f t="shared" ca="1" si="12"/>
        <v>0</v>
      </c>
      <c r="AA76" s="38">
        <f t="shared" si="13"/>
        <v>0</v>
      </c>
      <c r="AB76" s="54">
        <f t="shared" ca="1" si="14"/>
        <v>0</v>
      </c>
      <c r="AC76" s="64">
        <f ca="1">SUMIF(INDIRECT("'Output 1-CARBONARA'!$H$5:$H$"&amp;$C$4),Analysis!$Q76,INDIRECT("'Output 1-CARBONARA'!$F$5:$F$"&amp;$C$4))
+SUMIF(INDIRECT("'Output 2-CACCIA'!$H$5:$H$"&amp;$C$5),Analysis!$Q76,INDIRECT("'Output 2-CACCIA'!$F$5:$F$"&amp;$C$5))
+SUMIF(INDIRECT("'Output 3-ASINARA'!$H$5:$H$"&amp;$C$6),Analysis!$Q76,INDIRECT("'Output 3-ASINARA'!$F$5:$F$"&amp;$C$6))
+SUMIF(INDIRECT("'Output 4-PELAGIE'!$H$5:$H$"&amp;$C$7),Analysis!$Q76,INDIRECT("'Output 4-PELAGIE'!$F$5:$F$"&amp;$C$7))
+SUMIF(INDIRECT("'Output 5-EGADI'!$H$5:$H$"&amp;$C$8),Analysis!$Q76,INDIRECT("'Output 5-EGADI'!$F$5:$F$"&amp;$C$8))
+SUMIF(INDIRECT("'Output 6-TG'!$H$5:$H$"&amp;$C$9),Analysis!$Q76,INDIRECT("'Output 6-TG'!$F$5:$F$"&amp;$C$9))
+SUMIF(INDIRECT("'Output 7-PNAT'!$H$5:$H$"&amp;$C$10),Analysis!$Q76,INDIRECT("'Output 7-PNAT'!$F$5:$F$"&amp;$C$10))
+SUMIF(INDIRECT("'Output 8-AEO'!$H$5:$H$"&amp;$C$11),Analysis!$Q76,INDIRECT("'Output 8-AEO'!$F$5:$F$"&amp;$C$11))
+SUMIF(INDIRECT("'Output 9-EGADI2'!$H$5:$H$"&amp;$C$12),Analysis!$Q76,INDIRECT("'Output 9-EGADI2'!$F$5:$F$"&amp;$C$12))
+SUMIF(INDIRECT("'Output 10-TUNIS'!$H$5:$H$"&amp;$C$13),Analysis!$Q76,INDIRECT("'Output 10-TUNIS'!$F$5:$F$"&amp;$C$13))</f>
        <v>0</v>
      </c>
    </row>
    <row r="77" spans="17:29">
      <c r="Q77" s="31" t="s">
        <v>742</v>
      </c>
      <c r="R77" s="5">
        <f ca="1">SUMIF(INDIRECT("'Output 1-CARBONARA'!$H$4:$H$"&amp;$C$4),Analysis!Q77,INDIRECT("'Output 1-CARBONARA'!$m$4:$m$"&amp;$C$4))
+SUMIF(INDIRECT("'Output 2-CACCIA'!$H$4:$H$"&amp;$C$5),Analysis!Q77,INDIRECT("'Output 2-CACCIA'!$m$4:$m$"&amp;$C$5))
+SUMIF(INDIRECT("'Output 3-ASINARA'!$H$4:$H$"&amp;$C$6),Analysis!Q77,INDIRECT("'Output 3-ASINARA'!$m$4:$m$"&amp;$C$6))
+SUMIF(INDIRECT("'Output 4-PELAGIE'!$H$4:$H$"&amp;$C$7),Analysis!Q77,INDIRECT("'Output 4-PELAGIE'!$m$4:$m$"&amp;$C$7))
+SUMIF(INDIRECT("'Output 5-EGADI'!$H$4:$H$"&amp;$C$8),Analysis!Q77,INDIRECT("'Output 5-EGADI'!$m$4:$m$"&amp;$C$8))
+SUMIF(INDIRECT("'Output 6-TG'!$H$4:$H$"&amp;$C$9),Analysis!Q77,INDIRECT("'Output 6-TG'!$m$4:$m$"&amp;$C$9))
+SUMIF(INDIRECT("'Output 7-PNAT'!$H$4:$H$"&amp;$C$10),Analysis!Q77,INDIRECT("'Output 7-PNAT'!$m$4:$m$"&amp;$C$10))
+SUMIF(INDIRECT("'Output 8-AEO'!$H$4:$H$"&amp;$C$11),Analysis!Q77,INDIRECT("'Output 8-AEO'!$m$4:$m$"&amp;$C$11))
+SUMIF(INDIRECT("'Output 9-EGADI2'!$H$4:$H$"&amp;$C$12),Analysis!Q77,INDIRECT("'Output 9-EGADI2'!$m$4:$m$"&amp;$C$12))
+SUMIF(INDIRECT("'Output 10-TUNIS'!$H$4:$H$"&amp;$C$13),Analysis!Q77,INDIRECT("'Output 10-TUNIS'!$m$4:$m$"&amp;$C$13))</f>
        <v>0</v>
      </c>
      <c r="S77" s="5">
        <f ca="1">SUMIF(INDIRECT("'Output 1-CARBONARA'!$H$4:$H$"&amp;$C$4),Analysis!Q77,INDIRECT("'Output 1-CARBONARA'!$q$4:$q$"&amp;$C$4))
+SUMIF(INDIRECT("'Output 2-CACCIA'!$H$4:$H$"&amp;$C$5),Analysis!Q77,INDIRECT("'Output 2-CACCIA'!$q$4:$q$"&amp;$C$5))
+SUMIF(INDIRECT("'Output 3-ASINARA'!$H$4:$H$"&amp;$C$6),Analysis!Q77,INDIRECT("'Output 3-ASINARA'!$q$4:$q$"&amp;$C$6))
+SUMIF(INDIRECT("'Output 4-PELAGIE'!$H$4:$H$"&amp;$C$7),Analysis!Q77,INDIRECT("'Output 4-PELAGIE'!$q$4:$q$"&amp;$C$7))
+SUMIF(INDIRECT("'Output 5-EGADI'!$H$4:$H$"&amp;$C$8),Analysis!Q77,INDIRECT("'Output 5-EGADI'!$q$4:$q$"&amp;$C$8))
+SUMIF(INDIRECT("'Output 6-TG'!$H$4:$H$"&amp;$C$9),Analysis!Q77,INDIRECT("'Output 6-TG'!$q$4:$q$"&amp;$C$9))
+SUMIF(INDIRECT("'Output 7-PNAT'!$H$4:$H$"&amp;$C$10),Analysis!Q77,INDIRECT("'Output 7-PNAT'!$q$4:$q$"&amp;$C$10))
+SUMIF(INDIRECT("'Output 8-AEO'!$H$4:$H$"&amp;$C$11),Analysis!Q77,INDIRECT("'Output 8-AEO'!$q$4:$q$"&amp;$C$11))
+SUMIF(INDIRECT("'Output 9-EGADI2'!$H$4:$H$"&amp;$C$12),Analysis!Q77,INDIRECT("'Output 9-EGADI2'!$q$4:$q$"&amp;$C$12))
+SUMIF(INDIRECT("'Output 10-TUNIS'!$H$4:$H$"&amp;$C$13),Analysis!Q77,INDIRECT("'Output 10-TUNIS'!$q$4:$q$"&amp;$C$13))</f>
        <v>0</v>
      </c>
      <c r="T77" s="5">
        <f ca="1">SUMIF(INDIRECT("'Output 1-CARBONARA'!$H$4:$H$"&amp;$C$4),Analysis!Q77,INDIRECT("'Output 1-CARBONARA'!$U$4:$U$"&amp;$C$4))
+SUMIF(INDIRECT("'Output 2-CACCIA'!$H$4:$H$"&amp;$C$5),Analysis!Q77,INDIRECT("'Output 2-CACCIA'!$U$4:$U$"&amp;$C$5))
+SUMIF(INDIRECT("'Output 3-ASINARA'!$H$4:$H$"&amp;$C$6),Analysis!Q77,INDIRECT("'Output 3-ASINARA'!$U$4:$U$"&amp;$C$6))
+SUMIF(INDIRECT("'Output 4-PELAGIE'!$H$4:$H$"&amp;$C$7),Analysis!Q77,INDIRECT("'Output 4-PELAGIE'!$U$4:$U$"&amp;$C$7))
+SUMIF(INDIRECT("'Output 5-EGADI'!$H$4:$H$"&amp;$C$8),Analysis!Q77,INDIRECT("'Output 5-EGADI'!$U$4:$U$"&amp;$C$8))
+SUMIF(INDIRECT("'Output 6-TG'!$H$4:$H$"&amp;$C$9),Analysis!Q77,INDIRECT("'Output 6-TG'!$U$4:$U$"&amp;$C$9))
+SUMIF(INDIRECT("'Output 7-PNAT'!$H$4:$H$"&amp;$C$10),Analysis!Q77,INDIRECT("'Output 7-PNAT'!$U$4:$U$"&amp;$C$10))
+SUMIF(INDIRECT("'Output 8-AEO'!$H$4:$H$"&amp;$C$11),Analysis!Q77,INDIRECT("'Output 8-AEO'!$U$4:$U$"&amp;$C$11))
+SUMIF(INDIRECT("'Output 9-EGADI2'!$H$4:$H$"&amp;$C$12),Analysis!Q77,INDIRECT("'Output 9-EGADI2'!$U$4:$U$"&amp;$C$12))
+SUMIF(INDIRECT("'Output 10-TUNIS'!$H$4:$H$"&amp;$C$13),Analysis!Q77,INDIRECT("'Output 10-TUNIS'!$U$4:$U$"&amp;$C$13))</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8">
        <f t="shared" ca="1" si="12"/>
        <v>0</v>
      </c>
      <c r="AA77" s="38">
        <f t="shared" si="13"/>
        <v>0</v>
      </c>
      <c r="AB77" s="54">
        <f t="shared" ca="1" si="14"/>
        <v>0</v>
      </c>
      <c r="AC77" s="64">
        <f ca="1">SUMIF(INDIRECT("'Output 1-CARBONARA'!$H$5:$H$"&amp;$C$4),Analysis!$Q77,INDIRECT("'Output 1-CARBONARA'!$F$5:$F$"&amp;$C$4))
+SUMIF(INDIRECT("'Output 2-CACCIA'!$H$5:$H$"&amp;$C$5),Analysis!$Q77,INDIRECT("'Output 2-CACCIA'!$F$5:$F$"&amp;$C$5))
+SUMIF(INDIRECT("'Output 3-ASINARA'!$H$5:$H$"&amp;$C$6),Analysis!$Q77,INDIRECT("'Output 3-ASINARA'!$F$5:$F$"&amp;$C$6))
+SUMIF(INDIRECT("'Output 4-PELAGIE'!$H$5:$H$"&amp;$C$7),Analysis!$Q77,INDIRECT("'Output 4-PELAGIE'!$F$5:$F$"&amp;$C$7))
+SUMIF(INDIRECT("'Output 5-EGADI'!$H$5:$H$"&amp;$C$8),Analysis!$Q77,INDIRECT("'Output 5-EGADI'!$F$5:$F$"&amp;$C$8))
+SUMIF(INDIRECT("'Output 6-TG'!$H$5:$H$"&amp;$C$9),Analysis!$Q77,INDIRECT("'Output 6-TG'!$F$5:$F$"&amp;$C$9))
+SUMIF(INDIRECT("'Output 7-PNAT'!$H$5:$H$"&amp;$C$10),Analysis!$Q77,INDIRECT("'Output 7-PNAT'!$F$5:$F$"&amp;$C$10))
+SUMIF(INDIRECT("'Output 8-AEO'!$H$5:$H$"&amp;$C$11),Analysis!$Q77,INDIRECT("'Output 8-AEO'!$F$5:$F$"&amp;$C$11))
+SUMIF(INDIRECT("'Output 9-EGADI2'!$H$5:$H$"&amp;$C$12),Analysis!$Q77,INDIRECT("'Output 9-EGADI2'!$F$5:$F$"&amp;$C$12))
+SUMIF(INDIRECT("'Output 10-TUNIS'!$H$5:$H$"&amp;$C$13),Analysis!$Q77,INDIRECT("'Output 10-TUNIS'!$F$5:$F$"&amp;$C$13))</f>
        <v>0</v>
      </c>
    </row>
    <row r="78" spans="17:29">
      <c r="Q78" s="31" t="s">
        <v>743</v>
      </c>
      <c r="R78" s="5">
        <f ca="1">SUMIF(INDIRECT("'Output 1-CARBONARA'!$H$4:$H$"&amp;$C$4),Analysis!Q78,INDIRECT("'Output 1-CARBONARA'!$m$4:$m$"&amp;$C$4))
+SUMIF(INDIRECT("'Output 2-CACCIA'!$H$4:$H$"&amp;$C$5),Analysis!Q78,INDIRECT("'Output 2-CACCIA'!$m$4:$m$"&amp;$C$5))
+SUMIF(INDIRECT("'Output 3-ASINARA'!$H$4:$H$"&amp;$C$6),Analysis!Q78,INDIRECT("'Output 3-ASINARA'!$m$4:$m$"&amp;$C$6))
+SUMIF(INDIRECT("'Output 4-PELAGIE'!$H$4:$H$"&amp;$C$7),Analysis!Q78,INDIRECT("'Output 4-PELAGIE'!$m$4:$m$"&amp;$C$7))
+SUMIF(INDIRECT("'Output 5-EGADI'!$H$4:$H$"&amp;$C$8),Analysis!Q78,INDIRECT("'Output 5-EGADI'!$m$4:$m$"&amp;$C$8))
+SUMIF(INDIRECT("'Output 6-TG'!$H$4:$H$"&amp;$C$9),Analysis!Q78,INDIRECT("'Output 6-TG'!$m$4:$m$"&amp;$C$9))
+SUMIF(INDIRECT("'Output 7-PNAT'!$H$4:$H$"&amp;$C$10),Analysis!Q78,INDIRECT("'Output 7-PNAT'!$m$4:$m$"&amp;$C$10))
+SUMIF(INDIRECT("'Output 8-AEO'!$H$4:$H$"&amp;$C$11),Analysis!Q78,INDIRECT("'Output 8-AEO'!$m$4:$m$"&amp;$C$11))
+SUMIF(INDIRECT("'Output 9-EGADI2'!$H$4:$H$"&amp;$C$12),Analysis!Q78,INDIRECT("'Output 9-EGADI2'!$m$4:$m$"&amp;$C$12))
+SUMIF(INDIRECT("'Output 10-TUNIS'!$H$4:$H$"&amp;$C$13),Analysis!Q78,INDIRECT("'Output 10-TUNIS'!$m$4:$m$"&amp;$C$13))</f>
        <v>0</v>
      </c>
      <c r="S78" s="5">
        <f ca="1">SUMIF(INDIRECT("'Output 1-CARBONARA'!$H$4:$H$"&amp;$C$4),Analysis!Q78,INDIRECT("'Output 1-CARBONARA'!$q$4:$q$"&amp;$C$4))
+SUMIF(INDIRECT("'Output 2-CACCIA'!$H$4:$H$"&amp;$C$5),Analysis!Q78,INDIRECT("'Output 2-CACCIA'!$q$4:$q$"&amp;$C$5))
+SUMIF(INDIRECT("'Output 3-ASINARA'!$H$4:$H$"&amp;$C$6),Analysis!Q78,INDIRECT("'Output 3-ASINARA'!$q$4:$q$"&amp;$C$6))
+SUMIF(INDIRECT("'Output 4-PELAGIE'!$H$4:$H$"&amp;$C$7),Analysis!Q78,INDIRECT("'Output 4-PELAGIE'!$q$4:$q$"&amp;$C$7))
+SUMIF(INDIRECT("'Output 5-EGADI'!$H$4:$H$"&amp;$C$8),Analysis!Q78,INDIRECT("'Output 5-EGADI'!$q$4:$q$"&amp;$C$8))
+SUMIF(INDIRECT("'Output 6-TG'!$H$4:$H$"&amp;$C$9),Analysis!Q78,INDIRECT("'Output 6-TG'!$q$4:$q$"&amp;$C$9))
+SUMIF(INDIRECT("'Output 7-PNAT'!$H$4:$H$"&amp;$C$10),Analysis!Q78,INDIRECT("'Output 7-PNAT'!$q$4:$q$"&amp;$C$10))
+SUMIF(INDIRECT("'Output 8-AEO'!$H$4:$H$"&amp;$C$11),Analysis!Q78,INDIRECT("'Output 8-AEO'!$q$4:$q$"&amp;$C$11))
+SUMIF(INDIRECT("'Output 9-EGADI2'!$H$4:$H$"&amp;$C$12),Analysis!Q78,INDIRECT("'Output 9-EGADI2'!$q$4:$q$"&amp;$C$12))
+SUMIF(INDIRECT("'Output 10-TUNIS'!$H$4:$H$"&amp;$C$13),Analysis!Q78,INDIRECT("'Output 10-TUNIS'!$q$4:$q$"&amp;$C$13))</f>
        <v>0</v>
      </c>
      <c r="T78" s="5">
        <f ca="1">SUMIF(INDIRECT("'Output 1-CARBONARA'!$H$4:$H$"&amp;$C$4),Analysis!Q78,INDIRECT("'Output 1-CARBONARA'!$U$4:$U$"&amp;$C$4))
+SUMIF(INDIRECT("'Output 2-CACCIA'!$H$4:$H$"&amp;$C$5),Analysis!Q78,INDIRECT("'Output 2-CACCIA'!$U$4:$U$"&amp;$C$5))
+SUMIF(INDIRECT("'Output 3-ASINARA'!$H$4:$H$"&amp;$C$6),Analysis!Q78,INDIRECT("'Output 3-ASINARA'!$U$4:$U$"&amp;$C$6))
+SUMIF(INDIRECT("'Output 4-PELAGIE'!$H$4:$H$"&amp;$C$7),Analysis!Q78,INDIRECT("'Output 4-PELAGIE'!$U$4:$U$"&amp;$C$7))
+SUMIF(INDIRECT("'Output 5-EGADI'!$H$4:$H$"&amp;$C$8),Analysis!Q78,INDIRECT("'Output 5-EGADI'!$U$4:$U$"&amp;$C$8))
+SUMIF(INDIRECT("'Output 6-TG'!$H$4:$H$"&amp;$C$9),Analysis!Q78,INDIRECT("'Output 6-TG'!$U$4:$U$"&amp;$C$9))
+SUMIF(INDIRECT("'Output 7-PNAT'!$H$4:$H$"&amp;$C$10),Analysis!Q78,INDIRECT("'Output 7-PNAT'!$U$4:$U$"&amp;$C$10))
+SUMIF(INDIRECT("'Output 8-AEO'!$H$4:$H$"&amp;$C$11),Analysis!Q78,INDIRECT("'Output 8-AEO'!$U$4:$U$"&amp;$C$11))
+SUMIF(INDIRECT("'Output 9-EGADI2'!$H$4:$H$"&amp;$C$12),Analysis!Q78,INDIRECT("'Output 9-EGADI2'!$U$4:$U$"&amp;$C$12))
+SUMIF(INDIRECT("'Output 10-TUNIS'!$H$4:$H$"&amp;$C$13),Analysis!Q78,INDIRECT("'Output 10-TUNIS'!$U$4:$U$"&amp;$C$13))</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8">
        <f t="shared" ca="1" si="12"/>
        <v>0</v>
      </c>
      <c r="AA78" s="38">
        <f t="shared" si="13"/>
        <v>0</v>
      </c>
      <c r="AB78" s="54">
        <f t="shared" ca="1" si="14"/>
        <v>0</v>
      </c>
      <c r="AC78" s="64">
        <f ca="1">SUMIF(INDIRECT("'Output 1-CARBONARA'!$H$5:$H$"&amp;$C$4),Analysis!$Q78,INDIRECT("'Output 1-CARBONARA'!$F$5:$F$"&amp;$C$4))
+SUMIF(INDIRECT("'Output 2-CACCIA'!$H$5:$H$"&amp;$C$5),Analysis!$Q78,INDIRECT("'Output 2-CACCIA'!$F$5:$F$"&amp;$C$5))
+SUMIF(INDIRECT("'Output 3-ASINARA'!$H$5:$H$"&amp;$C$6),Analysis!$Q78,INDIRECT("'Output 3-ASINARA'!$F$5:$F$"&amp;$C$6))
+SUMIF(INDIRECT("'Output 4-PELAGIE'!$H$5:$H$"&amp;$C$7),Analysis!$Q78,INDIRECT("'Output 4-PELAGIE'!$F$5:$F$"&amp;$C$7))
+SUMIF(INDIRECT("'Output 5-EGADI'!$H$5:$H$"&amp;$C$8),Analysis!$Q78,INDIRECT("'Output 5-EGADI'!$F$5:$F$"&amp;$C$8))
+SUMIF(INDIRECT("'Output 6-TG'!$H$5:$H$"&amp;$C$9),Analysis!$Q78,INDIRECT("'Output 6-TG'!$F$5:$F$"&amp;$C$9))
+SUMIF(INDIRECT("'Output 7-PNAT'!$H$5:$H$"&amp;$C$10),Analysis!$Q78,INDIRECT("'Output 7-PNAT'!$F$5:$F$"&amp;$C$10))
+SUMIF(INDIRECT("'Output 8-AEO'!$H$5:$H$"&amp;$C$11),Analysis!$Q78,INDIRECT("'Output 8-AEO'!$F$5:$F$"&amp;$C$11))
+SUMIF(INDIRECT("'Output 9-EGADI2'!$H$5:$H$"&amp;$C$12),Analysis!$Q78,INDIRECT("'Output 9-EGADI2'!$F$5:$F$"&amp;$C$12))
+SUMIF(INDIRECT("'Output 10-TUNIS'!$H$5:$H$"&amp;$C$13),Analysis!$Q78,INDIRECT("'Output 10-TUNIS'!$F$5:$F$"&amp;$C$13))</f>
        <v>0</v>
      </c>
    </row>
    <row r="79" spans="17:29">
      <c r="Q79" s="31" t="s">
        <v>744</v>
      </c>
      <c r="R79" s="5">
        <f ca="1">SUMIF(INDIRECT("'Output 1-CARBONARA'!$H$4:$H$"&amp;$C$4),Analysis!Q79,INDIRECT("'Output 1-CARBONARA'!$m$4:$m$"&amp;$C$4))
+SUMIF(INDIRECT("'Output 2-CACCIA'!$H$4:$H$"&amp;$C$5),Analysis!Q79,INDIRECT("'Output 2-CACCIA'!$m$4:$m$"&amp;$C$5))
+SUMIF(INDIRECT("'Output 3-ASINARA'!$H$4:$H$"&amp;$C$6),Analysis!Q79,INDIRECT("'Output 3-ASINARA'!$m$4:$m$"&amp;$C$6))
+SUMIF(INDIRECT("'Output 4-PELAGIE'!$H$4:$H$"&amp;$C$7),Analysis!Q79,INDIRECT("'Output 4-PELAGIE'!$m$4:$m$"&amp;$C$7))
+SUMIF(INDIRECT("'Output 5-EGADI'!$H$4:$H$"&amp;$C$8),Analysis!Q79,INDIRECT("'Output 5-EGADI'!$m$4:$m$"&amp;$C$8))
+SUMIF(INDIRECT("'Output 6-TG'!$H$4:$H$"&amp;$C$9),Analysis!Q79,INDIRECT("'Output 6-TG'!$m$4:$m$"&amp;$C$9))
+SUMIF(INDIRECT("'Output 7-PNAT'!$H$4:$H$"&amp;$C$10),Analysis!Q79,INDIRECT("'Output 7-PNAT'!$m$4:$m$"&amp;$C$10))
+SUMIF(INDIRECT("'Output 8-AEO'!$H$4:$H$"&amp;$C$11),Analysis!Q79,INDIRECT("'Output 8-AEO'!$m$4:$m$"&amp;$C$11))
+SUMIF(INDIRECT("'Output 9-EGADI2'!$H$4:$H$"&amp;$C$12),Analysis!Q79,INDIRECT("'Output 9-EGADI2'!$m$4:$m$"&amp;$C$12))
+SUMIF(INDIRECT("'Output 10-TUNIS'!$H$4:$H$"&amp;$C$13),Analysis!Q79,INDIRECT("'Output 10-TUNIS'!$m$4:$m$"&amp;$C$13))</f>
        <v>0</v>
      </c>
      <c r="S79" s="5">
        <f ca="1">SUMIF(INDIRECT("'Output 1-CARBONARA'!$H$4:$H$"&amp;$C$4),Analysis!Q79,INDIRECT("'Output 1-CARBONARA'!$q$4:$q$"&amp;$C$4))
+SUMIF(INDIRECT("'Output 2-CACCIA'!$H$4:$H$"&amp;$C$5),Analysis!Q79,INDIRECT("'Output 2-CACCIA'!$q$4:$q$"&amp;$C$5))
+SUMIF(INDIRECT("'Output 3-ASINARA'!$H$4:$H$"&amp;$C$6),Analysis!Q79,INDIRECT("'Output 3-ASINARA'!$q$4:$q$"&amp;$C$6))
+SUMIF(INDIRECT("'Output 4-PELAGIE'!$H$4:$H$"&amp;$C$7),Analysis!Q79,INDIRECT("'Output 4-PELAGIE'!$q$4:$q$"&amp;$C$7))
+SUMIF(INDIRECT("'Output 5-EGADI'!$H$4:$H$"&amp;$C$8),Analysis!Q79,INDIRECT("'Output 5-EGADI'!$q$4:$q$"&amp;$C$8))
+SUMIF(INDIRECT("'Output 6-TG'!$H$4:$H$"&amp;$C$9),Analysis!Q79,INDIRECT("'Output 6-TG'!$q$4:$q$"&amp;$C$9))
+SUMIF(INDIRECT("'Output 7-PNAT'!$H$4:$H$"&amp;$C$10),Analysis!Q79,INDIRECT("'Output 7-PNAT'!$q$4:$q$"&amp;$C$10))
+SUMIF(INDIRECT("'Output 8-AEO'!$H$4:$H$"&amp;$C$11),Analysis!Q79,INDIRECT("'Output 8-AEO'!$q$4:$q$"&amp;$C$11))
+SUMIF(INDIRECT("'Output 9-EGADI2'!$H$4:$H$"&amp;$C$12),Analysis!Q79,INDIRECT("'Output 9-EGADI2'!$q$4:$q$"&amp;$C$12))
+SUMIF(INDIRECT("'Output 10-TUNIS'!$H$4:$H$"&amp;$C$13),Analysis!Q79,INDIRECT("'Output 10-TUNIS'!$q$4:$q$"&amp;$C$13))</f>
        <v>0</v>
      </c>
      <c r="T79" s="5">
        <f ca="1">SUMIF(INDIRECT("'Output 1-CARBONARA'!$H$4:$H$"&amp;$C$4),Analysis!Q79,INDIRECT("'Output 1-CARBONARA'!$U$4:$U$"&amp;$C$4))
+SUMIF(INDIRECT("'Output 2-CACCIA'!$H$4:$H$"&amp;$C$5),Analysis!Q79,INDIRECT("'Output 2-CACCIA'!$U$4:$U$"&amp;$C$5))
+SUMIF(INDIRECT("'Output 3-ASINARA'!$H$4:$H$"&amp;$C$6),Analysis!Q79,INDIRECT("'Output 3-ASINARA'!$U$4:$U$"&amp;$C$6))
+SUMIF(INDIRECT("'Output 4-PELAGIE'!$H$4:$H$"&amp;$C$7),Analysis!Q79,INDIRECT("'Output 4-PELAGIE'!$U$4:$U$"&amp;$C$7))
+SUMIF(INDIRECT("'Output 5-EGADI'!$H$4:$H$"&amp;$C$8),Analysis!Q79,INDIRECT("'Output 5-EGADI'!$U$4:$U$"&amp;$C$8))
+SUMIF(INDIRECT("'Output 6-TG'!$H$4:$H$"&amp;$C$9),Analysis!Q79,INDIRECT("'Output 6-TG'!$U$4:$U$"&amp;$C$9))
+SUMIF(INDIRECT("'Output 7-PNAT'!$H$4:$H$"&amp;$C$10),Analysis!Q79,INDIRECT("'Output 7-PNAT'!$U$4:$U$"&amp;$C$10))
+SUMIF(INDIRECT("'Output 8-AEO'!$H$4:$H$"&amp;$C$11),Analysis!Q79,INDIRECT("'Output 8-AEO'!$U$4:$U$"&amp;$C$11))
+SUMIF(INDIRECT("'Output 9-EGADI2'!$H$4:$H$"&amp;$C$12),Analysis!Q79,INDIRECT("'Output 9-EGADI2'!$U$4:$U$"&amp;$C$12))
+SUMIF(INDIRECT("'Output 10-TUNIS'!$H$4:$H$"&amp;$C$13),Analysis!Q79,INDIRECT("'Output 10-TUNIS'!$U$4:$U$"&amp;$C$13))</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8">
        <f t="shared" ca="1" si="12"/>
        <v>0</v>
      </c>
      <c r="AA79" s="38">
        <f t="shared" si="13"/>
        <v>0</v>
      </c>
      <c r="AB79" s="54">
        <f t="shared" ca="1" si="14"/>
        <v>0</v>
      </c>
      <c r="AC79" s="64">
        <f ca="1">SUMIF(INDIRECT("'Output 1-CARBONARA'!$H$5:$H$"&amp;$C$4),Analysis!$Q79,INDIRECT("'Output 1-CARBONARA'!$F$5:$F$"&amp;$C$4))
+SUMIF(INDIRECT("'Output 2-CACCIA'!$H$5:$H$"&amp;$C$5),Analysis!$Q79,INDIRECT("'Output 2-CACCIA'!$F$5:$F$"&amp;$C$5))
+SUMIF(INDIRECT("'Output 3-ASINARA'!$H$5:$H$"&amp;$C$6),Analysis!$Q79,INDIRECT("'Output 3-ASINARA'!$F$5:$F$"&amp;$C$6))
+SUMIF(INDIRECT("'Output 4-PELAGIE'!$H$5:$H$"&amp;$C$7),Analysis!$Q79,INDIRECT("'Output 4-PELAGIE'!$F$5:$F$"&amp;$C$7))
+SUMIF(INDIRECT("'Output 5-EGADI'!$H$5:$H$"&amp;$C$8),Analysis!$Q79,INDIRECT("'Output 5-EGADI'!$F$5:$F$"&amp;$C$8))
+SUMIF(INDIRECT("'Output 6-TG'!$H$5:$H$"&amp;$C$9),Analysis!$Q79,INDIRECT("'Output 6-TG'!$F$5:$F$"&amp;$C$9))
+SUMIF(INDIRECT("'Output 7-PNAT'!$H$5:$H$"&amp;$C$10),Analysis!$Q79,INDIRECT("'Output 7-PNAT'!$F$5:$F$"&amp;$C$10))
+SUMIF(INDIRECT("'Output 8-AEO'!$H$5:$H$"&amp;$C$11),Analysis!$Q79,INDIRECT("'Output 8-AEO'!$F$5:$F$"&amp;$C$11))
+SUMIF(INDIRECT("'Output 9-EGADI2'!$H$5:$H$"&amp;$C$12),Analysis!$Q79,INDIRECT("'Output 9-EGADI2'!$F$5:$F$"&amp;$C$12))
+SUMIF(INDIRECT("'Output 10-TUNIS'!$H$5:$H$"&amp;$C$13),Analysis!$Q79,INDIRECT("'Output 10-TUNIS'!$F$5:$F$"&amp;$C$13))</f>
        <v>0</v>
      </c>
    </row>
    <row r="80" spans="17:29">
      <c r="Q80" s="31" t="s">
        <v>745</v>
      </c>
      <c r="R80" s="5">
        <f ca="1">SUMIF(INDIRECT("'Output 1-CARBONARA'!$H$4:$H$"&amp;$C$4),Analysis!Q80,INDIRECT("'Output 1-CARBONARA'!$m$4:$m$"&amp;$C$4))
+SUMIF(INDIRECT("'Output 2-CACCIA'!$H$4:$H$"&amp;$C$5),Analysis!Q80,INDIRECT("'Output 2-CACCIA'!$m$4:$m$"&amp;$C$5))
+SUMIF(INDIRECT("'Output 3-ASINARA'!$H$4:$H$"&amp;$C$6),Analysis!Q80,INDIRECT("'Output 3-ASINARA'!$m$4:$m$"&amp;$C$6))
+SUMIF(INDIRECT("'Output 4-PELAGIE'!$H$4:$H$"&amp;$C$7),Analysis!Q80,INDIRECT("'Output 4-PELAGIE'!$m$4:$m$"&amp;$C$7))
+SUMIF(INDIRECT("'Output 5-EGADI'!$H$4:$H$"&amp;$C$8),Analysis!Q80,INDIRECT("'Output 5-EGADI'!$m$4:$m$"&amp;$C$8))
+SUMIF(INDIRECT("'Output 6-TG'!$H$4:$H$"&amp;$C$9),Analysis!Q80,INDIRECT("'Output 6-TG'!$m$4:$m$"&amp;$C$9))
+SUMIF(INDIRECT("'Output 7-PNAT'!$H$4:$H$"&amp;$C$10),Analysis!Q80,INDIRECT("'Output 7-PNAT'!$m$4:$m$"&amp;$C$10))
+SUMIF(INDIRECT("'Output 8-AEO'!$H$4:$H$"&amp;$C$11),Analysis!Q80,INDIRECT("'Output 8-AEO'!$m$4:$m$"&amp;$C$11))
+SUMIF(INDIRECT("'Output 9-EGADI2'!$H$4:$H$"&amp;$C$12),Analysis!Q80,INDIRECT("'Output 9-EGADI2'!$m$4:$m$"&amp;$C$12))
+SUMIF(INDIRECT("'Output 10-TUNIS'!$H$4:$H$"&amp;$C$13),Analysis!Q80,INDIRECT("'Output 10-TUNIS'!$m$4:$m$"&amp;$C$13))</f>
        <v>0</v>
      </c>
      <c r="S80" s="5">
        <f ca="1">SUMIF(INDIRECT("'Output 1-CARBONARA'!$H$4:$H$"&amp;$C$4),Analysis!Q80,INDIRECT("'Output 1-CARBONARA'!$q$4:$q$"&amp;$C$4))
+SUMIF(INDIRECT("'Output 2-CACCIA'!$H$4:$H$"&amp;$C$5),Analysis!Q80,INDIRECT("'Output 2-CACCIA'!$q$4:$q$"&amp;$C$5))
+SUMIF(INDIRECT("'Output 3-ASINARA'!$H$4:$H$"&amp;$C$6),Analysis!Q80,INDIRECT("'Output 3-ASINARA'!$q$4:$q$"&amp;$C$6))
+SUMIF(INDIRECT("'Output 4-PELAGIE'!$H$4:$H$"&amp;$C$7),Analysis!Q80,INDIRECT("'Output 4-PELAGIE'!$q$4:$q$"&amp;$C$7))
+SUMIF(INDIRECT("'Output 5-EGADI'!$H$4:$H$"&amp;$C$8),Analysis!Q80,INDIRECT("'Output 5-EGADI'!$q$4:$q$"&amp;$C$8))
+SUMIF(INDIRECT("'Output 6-TG'!$H$4:$H$"&amp;$C$9),Analysis!Q80,INDIRECT("'Output 6-TG'!$q$4:$q$"&amp;$C$9))
+SUMIF(INDIRECT("'Output 7-PNAT'!$H$4:$H$"&amp;$C$10),Analysis!Q80,INDIRECT("'Output 7-PNAT'!$q$4:$q$"&amp;$C$10))
+SUMIF(INDIRECT("'Output 8-AEO'!$H$4:$H$"&amp;$C$11),Analysis!Q80,INDIRECT("'Output 8-AEO'!$q$4:$q$"&amp;$C$11))
+SUMIF(INDIRECT("'Output 9-EGADI2'!$H$4:$H$"&amp;$C$12),Analysis!Q80,INDIRECT("'Output 9-EGADI2'!$q$4:$q$"&amp;$C$12))
+SUMIF(INDIRECT("'Output 10-TUNIS'!$H$4:$H$"&amp;$C$13),Analysis!Q80,INDIRECT("'Output 10-TUNIS'!$q$4:$q$"&amp;$C$13))</f>
        <v>0</v>
      </c>
      <c r="T80" s="5">
        <f ca="1">SUMIF(INDIRECT("'Output 1-CARBONARA'!$H$4:$H$"&amp;$C$4),Analysis!Q80,INDIRECT("'Output 1-CARBONARA'!$U$4:$U$"&amp;$C$4))
+SUMIF(INDIRECT("'Output 2-CACCIA'!$H$4:$H$"&amp;$C$5),Analysis!Q80,INDIRECT("'Output 2-CACCIA'!$U$4:$U$"&amp;$C$5))
+SUMIF(INDIRECT("'Output 3-ASINARA'!$H$4:$H$"&amp;$C$6),Analysis!Q80,INDIRECT("'Output 3-ASINARA'!$U$4:$U$"&amp;$C$6))
+SUMIF(INDIRECT("'Output 4-PELAGIE'!$H$4:$H$"&amp;$C$7),Analysis!Q80,INDIRECT("'Output 4-PELAGIE'!$U$4:$U$"&amp;$C$7))
+SUMIF(INDIRECT("'Output 5-EGADI'!$H$4:$H$"&amp;$C$8),Analysis!Q80,INDIRECT("'Output 5-EGADI'!$U$4:$U$"&amp;$C$8))
+SUMIF(INDIRECT("'Output 6-TG'!$H$4:$H$"&amp;$C$9),Analysis!Q80,INDIRECT("'Output 6-TG'!$U$4:$U$"&amp;$C$9))
+SUMIF(INDIRECT("'Output 7-PNAT'!$H$4:$H$"&amp;$C$10),Analysis!Q80,INDIRECT("'Output 7-PNAT'!$U$4:$U$"&amp;$C$10))
+SUMIF(INDIRECT("'Output 8-AEO'!$H$4:$H$"&amp;$C$11),Analysis!Q80,INDIRECT("'Output 8-AEO'!$U$4:$U$"&amp;$C$11))
+SUMIF(INDIRECT("'Output 9-EGADI2'!$H$4:$H$"&amp;$C$12),Analysis!Q80,INDIRECT("'Output 9-EGADI2'!$U$4:$U$"&amp;$C$12))
+SUMIF(INDIRECT("'Output 10-TUNIS'!$H$4:$H$"&amp;$C$13),Analysis!Q80,INDIRECT("'Output 10-TUNIS'!$U$4:$U$"&amp;$C$13))</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8">
        <f t="shared" ca="1" si="12"/>
        <v>0</v>
      </c>
      <c r="AA80" s="38">
        <f t="shared" si="13"/>
        <v>0</v>
      </c>
      <c r="AB80" s="54">
        <f t="shared" ca="1" si="14"/>
        <v>0</v>
      </c>
      <c r="AC80" s="64">
        <f ca="1">SUMIF(INDIRECT("'Output 1-CARBONARA'!$H$5:$H$"&amp;$C$4),Analysis!$Q80,INDIRECT("'Output 1-CARBONARA'!$F$5:$F$"&amp;$C$4))
+SUMIF(INDIRECT("'Output 2-CACCIA'!$H$5:$H$"&amp;$C$5),Analysis!$Q80,INDIRECT("'Output 2-CACCIA'!$F$5:$F$"&amp;$C$5))
+SUMIF(INDIRECT("'Output 3-ASINARA'!$H$5:$H$"&amp;$C$6),Analysis!$Q80,INDIRECT("'Output 3-ASINARA'!$F$5:$F$"&amp;$C$6))
+SUMIF(INDIRECT("'Output 4-PELAGIE'!$H$5:$H$"&amp;$C$7),Analysis!$Q80,INDIRECT("'Output 4-PELAGIE'!$F$5:$F$"&amp;$C$7))
+SUMIF(INDIRECT("'Output 5-EGADI'!$H$5:$H$"&amp;$C$8),Analysis!$Q80,INDIRECT("'Output 5-EGADI'!$F$5:$F$"&amp;$C$8))
+SUMIF(INDIRECT("'Output 6-TG'!$H$5:$H$"&amp;$C$9),Analysis!$Q80,INDIRECT("'Output 6-TG'!$F$5:$F$"&amp;$C$9))
+SUMIF(INDIRECT("'Output 7-PNAT'!$H$5:$H$"&amp;$C$10),Analysis!$Q80,INDIRECT("'Output 7-PNAT'!$F$5:$F$"&amp;$C$10))
+SUMIF(INDIRECT("'Output 8-AEO'!$H$5:$H$"&amp;$C$11),Analysis!$Q80,INDIRECT("'Output 8-AEO'!$F$5:$F$"&amp;$C$11))
+SUMIF(INDIRECT("'Output 9-EGADI2'!$H$5:$H$"&amp;$C$12),Analysis!$Q80,INDIRECT("'Output 9-EGADI2'!$F$5:$F$"&amp;$C$12))
+SUMIF(INDIRECT("'Output 10-TUNIS'!$H$5:$H$"&amp;$C$13),Analysis!$Q80,INDIRECT("'Output 10-TUNIS'!$F$5:$F$"&amp;$C$13))</f>
        <v>0</v>
      </c>
    </row>
  </sheetData>
  <mergeCells count="6">
    <mergeCell ref="A1:C2"/>
    <mergeCell ref="E1:O2"/>
    <mergeCell ref="V2:X2"/>
    <mergeCell ref="R2:T2"/>
    <mergeCell ref="Z2:AC2"/>
    <mergeCell ref="R1:AC1"/>
  </mergeCells>
  <phoneticPr fontId="15"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5"/>
  <sheetViews>
    <sheetView workbookViewId="0"/>
  </sheetViews>
  <sheetFormatPr defaultRowHeight="14.45"/>
  <cols>
    <col min="2" max="2" width="73.42578125" customWidth="1"/>
    <col min="3" max="3" width="72.5703125" customWidth="1"/>
  </cols>
  <sheetData>
    <row r="1" spans="1:3">
      <c r="A1" s="44" t="s">
        <v>4</v>
      </c>
      <c r="B1" s="45" t="s">
        <v>5</v>
      </c>
      <c r="C1" s="45" t="s">
        <v>6</v>
      </c>
    </row>
    <row r="2" spans="1:3">
      <c r="A2" s="46">
        <v>44470</v>
      </c>
      <c r="B2" s="47"/>
      <c r="C2" s="47"/>
    </row>
    <row r="3" spans="1:3">
      <c r="A3" s="46">
        <v>44501</v>
      </c>
      <c r="B3" s="47"/>
      <c r="C3" s="48"/>
    </row>
    <row r="4" spans="1:3">
      <c r="A4" s="46">
        <v>44531</v>
      </c>
      <c r="B4" s="47"/>
      <c r="C4" s="48"/>
    </row>
    <row r="5" spans="1:3" ht="29.1" customHeight="1">
      <c r="A5" s="46">
        <v>44562</v>
      </c>
      <c r="B5" s="49"/>
      <c r="C5" s="48"/>
    </row>
    <row r="6" spans="1:3">
      <c r="A6" s="46">
        <v>44593</v>
      </c>
      <c r="B6" s="49"/>
      <c r="C6" s="48"/>
    </row>
    <row r="7" spans="1:3">
      <c r="A7" s="46">
        <v>44621</v>
      </c>
      <c r="B7" s="47"/>
      <c r="C7" s="51"/>
    </row>
    <row r="8" spans="1:3">
      <c r="A8" s="46">
        <v>44652</v>
      </c>
      <c r="B8" s="47"/>
      <c r="C8" s="47"/>
    </row>
    <row r="9" spans="1:3">
      <c r="A9" s="46">
        <v>44682</v>
      </c>
      <c r="B9" s="49"/>
      <c r="C9" s="47"/>
    </row>
    <row r="10" spans="1:3">
      <c r="A10" s="46">
        <v>44713</v>
      </c>
      <c r="B10" s="47"/>
      <c r="C10" s="50"/>
    </row>
    <row r="11" spans="1:3">
      <c r="A11" s="46">
        <v>44743</v>
      </c>
      <c r="B11" s="47"/>
      <c r="C11" s="47"/>
    </row>
    <row r="12" spans="1:3">
      <c r="A12" s="46">
        <v>44774</v>
      </c>
      <c r="B12" s="47"/>
      <c r="C12" s="47"/>
    </row>
    <row r="13" spans="1:3">
      <c r="A13" s="46">
        <v>44805</v>
      </c>
      <c r="B13" s="47"/>
      <c r="C13" s="47"/>
    </row>
    <row r="14" spans="1:3">
      <c r="A14" s="46">
        <v>44835</v>
      </c>
      <c r="B14" s="47"/>
      <c r="C14" s="47"/>
    </row>
    <row r="15" spans="1:3">
      <c r="A15" s="46">
        <v>44866</v>
      </c>
      <c r="B15" s="47"/>
      <c r="C15" s="47"/>
    </row>
    <row r="16" spans="1:3">
      <c r="A16" s="46">
        <v>44896</v>
      </c>
      <c r="B16" s="47"/>
      <c r="C16" s="47"/>
    </row>
    <row r="17" spans="1:3">
      <c r="A17" s="46">
        <v>44927</v>
      </c>
      <c r="B17" s="47"/>
      <c r="C17" s="47"/>
    </row>
    <row r="18" spans="1:3">
      <c r="A18" s="46">
        <v>44958</v>
      </c>
      <c r="B18" s="47"/>
      <c r="C18" s="47"/>
    </row>
    <row r="19" spans="1:3">
      <c r="A19" s="46">
        <v>44986</v>
      </c>
      <c r="B19" s="47"/>
      <c r="C19" s="47"/>
    </row>
    <row r="20" spans="1:3">
      <c r="A20" s="46">
        <v>45017</v>
      </c>
      <c r="B20" s="47"/>
      <c r="C20" s="47"/>
    </row>
    <row r="21" spans="1:3">
      <c r="A21" s="46">
        <v>45047</v>
      </c>
      <c r="B21" s="47"/>
      <c r="C21" s="47"/>
    </row>
    <row r="22" spans="1:3">
      <c r="A22" s="46">
        <v>45078</v>
      </c>
      <c r="B22" s="47"/>
      <c r="C22" s="47"/>
    </row>
    <row r="23" spans="1:3">
      <c r="A23" s="46">
        <v>45108</v>
      </c>
      <c r="B23" s="47"/>
      <c r="C23" s="47"/>
    </row>
    <row r="24" spans="1:3">
      <c r="A24" s="46">
        <v>45139</v>
      </c>
      <c r="B24" s="47"/>
      <c r="C24" s="47"/>
    </row>
    <row r="25" spans="1:3">
      <c r="A25" s="46">
        <v>45170</v>
      </c>
      <c r="B25" s="47"/>
      <c r="C25"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workbookViewId="0">
      <selection activeCell="E11" sqref="E11"/>
    </sheetView>
  </sheetViews>
  <sheetFormatPr defaultColWidth="8.85546875" defaultRowHeight="14.45"/>
  <cols>
    <col min="1" max="1" width="16" style="2" customWidth="1"/>
    <col min="2" max="2" width="9.140625" style="2" customWidth="1"/>
    <col min="3" max="3" width="29.85546875" style="3" customWidth="1"/>
    <col min="4" max="4" width="11.7109375" style="3" customWidth="1"/>
    <col min="5" max="5" width="52.28515625" style="3" customWidth="1"/>
    <col min="6" max="6" width="11.140625" style="3" customWidth="1"/>
    <col min="7" max="8" width="15.140625" style="3" customWidth="1"/>
    <col min="9" max="9" width="67.28515625" style="3" customWidth="1"/>
    <col min="10" max="10" width="44.7109375" style="3" customWidth="1"/>
    <col min="11" max="11" width="18.5703125" customWidth="1"/>
    <col min="12" max="12" width="35.140625" customWidth="1"/>
    <col min="13" max="13" width="15.7109375" customWidth="1"/>
    <col min="14" max="14" width="47.28515625" customWidth="1"/>
    <col min="15" max="16384" width="8.85546875" style="3"/>
  </cols>
  <sheetData>
    <row r="1" spans="1:10" ht="15.75" customHeight="1">
      <c r="A1" s="148" t="s">
        <v>7</v>
      </c>
      <c r="B1" s="149" t="s">
        <v>8</v>
      </c>
      <c r="C1" s="149"/>
      <c r="D1" s="149"/>
      <c r="E1" s="149"/>
      <c r="F1" s="149"/>
      <c r="G1" s="149"/>
      <c r="H1" s="149"/>
      <c r="I1" s="149"/>
      <c r="J1" s="149"/>
    </row>
    <row r="2" spans="1:10" ht="15.75" customHeight="1">
      <c r="A2" s="148"/>
      <c r="B2" s="149"/>
      <c r="C2" s="149"/>
      <c r="D2" s="149"/>
      <c r="E2" s="149"/>
      <c r="F2" s="149"/>
      <c r="G2" s="149"/>
      <c r="H2" s="149"/>
      <c r="I2" s="149"/>
      <c r="J2" s="149"/>
    </row>
    <row r="3" spans="1:10" ht="27.75" customHeight="1">
      <c r="A3" s="146" t="s">
        <v>9</v>
      </c>
      <c r="B3" s="146"/>
      <c r="C3" s="146"/>
      <c r="D3" s="147" t="s">
        <v>10</v>
      </c>
      <c r="E3" s="147"/>
      <c r="F3" s="147"/>
      <c r="G3" s="147"/>
      <c r="H3" s="147"/>
      <c r="I3" s="147"/>
      <c r="J3" s="147"/>
    </row>
    <row r="4" spans="1:10" ht="43.15">
      <c r="A4" s="12"/>
      <c r="B4" s="12" t="s">
        <v>11</v>
      </c>
      <c r="C4" s="12" t="s">
        <v>12</v>
      </c>
      <c r="D4" s="12" t="s">
        <v>13</v>
      </c>
      <c r="E4" s="12" t="s">
        <v>14</v>
      </c>
      <c r="F4" s="12" t="s">
        <v>15</v>
      </c>
      <c r="G4" s="12" t="s">
        <v>16</v>
      </c>
      <c r="H4" s="12" t="s">
        <v>17</v>
      </c>
      <c r="I4" s="12" t="s">
        <v>18</v>
      </c>
      <c r="J4" s="12" t="s">
        <v>19</v>
      </c>
    </row>
    <row r="5" spans="1:10" ht="34.15" customHeight="1">
      <c r="A5" s="148" t="s">
        <v>9</v>
      </c>
      <c r="B5" s="150" t="s">
        <v>20</v>
      </c>
      <c r="C5" s="150" t="s">
        <v>21</v>
      </c>
      <c r="D5" s="23" t="s">
        <v>22</v>
      </c>
      <c r="E5" s="1" t="s">
        <v>23</v>
      </c>
      <c r="F5" s="2" t="s">
        <v>24</v>
      </c>
      <c r="G5" s="2"/>
      <c r="H5" s="2"/>
      <c r="I5" s="1"/>
      <c r="J5" s="151"/>
    </row>
    <row r="6" spans="1:10" ht="34.15" customHeight="1">
      <c r="A6" s="148"/>
      <c r="B6" s="150"/>
      <c r="C6" s="150"/>
      <c r="D6" s="18" t="s">
        <v>25</v>
      </c>
      <c r="E6" s="1" t="s">
        <v>26</v>
      </c>
      <c r="F6" s="2">
        <v>9</v>
      </c>
      <c r="G6" s="2"/>
      <c r="H6" s="2"/>
      <c r="I6" s="1"/>
      <c r="J6" s="152"/>
    </row>
    <row r="7" spans="1:10" ht="34.15" customHeight="1">
      <c r="A7" s="148"/>
      <c r="B7" s="150"/>
      <c r="C7" s="150"/>
      <c r="D7" s="18" t="s">
        <v>27</v>
      </c>
      <c r="E7" s="1" t="s">
        <v>28</v>
      </c>
      <c r="F7" s="2">
        <v>8</v>
      </c>
      <c r="G7" s="2"/>
      <c r="H7" s="2"/>
      <c r="I7" s="1"/>
      <c r="J7" s="152"/>
    </row>
    <row r="8" spans="1:10">
      <c r="F8"/>
      <c r="G8"/>
      <c r="H8"/>
      <c r="I8" s="62"/>
    </row>
    <row r="9" spans="1:10">
      <c r="F9"/>
      <c r="G9"/>
      <c r="H9"/>
      <c r="I9" s="62"/>
    </row>
    <row r="10" spans="1:10">
      <c r="F10"/>
      <c r="G10"/>
      <c r="H10"/>
      <c r="I10" s="62"/>
    </row>
    <row r="11" spans="1:10">
      <c r="F11"/>
      <c r="G11"/>
      <c r="H11"/>
      <c r="I11" s="62"/>
    </row>
    <row r="12" spans="1:10">
      <c r="F12"/>
      <c r="G12"/>
      <c r="H12"/>
      <c r="I12" s="62"/>
    </row>
    <row r="13" spans="1:10">
      <c r="F13"/>
      <c r="G13"/>
      <c r="H13"/>
      <c r="I13" s="62"/>
    </row>
    <row r="14" spans="1:10">
      <c r="F14"/>
      <c r="G14"/>
      <c r="H14"/>
      <c r="I14" s="62"/>
    </row>
    <row r="15" spans="1:10">
      <c r="F15"/>
      <c r="G15"/>
      <c r="H15"/>
      <c r="I15" s="62"/>
    </row>
    <row r="16" spans="1:10">
      <c r="F16"/>
      <c r="G16"/>
      <c r="H16"/>
    </row>
    <row r="17" spans="6:8">
      <c r="F17"/>
      <c r="G17" s="7"/>
      <c r="H17"/>
    </row>
    <row r="18" spans="6:8">
      <c r="F18"/>
      <c r="G18" s="52"/>
      <c r="H18"/>
    </row>
    <row r="19" spans="6:8">
      <c r="F19"/>
      <c r="G19" s="7"/>
      <c r="H19"/>
    </row>
    <row r="20" spans="6:8">
      <c r="F20"/>
      <c r="G20" s="7"/>
    </row>
    <row r="21" spans="6:8">
      <c r="F21"/>
      <c r="G21" s="7"/>
      <c r="H21"/>
    </row>
    <row r="22" spans="6:8">
      <c r="F22"/>
      <c r="G22" s="7"/>
      <c r="H22"/>
    </row>
    <row r="23" spans="6:8">
      <c r="G23"/>
      <c r="H23"/>
    </row>
    <row r="24" spans="6:8">
      <c r="G24"/>
      <c r="H24"/>
    </row>
    <row r="25" spans="6:8">
      <c r="G25"/>
      <c r="H25"/>
    </row>
    <row r="26" spans="6:8">
      <c r="G26" s="7"/>
      <c r="H26"/>
    </row>
    <row r="27" spans="6:8">
      <c r="G27"/>
    </row>
    <row r="28" spans="6:8">
      <c r="G28"/>
    </row>
    <row r="29" spans="6:8">
      <c r="G29"/>
    </row>
    <row r="30" spans="6:8">
      <c r="G30"/>
    </row>
    <row r="31" spans="6:8">
      <c r="G31"/>
    </row>
    <row r="32" spans="6:8">
      <c r="G32"/>
    </row>
    <row r="33" spans="7:7">
      <c r="G33"/>
    </row>
  </sheetData>
  <mergeCells count="8">
    <mergeCell ref="A3:C3"/>
    <mergeCell ref="D3:J3"/>
    <mergeCell ref="A1:A2"/>
    <mergeCell ref="B1:J2"/>
    <mergeCell ref="A5:A7"/>
    <mergeCell ref="C5:C7"/>
    <mergeCell ref="J5:J7"/>
    <mergeCell ref="B5:B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AB21"/>
  <sheetViews>
    <sheetView tabSelected="1" zoomScale="70" zoomScaleNormal="70" workbookViewId="0">
      <pane xSplit="8" ySplit="3" topLeftCell="X4" activePane="bottomRight" state="frozen"/>
      <selection pane="bottomRight" activeCell="B4" sqref="B4:B7"/>
      <selection pane="bottomLeft" activeCell="A4" sqref="A4"/>
      <selection pane="topRight" activeCell="I1" sqref="I1"/>
    </sheetView>
  </sheetViews>
  <sheetFormatPr defaultColWidth="8.7109375" defaultRowHeight="14.45"/>
  <cols>
    <col min="1" max="1" width="16.28515625" style="15" customWidth="1"/>
    <col min="2" max="2" width="17" style="15" customWidth="1"/>
    <col min="3" max="3" width="23.42578125" style="15" customWidth="1"/>
    <col min="4" max="4" width="12" style="15" customWidth="1"/>
    <col min="5" max="5" width="52.42578125" style="15" customWidth="1"/>
    <col min="6" max="6" width="12.42578125" style="15" customWidth="1"/>
    <col min="7" max="7" width="28.85546875" style="15" bestFit="1" customWidth="1"/>
    <col min="8" max="8" width="17.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6" hidden="1" customWidth="1"/>
    <col min="16" max="16" width="55" style="15" hidden="1" customWidth="1"/>
    <col min="17" max="17" width="9.85546875" style="16" hidden="1" customWidth="1"/>
    <col min="18" max="18" width="55.7109375" style="15" hidden="1" customWidth="1"/>
    <col min="19" max="19" width="9.85546875" style="16" customWidth="1"/>
    <col min="20" max="20" width="55.42578125" style="15" customWidth="1"/>
    <col min="21" max="21" width="10" style="16" customWidth="1"/>
    <col min="22" max="22" width="55.28515625" style="15" customWidth="1"/>
    <col min="23" max="23" width="10.140625" style="15" customWidth="1"/>
    <col min="24" max="24" width="56" style="15" customWidth="1"/>
    <col min="25" max="25" width="10.140625" style="16" customWidth="1"/>
    <col min="26" max="26" width="55.42578125" style="15" customWidth="1"/>
    <col min="27" max="27" width="13" style="15" customWidth="1"/>
    <col min="28" max="28" width="48.7109375" style="15" customWidth="1"/>
    <col min="29" max="16384" width="8.7109375" style="15"/>
  </cols>
  <sheetData>
    <row r="1" spans="1:28"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8" ht="15" customHeight="1">
      <c r="A2" s="19" t="s">
        <v>31</v>
      </c>
      <c r="B2" s="148" t="s">
        <v>32</v>
      </c>
      <c r="C2" s="148" t="s">
        <v>12</v>
      </c>
      <c r="D2" s="148" t="s">
        <v>33</v>
      </c>
      <c r="E2" s="148" t="s">
        <v>14</v>
      </c>
      <c r="F2" s="148" t="s">
        <v>34</v>
      </c>
      <c r="G2" s="148" t="s">
        <v>35</v>
      </c>
      <c r="H2" s="148" t="s">
        <v>36</v>
      </c>
      <c r="I2" s="148"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c r="AA2" s="150" t="s">
        <v>45</v>
      </c>
      <c r="AB2" s="150"/>
    </row>
    <row r="3" spans="1:28">
      <c r="A3" s="19">
        <f>COUNTIF(D4:D10,"&lt;&gt;")</f>
        <v>7</v>
      </c>
      <c r="B3" s="148"/>
      <c r="C3" s="148"/>
      <c r="D3" s="148"/>
      <c r="E3" s="148"/>
      <c r="F3" s="148"/>
      <c r="G3" s="148"/>
      <c r="H3" s="148"/>
      <c r="I3" s="148"/>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9" t="s">
        <v>46</v>
      </c>
      <c r="AB3" s="9" t="s">
        <v>12</v>
      </c>
    </row>
    <row r="4" spans="1:28" s="16" customFormat="1" ht="86.45">
      <c r="A4" s="148" t="s">
        <v>47</v>
      </c>
      <c r="B4" s="150" t="s">
        <v>48</v>
      </c>
      <c r="C4" s="156" t="s">
        <v>49</v>
      </c>
      <c r="D4" s="23" t="s">
        <v>50</v>
      </c>
      <c r="E4" s="76" t="s">
        <v>51</v>
      </c>
      <c r="F4" s="70">
        <v>1</v>
      </c>
      <c r="G4" s="2" t="s">
        <v>52</v>
      </c>
      <c r="H4" s="2" t="s">
        <v>53</v>
      </c>
      <c r="I4" s="37"/>
      <c r="J4" s="153"/>
      <c r="K4" s="2"/>
      <c r="L4" s="2"/>
      <c r="M4" s="2"/>
      <c r="N4" s="2"/>
      <c r="O4" s="2"/>
      <c r="P4" s="25"/>
      <c r="Q4" s="7"/>
      <c r="R4" s="25"/>
      <c r="S4" s="29"/>
      <c r="T4" s="71" t="s">
        <v>54</v>
      </c>
      <c r="U4" s="70">
        <v>3</v>
      </c>
      <c r="V4" s="71" t="s">
        <v>55</v>
      </c>
      <c r="W4" s="106">
        <v>2</v>
      </c>
      <c r="X4" s="25" t="s">
        <v>56</v>
      </c>
      <c r="Y4" s="29">
        <v>1</v>
      </c>
      <c r="Z4" s="25" t="s">
        <v>57</v>
      </c>
      <c r="AA4" s="25"/>
      <c r="AB4" s="25"/>
    </row>
    <row r="5" spans="1:28" ht="115.15">
      <c r="A5" s="148"/>
      <c r="B5" s="150"/>
      <c r="C5" s="157"/>
      <c r="D5" s="18" t="s">
        <v>58</v>
      </c>
      <c r="E5" s="69" t="s">
        <v>59</v>
      </c>
      <c r="F5" s="2">
        <v>507</v>
      </c>
      <c r="G5" s="83" t="s">
        <v>60</v>
      </c>
      <c r="H5" s="2" t="s">
        <v>61</v>
      </c>
      <c r="I5" s="27"/>
      <c r="J5" s="153"/>
      <c r="K5" s="2"/>
      <c r="L5" s="2"/>
      <c r="M5" s="2"/>
      <c r="N5" s="2"/>
      <c r="O5" s="2"/>
      <c r="P5" s="25"/>
      <c r="Q5" s="2"/>
      <c r="R5" s="25"/>
      <c r="S5" s="29"/>
      <c r="T5" s="69" t="s">
        <v>62</v>
      </c>
      <c r="U5" s="2">
        <f>466+41</f>
        <v>507</v>
      </c>
      <c r="V5" s="27" t="s">
        <v>63</v>
      </c>
      <c r="W5" s="2" t="s">
        <v>64</v>
      </c>
      <c r="X5" s="27" t="s">
        <v>65</v>
      </c>
      <c r="Y5" s="29">
        <v>59</v>
      </c>
      <c r="Z5" s="25" t="s">
        <v>66</v>
      </c>
      <c r="AA5" s="25"/>
      <c r="AB5" s="25"/>
    </row>
    <row r="6" spans="1:28" ht="201.6">
      <c r="A6" s="148"/>
      <c r="B6" s="150"/>
      <c r="C6" s="157"/>
      <c r="D6" s="18" t="s">
        <v>67</v>
      </c>
      <c r="E6" s="76" t="s">
        <v>68</v>
      </c>
      <c r="F6" s="2">
        <v>2</v>
      </c>
      <c r="G6" s="7" t="s">
        <v>69</v>
      </c>
      <c r="H6" s="7" t="s">
        <v>70</v>
      </c>
      <c r="I6" s="27"/>
      <c r="J6" s="153"/>
      <c r="K6" s="2"/>
      <c r="L6" s="2"/>
      <c r="M6" s="2"/>
      <c r="N6" s="2"/>
      <c r="O6" s="2"/>
      <c r="P6" s="25"/>
      <c r="Q6" s="2"/>
      <c r="R6" s="25"/>
      <c r="S6" s="29"/>
      <c r="T6" s="84" t="s">
        <v>71</v>
      </c>
      <c r="U6" s="2">
        <v>147</v>
      </c>
      <c r="V6" s="69" t="s">
        <v>72</v>
      </c>
      <c r="W6" s="70" t="s">
        <v>64</v>
      </c>
      <c r="X6" s="125" t="s">
        <v>73</v>
      </c>
      <c r="Y6" s="29">
        <f>1+1</f>
        <v>2</v>
      </c>
      <c r="Z6" s="76" t="s">
        <v>74</v>
      </c>
      <c r="AA6" s="124"/>
      <c r="AB6" s="114"/>
    </row>
    <row r="7" spans="1:28" ht="72">
      <c r="A7" s="148"/>
      <c r="B7" s="150"/>
      <c r="C7" s="157"/>
      <c r="D7" s="18" t="s">
        <v>75</v>
      </c>
      <c r="E7" s="76" t="s">
        <v>76</v>
      </c>
      <c r="F7" s="2">
        <v>17</v>
      </c>
      <c r="G7" s="7" t="s">
        <v>77</v>
      </c>
      <c r="H7" s="7" t="s">
        <v>78</v>
      </c>
      <c r="I7" s="27"/>
      <c r="J7" s="153"/>
      <c r="K7" s="2"/>
      <c r="L7" s="2"/>
      <c r="M7" s="2"/>
      <c r="N7" s="2"/>
      <c r="O7" s="2"/>
      <c r="P7" s="25"/>
      <c r="Q7" s="2"/>
      <c r="R7" s="25"/>
      <c r="S7" s="7"/>
      <c r="T7" s="76" t="s">
        <v>79</v>
      </c>
      <c r="U7" s="2">
        <v>17</v>
      </c>
      <c r="V7" s="27" t="s">
        <v>80</v>
      </c>
      <c r="W7" s="30" t="s">
        <v>64</v>
      </c>
      <c r="X7" s="27" t="s">
        <v>81</v>
      </c>
      <c r="Y7" s="29">
        <v>6</v>
      </c>
      <c r="Z7" s="25" t="s">
        <v>82</v>
      </c>
      <c r="AA7" s="25"/>
      <c r="AB7" s="25"/>
    </row>
    <row r="8" spans="1:28" ht="57.6">
      <c r="A8" s="12"/>
      <c r="B8" s="9"/>
      <c r="C8" s="23"/>
      <c r="D8" s="23" t="s">
        <v>83</v>
      </c>
      <c r="E8" s="76" t="s">
        <v>84</v>
      </c>
      <c r="F8" s="79">
        <v>0.64</v>
      </c>
      <c r="G8" s="30" t="s">
        <v>85</v>
      </c>
      <c r="H8" s="7" t="s">
        <v>86</v>
      </c>
      <c r="I8" s="27"/>
      <c r="J8" s="153"/>
      <c r="K8" s="2"/>
      <c r="L8" s="2"/>
      <c r="M8" s="2"/>
      <c r="N8" s="2"/>
      <c r="O8" s="2"/>
      <c r="P8" s="25"/>
      <c r="Q8" s="2"/>
      <c r="R8" s="25"/>
      <c r="S8" s="7"/>
      <c r="T8" s="76"/>
      <c r="U8" s="2"/>
      <c r="V8" s="27"/>
      <c r="W8" s="30"/>
      <c r="X8" s="27"/>
      <c r="Y8" s="29">
        <v>0</v>
      </c>
      <c r="Z8" s="25" t="s">
        <v>87</v>
      </c>
      <c r="AA8" s="25"/>
      <c r="AB8" s="25"/>
    </row>
    <row r="9" spans="1:28" ht="129.6">
      <c r="A9" s="12"/>
      <c r="B9" s="9"/>
      <c r="C9" s="23"/>
      <c r="D9" s="18" t="s">
        <v>88</v>
      </c>
      <c r="E9" s="76" t="s">
        <v>89</v>
      </c>
      <c r="F9" s="2">
        <v>3</v>
      </c>
      <c r="G9" s="7" t="s">
        <v>90</v>
      </c>
      <c r="H9" s="7" t="s">
        <v>91</v>
      </c>
      <c r="I9" s="27"/>
      <c r="J9" s="153"/>
      <c r="K9" s="2"/>
      <c r="L9" s="2"/>
      <c r="M9" s="2"/>
      <c r="N9" s="2"/>
      <c r="O9" s="2"/>
      <c r="P9" s="25"/>
      <c r="Q9" s="2"/>
      <c r="R9" s="25"/>
      <c r="S9" s="7"/>
      <c r="T9" s="25"/>
      <c r="U9" s="2">
        <v>4</v>
      </c>
      <c r="V9" s="76" t="s">
        <v>92</v>
      </c>
      <c r="W9" s="30">
        <v>1</v>
      </c>
      <c r="X9" s="27" t="s">
        <v>93</v>
      </c>
      <c r="Y9" s="2">
        <v>0</v>
      </c>
      <c r="Z9" s="27" t="s">
        <v>94</v>
      </c>
      <c r="AA9" s="25"/>
      <c r="AB9" s="114"/>
    </row>
    <row r="10" spans="1:28" ht="216">
      <c r="A10" s="12"/>
      <c r="B10" s="9"/>
      <c r="C10" s="23"/>
      <c r="D10" s="18" t="s">
        <v>95</v>
      </c>
      <c r="E10" s="76" t="s">
        <v>77</v>
      </c>
      <c r="F10" s="2">
        <v>2</v>
      </c>
      <c r="G10" s="7" t="s">
        <v>90</v>
      </c>
      <c r="H10" s="7" t="s">
        <v>78</v>
      </c>
      <c r="I10" s="27"/>
      <c r="J10" s="153"/>
      <c r="K10" s="2"/>
      <c r="L10" s="2"/>
      <c r="M10" s="2"/>
      <c r="N10" s="2"/>
      <c r="O10" s="2"/>
      <c r="P10" s="25"/>
      <c r="Q10" s="2"/>
      <c r="R10" s="25"/>
      <c r="S10" s="7"/>
      <c r="T10" s="25"/>
      <c r="U10" s="2"/>
      <c r="V10" s="27"/>
      <c r="W10" s="30" t="s">
        <v>64</v>
      </c>
      <c r="X10" s="28" t="s">
        <v>96</v>
      </c>
      <c r="Y10" s="29">
        <f>77+29</f>
        <v>106</v>
      </c>
      <c r="Z10" s="25" t="s">
        <v>97</v>
      </c>
      <c r="AA10" s="25"/>
      <c r="AB10" s="25"/>
    </row>
    <row r="11" spans="1:28" ht="302.25" customHeight="1">
      <c r="A11" s="12"/>
      <c r="B11" s="74"/>
      <c r="C11" s="23"/>
      <c r="D11" s="74" t="s">
        <v>98</v>
      </c>
      <c r="E11" s="133" t="s">
        <v>99</v>
      </c>
      <c r="F11" s="135" t="s">
        <v>100</v>
      </c>
      <c r="G11" s="73" t="s">
        <v>101</v>
      </c>
      <c r="H11" s="73" t="s">
        <v>102</v>
      </c>
      <c r="I11" s="27"/>
      <c r="J11" s="2"/>
      <c r="K11" s="2"/>
      <c r="L11" s="2"/>
      <c r="M11" s="2"/>
      <c r="N11" s="2"/>
      <c r="O11" s="2"/>
      <c r="P11" s="25"/>
      <c r="Q11" s="2"/>
      <c r="R11" s="25"/>
      <c r="S11" s="7"/>
      <c r="T11" s="25"/>
      <c r="U11" s="2"/>
      <c r="V11" s="27"/>
      <c r="W11" s="30"/>
      <c r="X11" s="99" t="s">
        <v>101</v>
      </c>
      <c r="Y11" s="70">
        <f>1704+1604+834+117</f>
        <v>4259</v>
      </c>
      <c r="Z11" s="71" t="s">
        <v>103</v>
      </c>
      <c r="AA11" s="25"/>
      <c r="AB11" s="25"/>
    </row>
    <row r="12" spans="1:28" ht="93.75" customHeight="1">
      <c r="A12" s="12"/>
      <c r="B12" s="74"/>
      <c r="C12" s="23"/>
      <c r="D12" s="74"/>
      <c r="E12" s="136" t="s">
        <v>104</v>
      </c>
      <c r="F12" s="135" t="s">
        <v>100</v>
      </c>
      <c r="G12" s="73" t="s">
        <v>105</v>
      </c>
      <c r="H12" s="73" t="s">
        <v>106</v>
      </c>
      <c r="I12" s="27"/>
      <c r="J12" s="2"/>
      <c r="K12" s="2"/>
      <c r="L12" s="2"/>
      <c r="M12" s="2"/>
      <c r="N12" s="2"/>
      <c r="O12" s="2"/>
      <c r="P12" s="25"/>
      <c r="Q12" s="2"/>
      <c r="R12" s="25"/>
      <c r="S12" s="7"/>
      <c r="T12" s="25"/>
      <c r="U12" s="2"/>
      <c r="V12" s="27"/>
      <c r="W12" s="30"/>
      <c r="X12" s="99"/>
      <c r="Y12" s="70">
        <v>0</v>
      </c>
      <c r="Z12" s="138" t="s">
        <v>107</v>
      </c>
      <c r="AA12" s="25"/>
      <c r="AB12" s="25"/>
    </row>
    <row r="13" spans="1:28" ht="30.75" customHeight="1">
      <c r="A13" s="155" t="s">
        <v>5</v>
      </c>
      <c r="B13" s="155"/>
      <c r="C13" s="155"/>
      <c r="D13" s="155"/>
      <c r="E13" s="155"/>
      <c r="F13" s="155"/>
      <c r="G13" s="155"/>
      <c r="H13" s="155"/>
      <c r="I13" s="155"/>
      <c r="J13" s="60"/>
      <c r="K13" s="60"/>
      <c r="L13" s="60"/>
      <c r="M13" s="60"/>
      <c r="N13" s="60"/>
      <c r="O13" s="15"/>
      <c r="Q13" s="13"/>
      <c r="U13" s="10"/>
      <c r="Y13" s="10"/>
      <c r="Z13" s="137" t="s">
        <v>108</v>
      </c>
    </row>
    <row r="14" spans="1:28" ht="30.75" customHeight="1">
      <c r="A14" s="12"/>
      <c r="B14" s="12" t="s">
        <v>109</v>
      </c>
      <c r="C14" s="20"/>
      <c r="D14" s="12" t="s">
        <v>110</v>
      </c>
      <c r="E14" s="12" t="s">
        <v>12</v>
      </c>
      <c r="F14" s="12"/>
      <c r="G14" s="12"/>
      <c r="H14" s="12" t="s">
        <v>111</v>
      </c>
      <c r="I14" s="12" t="s">
        <v>112</v>
      </c>
      <c r="J14" s="11"/>
      <c r="K14" s="11"/>
      <c r="L14" s="11"/>
      <c r="M14" s="11"/>
      <c r="N14" s="11"/>
      <c r="O14" s="15"/>
      <c r="U14" s="17"/>
      <c r="Y14" s="17"/>
    </row>
    <row r="15" spans="1:28" ht="47.25" customHeight="1">
      <c r="A15" s="148" t="s">
        <v>113</v>
      </c>
      <c r="B15" s="150" t="s">
        <v>114</v>
      </c>
      <c r="C15" s="157"/>
      <c r="D15" s="18" t="s">
        <v>115</v>
      </c>
      <c r="E15" s="151"/>
      <c r="F15" s="151"/>
      <c r="G15" s="151"/>
      <c r="H15" s="1"/>
      <c r="I15" s="1"/>
      <c r="J15" s="39"/>
      <c r="K15" s="39"/>
      <c r="L15" s="39"/>
      <c r="M15" s="39"/>
      <c r="N15" s="39"/>
      <c r="O15" s="15"/>
    </row>
    <row r="16" spans="1:28">
      <c r="A16" s="148"/>
      <c r="B16" s="150"/>
      <c r="C16" s="157"/>
      <c r="D16" s="23" t="s">
        <v>116</v>
      </c>
      <c r="E16" s="151"/>
      <c r="F16" s="151"/>
      <c r="G16" s="151"/>
      <c r="H16" s="1"/>
      <c r="I16" s="1"/>
      <c r="J16" s="39"/>
      <c r="K16" s="39"/>
      <c r="L16" s="39"/>
      <c r="M16" s="39"/>
      <c r="N16" s="39"/>
      <c r="O16" s="15"/>
      <c r="Q16" s="10"/>
    </row>
    <row r="17" spans="1:17">
      <c r="A17" s="148"/>
      <c r="B17" s="150"/>
      <c r="C17" s="157"/>
      <c r="D17" s="23" t="s">
        <v>117</v>
      </c>
      <c r="E17" s="151"/>
      <c r="F17" s="151"/>
      <c r="G17" s="151"/>
      <c r="H17" s="1"/>
      <c r="I17" s="1"/>
      <c r="J17" s="39"/>
      <c r="K17" s="39"/>
      <c r="L17" s="39"/>
      <c r="M17" s="39"/>
      <c r="N17" s="39"/>
      <c r="O17" s="15"/>
      <c r="Q17" s="10"/>
    </row>
    <row r="18" spans="1:17">
      <c r="A18" s="148"/>
      <c r="B18" s="150"/>
      <c r="C18" s="157"/>
      <c r="D18" s="23" t="s">
        <v>118</v>
      </c>
      <c r="E18" s="151"/>
      <c r="F18" s="151"/>
      <c r="G18" s="151"/>
      <c r="H18" s="1"/>
      <c r="I18" s="1"/>
      <c r="J18" s="39"/>
      <c r="K18" s="39"/>
      <c r="L18" s="39"/>
      <c r="M18" s="39"/>
      <c r="N18" s="39"/>
      <c r="O18" s="10"/>
      <c r="Q18" s="10"/>
    </row>
    <row r="19" spans="1:17">
      <c r="A19" s="148"/>
      <c r="B19" s="150"/>
      <c r="C19" s="157"/>
      <c r="D19" s="23" t="s">
        <v>119</v>
      </c>
      <c r="E19" s="151"/>
      <c r="F19" s="151"/>
      <c r="G19" s="151"/>
      <c r="H19" s="1"/>
      <c r="I19" s="1"/>
      <c r="J19" s="39"/>
      <c r="K19" s="39"/>
      <c r="L19" s="39"/>
      <c r="M19" s="39"/>
      <c r="N19" s="39"/>
      <c r="O19" s="10"/>
      <c r="Q19" s="10"/>
    </row>
    <row r="20" spans="1:17">
      <c r="A20" s="148"/>
      <c r="B20" s="150"/>
      <c r="C20" s="157"/>
      <c r="D20" s="23" t="s">
        <v>120</v>
      </c>
      <c r="E20" s="151"/>
      <c r="F20" s="151"/>
      <c r="G20" s="151"/>
      <c r="H20" s="1"/>
      <c r="I20" s="1"/>
      <c r="J20" s="39"/>
      <c r="K20" s="39"/>
      <c r="L20" s="39"/>
      <c r="M20" s="39"/>
      <c r="N20" s="39"/>
      <c r="O20" s="10"/>
      <c r="Q20" s="10"/>
    </row>
    <row r="21" spans="1:17">
      <c r="A21" s="15" t="s">
        <v>121</v>
      </c>
    </row>
  </sheetData>
  <sheetProtection formatCells="0"/>
  <mergeCells count="35">
    <mergeCell ref="A15:A20"/>
    <mergeCell ref="B15:B20"/>
    <mergeCell ref="C15:C20"/>
    <mergeCell ref="E19:G19"/>
    <mergeCell ref="E20:G20"/>
    <mergeCell ref="E18:G18"/>
    <mergeCell ref="S2:T2"/>
    <mergeCell ref="H2:H3"/>
    <mergeCell ref="A4:A7"/>
    <mergeCell ref="B4:B7"/>
    <mergeCell ref="C4:C7"/>
    <mergeCell ref="C2:C3"/>
    <mergeCell ref="D2:D3"/>
    <mergeCell ref="E2:E3"/>
    <mergeCell ref="F2:F3"/>
    <mergeCell ref="G2:G3"/>
    <mergeCell ref="B2:B3"/>
    <mergeCell ref="K2:L2"/>
    <mergeCell ref="M2:N2"/>
    <mergeCell ref="AA2:AB2"/>
    <mergeCell ref="J4:J10"/>
    <mergeCell ref="D1:J1"/>
    <mergeCell ref="E16:G16"/>
    <mergeCell ref="E17:G17"/>
    <mergeCell ref="Y2:Z2"/>
    <mergeCell ref="O1:Z1"/>
    <mergeCell ref="A13:I13"/>
    <mergeCell ref="E15:G15"/>
    <mergeCell ref="A1:C1"/>
    <mergeCell ref="I2:I3"/>
    <mergeCell ref="J2:J3"/>
    <mergeCell ref="U2:V2"/>
    <mergeCell ref="W2:X2"/>
    <mergeCell ref="O2:P2"/>
    <mergeCell ref="Q2:R2"/>
  </mergeCells>
  <phoneticPr fontId="15" type="noConversion"/>
  <conditionalFormatting sqref="H15:H20">
    <cfRule type="containsText" dxfId="39" priority="1" operator="containsText" text="Not Started">
      <formula>NOT(ISERROR(SEARCH("Not Started",H15)))</formula>
    </cfRule>
    <cfRule type="containsText" dxfId="38" priority="2" operator="containsText" text="In Progress">
      <formula>NOT(ISERROR(SEARCH("In Progress",H15)))</formula>
    </cfRule>
    <cfRule type="containsText" dxfId="37" priority="3" operator="containsText" text="Complete">
      <formula>NOT(ISERROR(SEARCH("Complete",H15)))</formula>
    </cfRule>
  </conditionalFormatting>
  <dataValidations disablePrompts="1" count="1">
    <dataValidation type="list" allowBlank="1" showInputMessage="1" showErrorMessage="1" sqref="H15:H20"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Z16"/>
  <sheetViews>
    <sheetView zoomScale="85" zoomScaleNormal="85" workbookViewId="0">
      <pane xSplit="8" ySplit="3" topLeftCell="X4" activePane="bottomRight" state="frozen"/>
      <selection pane="bottomRight" activeCell="Z5" sqref="Z5"/>
      <selection pane="bottomLeft" activeCell="V17" sqref="V17"/>
      <selection pane="topRight" activeCell="V17" sqref="V17"/>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1.85546875" style="15" bestFit="1" customWidth="1"/>
    <col min="7" max="7" width="15" style="15" customWidth="1"/>
    <col min="8" max="8" width="11.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5" hidden="1" customWidth="1"/>
    <col min="16" max="16" width="55" style="15" hidden="1" customWidth="1"/>
    <col min="17" max="17" width="9.85546875" style="15" hidden="1" customWidth="1"/>
    <col min="18" max="18" width="55.7109375" style="15" hidden="1" customWidth="1"/>
    <col min="19" max="19" width="9.85546875" style="15" customWidth="1"/>
    <col min="20" max="20" width="55.42578125" style="15" customWidth="1"/>
    <col min="21" max="21" width="11.42578125" style="15" customWidth="1"/>
    <col min="22" max="22" width="55.28515625" style="15" customWidth="1"/>
    <col min="23" max="23" width="10.140625" style="15" customWidth="1"/>
    <col min="24" max="24" width="56" style="15" customWidth="1"/>
    <col min="25" max="25" width="10.140625" style="15" customWidth="1"/>
    <col min="26" max="26" width="55.42578125" style="15" customWidth="1"/>
    <col min="27" max="16384" width="8.7109375" style="15"/>
  </cols>
  <sheetData>
    <row r="1" spans="1:26"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6"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row>
    <row r="3" spans="1:26">
      <c r="A3" s="19">
        <f>COUNTIF(D4:D9,"&lt;&gt;")</f>
        <v>5</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row>
    <row r="4" spans="1:26" s="16" customFormat="1" ht="59.45" customHeight="1">
      <c r="A4" s="148" t="s">
        <v>122</v>
      </c>
      <c r="B4" s="150" t="s">
        <v>123</v>
      </c>
      <c r="C4" s="158" t="s">
        <v>124</v>
      </c>
      <c r="D4" s="23" t="s">
        <v>125</v>
      </c>
      <c r="E4" s="69" t="s">
        <v>126</v>
      </c>
      <c r="F4" s="30">
        <v>1.2E-2</v>
      </c>
      <c r="G4" s="7" t="s">
        <v>127</v>
      </c>
      <c r="H4" s="7" t="s">
        <v>128</v>
      </c>
      <c r="I4" s="26"/>
      <c r="J4" s="22"/>
      <c r="K4" s="22"/>
      <c r="L4" s="22"/>
      <c r="M4" s="22"/>
      <c r="N4" s="22"/>
      <c r="O4" s="29"/>
      <c r="P4" s="25"/>
      <c r="Q4" s="29"/>
      <c r="R4" s="25"/>
      <c r="S4" s="29"/>
      <c r="T4" s="27"/>
      <c r="U4" s="2"/>
      <c r="V4" s="27"/>
      <c r="W4" s="29">
        <v>1</v>
      </c>
      <c r="X4" s="25" t="s">
        <v>129</v>
      </c>
      <c r="Y4" s="29">
        <v>0</v>
      </c>
      <c r="Z4" s="25" t="s">
        <v>130</v>
      </c>
    </row>
    <row r="5" spans="1:26" s="16" customFormat="1" ht="59.45" customHeight="1">
      <c r="A5" s="148"/>
      <c r="B5" s="150"/>
      <c r="C5" s="158"/>
      <c r="D5" s="23" t="s">
        <v>131</v>
      </c>
      <c r="E5" s="69" t="s">
        <v>132</v>
      </c>
      <c r="F5" s="7">
        <v>4</v>
      </c>
      <c r="G5" s="7" t="s">
        <v>77</v>
      </c>
      <c r="H5" s="7" t="s">
        <v>78</v>
      </c>
      <c r="I5" s="26"/>
      <c r="J5" s="22"/>
      <c r="K5" s="22"/>
      <c r="L5" s="22"/>
      <c r="M5" s="22"/>
      <c r="N5" s="22"/>
      <c r="O5" s="29"/>
      <c r="P5" s="25"/>
      <c r="Q5" s="29"/>
      <c r="R5" s="25"/>
      <c r="S5" s="29"/>
      <c r="T5" s="25" t="s">
        <v>133</v>
      </c>
      <c r="U5" s="2">
        <v>14</v>
      </c>
      <c r="V5" s="27" t="s">
        <v>134</v>
      </c>
      <c r="W5" s="29" t="s">
        <v>64</v>
      </c>
      <c r="X5" s="25" t="s">
        <v>135</v>
      </c>
      <c r="Y5" s="29">
        <v>12</v>
      </c>
      <c r="Z5" s="25" t="s">
        <v>136</v>
      </c>
    </row>
    <row r="6" spans="1:26" s="16" customFormat="1" ht="59.45" customHeight="1">
      <c r="A6" s="148"/>
      <c r="B6" s="150"/>
      <c r="C6" s="158"/>
      <c r="D6" s="23" t="s">
        <v>137</v>
      </c>
      <c r="E6" s="69" t="s">
        <v>138</v>
      </c>
      <c r="F6" s="7">
        <v>100</v>
      </c>
      <c r="G6" s="7" t="s">
        <v>85</v>
      </c>
      <c r="H6" s="7" t="s">
        <v>86</v>
      </c>
      <c r="I6" s="26"/>
      <c r="J6" s="22"/>
      <c r="K6" s="22"/>
      <c r="L6" s="22"/>
      <c r="M6" s="22"/>
      <c r="N6" s="22"/>
      <c r="O6" s="29"/>
      <c r="P6" s="25"/>
      <c r="Q6" s="29"/>
      <c r="R6" s="25"/>
      <c r="S6" s="29"/>
      <c r="T6" s="25" t="s">
        <v>139</v>
      </c>
      <c r="U6" s="29">
        <v>100</v>
      </c>
      <c r="V6" s="25" t="s">
        <v>140</v>
      </c>
      <c r="W6" s="29">
        <v>1</v>
      </c>
      <c r="X6" s="25" t="s">
        <v>141</v>
      </c>
      <c r="Y6" s="93">
        <v>1</v>
      </c>
      <c r="Z6" s="25" t="s">
        <v>142</v>
      </c>
    </row>
    <row r="7" spans="1:26" s="16" customFormat="1" ht="59.45" customHeight="1">
      <c r="A7" s="148"/>
      <c r="B7" s="150"/>
      <c r="C7" s="158"/>
      <c r="D7" s="23" t="s">
        <v>143</v>
      </c>
      <c r="E7" s="76" t="s">
        <v>144</v>
      </c>
      <c r="F7" s="7">
        <v>35</v>
      </c>
      <c r="G7" s="29" t="s">
        <v>144</v>
      </c>
      <c r="H7" s="7" t="s">
        <v>145</v>
      </c>
      <c r="I7" s="26"/>
      <c r="J7" s="22"/>
      <c r="K7" s="22"/>
      <c r="L7" s="22"/>
      <c r="M7" s="22"/>
      <c r="N7" s="22"/>
      <c r="O7" s="29"/>
      <c r="P7" s="25"/>
      <c r="Q7" s="29"/>
      <c r="R7" s="25"/>
      <c r="S7" s="29"/>
      <c r="T7" s="29"/>
      <c r="U7" s="2">
        <v>12</v>
      </c>
      <c r="V7" s="27" t="s">
        <v>146</v>
      </c>
      <c r="W7" s="29">
        <v>1</v>
      </c>
      <c r="X7" s="25" t="s">
        <v>147</v>
      </c>
      <c r="Y7" s="29">
        <v>0</v>
      </c>
      <c r="Z7" s="25" t="s">
        <v>148</v>
      </c>
    </row>
    <row r="8" spans="1:26" s="16" customFormat="1" ht="59.45" customHeight="1">
      <c r="A8" s="12"/>
      <c r="B8" s="9"/>
      <c r="C8" s="158"/>
      <c r="D8" s="23" t="s">
        <v>149</v>
      </c>
      <c r="E8" s="76" t="s">
        <v>150</v>
      </c>
      <c r="F8" s="7"/>
      <c r="G8" s="29" t="s">
        <v>151</v>
      </c>
      <c r="H8" s="7" t="s">
        <v>152</v>
      </c>
      <c r="I8" s="26"/>
      <c r="J8" s="22"/>
      <c r="K8" s="22"/>
      <c r="L8" s="22"/>
      <c r="M8" s="22"/>
      <c r="N8" s="22"/>
      <c r="O8" s="29"/>
      <c r="P8" s="25"/>
      <c r="Q8" s="29"/>
      <c r="R8" s="25"/>
      <c r="S8" s="29"/>
      <c r="T8" s="27" t="s">
        <v>153</v>
      </c>
      <c r="U8" s="2">
        <v>1</v>
      </c>
      <c r="V8" s="27" t="s">
        <v>154</v>
      </c>
      <c r="W8" s="29">
        <v>3</v>
      </c>
      <c r="X8" s="25" t="s">
        <v>155</v>
      </c>
      <c r="Y8" s="29">
        <v>0</v>
      </c>
      <c r="Z8" s="25" t="s">
        <v>156</v>
      </c>
    </row>
    <row r="9" spans="1:26" ht="30.75" customHeight="1">
      <c r="A9" s="155" t="s">
        <v>5</v>
      </c>
      <c r="B9" s="155"/>
      <c r="C9" s="155"/>
      <c r="D9" s="155"/>
      <c r="E9" s="155"/>
      <c r="F9" s="155"/>
      <c r="G9" s="155"/>
      <c r="H9" s="155"/>
      <c r="I9" s="155"/>
      <c r="J9" s="41"/>
      <c r="K9" s="41"/>
      <c r="L9" s="41"/>
      <c r="M9" s="41"/>
      <c r="N9" s="41"/>
      <c r="O9" s="10"/>
      <c r="P9" s="16"/>
      <c r="Q9" s="16"/>
      <c r="R9" s="16"/>
      <c r="S9" s="16"/>
      <c r="T9" s="16"/>
      <c r="U9" s="16"/>
      <c r="V9" s="16"/>
      <c r="W9" s="16"/>
      <c r="X9" s="16"/>
      <c r="Y9" s="16"/>
      <c r="Z9" s="16"/>
    </row>
    <row r="10" spans="1:26" ht="30.75" customHeight="1">
      <c r="A10" s="12"/>
      <c r="B10" s="12" t="s">
        <v>109</v>
      </c>
      <c r="C10" s="20" t="s">
        <v>157</v>
      </c>
      <c r="D10" s="12" t="s">
        <v>110</v>
      </c>
      <c r="E10" s="12" t="s">
        <v>12</v>
      </c>
      <c r="F10" s="12"/>
      <c r="G10" s="12"/>
      <c r="H10" s="12" t="s">
        <v>111</v>
      </c>
      <c r="I10" s="12" t="s">
        <v>112</v>
      </c>
      <c r="J10" s="35"/>
      <c r="K10" s="35"/>
      <c r="L10" s="35"/>
      <c r="M10" s="35"/>
      <c r="N10" s="35"/>
      <c r="O10" s="35"/>
    </row>
    <row r="11" spans="1:26" ht="15" customHeight="1">
      <c r="A11" s="148" t="s">
        <v>158</v>
      </c>
      <c r="B11" s="150" t="s">
        <v>159</v>
      </c>
      <c r="C11" s="157"/>
      <c r="D11" s="18" t="s">
        <v>160</v>
      </c>
      <c r="E11" s="151"/>
      <c r="F11" s="151"/>
      <c r="G11" s="151"/>
      <c r="H11" s="1"/>
      <c r="I11" s="1"/>
      <c r="J11" s="36"/>
      <c r="K11" s="36"/>
      <c r="L11" s="36"/>
      <c r="M11" s="36"/>
      <c r="N11" s="36"/>
      <c r="O11" s="36"/>
    </row>
    <row r="12" spans="1:26" ht="15" customHeight="1">
      <c r="A12" s="148"/>
      <c r="B12" s="150"/>
      <c r="C12" s="157"/>
      <c r="D12" s="23" t="s">
        <v>161</v>
      </c>
      <c r="E12" s="151"/>
      <c r="F12" s="151"/>
      <c r="G12" s="151"/>
      <c r="H12" s="1"/>
      <c r="I12" s="1"/>
      <c r="J12" s="36"/>
      <c r="K12" s="36"/>
      <c r="L12" s="36"/>
      <c r="M12" s="36"/>
      <c r="N12" s="36"/>
      <c r="O12" s="36"/>
    </row>
    <row r="13" spans="1:26">
      <c r="A13" s="39"/>
      <c r="B13" s="18"/>
      <c r="C13" s="40"/>
      <c r="D13" s="39"/>
      <c r="E13" s="41"/>
      <c r="I13" s="41"/>
    </row>
    <row r="14" spans="1:26">
      <c r="A14" s="13"/>
      <c r="B14" s="9"/>
      <c r="C14" s="23"/>
      <c r="D14" s="18"/>
      <c r="E14" s="42"/>
      <c r="F14" s="42"/>
      <c r="G14" s="42"/>
      <c r="H14" s="42"/>
      <c r="I14" s="42"/>
    </row>
    <row r="15" spans="1:26">
      <c r="F15" s="36"/>
      <c r="G15" s="36"/>
      <c r="H15" s="36"/>
      <c r="I15" s="36"/>
    </row>
    <row r="16" spans="1:26">
      <c r="F16" s="36"/>
      <c r="G16" s="36"/>
      <c r="H16" s="36"/>
      <c r="I16" s="36"/>
    </row>
  </sheetData>
  <mergeCells count="29">
    <mergeCell ref="A1:C1"/>
    <mergeCell ref="O1:Z1"/>
    <mergeCell ref="B2:B3"/>
    <mergeCell ref="C2:C3"/>
    <mergeCell ref="D2:D3"/>
    <mergeCell ref="E2:E3"/>
    <mergeCell ref="F2:F3"/>
    <mergeCell ref="G2:G3"/>
    <mergeCell ref="H2:H3"/>
    <mergeCell ref="I2:I3"/>
    <mergeCell ref="J2:J3"/>
    <mergeCell ref="O2:P2"/>
    <mergeCell ref="Q2:R2"/>
    <mergeCell ref="D1:J1"/>
    <mergeCell ref="A9:I9"/>
    <mergeCell ref="S2:T2"/>
    <mergeCell ref="U2:V2"/>
    <mergeCell ref="W2:X2"/>
    <mergeCell ref="Y2:Z2"/>
    <mergeCell ref="B4:B7"/>
    <mergeCell ref="A4:A7"/>
    <mergeCell ref="C4:C8"/>
    <mergeCell ref="K2:L2"/>
    <mergeCell ref="M2:N2"/>
    <mergeCell ref="A11:A12"/>
    <mergeCell ref="B11:B12"/>
    <mergeCell ref="C11:C12"/>
    <mergeCell ref="E11:G11"/>
    <mergeCell ref="E12:G12"/>
  </mergeCells>
  <phoneticPr fontId="15" type="noConversion"/>
  <conditionalFormatting sqref="H11:H12">
    <cfRule type="containsText" dxfId="36" priority="1" operator="containsText" text="Not Started">
      <formula>NOT(ISERROR(SEARCH("Not Started",H11)))</formula>
    </cfRule>
    <cfRule type="containsText" dxfId="35" priority="2" operator="containsText" text="In Progress">
      <formula>NOT(ISERROR(SEARCH("In Progress",H11)))</formula>
    </cfRule>
    <cfRule type="containsText" dxfId="34" priority="3" operator="containsText" text="Complete">
      <formula>NOT(ISERROR(SEARCH("Complete",H11)))</formula>
    </cfRule>
  </conditionalFormatting>
  <dataValidations count="1">
    <dataValidation type="list" allowBlank="1" showInputMessage="1" showErrorMessage="1" sqref="H11:H12"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AB39"/>
  <sheetViews>
    <sheetView zoomScale="70" zoomScaleNormal="70" workbookViewId="0">
      <pane xSplit="8" ySplit="3" topLeftCell="X5" activePane="bottomRight" state="frozen"/>
      <selection pane="bottomRight" activeCell="C4" sqref="C4:C10"/>
      <selection pane="bottomLeft" activeCell="V17" sqref="V17"/>
      <selection pane="topRight" activeCell="V17" sqref="V17"/>
    </sheetView>
  </sheetViews>
  <sheetFormatPr defaultColWidth="8.7109375" defaultRowHeight="15" customHeight="1"/>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5" hidden="1" customWidth="1"/>
    <col min="16" max="16" width="55" style="15" hidden="1" customWidth="1"/>
    <col min="17" max="17" width="9.85546875" style="15" hidden="1" customWidth="1"/>
    <col min="18" max="18" width="55.7109375" style="15" hidden="1" customWidth="1"/>
    <col min="19" max="19" width="9.85546875" style="15" customWidth="1"/>
    <col min="20" max="20" width="55.42578125" style="15" customWidth="1"/>
    <col min="21" max="21" width="10" style="15" customWidth="1"/>
    <col min="22" max="22" width="55.28515625" style="15" customWidth="1"/>
    <col min="23" max="23" width="10.140625" style="15" customWidth="1"/>
    <col min="24" max="24" width="56" style="15" customWidth="1"/>
    <col min="25" max="25" width="10.140625" style="15" customWidth="1"/>
    <col min="26" max="26" width="55.42578125" style="15" customWidth="1"/>
    <col min="27" max="27" width="8.7109375" style="15"/>
    <col min="28" max="28" width="54.140625" style="15" customWidth="1"/>
    <col min="29" max="16384" width="8.7109375" style="15"/>
  </cols>
  <sheetData>
    <row r="1" spans="1:28"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8"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c r="AA2" s="150" t="s">
        <v>45</v>
      </c>
      <c r="AB2" s="150"/>
    </row>
    <row r="3" spans="1:28" ht="14.45">
      <c r="A3" s="19">
        <f>COUNTIF(D4:D12,"&lt;&gt;")</f>
        <v>8</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9" t="s">
        <v>46</v>
      </c>
      <c r="AB3" s="9" t="s">
        <v>12</v>
      </c>
    </row>
    <row r="4" spans="1:28" s="16" customFormat="1" ht="115.15">
      <c r="A4" s="148" t="s">
        <v>162</v>
      </c>
      <c r="B4" s="150" t="s">
        <v>163</v>
      </c>
      <c r="C4" s="159" t="s">
        <v>164</v>
      </c>
      <c r="D4" s="23" t="s">
        <v>165</v>
      </c>
      <c r="E4" s="75" t="s">
        <v>166</v>
      </c>
      <c r="F4" s="7">
        <v>1.1299999999999999E-2</v>
      </c>
      <c r="G4" s="7" t="s">
        <v>127</v>
      </c>
      <c r="H4" s="2" t="s">
        <v>167</v>
      </c>
      <c r="I4" s="26"/>
      <c r="J4" s="161"/>
      <c r="K4" s="7"/>
      <c r="L4" s="7"/>
      <c r="M4" s="7"/>
      <c r="N4" s="7"/>
      <c r="O4" s="29"/>
      <c r="P4" s="25"/>
      <c r="Q4" s="29"/>
      <c r="R4" s="25"/>
      <c r="S4" s="29"/>
      <c r="T4" s="71" t="s">
        <v>168</v>
      </c>
      <c r="U4" s="70">
        <v>0</v>
      </c>
      <c r="V4" s="71"/>
      <c r="W4" s="70">
        <v>5</v>
      </c>
      <c r="X4" s="25" t="s">
        <v>169</v>
      </c>
      <c r="Y4" s="29">
        <v>10</v>
      </c>
      <c r="Z4" s="25" t="s">
        <v>170</v>
      </c>
      <c r="AA4" s="29"/>
      <c r="AB4" s="25"/>
    </row>
    <row r="5" spans="1:28" ht="145.5" customHeight="1">
      <c r="A5" s="148"/>
      <c r="B5" s="150"/>
      <c r="C5" s="160"/>
      <c r="D5" s="18" t="s">
        <v>171</v>
      </c>
      <c r="E5" s="75" t="s">
        <v>172</v>
      </c>
      <c r="F5" s="7">
        <v>1</v>
      </c>
      <c r="G5" s="29" t="s">
        <v>173</v>
      </c>
      <c r="H5" s="7" t="s">
        <v>174</v>
      </c>
      <c r="I5" s="26"/>
      <c r="J5" s="161"/>
      <c r="K5" s="7"/>
      <c r="L5" s="7"/>
      <c r="M5" s="7"/>
      <c r="N5" s="7"/>
      <c r="O5" s="29"/>
      <c r="P5" s="25"/>
      <c r="Q5" s="29"/>
      <c r="R5" s="25"/>
      <c r="S5"/>
      <c r="T5" s="71" t="s">
        <v>175</v>
      </c>
      <c r="U5" s="70">
        <v>0</v>
      </c>
      <c r="V5" s="71"/>
      <c r="W5" s="29">
        <v>1</v>
      </c>
      <c r="X5" s="25" t="s">
        <v>176</v>
      </c>
      <c r="Y5" s="106">
        <v>0</v>
      </c>
      <c r="Z5" s="25" t="s">
        <v>177</v>
      </c>
      <c r="AA5" s="29"/>
      <c r="AB5" s="25"/>
    </row>
    <row r="6" spans="1:28" ht="172.9">
      <c r="A6" s="148"/>
      <c r="B6" s="150"/>
      <c r="C6" s="160"/>
      <c r="D6" s="18" t="s">
        <v>178</v>
      </c>
      <c r="E6" s="75" t="s">
        <v>179</v>
      </c>
      <c r="F6" s="73">
        <v>700</v>
      </c>
      <c r="G6" s="29" t="s">
        <v>180</v>
      </c>
      <c r="H6" s="7" t="s">
        <v>70</v>
      </c>
      <c r="I6" s="26"/>
      <c r="J6" s="161"/>
      <c r="K6" s="7"/>
      <c r="L6" s="7"/>
      <c r="M6" s="7"/>
      <c r="N6" s="7"/>
      <c r="O6" s="29"/>
      <c r="P6" s="25"/>
      <c r="Q6" s="29"/>
      <c r="R6" s="25"/>
      <c r="S6" s="29"/>
      <c r="T6" s="71" t="s">
        <v>181</v>
      </c>
      <c r="U6" s="70">
        <v>10</v>
      </c>
      <c r="V6" s="27" t="s">
        <v>182</v>
      </c>
      <c r="W6" s="29" t="s">
        <v>64</v>
      </c>
      <c r="X6" s="117" t="s">
        <v>183</v>
      </c>
      <c r="Y6" s="29">
        <f>1+1+1</f>
        <v>3</v>
      </c>
      <c r="Z6" s="25" t="s">
        <v>184</v>
      </c>
      <c r="AA6" s="29">
        <v>1</v>
      </c>
      <c r="AB6" s="76"/>
    </row>
    <row r="7" spans="1:28" ht="409.6">
      <c r="A7" s="148"/>
      <c r="B7" s="150"/>
      <c r="C7" s="160"/>
      <c r="D7" s="23" t="s">
        <v>185</v>
      </c>
      <c r="E7" s="75" t="s">
        <v>186</v>
      </c>
      <c r="F7" s="73">
        <v>23</v>
      </c>
      <c r="G7" s="7" t="s">
        <v>77</v>
      </c>
      <c r="H7" s="7" t="s">
        <v>78</v>
      </c>
      <c r="I7" s="26"/>
      <c r="J7" s="161"/>
      <c r="K7" s="7"/>
      <c r="L7" s="7"/>
      <c r="M7" s="7"/>
      <c r="N7" s="7"/>
      <c r="O7" s="29"/>
      <c r="P7" s="25"/>
      <c r="Q7" s="29"/>
      <c r="R7" s="25"/>
      <c r="S7" s="29"/>
      <c r="T7" s="71" t="s">
        <v>187</v>
      </c>
      <c r="U7" s="2">
        <f>29+4</f>
        <v>33</v>
      </c>
      <c r="V7" s="69" t="s">
        <v>188</v>
      </c>
      <c r="W7" s="29" t="s">
        <v>64</v>
      </c>
      <c r="X7" s="117" t="s">
        <v>189</v>
      </c>
      <c r="Y7" s="29">
        <f>14+666+94</f>
        <v>774</v>
      </c>
      <c r="Z7" s="25" t="s">
        <v>190</v>
      </c>
      <c r="AA7" s="29"/>
      <c r="AB7" s="75"/>
    </row>
    <row r="8" spans="1:28" ht="126.75" customHeight="1">
      <c r="A8" s="148"/>
      <c r="B8" s="150"/>
      <c r="C8" s="160"/>
      <c r="D8" s="23" t="s">
        <v>191</v>
      </c>
      <c r="E8" s="72" t="s">
        <v>192</v>
      </c>
      <c r="F8" s="73">
        <v>124</v>
      </c>
      <c r="G8" s="7" t="s">
        <v>77</v>
      </c>
      <c r="H8" s="7" t="s">
        <v>78</v>
      </c>
      <c r="I8" s="26"/>
      <c r="J8" s="161"/>
      <c r="K8" s="7"/>
      <c r="L8" s="7"/>
      <c r="M8" s="7"/>
      <c r="N8" s="7"/>
      <c r="O8" s="29"/>
      <c r="P8" s="25"/>
      <c r="Q8" s="29"/>
      <c r="R8" s="25"/>
      <c r="S8" s="29"/>
      <c r="T8" s="71" t="s">
        <v>193</v>
      </c>
      <c r="U8" s="70">
        <v>23</v>
      </c>
      <c r="V8" s="71" t="s">
        <v>194</v>
      </c>
      <c r="W8" s="29" t="s">
        <v>64</v>
      </c>
      <c r="X8" s="76" t="s">
        <v>195</v>
      </c>
      <c r="Y8" s="29">
        <f>4+3+19</f>
        <v>26</v>
      </c>
      <c r="Z8" s="25" t="s">
        <v>196</v>
      </c>
      <c r="AA8" s="29"/>
      <c r="AB8" s="25"/>
    </row>
    <row r="9" spans="1:28" ht="57.6">
      <c r="A9" s="148"/>
      <c r="B9" s="150"/>
      <c r="C9" s="160"/>
      <c r="D9" s="18" t="s">
        <v>197</v>
      </c>
      <c r="E9" s="72" t="s">
        <v>198</v>
      </c>
      <c r="F9" s="73">
        <v>1022</v>
      </c>
      <c r="G9" s="29" t="s">
        <v>199</v>
      </c>
      <c r="H9" s="7" t="s">
        <v>53</v>
      </c>
      <c r="I9" s="26"/>
      <c r="J9" s="161"/>
      <c r="K9" s="7"/>
      <c r="L9" s="7"/>
      <c r="M9" s="7"/>
      <c r="N9" s="7"/>
      <c r="O9" s="29"/>
      <c r="P9" s="25"/>
      <c r="Q9" s="29"/>
      <c r="R9" s="25"/>
      <c r="S9" s="29"/>
      <c r="T9" s="71" t="s">
        <v>200</v>
      </c>
      <c r="U9" s="70">
        <v>1022</v>
      </c>
      <c r="V9" s="71" t="s">
        <v>201</v>
      </c>
      <c r="W9" s="29" t="s">
        <v>64</v>
      </c>
      <c r="X9" s="118" t="s">
        <v>202</v>
      </c>
      <c r="Y9" s="29">
        <v>0</v>
      </c>
      <c r="Z9" s="25" t="s">
        <v>203</v>
      </c>
      <c r="AA9" s="29"/>
      <c r="AB9" s="25"/>
    </row>
    <row r="10" spans="1:28" ht="136.5" customHeight="1">
      <c r="A10" s="148"/>
      <c r="B10" s="150"/>
      <c r="C10" s="160"/>
      <c r="D10" s="23" t="s">
        <v>204</v>
      </c>
      <c r="E10" s="75" t="s">
        <v>205</v>
      </c>
      <c r="F10" s="73">
        <v>2</v>
      </c>
      <c r="G10" s="7" t="s">
        <v>90</v>
      </c>
      <c r="H10" s="7" t="s">
        <v>145</v>
      </c>
      <c r="I10" s="26"/>
      <c r="J10" s="161"/>
      <c r="K10" s="7"/>
      <c r="L10" s="7"/>
      <c r="M10" s="7"/>
      <c r="N10" s="7"/>
      <c r="O10" s="29"/>
      <c r="P10" s="25"/>
      <c r="Q10" s="29"/>
      <c r="R10" s="25"/>
      <c r="S10" s="29"/>
      <c r="T10" s="25"/>
      <c r="U10" s="29">
        <f>700+1+23</f>
        <v>724</v>
      </c>
      <c r="V10" s="25" t="s">
        <v>206</v>
      </c>
      <c r="W10" s="105" t="s">
        <v>64</v>
      </c>
      <c r="X10" s="118" t="s">
        <v>207</v>
      </c>
      <c r="Y10" s="29">
        <v>6</v>
      </c>
      <c r="Z10" s="25" t="s">
        <v>208</v>
      </c>
      <c r="AA10" s="29"/>
      <c r="AB10" s="25"/>
    </row>
    <row r="11" spans="1:28" ht="237.75" customHeight="1">
      <c r="A11" s="12"/>
      <c r="B11" s="9"/>
      <c r="C11" s="115" t="s">
        <v>209</v>
      </c>
      <c r="D11" s="23" t="s">
        <v>210</v>
      </c>
      <c r="E11" s="22" t="s">
        <v>211</v>
      </c>
      <c r="F11" s="73"/>
      <c r="G11" s="7"/>
      <c r="H11" s="7"/>
      <c r="I11" s="26"/>
      <c r="J11" s="7"/>
      <c r="K11" s="7"/>
      <c r="L11" s="7"/>
      <c r="M11" s="7"/>
      <c r="N11" s="7"/>
      <c r="O11" s="29"/>
      <c r="P11" s="25"/>
      <c r="Q11" s="29"/>
      <c r="R11" s="25"/>
      <c r="S11" s="29"/>
      <c r="T11" s="25"/>
      <c r="U11" s="29"/>
      <c r="V11" s="25"/>
      <c r="W11" s="105">
        <v>1</v>
      </c>
      <c r="X11" s="118" t="s">
        <v>212</v>
      </c>
      <c r="Y11" s="29" t="s">
        <v>64</v>
      </c>
      <c r="Z11" s="25" t="s">
        <v>213</v>
      </c>
      <c r="AA11" s="29"/>
      <c r="AB11" s="25"/>
    </row>
    <row r="12" spans="1:28" ht="30.75" customHeight="1">
      <c r="A12" s="155" t="s">
        <v>5</v>
      </c>
      <c r="B12" s="155"/>
      <c r="C12" s="155"/>
      <c r="D12" s="155"/>
      <c r="E12" s="155"/>
      <c r="F12" s="155"/>
      <c r="G12" s="155"/>
      <c r="H12" s="155"/>
      <c r="I12" s="155"/>
      <c r="O12" s="16"/>
      <c r="P12" s="16"/>
      <c r="Q12" s="16"/>
      <c r="R12" s="16"/>
      <c r="S12" s="16"/>
      <c r="T12" s="16"/>
      <c r="U12" s="16"/>
      <c r="V12" s="16"/>
      <c r="W12" s="16"/>
      <c r="X12" s="16"/>
      <c r="Y12" s="16"/>
      <c r="Z12" s="16"/>
    </row>
    <row r="13" spans="1:28" ht="30.75" customHeight="1">
      <c r="A13" s="12"/>
      <c r="B13" s="9" t="s">
        <v>109</v>
      </c>
      <c r="C13" s="23"/>
      <c r="D13" s="9" t="s">
        <v>110</v>
      </c>
      <c r="E13" s="12" t="s">
        <v>12</v>
      </c>
      <c r="F13" s="12"/>
      <c r="G13" s="12"/>
      <c r="H13" s="12" t="s">
        <v>111</v>
      </c>
      <c r="I13" s="12" t="s">
        <v>112</v>
      </c>
    </row>
    <row r="14" spans="1:28" ht="29.25" customHeight="1">
      <c r="A14" s="148" t="s">
        <v>214</v>
      </c>
      <c r="B14" s="150" t="s">
        <v>215</v>
      </c>
      <c r="C14" s="150"/>
      <c r="D14" s="18" t="s">
        <v>216</v>
      </c>
      <c r="E14" s="151"/>
      <c r="F14" s="151"/>
      <c r="G14" s="151"/>
      <c r="H14" s="1"/>
      <c r="I14" s="1"/>
    </row>
    <row r="15" spans="1:28" ht="30.75" customHeight="1">
      <c r="A15" s="148"/>
      <c r="B15" s="150"/>
      <c r="C15" s="150"/>
      <c r="D15" s="23" t="s">
        <v>217</v>
      </c>
      <c r="E15" s="151"/>
      <c r="F15" s="151"/>
      <c r="G15" s="151"/>
      <c r="H15" s="1"/>
      <c r="I15" s="1"/>
    </row>
    <row r="16" spans="1:28" ht="14.45">
      <c r="A16" s="148"/>
      <c r="B16" s="150"/>
      <c r="C16" s="150"/>
      <c r="D16" s="23" t="s">
        <v>218</v>
      </c>
      <c r="E16" s="151"/>
      <c r="F16" s="151"/>
      <c r="G16" s="151"/>
      <c r="H16" s="1"/>
      <c r="I16"/>
    </row>
    <row r="17" spans="1:21" ht="14.45">
      <c r="A17" s="148"/>
      <c r="B17" s="150"/>
      <c r="C17" s="150"/>
      <c r="D17" s="23" t="s">
        <v>219</v>
      </c>
      <c r="E17" s="151"/>
      <c r="F17" s="151"/>
      <c r="G17" s="151"/>
      <c r="H17" s="1"/>
      <c r="I17"/>
    </row>
    <row r="18" spans="1:21" ht="14.45" customHeight="1">
      <c r="A18" s="148"/>
      <c r="B18" s="150"/>
      <c r="C18" s="150"/>
      <c r="D18" s="23" t="s">
        <v>220</v>
      </c>
      <c r="E18" s="151"/>
      <c r="F18" s="151"/>
      <c r="G18" s="151"/>
      <c r="H18" s="1"/>
      <c r="I18"/>
    </row>
    <row r="19" spans="1:21" ht="14.45" customHeight="1">
      <c r="A19" s="148"/>
      <c r="B19" s="150"/>
      <c r="C19" s="150"/>
      <c r="D19" s="23" t="s">
        <v>221</v>
      </c>
      <c r="E19" s="151"/>
      <c r="F19" s="151"/>
      <c r="G19" s="151"/>
      <c r="H19" s="1"/>
      <c r="I19"/>
    </row>
    <row r="20" spans="1:21" ht="14.45">
      <c r="A20" s="13"/>
    </row>
    <row r="21" spans="1:21" ht="14.45">
      <c r="A21" s="13"/>
    </row>
    <row r="22" spans="1:21" ht="14.45">
      <c r="A22" s="39"/>
    </row>
    <row r="23" spans="1:21" ht="14.45">
      <c r="A23" s="13"/>
    </row>
    <row r="24" spans="1:21" ht="14.45"/>
    <row r="25" spans="1:21" ht="14.45"/>
    <row r="26" spans="1:21" ht="14.45"/>
    <row r="27" spans="1:21" ht="14.45"/>
    <row r="28" spans="1:21" ht="14.45">
      <c r="E28" s="43"/>
      <c r="F28" s="16"/>
      <c r="G28" s="16"/>
      <c r="H28" s="16"/>
    </row>
    <row r="29" spans="1:21" ht="14.45">
      <c r="I29" s="16"/>
      <c r="J29" s="16"/>
      <c r="K29" s="16"/>
      <c r="L29" s="16"/>
      <c r="M29" s="16"/>
      <c r="N29" s="16"/>
      <c r="O29" s="43"/>
      <c r="P29" s="43"/>
      <c r="Q29" s="43"/>
      <c r="R29" s="43"/>
      <c r="S29" s="43"/>
      <c r="T29" s="43"/>
      <c r="U29" s="43"/>
    </row>
    <row r="30" spans="1:21" ht="14.45"/>
    <row r="31" spans="1:21" ht="14.45"/>
    <row r="32" spans="1:21" ht="14.45"/>
    <row r="37" ht="14.45"/>
    <row r="38" ht="14.45"/>
    <row r="39" ht="14.45"/>
  </sheetData>
  <mergeCells count="35">
    <mergeCell ref="J4:J10"/>
    <mergeCell ref="W2:X2"/>
    <mergeCell ref="M2:N2"/>
    <mergeCell ref="O2:P2"/>
    <mergeCell ref="S2:T2"/>
    <mergeCell ref="K2:L2"/>
    <mergeCell ref="AA2:AB2"/>
    <mergeCell ref="U2:V2"/>
    <mergeCell ref="Y2:Z2"/>
    <mergeCell ref="B14:B19"/>
    <mergeCell ref="A12:I12"/>
    <mergeCell ref="C14:C19"/>
    <mergeCell ref="A14:A19"/>
    <mergeCell ref="E16:G16"/>
    <mergeCell ref="E17:G17"/>
    <mergeCell ref="E18:G18"/>
    <mergeCell ref="E19:G19"/>
    <mergeCell ref="E15:G15"/>
    <mergeCell ref="E14:G14"/>
    <mergeCell ref="C4:C10"/>
    <mergeCell ref="B4:B10"/>
    <mergeCell ref="A4:A10"/>
    <mergeCell ref="A1:C1"/>
    <mergeCell ref="O1:Z1"/>
    <mergeCell ref="B2:B3"/>
    <mergeCell ref="C2:C3"/>
    <mergeCell ref="D2:D3"/>
    <mergeCell ref="E2:E3"/>
    <mergeCell ref="F2:F3"/>
    <mergeCell ref="G2:G3"/>
    <mergeCell ref="H2:H3"/>
    <mergeCell ref="I2:I3"/>
    <mergeCell ref="J2:J3"/>
    <mergeCell ref="Q2:R2"/>
    <mergeCell ref="D1:J1"/>
  </mergeCells>
  <phoneticPr fontId="15" type="noConversion"/>
  <conditionalFormatting sqref="H14:H19">
    <cfRule type="containsText" dxfId="33" priority="4" operator="containsText" text="Not Started">
      <formula>NOT(ISERROR(SEARCH("Not Started",H14)))</formula>
    </cfRule>
    <cfRule type="containsText" dxfId="32" priority="5" operator="containsText" text="In Progress">
      <formula>NOT(ISERROR(SEARCH("In Progress",H14)))</formula>
    </cfRule>
    <cfRule type="containsText" dxfId="31" priority="6" operator="containsText" text="Complete">
      <formula>NOT(ISERROR(SEARCH("Complete",H14)))</formula>
    </cfRule>
  </conditionalFormatting>
  <dataValidations count="1">
    <dataValidation type="list" allowBlank="1" showInputMessage="1" showErrorMessage="1" sqref="H14:H19"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AB15"/>
  <sheetViews>
    <sheetView zoomScale="85" zoomScaleNormal="85" workbookViewId="0">
      <pane xSplit="8" ySplit="3" topLeftCell="X4" activePane="bottomRight" state="frozen"/>
      <selection pane="bottomRight" activeCell="Z6" sqref="Z6"/>
      <selection pane="bottomLeft" activeCell="A4" sqref="A4"/>
      <selection pane="topRight" activeCell="I1" sqref="I1"/>
    </sheetView>
  </sheetViews>
  <sheetFormatPr defaultColWidth="9.14062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24.140625" style="15" customWidth="1"/>
    <col min="7" max="7" width="15" style="15" customWidth="1"/>
    <col min="8" max="8" width="11.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5" hidden="1" customWidth="1"/>
    <col min="16" max="16" width="55" style="15" hidden="1" customWidth="1"/>
    <col min="17" max="17" width="9.85546875" style="15" hidden="1" customWidth="1"/>
    <col min="18" max="18" width="55.7109375" style="15" hidden="1" customWidth="1"/>
    <col min="19" max="19" width="9.85546875" style="15" customWidth="1"/>
    <col min="20" max="20" width="55.42578125" style="15" customWidth="1"/>
    <col min="21" max="21" width="10" style="15" customWidth="1"/>
    <col min="22" max="22" width="55.28515625" style="15" customWidth="1"/>
    <col min="23" max="23" width="10.140625" style="15" customWidth="1"/>
    <col min="24" max="24" width="56" style="15" customWidth="1"/>
    <col min="25" max="25" width="10.140625" style="15" customWidth="1"/>
    <col min="26" max="26" width="55.42578125" style="15" customWidth="1"/>
    <col min="27" max="27" width="9.140625" style="15"/>
    <col min="28" max="28" width="41" style="15" customWidth="1"/>
    <col min="29" max="16384" width="9.140625" style="15"/>
  </cols>
  <sheetData>
    <row r="1" spans="1:28"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8"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c r="AA2" s="150" t="s">
        <v>45</v>
      </c>
      <c r="AB2" s="150"/>
    </row>
    <row r="3" spans="1:28">
      <c r="A3" s="19">
        <f>COUNTIF(D4:D11,"&lt;&gt;")</f>
        <v>7</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9" t="s">
        <v>46</v>
      </c>
      <c r="AB3" s="9" t="s">
        <v>12</v>
      </c>
    </row>
    <row r="4" spans="1:28" s="16" customFormat="1" ht="216">
      <c r="A4" s="148" t="s">
        <v>222</v>
      </c>
      <c r="B4" s="150" t="s">
        <v>223</v>
      </c>
      <c r="C4" s="157" t="s">
        <v>224</v>
      </c>
      <c r="D4" s="23" t="s">
        <v>225</v>
      </c>
      <c r="E4" s="75" t="s">
        <v>226</v>
      </c>
      <c r="F4" s="70">
        <f>2+7</f>
        <v>9</v>
      </c>
      <c r="G4" s="29" t="s">
        <v>227</v>
      </c>
      <c r="H4" s="29" t="s">
        <v>152</v>
      </c>
      <c r="I4" s="26"/>
      <c r="J4" s="161"/>
      <c r="K4" s="7"/>
      <c r="L4" s="7"/>
      <c r="M4" s="7"/>
      <c r="N4" s="7"/>
      <c r="O4" s="29"/>
      <c r="P4" s="25"/>
      <c r="Q4" s="29"/>
      <c r="R4" s="25"/>
      <c r="S4" s="29"/>
      <c r="T4" s="81" t="s">
        <v>228</v>
      </c>
      <c r="U4" s="70">
        <v>6</v>
      </c>
      <c r="V4" s="25" t="s">
        <v>229</v>
      </c>
      <c r="W4" s="70">
        <v>1</v>
      </c>
      <c r="X4" s="25" t="s">
        <v>230</v>
      </c>
      <c r="Y4" s="70">
        <v>3</v>
      </c>
      <c r="Z4" s="25" t="s">
        <v>231</v>
      </c>
      <c r="AA4" s="106"/>
      <c r="AB4" s="25"/>
    </row>
    <row r="5" spans="1:28" ht="144">
      <c r="A5" s="148"/>
      <c r="B5" s="150"/>
      <c r="C5" s="157"/>
      <c r="D5" s="18" t="s">
        <v>232</v>
      </c>
      <c r="E5" s="75" t="s">
        <v>233</v>
      </c>
      <c r="F5" s="70">
        <v>8</v>
      </c>
      <c r="G5" s="29" t="s">
        <v>180</v>
      </c>
      <c r="H5" s="29" t="s">
        <v>70</v>
      </c>
      <c r="I5" s="25"/>
      <c r="J5" s="161"/>
      <c r="K5" s="7"/>
      <c r="L5" s="7"/>
      <c r="M5" s="7"/>
      <c r="N5" s="7"/>
      <c r="O5" s="29"/>
      <c r="P5" s="25"/>
      <c r="Q5" s="29"/>
      <c r="R5" s="25"/>
      <c r="S5" s="29"/>
      <c r="T5" s="26" t="s">
        <v>234</v>
      </c>
      <c r="U5" s="70">
        <f>1+1+1+1+1+1+2</f>
        <v>8</v>
      </c>
      <c r="V5" s="82" t="s">
        <v>235</v>
      </c>
      <c r="W5" s="2">
        <v>3</v>
      </c>
      <c r="X5" s="76" t="s">
        <v>236</v>
      </c>
      <c r="Y5" s="29">
        <v>4</v>
      </c>
      <c r="Z5" s="25" t="s">
        <v>237</v>
      </c>
      <c r="AA5" s="85"/>
      <c r="AB5" s="117" t="s">
        <v>238</v>
      </c>
    </row>
    <row r="6" spans="1:28" ht="201.6">
      <c r="A6" s="148"/>
      <c r="B6" s="150"/>
      <c r="C6" s="157"/>
      <c r="D6" s="23" t="s">
        <v>239</v>
      </c>
      <c r="E6" s="75" t="s">
        <v>240</v>
      </c>
      <c r="F6" s="70">
        <v>100</v>
      </c>
      <c r="G6" s="29" t="s">
        <v>77</v>
      </c>
      <c r="H6" s="29" t="s">
        <v>78</v>
      </c>
      <c r="I6" s="25"/>
      <c r="J6" s="161"/>
      <c r="K6" s="7"/>
      <c r="L6" s="7"/>
      <c r="M6" s="7"/>
      <c r="N6" s="7"/>
      <c r="O6" s="29"/>
      <c r="P6" s="25"/>
      <c r="Q6" s="29"/>
      <c r="R6" s="25"/>
      <c r="S6" s="29"/>
      <c r="T6" s="22" t="s">
        <v>241</v>
      </c>
      <c r="U6" s="70">
        <f>5+8+37-30+20+40+0+148+300+550</f>
        <v>1078</v>
      </c>
      <c r="V6" s="81" t="s">
        <v>242</v>
      </c>
      <c r="W6" s="29">
        <v>100</v>
      </c>
      <c r="X6" s="29" t="s">
        <v>243</v>
      </c>
      <c r="Y6" s="29">
        <f>100+157+ 1030</f>
        <v>1287</v>
      </c>
      <c r="Z6" s="108" t="s">
        <v>244</v>
      </c>
      <c r="AA6" s="29"/>
      <c r="AB6" s="21"/>
    </row>
    <row r="7" spans="1:28" ht="100.9">
      <c r="A7" s="12"/>
      <c r="B7" s="9"/>
      <c r="C7" s="23"/>
      <c r="D7" s="18" t="s">
        <v>245</v>
      </c>
      <c r="E7" s="76" t="s">
        <v>246</v>
      </c>
      <c r="F7" s="78">
        <v>1</v>
      </c>
      <c r="G7" s="2" t="s">
        <v>85</v>
      </c>
      <c r="H7" s="29" t="s">
        <v>86</v>
      </c>
      <c r="I7" s="25"/>
      <c r="J7" s="7"/>
      <c r="K7" s="7"/>
      <c r="L7" s="7"/>
      <c r="M7" s="7"/>
      <c r="N7" s="7"/>
      <c r="O7" s="29"/>
      <c r="P7" s="25"/>
      <c r="Q7" s="29"/>
      <c r="R7" s="25"/>
      <c r="S7" s="29"/>
      <c r="T7" s="71" t="s">
        <v>247</v>
      </c>
      <c r="U7" s="80">
        <v>1</v>
      </c>
      <c r="V7" s="25"/>
      <c r="W7" s="2" t="s">
        <v>248</v>
      </c>
      <c r="X7" s="27" t="s">
        <v>249</v>
      </c>
      <c r="Y7" s="29" t="s">
        <v>250</v>
      </c>
      <c r="Z7" s="25" t="s">
        <v>251</v>
      </c>
      <c r="AA7" s="78"/>
      <c r="AB7" s="25"/>
    </row>
    <row r="8" spans="1:28" ht="43.15">
      <c r="A8" s="12"/>
      <c r="B8" s="9"/>
      <c r="C8" s="23"/>
      <c r="D8" s="23" t="s">
        <v>252</v>
      </c>
      <c r="E8" s="72" t="s">
        <v>89</v>
      </c>
      <c r="F8" s="70">
        <v>1</v>
      </c>
      <c r="G8" s="29"/>
      <c r="H8" s="29"/>
      <c r="I8" s="25"/>
      <c r="J8" s="7"/>
      <c r="K8" s="7"/>
      <c r="L8" s="7"/>
      <c r="M8" s="7"/>
      <c r="N8" s="7"/>
      <c r="O8" s="29"/>
      <c r="P8" s="25"/>
      <c r="Q8" s="29"/>
      <c r="R8" s="25"/>
      <c r="S8" s="29"/>
      <c r="T8" s="25"/>
      <c r="U8" s="29">
        <v>1</v>
      </c>
      <c r="V8" s="25" t="s">
        <v>253</v>
      </c>
      <c r="W8" s="29">
        <v>1</v>
      </c>
      <c r="X8" s="29" t="s">
        <v>254</v>
      </c>
      <c r="Y8" s="29">
        <v>0</v>
      </c>
      <c r="Z8" s="25" t="s">
        <v>255</v>
      </c>
      <c r="AA8" s="29"/>
      <c r="AB8" s="25"/>
    </row>
    <row r="9" spans="1:28" ht="144">
      <c r="A9" s="12"/>
      <c r="B9" s="9"/>
      <c r="C9" s="23"/>
      <c r="D9" s="23" t="s">
        <v>256</v>
      </c>
      <c r="E9" s="109" t="s">
        <v>257</v>
      </c>
      <c r="F9" s="110">
        <v>4</v>
      </c>
      <c r="G9" s="111" t="s">
        <v>258</v>
      </c>
      <c r="H9" s="111" t="s">
        <v>259</v>
      </c>
      <c r="I9" s="112"/>
      <c r="J9" s="113"/>
      <c r="K9" s="113"/>
      <c r="L9" s="113"/>
      <c r="M9" s="113"/>
      <c r="N9" s="113"/>
      <c r="O9" s="111"/>
      <c r="P9" s="112"/>
      <c r="Q9" s="111"/>
      <c r="R9" s="112"/>
      <c r="S9" s="111"/>
      <c r="T9" s="112"/>
      <c r="U9" s="111"/>
      <c r="V9" s="112"/>
      <c r="W9" s="111">
        <v>4</v>
      </c>
      <c r="X9" s="112" t="s">
        <v>260</v>
      </c>
      <c r="Y9" s="111">
        <v>4</v>
      </c>
      <c r="Z9" s="112" t="s">
        <v>261</v>
      </c>
      <c r="AA9" s="29"/>
      <c r="AB9" s="25"/>
    </row>
    <row r="10" spans="1:28" ht="129.6">
      <c r="A10" s="12"/>
      <c r="B10" s="9"/>
      <c r="C10" s="23"/>
      <c r="D10" s="23" t="s">
        <v>262</v>
      </c>
      <c r="E10" s="72" t="s">
        <v>263</v>
      </c>
      <c r="F10" s="70">
        <v>1</v>
      </c>
      <c r="G10" s="29" t="s">
        <v>264</v>
      </c>
      <c r="H10" s="29" t="s">
        <v>265</v>
      </c>
      <c r="I10" s="25"/>
      <c r="J10" s="7"/>
      <c r="K10" s="7"/>
      <c r="L10" s="7"/>
      <c r="M10" s="7"/>
      <c r="N10" s="7"/>
      <c r="O10" s="29"/>
      <c r="P10" s="25"/>
      <c r="Q10" s="29"/>
      <c r="R10" s="25"/>
      <c r="S10" s="29"/>
      <c r="T10" s="27" t="s">
        <v>266</v>
      </c>
      <c r="U10" s="29"/>
      <c r="V10" s="25"/>
      <c r="W10" s="29">
        <v>1</v>
      </c>
      <c r="X10" s="84" t="s">
        <v>267</v>
      </c>
      <c r="Y10" s="29">
        <v>0</v>
      </c>
      <c r="Z10" s="25" t="s">
        <v>268</v>
      </c>
      <c r="AA10" s="29"/>
      <c r="AB10" s="25"/>
    </row>
    <row r="11" spans="1:28" ht="30.75" customHeight="1">
      <c r="A11" s="155" t="s">
        <v>5</v>
      </c>
      <c r="B11" s="155"/>
      <c r="C11" s="155"/>
      <c r="D11" s="155"/>
      <c r="E11" s="155"/>
      <c r="F11" s="155"/>
      <c r="G11" s="155"/>
      <c r="H11" s="155"/>
      <c r="I11" s="155"/>
      <c r="O11" s="16"/>
      <c r="P11" s="16"/>
      <c r="Q11" s="16"/>
      <c r="R11" s="16"/>
      <c r="S11" s="16"/>
      <c r="T11" s="16"/>
      <c r="U11" s="16"/>
      <c r="V11" s="16"/>
      <c r="W11" s="16"/>
      <c r="X11" s="16"/>
      <c r="Y11" s="16"/>
      <c r="Z11" s="16"/>
    </row>
    <row r="12" spans="1:28" ht="30.75" customHeight="1">
      <c r="A12" s="12"/>
      <c r="B12" s="12" t="s">
        <v>109</v>
      </c>
      <c r="C12" s="20"/>
      <c r="D12" s="12" t="s">
        <v>110</v>
      </c>
      <c r="E12" s="12" t="s">
        <v>12</v>
      </c>
      <c r="F12" s="12"/>
      <c r="G12" s="12"/>
      <c r="H12" s="12" t="s">
        <v>111</v>
      </c>
      <c r="I12" s="12" t="s">
        <v>112</v>
      </c>
    </row>
    <row r="13" spans="1:28">
      <c r="A13" s="148" t="s">
        <v>269</v>
      </c>
      <c r="B13" s="150" t="s">
        <v>270</v>
      </c>
      <c r="C13" s="157"/>
      <c r="D13" s="18" t="s">
        <v>271</v>
      </c>
      <c r="E13" s="151"/>
      <c r="F13" s="151"/>
      <c r="G13" s="151"/>
      <c r="H13" s="1"/>
      <c r="I13" s="1"/>
    </row>
    <row r="14" spans="1:28" ht="30" customHeight="1">
      <c r="A14" s="148"/>
      <c r="B14" s="150"/>
      <c r="C14" s="157"/>
      <c r="D14" s="23" t="s">
        <v>272</v>
      </c>
      <c r="E14" s="151"/>
      <c r="F14" s="151"/>
      <c r="G14" s="151"/>
      <c r="H14" s="1"/>
      <c r="I14" s="1"/>
    </row>
    <row r="15" spans="1:28">
      <c r="A15" s="148"/>
      <c r="B15" s="150"/>
      <c r="C15" s="157"/>
      <c r="D15" s="23" t="s">
        <v>273</v>
      </c>
      <c r="E15" s="151"/>
      <c r="F15" s="151"/>
      <c r="G15" s="151"/>
      <c r="H15" s="1"/>
      <c r="I15" s="1"/>
    </row>
  </sheetData>
  <mergeCells count="32">
    <mergeCell ref="A11:I11"/>
    <mergeCell ref="A4:A6"/>
    <mergeCell ref="A1:C1"/>
    <mergeCell ref="O1:Z1"/>
    <mergeCell ref="B2:B3"/>
    <mergeCell ref="C2:C3"/>
    <mergeCell ref="D2:D3"/>
    <mergeCell ref="E2:E3"/>
    <mergeCell ref="F2:F3"/>
    <mergeCell ref="G2:G3"/>
    <mergeCell ref="H2:H3"/>
    <mergeCell ref="J4:J6"/>
    <mergeCell ref="W2:X2"/>
    <mergeCell ref="Y2:Z2"/>
    <mergeCell ref="I2:I3"/>
    <mergeCell ref="J2:J3"/>
    <mergeCell ref="A13:A15"/>
    <mergeCell ref="B13:B15"/>
    <mergeCell ref="C13:C15"/>
    <mergeCell ref="E13:G13"/>
    <mergeCell ref="E14:G14"/>
    <mergeCell ref="E15:G15"/>
    <mergeCell ref="AA2:AB2"/>
    <mergeCell ref="B4:B6"/>
    <mergeCell ref="C4:C6"/>
    <mergeCell ref="O2:P2"/>
    <mergeCell ref="D1:J1"/>
    <mergeCell ref="Q2:R2"/>
    <mergeCell ref="S2:T2"/>
    <mergeCell ref="U2:V2"/>
    <mergeCell ref="K2:L2"/>
    <mergeCell ref="M2:N2"/>
  </mergeCells>
  <phoneticPr fontId="15" type="noConversion"/>
  <conditionalFormatting sqref="H13:H15">
    <cfRule type="containsText" dxfId="30" priority="1" operator="containsText" text="Not Started">
      <formula>NOT(ISERROR(SEARCH("Not Started",H13)))</formula>
    </cfRule>
    <cfRule type="containsText" dxfId="29" priority="2" operator="containsText" text="In Progress">
      <formula>NOT(ISERROR(SEARCH("In Progress",H13)))</formula>
    </cfRule>
    <cfRule type="containsText" dxfId="28" priority="3" operator="containsText" text="Complete">
      <formula>NOT(ISERROR(SEARCH("Complete",H13)))</formula>
    </cfRule>
  </conditionalFormatting>
  <dataValidations disablePrompts="1" count="1">
    <dataValidation type="list" allowBlank="1" showInputMessage="1" showErrorMessage="1" sqref="H13:H15"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Z25"/>
  <sheetViews>
    <sheetView zoomScale="70" zoomScaleNormal="70" workbookViewId="0">
      <pane xSplit="8" ySplit="3" topLeftCell="V4" activePane="bottomRight" state="frozen"/>
      <selection pane="bottomRight" activeCell="Z5" sqref="Z5"/>
      <selection pane="bottomLeft" activeCell="A4" sqref="A4"/>
      <selection pane="topRight" activeCell="I1" sqref="I1"/>
    </sheetView>
  </sheetViews>
  <sheetFormatPr defaultColWidth="9.140625" defaultRowHeight="14.45"/>
  <cols>
    <col min="1" max="1" width="16.28515625" style="15" customWidth="1"/>
    <col min="2" max="2" width="10.855468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5" hidden="1" customWidth="1"/>
    <col min="16" max="16" width="55" style="15" hidden="1" customWidth="1"/>
    <col min="17" max="17" width="9.85546875" style="15" hidden="1" customWidth="1"/>
    <col min="18" max="18" width="55.7109375" style="15" hidden="1" customWidth="1"/>
    <col min="19" max="19" width="9.85546875" style="15" customWidth="1"/>
    <col min="20" max="20" width="55.42578125" style="15" customWidth="1"/>
    <col min="21" max="21" width="10" style="15" customWidth="1"/>
    <col min="22" max="22" width="55.28515625" style="15" customWidth="1"/>
    <col min="23" max="23" width="10.140625" style="15" customWidth="1"/>
    <col min="24" max="24" width="56" style="15" customWidth="1"/>
    <col min="25" max="25" width="10.140625" style="15" customWidth="1"/>
    <col min="26" max="26" width="55.42578125" style="15" customWidth="1"/>
    <col min="27" max="16384" width="9.140625" style="15"/>
  </cols>
  <sheetData>
    <row r="1" spans="1:26"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6"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row>
    <row r="3" spans="1:26">
      <c r="A3" s="19">
        <f>COUNTIF(D4:D13,"&lt;&gt;")</f>
        <v>9</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row>
    <row r="4" spans="1:26" s="16" customFormat="1" ht="409.6">
      <c r="A4" s="148" t="s">
        <v>274</v>
      </c>
      <c r="B4" s="150" t="s">
        <v>275</v>
      </c>
      <c r="C4" s="150" t="s">
        <v>276</v>
      </c>
      <c r="D4" s="23" t="s">
        <v>277</v>
      </c>
      <c r="E4" s="69" t="s">
        <v>278</v>
      </c>
      <c r="F4" s="30">
        <v>1</v>
      </c>
      <c r="G4" s="2" t="s">
        <v>279</v>
      </c>
      <c r="H4" s="30" t="s">
        <v>53</v>
      </c>
      <c r="I4" s="28"/>
      <c r="J4" s="161"/>
      <c r="K4" s="7"/>
      <c r="L4" s="7"/>
      <c r="M4" s="7"/>
      <c r="N4" s="7"/>
      <c r="O4" s="29"/>
      <c r="P4" s="25"/>
      <c r="Q4" s="29"/>
      <c r="R4" s="25"/>
      <c r="S4" s="29"/>
      <c r="T4" s="27" t="s">
        <v>280</v>
      </c>
      <c r="U4" s="2">
        <v>1</v>
      </c>
      <c r="V4" s="95" t="s">
        <v>281</v>
      </c>
      <c r="W4" s="70">
        <v>1</v>
      </c>
      <c r="X4" s="27" t="s">
        <v>282</v>
      </c>
      <c r="Y4" s="29">
        <f>4+705.6</f>
        <v>709.6</v>
      </c>
      <c r="Z4" s="140" t="s">
        <v>283</v>
      </c>
    </row>
    <row r="5" spans="1:26" ht="158.44999999999999">
      <c r="A5" s="148"/>
      <c r="B5" s="150"/>
      <c r="C5" s="150"/>
      <c r="D5" s="18" t="s">
        <v>284</v>
      </c>
      <c r="E5" s="69" t="s">
        <v>285</v>
      </c>
      <c r="F5" s="2">
        <v>3</v>
      </c>
      <c r="G5" s="2" t="s">
        <v>279</v>
      </c>
      <c r="H5" s="30" t="s">
        <v>53</v>
      </c>
      <c r="I5" s="28"/>
      <c r="J5" s="161"/>
      <c r="K5" s="7"/>
      <c r="L5" s="7"/>
      <c r="M5" s="7"/>
      <c r="N5" s="7"/>
      <c r="O5" s="29"/>
      <c r="P5" s="25"/>
      <c r="Q5" s="29"/>
      <c r="R5" s="25"/>
      <c r="S5" s="29"/>
      <c r="T5" s="84" t="s">
        <v>286</v>
      </c>
      <c r="U5" s="2">
        <f>3+3</f>
        <v>6</v>
      </c>
      <c r="V5" s="84" t="s">
        <v>287</v>
      </c>
      <c r="W5" s="2">
        <v>1</v>
      </c>
      <c r="X5" s="27" t="s">
        <v>288</v>
      </c>
      <c r="Y5" s="29">
        <v>2</v>
      </c>
      <c r="Z5" s="27" t="s">
        <v>289</v>
      </c>
    </row>
    <row r="6" spans="1:26" ht="100.9">
      <c r="A6" s="148"/>
      <c r="B6" s="150"/>
      <c r="C6" s="150"/>
      <c r="D6" s="23" t="s">
        <v>290</v>
      </c>
      <c r="E6" s="76" t="s">
        <v>291</v>
      </c>
      <c r="F6" s="30">
        <v>15</v>
      </c>
      <c r="G6" s="29" t="s">
        <v>144</v>
      </c>
      <c r="H6" s="7" t="s">
        <v>145</v>
      </c>
      <c r="I6" s="26"/>
      <c r="J6" s="161"/>
      <c r="K6" s="7"/>
      <c r="L6" s="7"/>
      <c r="M6" s="7"/>
      <c r="N6" s="7"/>
      <c r="O6" s="29"/>
      <c r="P6" s="25"/>
      <c r="Q6" s="29"/>
      <c r="R6" s="25"/>
      <c r="S6" s="29"/>
      <c r="T6" s="96" t="s">
        <v>292</v>
      </c>
      <c r="U6" s="2">
        <f>12+2+1</f>
        <v>15</v>
      </c>
      <c r="V6" s="84" t="s">
        <v>293</v>
      </c>
      <c r="W6" s="29"/>
      <c r="X6" s="25"/>
      <c r="Y6" s="29" t="s">
        <v>64</v>
      </c>
      <c r="Z6" s="134" t="s">
        <v>294</v>
      </c>
    </row>
    <row r="7" spans="1:26" ht="115.15">
      <c r="A7" s="148"/>
      <c r="B7" s="150"/>
      <c r="C7" s="150"/>
      <c r="D7" s="18" t="s">
        <v>295</v>
      </c>
      <c r="E7" s="25" t="s">
        <v>296</v>
      </c>
      <c r="F7" s="7">
        <v>2</v>
      </c>
      <c r="G7" s="29" t="s">
        <v>180</v>
      </c>
      <c r="H7" s="7" t="s">
        <v>70</v>
      </c>
      <c r="I7" s="26"/>
      <c r="J7" s="161"/>
      <c r="K7" s="7"/>
      <c r="L7" s="7"/>
      <c r="M7" s="7"/>
      <c r="N7" s="7"/>
      <c r="O7" s="29"/>
      <c r="P7" s="25"/>
      <c r="Q7" s="29"/>
      <c r="R7" s="25"/>
      <c r="S7" s="29"/>
      <c r="T7" s="96" t="s">
        <v>297</v>
      </c>
      <c r="U7" s="2">
        <v>1</v>
      </c>
      <c r="V7" s="84" t="s">
        <v>298</v>
      </c>
      <c r="W7" s="29"/>
      <c r="X7" s="25"/>
      <c r="Y7" s="29">
        <v>1</v>
      </c>
      <c r="Z7" s="108" t="s">
        <v>299</v>
      </c>
    </row>
    <row r="8" spans="1:26" ht="201.6">
      <c r="A8" s="148"/>
      <c r="B8" s="150"/>
      <c r="C8" s="150"/>
      <c r="D8" s="18" t="s">
        <v>300</v>
      </c>
      <c r="E8" s="25" t="s">
        <v>301</v>
      </c>
      <c r="F8" s="7">
        <v>15</v>
      </c>
      <c r="G8" s="29" t="s">
        <v>77</v>
      </c>
      <c r="H8" s="7" t="s">
        <v>78</v>
      </c>
      <c r="I8" s="26"/>
      <c r="J8" s="161"/>
      <c r="K8" s="7"/>
      <c r="L8" s="7"/>
      <c r="M8" s="7"/>
      <c r="N8" s="7"/>
      <c r="O8" s="29"/>
      <c r="P8" s="25"/>
      <c r="Q8" s="29"/>
      <c r="R8" s="25"/>
      <c r="S8" s="29"/>
      <c r="T8" s="27" t="s">
        <v>302</v>
      </c>
      <c r="U8" s="2">
        <v>15</v>
      </c>
      <c r="V8" s="27" t="s">
        <v>303</v>
      </c>
      <c r="W8" s="29">
        <v>10</v>
      </c>
      <c r="X8" s="114" t="s">
        <v>304</v>
      </c>
      <c r="Y8" s="29">
        <f>100+50+10</f>
        <v>160</v>
      </c>
      <c r="Z8" s="108" t="s">
        <v>305</v>
      </c>
    </row>
    <row r="9" spans="1:26" ht="158.44999999999999">
      <c r="A9" s="12"/>
      <c r="B9" s="9"/>
      <c r="C9" s="9"/>
      <c r="D9" s="18" t="s">
        <v>306</v>
      </c>
      <c r="E9" s="25" t="s">
        <v>307</v>
      </c>
      <c r="F9" s="7"/>
      <c r="G9" s="29" t="s">
        <v>308</v>
      </c>
      <c r="H9" s="7" t="s">
        <v>78</v>
      </c>
      <c r="I9" s="26"/>
      <c r="J9" s="161"/>
      <c r="K9" s="7"/>
      <c r="L9" s="7"/>
      <c r="M9" s="7"/>
      <c r="N9" s="7"/>
      <c r="O9" s="29"/>
      <c r="P9" s="25"/>
      <c r="Q9" s="29"/>
      <c r="R9" s="25"/>
      <c r="S9" s="29"/>
      <c r="T9" s="27"/>
      <c r="U9" s="2"/>
      <c r="V9" s="27"/>
      <c r="W9" s="29"/>
      <c r="X9" s="114"/>
      <c r="Y9" s="29">
        <f>24+4</f>
        <v>28</v>
      </c>
      <c r="Z9" s="27" t="s">
        <v>309</v>
      </c>
    </row>
    <row r="10" spans="1:26" ht="100.9">
      <c r="A10" s="12"/>
      <c r="B10" s="9"/>
      <c r="C10" s="9"/>
      <c r="D10" s="18" t="s">
        <v>310</v>
      </c>
      <c r="E10" s="25" t="s">
        <v>311</v>
      </c>
      <c r="F10" s="7"/>
      <c r="G10" s="29" t="s">
        <v>264</v>
      </c>
      <c r="H10" s="7" t="s">
        <v>312</v>
      </c>
      <c r="I10" s="26"/>
      <c r="J10" s="161"/>
      <c r="K10" s="7"/>
      <c r="L10" s="7"/>
      <c r="M10" s="7"/>
      <c r="N10" s="7"/>
      <c r="O10" s="29"/>
      <c r="P10" s="25"/>
      <c r="Q10" s="29"/>
      <c r="R10" s="25"/>
      <c r="S10" s="29"/>
      <c r="T10" s="27"/>
      <c r="U10" s="2"/>
      <c r="V10" s="27"/>
      <c r="W10" s="29"/>
      <c r="X10" s="114"/>
      <c r="Y10" s="29">
        <v>2</v>
      </c>
      <c r="Z10" s="27" t="s">
        <v>313</v>
      </c>
    </row>
    <row r="11" spans="1:26" ht="100.9">
      <c r="A11" s="12"/>
      <c r="B11" s="9"/>
      <c r="C11" s="9"/>
      <c r="D11" s="18" t="s">
        <v>314</v>
      </c>
      <c r="E11" s="25" t="s">
        <v>315</v>
      </c>
      <c r="F11" s="7"/>
      <c r="G11" s="29" t="s">
        <v>316</v>
      </c>
      <c r="H11" s="7" t="s">
        <v>312</v>
      </c>
      <c r="I11" s="26"/>
      <c r="J11" s="161"/>
      <c r="K11" s="7"/>
      <c r="L11" s="7"/>
      <c r="M11" s="7"/>
      <c r="N11" s="7"/>
      <c r="O11" s="29"/>
      <c r="P11" s="25"/>
      <c r="Q11" s="29"/>
      <c r="R11" s="25"/>
      <c r="S11" s="29"/>
      <c r="T11" s="27"/>
      <c r="U11" s="2"/>
      <c r="V11" s="27"/>
      <c r="W11" s="29"/>
      <c r="X11" s="114"/>
      <c r="Y11" s="29">
        <v>1</v>
      </c>
      <c r="Z11" s="27" t="s">
        <v>317</v>
      </c>
    </row>
    <row r="12" spans="1:26" ht="100.9">
      <c r="A12" s="12"/>
      <c r="B12" s="9"/>
      <c r="C12" s="9"/>
      <c r="D12" s="18" t="s">
        <v>318</v>
      </c>
      <c r="E12" s="25" t="s">
        <v>319</v>
      </c>
      <c r="F12" s="7"/>
      <c r="G12" s="29" t="s">
        <v>320</v>
      </c>
      <c r="H12" s="7" t="s">
        <v>78</v>
      </c>
      <c r="I12" s="26"/>
      <c r="J12" s="161"/>
      <c r="K12" s="7"/>
      <c r="L12" s="7"/>
      <c r="M12" s="7"/>
      <c r="N12" s="7"/>
      <c r="O12" s="29"/>
      <c r="P12" s="25"/>
      <c r="Q12" s="29"/>
      <c r="R12" s="25"/>
      <c r="S12" s="29"/>
      <c r="T12" s="27"/>
      <c r="U12" s="2"/>
      <c r="V12" s="27"/>
      <c r="W12" s="29"/>
      <c r="X12" s="114"/>
      <c r="Y12" s="29">
        <v>20</v>
      </c>
      <c r="Z12" s="27" t="s">
        <v>321</v>
      </c>
    </row>
    <row r="13" spans="1:26" ht="30.75" customHeight="1">
      <c r="A13" s="155" t="s">
        <v>5</v>
      </c>
      <c r="B13" s="155"/>
      <c r="C13" s="155"/>
      <c r="D13" s="155"/>
      <c r="E13" s="155"/>
      <c r="F13" s="155"/>
      <c r="G13" s="155"/>
      <c r="H13" s="155"/>
      <c r="I13" s="155"/>
      <c r="O13" s="16"/>
      <c r="P13" s="16"/>
      <c r="Q13" s="16"/>
      <c r="R13" s="16"/>
      <c r="S13" s="16"/>
      <c r="T13" s="16"/>
      <c r="U13" s="16"/>
      <c r="V13" s="16"/>
      <c r="W13" s="16"/>
      <c r="X13" s="16"/>
      <c r="Y13" s="16"/>
      <c r="Z13" s="16"/>
    </row>
    <row r="14" spans="1:26" ht="30.75" customHeight="1">
      <c r="A14" s="12"/>
      <c r="B14" s="12" t="s">
        <v>109</v>
      </c>
      <c r="C14" s="20"/>
      <c r="D14" s="12" t="s">
        <v>110</v>
      </c>
      <c r="E14" s="12" t="s">
        <v>12</v>
      </c>
      <c r="F14" s="12"/>
      <c r="G14" s="12"/>
      <c r="H14" s="12" t="s">
        <v>111</v>
      </c>
      <c r="I14" s="12" t="s">
        <v>112</v>
      </c>
    </row>
    <row r="15" spans="1:26" ht="14.45" customHeight="1">
      <c r="A15" s="148" t="s">
        <v>322</v>
      </c>
      <c r="B15" s="150" t="s">
        <v>323</v>
      </c>
      <c r="C15" s="150"/>
      <c r="D15" s="18" t="s">
        <v>324</v>
      </c>
      <c r="E15" s="151"/>
      <c r="F15" s="151"/>
      <c r="G15" s="151"/>
      <c r="H15" s="1"/>
      <c r="I15" s="1"/>
    </row>
    <row r="16" spans="1:26">
      <c r="A16" s="148"/>
      <c r="B16" s="150"/>
      <c r="C16" s="150"/>
      <c r="D16" s="23" t="s">
        <v>325</v>
      </c>
      <c r="E16" s="151"/>
      <c r="F16" s="151"/>
      <c r="G16" s="151"/>
      <c r="H16" s="1"/>
      <c r="I16" s="1"/>
    </row>
    <row r="17" spans="1:9">
      <c r="A17" s="148"/>
      <c r="B17" s="150"/>
      <c r="C17" s="150"/>
      <c r="D17" s="23" t="s">
        <v>326</v>
      </c>
      <c r="E17" s="151"/>
      <c r="F17" s="151"/>
      <c r="G17" s="151"/>
      <c r="H17" s="1"/>
      <c r="I17" s="1"/>
    </row>
    <row r="18" spans="1:9">
      <c r="A18" s="148"/>
      <c r="B18" s="150"/>
      <c r="C18" s="150"/>
      <c r="D18" s="23" t="s">
        <v>327</v>
      </c>
      <c r="E18" s="151"/>
      <c r="F18" s="151"/>
      <c r="G18" s="151"/>
      <c r="H18" s="1"/>
      <c r="I18" s="1"/>
    </row>
    <row r="19" spans="1:9">
      <c r="A19" s="148"/>
      <c r="B19" s="150"/>
      <c r="C19" s="150"/>
      <c r="D19" s="23" t="s">
        <v>328</v>
      </c>
      <c r="E19" s="151"/>
      <c r="F19" s="151"/>
      <c r="G19" s="151"/>
      <c r="H19" s="1"/>
      <c r="I19"/>
    </row>
    <row r="20" spans="1:9">
      <c r="A20" s="148"/>
      <c r="B20" s="150"/>
      <c r="C20" s="150"/>
      <c r="D20" s="23" t="s">
        <v>329</v>
      </c>
      <c r="E20" s="151"/>
      <c r="F20" s="151"/>
      <c r="G20" s="151"/>
      <c r="H20" s="1"/>
      <c r="I20"/>
    </row>
    <row r="21" spans="1:9">
      <c r="A21" s="148"/>
      <c r="B21" s="150"/>
      <c r="C21" s="150"/>
      <c r="D21" s="23" t="s">
        <v>330</v>
      </c>
      <c r="E21" s="151"/>
      <c r="F21" s="151"/>
      <c r="G21" s="151"/>
      <c r="H21" s="1"/>
      <c r="I21"/>
    </row>
    <row r="22" spans="1:9">
      <c r="A22" s="148"/>
      <c r="B22" s="150"/>
      <c r="C22" s="150"/>
      <c r="D22" s="23" t="s">
        <v>331</v>
      </c>
      <c r="E22" s="151"/>
      <c r="F22" s="151"/>
      <c r="G22" s="151"/>
      <c r="H22" s="1"/>
      <c r="I22"/>
    </row>
    <row r="23" spans="1:9" ht="116.1" customHeight="1">
      <c r="B23" s="9"/>
      <c r="C23" s="9"/>
      <c r="D23" s="23"/>
      <c r="E23" s="61"/>
    </row>
    <row r="24" spans="1:9">
      <c r="B24" s="9"/>
      <c r="C24" s="9"/>
      <c r="D24" s="23"/>
      <c r="E24" s="61"/>
    </row>
    <row r="25" spans="1:9">
      <c r="B25" s="9"/>
      <c r="C25" s="9"/>
      <c r="D25" s="23"/>
      <c r="E25" s="61"/>
    </row>
  </sheetData>
  <mergeCells count="36">
    <mergeCell ref="D1:J1"/>
    <mergeCell ref="C15:C22"/>
    <mergeCell ref="J4:J12"/>
    <mergeCell ref="W2:X2"/>
    <mergeCell ref="U2:V2"/>
    <mergeCell ref="A1:C1"/>
    <mergeCell ref="O1:Z1"/>
    <mergeCell ref="B2:B3"/>
    <mergeCell ref="C2:C3"/>
    <mergeCell ref="D2:D3"/>
    <mergeCell ref="E2:E3"/>
    <mergeCell ref="F2:F3"/>
    <mergeCell ref="G2:G3"/>
    <mergeCell ref="H2:H3"/>
    <mergeCell ref="I2:I3"/>
    <mergeCell ref="J2:J3"/>
    <mergeCell ref="A4:A8"/>
    <mergeCell ref="A15:A22"/>
    <mergeCell ref="A13:I13"/>
    <mergeCell ref="E15:G15"/>
    <mergeCell ref="E16:G16"/>
    <mergeCell ref="E18:G18"/>
    <mergeCell ref="E19:G19"/>
    <mergeCell ref="E20:G20"/>
    <mergeCell ref="E21:G21"/>
    <mergeCell ref="E22:G22"/>
    <mergeCell ref="C4:C8"/>
    <mergeCell ref="B4:B8"/>
    <mergeCell ref="S2:T2"/>
    <mergeCell ref="E17:G17"/>
    <mergeCell ref="Y2:Z2"/>
    <mergeCell ref="O2:P2"/>
    <mergeCell ref="B15:B22"/>
    <mergeCell ref="Q2:R2"/>
    <mergeCell ref="K2:L2"/>
    <mergeCell ref="M2:N2"/>
  </mergeCells>
  <phoneticPr fontId="15" type="noConversion"/>
  <conditionalFormatting sqref="H15:H22">
    <cfRule type="containsText" dxfId="27" priority="1" operator="containsText" text="Not Started">
      <formula>NOT(ISERROR(SEARCH("Not Started",H15)))</formula>
    </cfRule>
    <cfRule type="containsText" dxfId="26" priority="2" operator="containsText" text="In Progress">
      <formula>NOT(ISERROR(SEARCH("In Progress",H15)))</formula>
    </cfRule>
    <cfRule type="containsText" dxfId="25" priority="3" operator="containsText" text="Complete">
      <formula>NOT(ISERROR(SEARCH("Complete",H15)))</formula>
    </cfRule>
  </conditionalFormatting>
  <dataValidations count="1">
    <dataValidation type="list" allowBlank="1" showInputMessage="1" showErrorMessage="1" sqref="H15:H22"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AB14"/>
  <sheetViews>
    <sheetView zoomScale="70" zoomScaleNormal="70" workbookViewId="0">
      <pane xSplit="8" ySplit="3" topLeftCell="V4" activePane="bottomRight" state="frozen"/>
      <selection pane="bottomRight" activeCell="Z9" sqref="Z9"/>
      <selection pane="bottomLeft" activeCell="V17" sqref="V17"/>
      <selection pane="topRight" activeCell="V17" sqref="V17"/>
    </sheetView>
  </sheetViews>
  <sheetFormatPr defaultColWidth="8.7109375" defaultRowHeight="14.45"/>
  <cols>
    <col min="1" max="1" width="16.28515625" style="15" customWidth="1"/>
    <col min="2" max="2" width="10.85546875" style="15" customWidth="1"/>
    <col min="3" max="3" width="23.42578125" style="15" customWidth="1"/>
    <col min="4" max="4" width="12" style="15" customWidth="1"/>
    <col min="5" max="5" width="57.5703125" style="15" bestFit="1" customWidth="1"/>
    <col min="6" max="6" width="10.42578125" style="15" customWidth="1"/>
    <col min="7" max="7" width="15" style="15" customWidth="1"/>
    <col min="8" max="8" width="11.7109375" style="15" customWidth="1"/>
    <col min="9" max="9" width="67" style="15" customWidth="1"/>
    <col min="10" max="10" width="44.7109375" style="15" customWidth="1"/>
    <col min="11" max="11" width="10.85546875" style="15" hidden="1" customWidth="1"/>
    <col min="12" max="12" width="44.7109375" style="15" hidden="1" customWidth="1"/>
    <col min="13" max="13" width="9.140625" style="15" hidden="1" customWidth="1"/>
    <col min="14" max="14" width="44.7109375" style="15" hidden="1" customWidth="1"/>
    <col min="15" max="15" width="9.85546875" style="15" hidden="1" customWidth="1"/>
    <col min="16" max="16" width="55" style="15" hidden="1" customWidth="1"/>
    <col min="17" max="17" width="9.85546875" style="15" hidden="1" customWidth="1"/>
    <col min="18" max="18" width="55.7109375" style="15" hidden="1" customWidth="1"/>
    <col min="19" max="19" width="9.85546875" style="15" customWidth="1"/>
    <col min="20" max="20" width="55.42578125" style="15" customWidth="1"/>
    <col min="21" max="21" width="10" style="15" customWidth="1"/>
    <col min="22" max="22" width="58.28515625" style="15" customWidth="1"/>
    <col min="23" max="23" width="10.140625" style="15" customWidth="1"/>
    <col min="24" max="24" width="56" style="15" customWidth="1"/>
    <col min="25" max="25" width="10.140625" style="15" customWidth="1"/>
    <col min="26" max="26" width="55.42578125" style="15" customWidth="1"/>
    <col min="27" max="27" width="8.7109375" style="15"/>
    <col min="28" max="28" width="47.7109375" style="15" customWidth="1"/>
    <col min="29" max="16384" width="8.7109375" style="15"/>
  </cols>
  <sheetData>
    <row r="1" spans="1:28" ht="30" customHeight="1">
      <c r="A1" s="146" t="s">
        <v>29</v>
      </c>
      <c r="B1" s="146"/>
      <c r="C1" s="146"/>
      <c r="D1" s="147" t="s">
        <v>10</v>
      </c>
      <c r="E1" s="147"/>
      <c r="F1" s="147"/>
      <c r="G1" s="147"/>
      <c r="H1" s="147"/>
      <c r="I1" s="147"/>
      <c r="J1" s="147"/>
      <c r="K1" s="122"/>
      <c r="L1" s="122"/>
      <c r="M1" s="122"/>
      <c r="N1" s="122"/>
      <c r="O1" s="154" t="s">
        <v>30</v>
      </c>
      <c r="P1" s="154"/>
      <c r="Q1" s="154"/>
      <c r="R1" s="154"/>
      <c r="S1" s="154"/>
      <c r="T1" s="154"/>
      <c r="U1" s="154"/>
      <c r="V1" s="154"/>
      <c r="W1" s="154"/>
      <c r="X1" s="154"/>
      <c r="Y1" s="154"/>
      <c r="Z1" s="154"/>
    </row>
    <row r="2" spans="1:28" ht="15" customHeight="1">
      <c r="A2" s="19" t="s">
        <v>31</v>
      </c>
      <c r="B2" s="148" t="s">
        <v>32</v>
      </c>
      <c r="C2" s="148" t="s">
        <v>12</v>
      </c>
      <c r="D2" s="148" t="s">
        <v>33</v>
      </c>
      <c r="E2" s="150" t="s">
        <v>14</v>
      </c>
      <c r="F2" s="150" t="s">
        <v>34</v>
      </c>
      <c r="G2" s="150" t="s">
        <v>35</v>
      </c>
      <c r="H2" s="150" t="s">
        <v>36</v>
      </c>
      <c r="I2" s="150" t="s">
        <v>18</v>
      </c>
      <c r="J2" s="150" t="s">
        <v>37</v>
      </c>
      <c r="K2" s="148" t="s">
        <v>38</v>
      </c>
      <c r="L2" s="148"/>
      <c r="M2" s="150" t="s">
        <v>39</v>
      </c>
      <c r="N2" s="150"/>
      <c r="O2" s="148" t="s">
        <v>40</v>
      </c>
      <c r="P2" s="148"/>
      <c r="Q2" s="150" t="s">
        <v>41</v>
      </c>
      <c r="R2" s="150"/>
      <c r="S2" s="148" t="s">
        <v>42</v>
      </c>
      <c r="T2" s="148"/>
      <c r="U2" s="150" t="s">
        <v>43</v>
      </c>
      <c r="V2" s="150"/>
      <c r="W2" s="148" t="s">
        <v>44</v>
      </c>
      <c r="X2" s="148"/>
      <c r="Y2" s="150" t="s">
        <v>45</v>
      </c>
      <c r="Z2" s="150"/>
      <c r="AA2" s="150" t="s">
        <v>45</v>
      </c>
      <c r="AB2" s="150"/>
    </row>
    <row r="3" spans="1:28">
      <c r="A3" s="19">
        <f>COUNTIF(D4:D10,"&lt;&gt;")</f>
        <v>6</v>
      </c>
      <c r="B3" s="148"/>
      <c r="C3" s="148"/>
      <c r="D3" s="148"/>
      <c r="E3" s="150"/>
      <c r="F3" s="150"/>
      <c r="G3" s="150"/>
      <c r="H3" s="150"/>
      <c r="I3" s="150"/>
      <c r="J3" s="150"/>
      <c r="K3" s="12" t="s">
        <v>46</v>
      </c>
      <c r="L3" s="12" t="s">
        <v>12</v>
      </c>
      <c r="M3" s="9" t="s">
        <v>46</v>
      </c>
      <c r="N3" s="9" t="s">
        <v>12</v>
      </c>
      <c r="O3" s="12" t="s">
        <v>46</v>
      </c>
      <c r="P3" s="12" t="s">
        <v>12</v>
      </c>
      <c r="Q3" s="9" t="s">
        <v>46</v>
      </c>
      <c r="R3" s="9" t="s">
        <v>12</v>
      </c>
      <c r="S3" s="12" t="s">
        <v>46</v>
      </c>
      <c r="T3" s="12" t="s">
        <v>12</v>
      </c>
      <c r="U3" s="9" t="s">
        <v>46</v>
      </c>
      <c r="V3" s="9" t="s">
        <v>12</v>
      </c>
      <c r="W3" s="12" t="s">
        <v>46</v>
      </c>
      <c r="X3" s="12" t="s">
        <v>12</v>
      </c>
      <c r="Y3" s="9" t="s">
        <v>46</v>
      </c>
      <c r="Z3" s="9" t="s">
        <v>12</v>
      </c>
      <c r="AA3" s="9" t="s">
        <v>46</v>
      </c>
      <c r="AB3" s="9" t="s">
        <v>12</v>
      </c>
    </row>
    <row r="4" spans="1:28" s="16" customFormat="1" ht="100.9">
      <c r="A4" s="148" t="s">
        <v>332</v>
      </c>
      <c r="B4" s="150" t="s">
        <v>333</v>
      </c>
      <c r="C4" s="156" t="s">
        <v>334</v>
      </c>
      <c r="D4" s="23" t="s">
        <v>335</v>
      </c>
      <c r="E4" s="69" t="s">
        <v>336</v>
      </c>
      <c r="F4" s="70">
        <v>4.7E-2</v>
      </c>
      <c r="G4" s="85" t="s">
        <v>127</v>
      </c>
      <c r="H4" s="29" t="s">
        <v>337</v>
      </c>
      <c r="I4" s="26"/>
      <c r="J4" s="161"/>
      <c r="K4" s="7"/>
      <c r="L4" s="7"/>
      <c r="M4" s="7"/>
      <c r="N4" s="7"/>
      <c r="O4" s="29"/>
      <c r="P4" s="25"/>
      <c r="Q4" s="29"/>
      <c r="R4" s="25"/>
      <c r="S4" s="29"/>
      <c r="T4" s="28" t="s">
        <v>338</v>
      </c>
      <c r="U4" s="30">
        <v>0</v>
      </c>
      <c r="V4" s="84" t="s">
        <v>339</v>
      </c>
      <c r="W4" s="73">
        <v>4.7E-2</v>
      </c>
      <c r="X4" s="82" t="s">
        <v>340</v>
      </c>
      <c r="Y4" s="29">
        <v>4.7E-2</v>
      </c>
      <c r="Z4" s="25" t="s">
        <v>341</v>
      </c>
      <c r="AA4" s="29"/>
      <c r="AB4" s="76"/>
    </row>
    <row r="5" spans="1:28" ht="57.6">
      <c r="A5" s="148"/>
      <c r="B5" s="150"/>
      <c r="C5" s="157"/>
      <c r="D5" s="23" t="s">
        <v>342</v>
      </c>
      <c r="E5" s="77" t="s">
        <v>343</v>
      </c>
      <c r="F5" s="29">
        <v>3</v>
      </c>
      <c r="G5" s="29" t="s">
        <v>344</v>
      </c>
      <c r="H5" s="29" t="s">
        <v>345</v>
      </c>
      <c r="I5" s="26"/>
      <c r="J5" s="161"/>
      <c r="K5" s="7"/>
      <c r="L5" s="7"/>
      <c r="M5" s="7"/>
      <c r="N5" s="7"/>
      <c r="O5" s="29"/>
      <c r="P5" s="25"/>
      <c r="Q5" s="29"/>
      <c r="R5" s="25"/>
      <c r="S5" s="29"/>
      <c r="T5" s="1" t="s">
        <v>346</v>
      </c>
      <c r="U5" s="2">
        <v>0</v>
      </c>
      <c r="V5" s="27"/>
      <c r="W5" s="70">
        <v>3</v>
      </c>
      <c r="X5" s="71" t="s">
        <v>347</v>
      </c>
      <c r="Y5" s="29">
        <v>0</v>
      </c>
      <c r="Z5" s="25" t="s">
        <v>348</v>
      </c>
      <c r="AA5" s="29"/>
      <c r="AB5" s="25"/>
    </row>
    <row r="6" spans="1:28" ht="43.15">
      <c r="A6" s="148"/>
      <c r="B6" s="150"/>
      <c r="C6" s="157"/>
      <c r="D6" s="23" t="s">
        <v>349</v>
      </c>
      <c r="E6" s="76" t="s">
        <v>350</v>
      </c>
      <c r="F6" s="29">
        <v>1</v>
      </c>
      <c r="G6" s="29" t="s">
        <v>351</v>
      </c>
      <c r="H6" s="29" t="s">
        <v>152</v>
      </c>
      <c r="I6" s="26"/>
      <c r="J6" s="161"/>
      <c r="K6" s="7"/>
      <c r="L6" s="7"/>
      <c r="M6" s="7"/>
      <c r="N6" s="7"/>
      <c r="O6" s="29"/>
      <c r="P6" s="25"/>
      <c r="Q6" s="29"/>
      <c r="R6" s="25"/>
      <c r="S6" s="29"/>
      <c r="T6" s="27" t="s">
        <v>352</v>
      </c>
      <c r="U6" s="2">
        <v>2</v>
      </c>
      <c r="V6" s="95" t="s">
        <v>353</v>
      </c>
      <c r="W6" s="29">
        <v>0</v>
      </c>
      <c r="X6" s="25" t="s">
        <v>354</v>
      </c>
      <c r="Y6" s="29">
        <v>0</v>
      </c>
      <c r="Z6" s="25" t="s">
        <v>355</v>
      </c>
      <c r="AA6" s="29"/>
      <c r="AB6" s="25"/>
    </row>
    <row r="7" spans="1:28" ht="43.15">
      <c r="A7" s="148"/>
      <c r="B7" s="150"/>
      <c r="C7" s="157"/>
      <c r="D7" s="23" t="s">
        <v>356</v>
      </c>
      <c r="E7" s="76" t="s">
        <v>89</v>
      </c>
      <c r="F7" s="70">
        <v>2</v>
      </c>
      <c r="G7" s="29" t="s">
        <v>90</v>
      </c>
      <c r="H7" s="29" t="s">
        <v>91</v>
      </c>
      <c r="I7" s="26"/>
      <c r="J7" s="161"/>
      <c r="K7" s="7"/>
      <c r="L7" s="7"/>
      <c r="M7" s="7"/>
      <c r="N7" s="7"/>
      <c r="O7" s="29"/>
      <c r="P7" s="25"/>
      <c r="Q7" s="29"/>
      <c r="R7" s="25"/>
      <c r="S7" s="29"/>
      <c r="T7" s="62" t="s">
        <v>357</v>
      </c>
      <c r="U7" s="30">
        <v>0</v>
      </c>
      <c r="V7" s="104" t="s">
        <v>358</v>
      </c>
      <c r="W7" s="29">
        <v>0</v>
      </c>
      <c r="X7" s="25" t="s">
        <v>354</v>
      </c>
      <c r="Y7" s="29">
        <v>0</v>
      </c>
      <c r="Z7" s="25" t="s">
        <v>359</v>
      </c>
      <c r="AA7" s="29"/>
      <c r="AB7" s="25"/>
    </row>
    <row r="8" spans="1:28" ht="72">
      <c r="A8" s="148"/>
      <c r="B8" s="150"/>
      <c r="C8" s="157"/>
      <c r="D8" s="23" t="s">
        <v>360</v>
      </c>
      <c r="E8" s="76" t="s">
        <v>144</v>
      </c>
      <c r="F8" s="70">
        <v>9</v>
      </c>
      <c r="G8" s="29" t="s">
        <v>90</v>
      </c>
      <c r="H8" s="29" t="s">
        <v>145</v>
      </c>
      <c r="I8" s="26"/>
      <c r="J8" s="161"/>
      <c r="K8" s="7"/>
      <c r="L8" s="7"/>
      <c r="M8" s="7"/>
      <c r="N8" s="7"/>
      <c r="O8" s="29"/>
      <c r="P8" s="25"/>
      <c r="Q8" s="29"/>
      <c r="R8" s="25"/>
      <c r="S8" s="29"/>
      <c r="T8" s="27" t="s">
        <v>361</v>
      </c>
      <c r="U8" s="30">
        <v>9</v>
      </c>
      <c r="V8" s="1" t="s">
        <v>362</v>
      </c>
      <c r="W8" s="29"/>
      <c r="X8" s="25"/>
      <c r="Y8" s="29">
        <v>0</v>
      </c>
      <c r="Z8" s="25" t="s">
        <v>363</v>
      </c>
      <c r="AA8" s="29"/>
      <c r="AB8" s="25"/>
    </row>
    <row r="9" spans="1:28" ht="43.15">
      <c r="A9" s="12"/>
      <c r="B9" s="9"/>
      <c r="C9" s="23"/>
      <c r="D9" s="23" t="s">
        <v>364</v>
      </c>
      <c r="E9" s="69" t="s">
        <v>365</v>
      </c>
      <c r="F9" s="70">
        <v>11</v>
      </c>
      <c r="G9" s="29" t="s">
        <v>77</v>
      </c>
      <c r="H9" s="29" t="s">
        <v>78</v>
      </c>
      <c r="I9" s="26"/>
      <c r="J9" s="7"/>
      <c r="K9" s="7"/>
      <c r="L9" s="7"/>
      <c r="M9" s="7"/>
      <c r="N9" s="7"/>
      <c r="O9" s="29"/>
      <c r="P9" s="25"/>
      <c r="Q9" s="29"/>
      <c r="R9" s="25"/>
      <c r="S9" s="29"/>
      <c r="T9" s="69" t="s">
        <v>366</v>
      </c>
      <c r="U9" s="2">
        <v>11</v>
      </c>
      <c r="V9" s="77" t="s">
        <v>367</v>
      </c>
      <c r="W9" s="29">
        <v>0</v>
      </c>
      <c r="X9" s="25" t="s">
        <v>368</v>
      </c>
      <c r="Y9" s="29">
        <v>0</v>
      </c>
      <c r="Z9" s="25" t="s">
        <v>369</v>
      </c>
      <c r="AA9" s="29"/>
      <c r="AB9" s="25"/>
    </row>
    <row r="10" spans="1:28" ht="30.75" customHeight="1">
      <c r="A10" s="155" t="s">
        <v>5</v>
      </c>
      <c r="B10" s="155"/>
      <c r="C10" s="155"/>
      <c r="D10" s="155"/>
      <c r="E10" s="155"/>
      <c r="F10" s="155"/>
      <c r="G10" s="155"/>
      <c r="H10" s="155"/>
      <c r="I10" s="155"/>
      <c r="O10" s="16"/>
      <c r="P10" s="16"/>
      <c r="Q10" s="16"/>
      <c r="R10" s="16"/>
      <c r="S10" s="16"/>
      <c r="T10" s="16"/>
      <c r="U10" s="16"/>
      <c r="V10" s="16"/>
      <c r="W10" s="16"/>
      <c r="X10" s="16"/>
      <c r="Y10" s="16"/>
      <c r="Z10" s="16"/>
    </row>
    <row r="11" spans="1:28" ht="30.75" customHeight="1">
      <c r="A11" s="12"/>
      <c r="B11" s="12" t="s">
        <v>109</v>
      </c>
      <c r="C11" s="20"/>
      <c r="D11" s="12" t="s">
        <v>110</v>
      </c>
      <c r="E11" s="12" t="s">
        <v>12</v>
      </c>
      <c r="F11" s="12"/>
      <c r="G11" s="12"/>
      <c r="H11" s="12" t="s">
        <v>111</v>
      </c>
      <c r="I11" s="12" t="s">
        <v>112</v>
      </c>
    </row>
    <row r="12" spans="1:28">
      <c r="A12" s="148" t="s">
        <v>370</v>
      </c>
      <c r="B12" s="150" t="s">
        <v>371</v>
      </c>
      <c r="C12" s="157"/>
      <c r="D12" s="18" t="s">
        <v>372</v>
      </c>
      <c r="E12" s="151"/>
      <c r="F12" s="151"/>
      <c r="G12" s="151"/>
      <c r="H12" s="1"/>
      <c r="I12" s="1"/>
    </row>
    <row r="13" spans="1:28" ht="45" customHeight="1">
      <c r="A13" s="148"/>
      <c r="B13" s="150"/>
      <c r="C13" s="157"/>
      <c r="D13" s="23" t="s">
        <v>373</v>
      </c>
      <c r="E13" s="151"/>
      <c r="F13" s="151"/>
      <c r="G13" s="151"/>
      <c r="H13" s="1"/>
      <c r="I13" s="1"/>
    </row>
    <row r="14" spans="1:28" ht="35.1" customHeight="1">
      <c r="A14" s="148"/>
      <c r="B14" s="150"/>
      <c r="C14" s="157"/>
      <c r="D14" s="23" t="s">
        <v>374</v>
      </c>
      <c r="E14" s="151"/>
      <c r="F14" s="151"/>
      <c r="G14" s="151"/>
      <c r="H14" s="1"/>
      <c r="I14" s="1"/>
    </row>
  </sheetData>
  <mergeCells count="32">
    <mergeCell ref="G2:G3"/>
    <mergeCell ref="J4:J8"/>
    <mergeCell ref="W2:X2"/>
    <mergeCell ref="Y2:Z2"/>
    <mergeCell ref="H2:H3"/>
    <mergeCell ref="I2:I3"/>
    <mergeCell ref="J2:J3"/>
    <mergeCell ref="Q2:R2"/>
    <mergeCell ref="S2:T2"/>
    <mergeCell ref="K2:L2"/>
    <mergeCell ref="M2:N2"/>
    <mergeCell ref="B2:B3"/>
    <mergeCell ref="C2:C3"/>
    <mergeCell ref="D2:D3"/>
    <mergeCell ref="E2:E3"/>
    <mergeCell ref="F2:F3"/>
    <mergeCell ref="AA2:AB2"/>
    <mergeCell ref="D1:J1"/>
    <mergeCell ref="E14:G14"/>
    <mergeCell ref="U2:V2"/>
    <mergeCell ref="A10:I10"/>
    <mergeCell ref="O2:P2"/>
    <mergeCell ref="C4:C8"/>
    <mergeCell ref="A4:A8"/>
    <mergeCell ref="B4:B8"/>
    <mergeCell ref="A12:A14"/>
    <mergeCell ref="B12:B14"/>
    <mergeCell ref="C12:C14"/>
    <mergeCell ref="E12:G12"/>
    <mergeCell ref="E13:G13"/>
    <mergeCell ref="A1:C1"/>
    <mergeCell ref="O1:Z1"/>
  </mergeCells>
  <phoneticPr fontId="15" type="noConversion"/>
  <conditionalFormatting sqref="H12:H14">
    <cfRule type="containsText" dxfId="24" priority="1" operator="containsText" text="Not Started">
      <formula>NOT(ISERROR(SEARCH("Not Started",H12)))</formula>
    </cfRule>
    <cfRule type="containsText" dxfId="23" priority="2" operator="containsText" text="In Progress">
      <formula>NOT(ISERROR(SEARCH("In Progress",H12)))</formula>
    </cfRule>
    <cfRule type="containsText" dxfId="22" priority="3" operator="containsText" text="Complete">
      <formula>NOT(ISERROR(SEARCH("Complete",H12)))</formula>
    </cfRule>
  </conditionalFormatting>
  <dataValidations count="1">
    <dataValidation type="list" allowBlank="1" showInputMessage="1" showErrorMessage="1" sqref="H12:H14"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A7701A-23E5-419B-8C53-8544E21D440C}"/>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
  <cp:revision/>
  <dcterms:created xsi:type="dcterms:W3CDTF">2021-04-13T20:59:38Z</dcterms:created>
  <dcterms:modified xsi:type="dcterms:W3CDTF">2024-03-15T15:09:41Z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