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rancisco Esteban\Documents\FINANCES\CONCILIACION\Docs\"/>
    </mc:Choice>
  </mc:AlternateContent>
  <xr:revisionPtr revIDLastSave="0" documentId="8_{3407BB4A-F414-4D7C-8EBE-28C98ADF6867}" xr6:coauthVersionLast="46" xr6:coauthVersionMax="46" xr10:uidLastSave="{00000000-0000-0000-0000-000000000000}"/>
  <bookViews>
    <workbookView xWindow="-108" yWindow="-108" windowWidth="23256" windowHeight="12576" tabRatio="554" activeTab="1" xr2:uid="{00000000-000D-0000-FFFF-FFFF00000000}"/>
  </bookViews>
  <sheets>
    <sheet name="TX7" sheetId="3" r:id="rId1"/>
    <sheet name="VT9" sheetId="6" r:id="rId2"/>
    <sheet name="NAPPA TX7" sheetId="7" r:id="rId3"/>
    <sheet name="MCKINLEY SA5" sheetId="9" r:id="rId4"/>
    <sheet name="NAPPA SA5" sheetId="10" r:id="rId5"/>
    <sheet name="STT" sheetId="5" r:id="rId6"/>
    <sheet name="FULL HIDES" sheetId="2" r:id="rId7"/>
    <sheet name="SUMMARY" sheetId="4" r:id="rId8"/>
    <sheet name="Sheet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6" l="1"/>
  <c r="T7" i="10"/>
  <c r="U7" i="10"/>
  <c r="S7" i="10"/>
  <c r="L19" i="10"/>
  <c r="R45" i="3"/>
  <c r="O87" i="3" l="1"/>
  <c r="N87" i="3"/>
  <c r="N88" i="3" s="1"/>
  <c r="O88" i="3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23" i="10"/>
  <c r="E23" i="10"/>
  <c r="F23" i="10"/>
  <c r="G23" i="10"/>
  <c r="H23" i="10"/>
  <c r="I23" i="10"/>
  <c r="J23" i="10"/>
  <c r="K23" i="10"/>
  <c r="E24" i="10"/>
  <c r="F24" i="10"/>
  <c r="G24" i="10"/>
  <c r="H24" i="10"/>
  <c r="I24" i="10"/>
  <c r="J24" i="10"/>
  <c r="K24" i="10"/>
  <c r="E25" i="10"/>
  <c r="F25" i="10"/>
  <c r="G25" i="10"/>
  <c r="H25" i="10"/>
  <c r="I25" i="10"/>
  <c r="J25" i="10"/>
  <c r="K25" i="10"/>
  <c r="E26" i="10"/>
  <c r="F26" i="10"/>
  <c r="G26" i="10"/>
  <c r="H26" i="10"/>
  <c r="I26" i="10"/>
  <c r="J26" i="10"/>
  <c r="K26" i="10"/>
  <c r="E27" i="10"/>
  <c r="F27" i="10"/>
  <c r="G27" i="10"/>
  <c r="H27" i="10"/>
  <c r="I27" i="10"/>
  <c r="J27" i="10"/>
  <c r="K27" i="10"/>
  <c r="E28" i="10"/>
  <c r="F28" i="10"/>
  <c r="G28" i="10"/>
  <c r="H28" i="10"/>
  <c r="I28" i="10"/>
  <c r="J28" i="10"/>
  <c r="K28" i="10"/>
  <c r="E29" i="10"/>
  <c r="F29" i="10"/>
  <c r="G29" i="10"/>
  <c r="H29" i="10"/>
  <c r="I29" i="10"/>
  <c r="J29" i="10"/>
  <c r="K29" i="10"/>
  <c r="E30" i="10"/>
  <c r="F30" i="10"/>
  <c r="G30" i="10"/>
  <c r="H30" i="10"/>
  <c r="I30" i="10"/>
  <c r="J30" i="10"/>
  <c r="K30" i="10"/>
  <c r="E31" i="10"/>
  <c r="F31" i="10"/>
  <c r="G31" i="10"/>
  <c r="H31" i="10"/>
  <c r="I31" i="10"/>
  <c r="J31" i="10"/>
  <c r="K31" i="10"/>
  <c r="E32" i="10"/>
  <c r="F32" i="10"/>
  <c r="G32" i="10"/>
  <c r="H32" i="10"/>
  <c r="I32" i="10"/>
  <c r="J32" i="10"/>
  <c r="K32" i="10"/>
  <c r="E33" i="10"/>
  <c r="F33" i="10"/>
  <c r="G33" i="10"/>
  <c r="H33" i="10"/>
  <c r="I33" i="10"/>
  <c r="J33" i="10"/>
  <c r="K33" i="10"/>
  <c r="E34" i="10"/>
  <c r="F34" i="10"/>
  <c r="G34" i="10"/>
  <c r="H34" i="10"/>
  <c r="I34" i="10"/>
  <c r="J34" i="10"/>
  <c r="K34" i="10"/>
  <c r="E35" i="10"/>
  <c r="F35" i="10"/>
  <c r="G35" i="10"/>
  <c r="H35" i="10"/>
  <c r="I35" i="10"/>
  <c r="J35" i="10"/>
  <c r="K35" i="10"/>
  <c r="E36" i="10"/>
  <c r="F36" i="10"/>
  <c r="G36" i="10"/>
  <c r="H36" i="10"/>
  <c r="I36" i="10"/>
  <c r="J36" i="10"/>
  <c r="K36" i="10"/>
  <c r="E37" i="10"/>
  <c r="F37" i="10"/>
  <c r="G37" i="10"/>
  <c r="H37" i="10"/>
  <c r="I37" i="10"/>
  <c r="J37" i="10"/>
  <c r="K37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23" i="10"/>
  <c r="P22" i="9"/>
  <c r="M20" i="9"/>
  <c r="M21" i="9"/>
  <c r="L20" i="9"/>
  <c r="L21" i="9"/>
  <c r="K20" i="9"/>
  <c r="K21" i="9"/>
  <c r="J20" i="9"/>
  <c r="J21" i="9"/>
  <c r="I20" i="9"/>
  <c r="I21" i="9"/>
  <c r="H20" i="9"/>
  <c r="H21" i="9"/>
  <c r="G20" i="9"/>
  <c r="G21" i="9"/>
  <c r="F20" i="9"/>
  <c r="F21" i="9"/>
  <c r="E19" i="9"/>
  <c r="E20" i="9"/>
  <c r="E21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F19" i="9"/>
  <c r="G19" i="9"/>
  <c r="H19" i="9"/>
  <c r="I19" i="9"/>
  <c r="J19" i="9"/>
  <c r="K19" i="9"/>
  <c r="L19" i="9"/>
  <c r="M19" i="9"/>
  <c r="D21" i="9"/>
  <c r="D20" i="9"/>
  <c r="D15" i="9"/>
  <c r="D19" i="9"/>
  <c r="D18" i="9"/>
  <c r="D17" i="9"/>
  <c r="D16" i="9"/>
  <c r="C21" i="9"/>
  <c r="C20" i="9"/>
  <c r="C18" i="9"/>
  <c r="C17" i="9"/>
  <c r="C15" i="9"/>
  <c r="C16" i="9"/>
  <c r="N14" i="9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24" i="7"/>
  <c r="X19" i="7"/>
  <c r="Z19" i="7" s="1"/>
  <c r="AE19" i="7"/>
  <c r="AF19" i="7" s="1"/>
  <c r="AL19" i="7" s="1"/>
  <c r="AE12" i="7"/>
  <c r="AG12" i="7" s="1"/>
  <c r="AK12" i="7" s="1"/>
  <c r="AA12" i="7"/>
  <c r="X12" i="7"/>
  <c r="X11" i="7"/>
  <c r="Z11" i="7" s="1"/>
  <c r="AA11" i="7"/>
  <c r="AE11" i="7"/>
  <c r="AF11" i="7" s="1"/>
  <c r="AL11" i="7" s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C47" i="6"/>
  <c r="C28" i="6"/>
  <c r="C48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29" i="6"/>
  <c r="C30" i="6"/>
  <c r="C31" i="6"/>
  <c r="C32" i="6"/>
  <c r="H85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M86" i="3"/>
  <c r="L86" i="3"/>
  <c r="K86" i="3"/>
  <c r="AD85" i="3"/>
  <c r="AD87" i="3" s="1"/>
  <c r="AD88" i="3" s="1"/>
  <c r="AC85" i="3"/>
  <c r="AC87" i="3" s="1"/>
  <c r="AC88" i="3" s="1"/>
  <c r="AB85" i="3"/>
  <c r="AB87" i="3" s="1"/>
  <c r="AB88" i="3" s="1"/>
  <c r="AA85" i="3"/>
  <c r="AA87" i="3" s="1"/>
  <c r="AA88" i="3" s="1"/>
  <c r="Z85" i="3"/>
  <c r="Z87" i="3" s="1"/>
  <c r="Z88" i="3" s="1"/>
  <c r="Y85" i="3"/>
  <c r="Y87" i="3" s="1"/>
  <c r="Y88" i="3" s="1"/>
  <c r="X85" i="3"/>
  <c r="X87" i="3" s="1"/>
  <c r="X88" i="3" s="1"/>
  <c r="W85" i="3"/>
  <c r="W87" i="3" s="1"/>
  <c r="W88" i="3" s="1"/>
  <c r="V85" i="3"/>
  <c r="V87" i="3" s="1"/>
  <c r="V88" i="3" s="1"/>
  <c r="U85" i="3"/>
  <c r="U87" i="3" s="1"/>
  <c r="U88" i="3" s="1"/>
  <c r="T85" i="3"/>
  <c r="T87" i="3" s="1"/>
  <c r="T88" i="3" s="1"/>
  <c r="S85" i="3"/>
  <c r="S87" i="3" s="1"/>
  <c r="S88" i="3" s="1"/>
  <c r="R85" i="3"/>
  <c r="R87" i="3" s="1"/>
  <c r="R88" i="3" s="1"/>
  <c r="Q85" i="3"/>
  <c r="Q87" i="3" s="1"/>
  <c r="Q88" i="3" s="1"/>
  <c r="P85" i="3"/>
  <c r="P87" i="3" s="1"/>
  <c r="P88" i="3" s="1"/>
  <c r="O85" i="3"/>
  <c r="M85" i="3"/>
  <c r="M87" i="3" s="1"/>
  <c r="M88" i="3" s="1"/>
  <c r="L85" i="3"/>
  <c r="L87" i="3" s="1"/>
  <c r="L88" i="3" s="1"/>
  <c r="K85" i="3"/>
  <c r="K87" i="3" s="1"/>
  <c r="K88" i="3" s="1"/>
  <c r="J86" i="3"/>
  <c r="J85" i="3"/>
  <c r="J87" i="3" s="1"/>
  <c r="J88" i="3" s="1"/>
  <c r="D86" i="3"/>
  <c r="C86" i="3"/>
  <c r="D85" i="3"/>
  <c r="D87" i="3" s="1"/>
  <c r="D88" i="3" s="1"/>
  <c r="C85" i="3"/>
  <c r="C87" i="3" s="1"/>
  <c r="C88" i="3" s="1"/>
  <c r="H86" i="3"/>
  <c r="H87" i="3"/>
  <c r="H88" i="3" s="1"/>
  <c r="F88" i="3"/>
  <c r="F71" i="3"/>
  <c r="AE26" i="3"/>
  <c r="AI26" i="3" s="1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S45" i="3"/>
  <c r="T45" i="3"/>
  <c r="U45" i="3"/>
  <c r="V45" i="3"/>
  <c r="W45" i="3"/>
  <c r="X45" i="3"/>
  <c r="Y45" i="3"/>
  <c r="Z45" i="3"/>
  <c r="AA45" i="3"/>
  <c r="AB45" i="3"/>
  <c r="AC45" i="3"/>
  <c r="AD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D71" i="3"/>
  <c r="E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74" i="3" s="1"/>
  <c r="C75" i="3" s="1"/>
  <c r="C59" i="3"/>
  <c r="C58" i="3"/>
  <c r="C57" i="3"/>
  <c r="C56" i="3"/>
  <c r="C55" i="3"/>
  <c r="C54" i="3"/>
  <c r="C53" i="3"/>
  <c r="C41" i="3"/>
  <c r="C43" i="3"/>
  <c r="C42" i="3"/>
  <c r="C52" i="3"/>
  <c r="C51" i="3"/>
  <c r="C50" i="3"/>
  <c r="C49" i="3"/>
  <c r="C48" i="3"/>
  <c r="C47" i="3"/>
  <c r="C46" i="3"/>
  <c r="C45" i="3"/>
  <c r="C44" i="3"/>
  <c r="C38" i="10" l="1"/>
  <c r="D22" i="9"/>
  <c r="D23" i="9" s="1"/>
  <c r="AG19" i="7"/>
  <c r="AK19" i="7" s="1"/>
  <c r="AB19" i="7"/>
  <c r="AG11" i="7"/>
  <c r="AK11" i="7" s="1"/>
  <c r="AB12" i="7"/>
  <c r="Z12" i="7"/>
  <c r="AF12" i="7"/>
  <c r="AL12" i="7" s="1"/>
  <c r="AB11" i="7"/>
  <c r="F74" i="3"/>
  <c r="F75" i="3" s="1"/>
  <c r="H74" i="3"/>
  <c r="H75" i="3" s="1"/>
  <c r="R74" i="3"/>
  <c r="R75" i="3" s="1"/>
  <c r="Z74" i="3"/>
  <c r="Z75" i="3" s="1"/>
  <c r="D74" i="3"/>
  <c r="D75" i="3" s="1"/>
  <c r="L74" i="3"/>
  <c r="L75" i="3" s="1"/>
  <c r="V74" i="3"/>
  <c r="V75" i="3" s="1"/>
  <c r="AD74" i="3"/>
  <c r="AD75" i="3" s="1"/>
  <c r="AD20" i="6"/>
  <c r="AF20" i="6" s="1"/>
  <c r="W20" i="6"/>
  <c r="Y20" i="6" s="1"/>
  <c r="AA20" i="6" l="1"/>
  <c r="F98" i="3"/>
  <c r="E74" i="3"/>
  <c r="E75" i="3" s="1"/>
  <c r="AB74" i="3"/>
  <c r="AB75" i="3" s="1"/>
  <c r="X74" i="3"/>
  <c r="X75" i="3" s="1"/>
  <c r="T74" i="3"/>
  <c r="T75" i="3" s="1"/>
  <c r="P74" i="3"/>
  <c r="P75" i="3" s="1"/>
  <c r="J74" i="3"/>
  <c r="J75" i="3" s="1"/>
  <c r="AC74" i="3"/>
  <c r="AC75" i="3" s="1"/>
  <c r="Y74" i="3"/>
  <c r="Y75" i="3" s="1"/>
  <c r="W74" i="3"/>
  <c r="W75" i="3" s="1"/>
  <c r="U74" i="3"/>
  <c r="U75" i="3" s="1"/>
  <c r="S74" i="3"/>
  <c r="S75" i="3" s="1"/>
  <c r="Q74" i="3"/>
  <c r="Q75" i="3" s="1"/>
  <c r="O74" i="3"/>
  <c r="O75" i="3" s="1"/>
  <c r="K74" i="3"/>
  <c r="K75" i="3" s="1"/>
  <c r="I74" i="3"/>
  <c r="I75" i="3" s="1"/>
  <c r="G74" i="3"/>
  <c r="G75" i="3" s="1"/>
  <c r="AA74" i="3"/>
  <c r="AA75" i="3" s="1"/>
  <c r="N74" i="3"/>
  <c r="N75" i="3" s="1"/>
  <c r="M74" i="3"/>
  <c r="M75" i="3" s="1"/>
  <c r="AE20" i="6"/>
  <c r="AL20" i="3"/>
  <c r="AN20" i="3" s="1"/>
  <c r="AL18" i="3"/>
  <c r="AM18" i="3" s="1"/>
  <c r="AE18" i="3"/>
  <c r="AI18" i="3" s="1"/>
  <c r="AE19" i="3"/>
  <c r="AI19" i="3" s="1"/>
  <c r="AE20" i="3"/>
  <c r="AI20" i="3" s="1"/>
  <c r="AE34" i="3"/>
  <c r="AI34" i="3" s="1"/>
  <c r="AL34" i="3"/>
  <c r="AM34" i="3" s="1"/>
  <c r="AE35" i="3"/>
  <c r="AI35" i="3" s="1"/>
  <c r="AL35" i="3"/>
  <c r="AM35" i="3" s="1"/>
  <c r="AP35" i="3" s="1"/>
  <c r="AN18" i="3" l="1"/>
  <c r="AN34" i="3"/>
  <c r="AG35" i="3"/>
  <c r="AG34" i="3"/>
  <c r="AG18" i="3"/>
  <c r="AG20" i="3"/>
  <c r="AM20" i="3"/>
  <c r="AN35" i="3"/>
  <c r="AL29" i="3" l="1"/>
  <c r="AN29" i="3" s="1"/>
  <c r="AL28" i="3"/>
  <c r="AN28" i="3" s="1"/>
  <c r="AL39" i="3"/>
  <c r="AN39" i="3" s="1"/>
  <c r="AL38" i="3"/>
  <c r="AM38" i="3" s="1"/>
  <c r="AE38" i="3"/>
  <c r="AI38" i="3" s="1"/>
  <c r="AE39" i="3"/>
  <c r="AI39" i="3" s="1"/>
  <c r="AE28" i="3"/>
  <c r="AI28" i="3" s="1"/>
  <c r="AE29" i="3"/>
  <c r="AI29" i="3" s="1"/>
  <c r="AN38" i="3" l="1"/>
  <c r="AM29" i="3"/>
  <c r="AG29" i="3"/>
  <c r="AG28" i="3"/>
  <c r="AG39" i="3"/>
  <c r="AG38" i="3"/>
  <c r="AM28" i="3"/>
  <c r="AM39" i="3"/>
  <c r="AL95" i="3"/>
  <c r="AM95" i="3" s="1"/>
  <c r="AL96" i="3"/>
  <c r="AM96" i="3" s="1"/>
  <c r="AE96" i="3"/>
  <c r="AI96" i="3" s="1"/>
  <c r="AE95" i="3"/>
  <c r="AI95" i="3" s="1"/>
  <c r="AE94" i="3"/>
  <c r="AI97" i="3" l="1"/>
  <c r="AG96" i="3"/>
  <c r="AG95" i="3"/>
  <c r="AN95" i="3"/>
  <c r="AN96" i="3"/>
  <c r="H38" i="10" l="1"/>
  <c r="H39" i="10" s="1"/>
  <c r="I38" i="10"/>
  <c r="I39" i="10" s="1"/>
  <c r="AG97" i="3"/>
  <c r="AG98" i="3" s="1"/>
  <c r="A78" i="3" l="1"/>
  <c r="A90" i="3" s="1"/>
  <c r="L22" i="9" l="1"/>
  <c r="L23" i="9" s="1"/>
  <c r="K22" i="9"/>
  <c r="K23" i="9" s="1"/>
  <c r="U48" i="6" l="1"/>
  <c r="U49" i="6" s="1"/>
  <c r="T48" i="6" l="1"/>
  <c r="T49" i="6" s="1"/>
  <c r="AL37" i="3"/>
  <c r="AN37" i="3" s="1"/>
  <c r="AL36" i="3"/>
  <c r="AM36" i="3" s="1"/>
  <c r="AE36" i="3"/>
  <c r="AE37" i="3"/>
  <c r="AI37" i="3" s="1"/>
  <c r="AG36" i="3" l="1"/>
  <c r="AI36" i="3"/>
  <c r="AN36" i="3"/>
  <c r="AG37" i="3"/>
  <c r="AM37" i="3"/>
  <c r="AE21" i="7" l="1"/>
  <c r="AG21" i="7" s="1"/>
  <c r="AK21" i="7" s="1"/>
  <c r="AE20" i="7"/>
  <c r="AF20" i="7" s="1"/>
  <c r="AL20" i="7" s="1"/>
  <c r="AE18" i="7"/>
  <c r="AG18" i="7" s="1"/>
  <c r="AK18" i="7" s="1"/>
  <c r="X18" i="7"/>
  <c r="Z18" i="7" s="1"/>
  <c r="X20" i="7"/>
  <c r="AB20" i="7" s="1"/>
  <c r="X21" i="7"/>
  <c r="AB21" i="7" s="1"/>
  <c r="AL33" i="3"/>
  <c r="AN33" i="3" s="1"/>
  <c r="AL32" i="3"/>
  <c r="AM32" i="3" s="1"/>
  <c r="AL31" i="3"/>
  <c r="AN31" i="3" s="1"/>
  <c r="AL30" i="3"/>
  <c r="AM30" i="3" s="1"/>
  <c r="AE30" i="3"/>
  <c r="AE31" i="3"/>
  <c r="AI31" i="3" s="1"/>
  <c r="AE32" i="3"/>
  <c r="AI32" i="3" s="1"/>
  <c r="AE33" i="3"/>
  <c r="AI33" i="3" s="1"/>
  <c r="AE25" i="3"/>
  <c r="AI25" i="3" s="1"/>
  <c r="AE27" i="3"/>
  <c r="AI27" i="3" s="1"/>
  <c r="AN30" i="3" l="1"/>
  <c r="AG26" i="3"/>
  <c r="AG30" i="3"/>
  <c r="AI30" i="3"/>
  <c r="J39" i="7"/>
  <c r="J40" i="7" s="1"/>
  <c r="AF21" i="7"/>
  <c r="AL21" i="7" s="1"/>
  <c r="AG20" i="7"/>
  <c r="AK20" i="7" s="1"/>
  <c r="AB18" i="7"/>
  <c r="Z21" i="7"/>
  <c r="Z20" i="7"/>
  <c r="AF18" i="7"/>
  <c r="AL18" i="7" s="1"/>
  <c r="AM33" i="3"/>
  <c r="AG33" i="3"/>
  <c r="AG32" i="3"/>
  <c r="AG31" i="3"/>
  <c r="AM31" i="3"/>
  <c r="AN32" i="3"/>
  <c r="AL7" i="3"/>
  <c r="AL84" i="3" l="1"/>
  <c r="AM84" i="3" s="1"/>
  <c r="AE84" i="3"/>
  <c r="AL83" i="3"/>
  <c r="AM83" i="3" s="1"/>
  <c r="AE83" i="3"/>
  <c r="AE82" i="3"/>
  <c r="AI83" i="3" l="1"/>
  <c r="I85" i="3" s="1"/>
  <c r="E85" i="3"/>
  <c r="AI84" i="3"/>
  <c r="I86" i="3" s="1"/>
  <c r="E86" i="3"/>
  <c r="AI85" i="3"/>
  <c r="AG84" i="3"/>
  <c r="G86" i="3" s="1"/>
  <c r="AG83" i="3"/>
  <c r="G85" i="3" s="1"/>
  <c r="G87" i="3" s="1"/>
  <c r="G88" i="3" s="1"/>
  <c r="AN83" i="3"/>
  <c r="AN84" i="3"/>
  <c r="E87" i="3" l="1"/>
  <c r="E88" i="3" s="1"/>
  <c r="AG85" i="3"/>
  <c r="AG88" i="3" s="1"/>
  <c r="N13" i="2" l="1"/>
  <c r="L11" i="10" l="1"/>
  <c r="P11" i="10" s="1"/>
  <c r="L10" i="10"/>
  <c r="N10" i="10" s="1"/>
  <c r="L12" i="10"/>
  <c r="L13" i="10"/>
  <c r="P13" i="10" s="1"/>
  <c r="L15" i="10"/>
  <c r="L14" i="10"/>
  <c r="S13" i="10"/>
  <c r="T13" i="10" s="1"/>
  <c r="Z13" i="10" s="1"/>
  <c r="S12" i="10"/>
  <c r="S10" i="10"/>
  <c r="T10" i="10" s="1"/>
  <c r="Z10" i="10" s="1"/>
  <c r="S11" i="10"/>
  <c r="T11" i="10" s="1"/>
  <c r="Z11" i="10" s="1"/>
  <c r="S15" i="10"/>
  <c r="T15" i="10" s="1"/>
  <c r="Z15" i="10" s="1"/>
  <c r="P12" i="10" l="1"/>
  <c r="U13" i="10"/>
  <c r="Y13" i="10" s="1"/>
  <c r="U12" i="10"/>
  <c r="Y12" i="10" s="1"/>
  <c r="T12" i="10"/>
  <c r="Z12" i="10" s="1"/>
  <c r="N12" i="10"/>
  <c r="U10" i="10"/>
  <c r="Y10" i="10" s="1"/>
  <c r="N15" i="10"/>
  <c r="U11" i="10"/>
  <c r="Y11" i="10" s="1"/>
  <c r="N13" i="10"/>
  <c r="N11" i="10"/>
  <c r="P10" i="10"/>
  <c r="W18" i="6" l="1"/>
  <c r="Y18" i="6" s="1"/>
  <c r="AD18" i="6"/>
  <c r="AE18" i="6" s="1"/>
  <c r="W19" i="6"/>
  <c r="Y19" i="6" s="1"/>
  <c r="AD19" i="6"/>
  <c r="AE19" i="6" s="1"/>
  <c r="W21" i="6"/>
  <c r="Y21" i="6" s="1"/>
  <c r="AD21" i="6"/>
  <c r="AE21" i="6" s="1"/>
  <c r="W22" i="6"/>
  <c r="Y22" i="6" s="1"/>
  <c r="AD22" i="6"/>
  <c r="AE22" i="6" s="1"/>
  <c r="AF22" i="6" l="1"/>
  <c r="AF19" i="6"/>
  <c r="AA18" i="6"/>
  <c r="AA21" i="6"/>
  <c r="AA22" i="6"/>
  <c r="AA19" i="6"/>
  <c r="AF21" i="6"/>
  <c r="AF18" i="6"/>
  <c r="S48" i="6"/>
  <c r="S49" i="6" s="1"/>
  <c r="R48" i="6"/>
  <c r="R49" i="6" s="1"/>
  <c r="K48" i="6" l="1"/>
  <c r="K49" i="6" s="1"/>
  <c r="V39" i="7" l="1"/>
  <c r="V40" i="7" s="1"/>
  <c r="Q48" i="6"/>
  <c r="Q49" i="6" s="1"/>
  <c r="P48" i="6"/>
  <c r="P49" i="6" s="1"/>
  <c r="V48" i="6"/>
  <c r="V49" i="6" s="1"/>
  <c r="O48" i="6" l="1"/>
  <c r="O49" i="6" s="1"/>
  <c r="N48" i="6"/>
  <c r="N49" i="6" s="1"/>
  <c r="U39" i="7"/>
  <c r="U40" i="7" s="1"/>
  <c r="T39" i="7"/>
  <c r="T40" i="7" s="1"/>
  <c r="M48" i="6" l="1"/>
  <c r="M49" i="6" s="1"/>
  <c r="L48" i="6"/>
  <c r="L49" i="6" s="1"/>
  <c r="J48" i="6" l="1"/>
  <c r="J49" i="6" s="1"/>
  <c r="R39" i="7" l="1"/>
  <c r="R40" i="7" s="1"/>
  <c r="P39" i="7"/>
  <c r="P40" i="7" s="1"/>
  <c r="Q39" i="7"/>
  <c r="Q40" i="7" s="1"/>
  <c r="S39" i="7"/>
  <c r="S40" i="7" s="1"/>
  <c r="W39" i="7"/>
  <c r="W40" i="7" s="1"/>
  <c r="AE7" i="7" l="1"/>
  <c r="AF7" i="7" s="1"/>
  <c r="AA15" i="7"/>
  <c r="AA7" i="7"/>
  <c r="X15" i="7" l="1"/>
  <c r="Z15" i="7" s="1"/>
  <c r="AE7" i="3" l="1"/>
  <c r="M39" i="7" l="1"/>
  <c r="M40" i="7" s="1"/>
  <c r="L39" i="7"/>
  <c r="L40" i="7" s="1"/>
  <c r="O39" i="7"/>
  <c r="O40" i="7" s="1"/>
  <c r="N39" i="7"/>
  <c r="N40" i="7" s="1"/>
  <c r="K39" i="7" l="1"/>
  <c r="K40" i="7" s="1"/>
  <c r="G39" i="7" l="1"/>
  <c r="H39" i="7"/>
  <c r="H40" i="7" s="1"/>
  <c r="G40" i="7" l="1"/>
  <c r="G22" i="9" l="1"/>
  <c r="F22" i="9"/>
  <c r="F23" i="9" l="1"/>
  <c r="AE14" i="3" l="1"/>
  <c r="AE11" i="3"/>
  <c r="M10" i="2" l="1"/>
  <c r="N10" i="2" s="1"/>
  <c r="M11" i="2"/>
  <c r="N11" i="2" s="1"/>
  <c r="S21" i="10" l="1"/>
  <c r="O21" i="10"/>
  <c r="L21" i="10"/>
  <c r="S20" i="10"/>
  <c r="O20" i="10"/>
  <c r="L20" i="10"/>
  <c r="S19" i="10"/>
  <c r="O19" i="10"/>
  <c r="N19" i="10"/>
  <c r="S18" i="10"/>
  <c r="O18" i="10"/>
  <c r="L18" i="10"/>
  <c r="N18" i="10" s="1"/>
  <c r="S16" i="10"/>
  <c r="O16" i="10"/>
  <c r="L16" i="10"/>
  <c r="S17" i="10"/>
  <c r="O17" i="10"/>
  <c r="L17" i="10"/>
  <c r="N17" i="10" s="1"/>
  <c r="S14" i="10"/>
  <c r="O14" i="10"/>
  <c r="N14" i="10"/>
  <c r="O15" i="10"/>
  <c r="P15" i="10" s="1"/>
  <c r="O7" i="10"/>
  <c r="L7" i="10"/>
  <c r="S9" i="10"/>
  <c r="O9" i="10"/>
  <c r="L9" i="10"/>
  <c r="N9" i="10" s="1"/>
  <c r="S8" i="10"/>
  <c r="O8" i="10"/>
  <c r="L8" i="10"/>
  <c r="L6" i="10"/>
  <c r="A2" i="10"/>
  <c r="N8" i="10" l="1"/>
  <c r="L22" i="10"/>
  <c r="T8" i="10"/>
  <c r="Z8" i="10" s="1"/>
  <c r="P16" i="10"/>
  <c r="D38" i="10"/>
  <c r="D39" i="10" s="1"/>
  <c r="J38" i="10"/>
  <c r="J39" i="10" s="1"/>
  <c r="T14" i="10"/>
  <c r="Z14" i="10" s="1"/>
  <c r="Z7" i="10"/>
  <c r="T16" i="10"/>
  <c r="Z16" i="10" s="1"/>
  <c r="T21" i="10"/>
  <c r="Z21" i="10" s="1"/>
  <c r="T19" i="10"/>
  <c r="Z19" i="10" s="1"/>
  <c r="U15" i="10"/>
  <c r="Y15" i="10" s="1"/>
  <c r="U18" i="10"/>
  <c r="Y18" i="10" s="1"/>
  <c r="T18" i="10"/>
  <c r="Z18" i="10" s="1"/>
  <c r="U9" i="10"/>
  <c r="Y9" i="10" s="1"/>
  <c r="T9" i="10"/>
  <c r="Z9" i="10" s="1"/>
  <c r="U17" i="10"/>
  <c r="Y17" i="10" s="1"/>
  <c r="T17" i="10"/>
  <c r="Z17" i="10" s="1"/>
  <c r="U20" i="10"/>
  <c r="Y20" i="10" s="1"/>
  <c r="T20" i="10"/>
  <c r="Z20" i="10" s="1"/>
  <c r="Y7" i="10"/>
  <c r="P7" i="10"/>
  <c r="E38" i="10"/>
  <c r="E39" i="10" s="1"/>
  <c r="K38" i="10"/>
  <c r="K39" i="10" s="1"/>
  <c r="U21" i="10"/>
  <c r="Y21" i="10" s="1"/>
  <c r="F38" i="10"/>
  <c r="F39" i="10" s="1"/>
  <c r="U16" i="10"/>
  <c r="Y16" i="10" s="1"/>
  <c r="P20" i="10"/>
  <c r="P21" i="10"/>
  <c r="G38" i="10"/>
  <c r="G39" i="10" s="1"/>
  <c r="P9" i="10"/>
  <c r="P18" i="10"/>
  <c r="N20" i="10"/>
  <c r="P17" i="10"/>
  <c r="C39" i="10"/>
  <c r="U8" i="10"/>
  <c r="Y8" i="10" s="1"/>
  <c r="U14" i="10"/>
  <c r="Y14" i="10" s="1"/>
  <c r="U19" i="10"/>
  <c r="Y19" i="10" s="1"/>
  <c r="P8" i="10"/>
  <c r="N7" i="10"/>
  <c r="P14" i="10"/>
  <c r="N16" i="10"/>
  <c r="P19" i="10"/>
  <c r="N21" i="10"/>
  <c r="P22" i="10" l="1"/>
  <c r="N22" i="10"/>
  <c r="N38" i="10" l="1"/>
  <c r="B9" i="4"/>
  <c r="P38" i="10"/>
  <c r="C9" i="4"/>
  <c r="N39" i="10"/>
  <c r="AE8" i="7"/>
  <c r="AF8" i="7" s="1"/>
  <c r="AL8" i="7" s="1"/>
  <c r="C19" i="9" l="1"/>
  <c r="U9" i="9"/>
  <c r="N9" i="9"/>
  <c r="P9" i="9" s="1"/>
  <c r="U10" i="9"/>
  <c r="N10" i="9"/>
  <c r="P10" i="9" s="1"/>
  <c r="U11" i="9"/>
  <c r="W11" i="9" s="1"/>
  <c r="Y11" i="9" s="1"/>
  <c r="N11" i="9"/>
  <c r="P11" i="9" s="1"/>
  <c r="U12" i="9"/>
  <c r="W12" i="9" s="1"/>
  <c r="Y12" i="9" s="1"/>
  <c r="N12" i="9"/>
  <c r="P12" i="9" s="1"/>
  <c r="U13" i="9"/>
  <c r="V13" i="9" s="1"/>
  <c r="N13" i="9"/>
  <c r="P13" i="9" s="1"/>
  <c r="U8" i="9"/>
  <c r="W8" i="9" s="1"/>
  <c r="Y8" i="9" s="1"/>
  <c r="N8" i="9"/>
  <c r="P8" i="9" s="1"/>
  <c r="U7" i="9"/>
  <c r="N7" i="9"/>
  <c r="P7" i="9" s="1"/>
  <c r="A2" i="9"/>
  <c r="W10" i="9" l="1"/>
  <c r="Y10" i="9" s="1"/>
  <c r="V10" i="9"/>
  <c r="W9" i="9"/>
  <c r="Y9" i="9" s="1"/>
  <c r="V9" i="9"/>
  <c r="E22" i="9"/>
  <c r="W7" i="9"/>
  <c r="Y7" i="9" s="1"/>
  <c r="V7" i="9"/>
  <c r="W13" i="9"/>
  <c r="Y13" i="9" s="1"/>
  <c r="C22" i="9"/>
  <c r="H22" i="9"/>
  <c r="H23" i="9" s="1"/>
  <c r="I22" i="9"/>
  <c r="I23" i="9" s="1"/>
  <c r="V12" i="9"/>
  <c r="J22" i="9"/>
  <c r="J23" i="9" s="1"/>
  <c r="V8" i="9"/>
  <c r="V11" i="9"/>
  <c r="M22" i="9"/>
  <c r="M23" i="9" s="1"/>
  <c r="P14" i="9"/>
  <c r="R7" i="9"/>
  <c r="R8" i="9"/>
  <c r="R13" i="9"/>
  <c r="R12" i="9"/>
  <c r="R11" i="9"/>
  <c r="R10" i="9"/>
  <c r="R9" i="9"/>
  <c r="C23" i="9" l="1"/>
  <c r="E23" i="9"/>
  <c r="B10" i="4"/>
  <c r="R14" i="9"/>
  <c r="R22" i="9" s="1"/>
  <c r="A2" i="7"/>
  <c r="AE13" i="7"/>
  <c r="AF13" i="7" s="1"/>
  <c r="AA13" i="7"/>
  <c r="X13" i="7"/>
  <c r="AE10" i="7"/>
  <c r="AF10" i="7" s="1"/>
  <c r="AA10" i="7"/>
  <c r="X10" i="7"/>
  <c r="AE16" i="7"/>
  <c r="AF16" i="7" s="1"/>
  <c r="AA16" i="7"/>
  <c r="X16" i="7"/>
  <c r="AE17" i="7"/>
  <c r="AF17" i="7" s="1"/>
  <c r="AA17" i="7"/>
  <c r="X17" i="7"/>
  <c r="AE14" i="7"/>
  <c r="AF14" i="7" s="1"/>
  <c r="AA14" i="7"/>
  <c r="X14" i="7"/>
  <c r="AE15" i="7"/>
  <c r="AF15" i="7" s="1"/>
  <c r="X7" i="7"/>
  <c r="AE9" i="7"/>
  <c r="AA9" i="7"/>
  <c r="X9" i="7"/>
  <c r="AG8" i="7"/>
  <c r="AK8" i="7" s="1"/>
  <c r="AA8" i="7"/>
  <c r="X8" i="7"/>
  <c r="Z8" i="7" s="1"/>
  <c r="X6" i="7"/>
  <c r="X23" i="7" l="1"/>
  <c r="D39" i="7"/>
  <c r="D40" i="7" s="1"/>
  <c r="AB7" i="7"/>
  <c r="Z7" i="7"/>
  <c r="N6" i="9"/>
  <c r="P23" i="9" s="1"/>
  <c r="G23" i="9"/>
  <c r="C10" i="4"/>
  <c r="AG17" i="7"/>
  <c r="AK17" i="7" s="1"/>
  <c r="AL17" i="7"/>
  <c r="AG10" i="7"/>
  <c r="AK10" i="7" s="1"/>
  <c r="AL10" i="7"/>
  <c r="AG14" i="7"/>
  <c r="AK14" i="7" s="1"/>
  <c r="AL14" i="7"/>
  <c r="AG9" i="7"/>
  <c r="AK9" i="7" s="1"/>
  <c r="AF9" i="7"/>
  <c r="AL9" i="7" s="1"/>
  <c r="AG15" i="7"/>
  <c r="AK15" i="7" s="1"/>
  <c r="AL15" i="7"/>
  <c r="AG7" i="7"/>
  <c r="AK7" i="7" s="1"/>
  <c r="AL7" i="7"/>
  <c r="AG16" i="7"/>
  <c r="AK16" i="7" s="1"/>
  <c r="AL16" i="7"/>
  <c r="AG13" i="7"/>
  <c r="AK13" i="7" s="1"/>
  <c r="AL13" i="7"/>
  <c r="AB17" i="7"/>
  <c r="AB14" i="7"/>
  <c r="AB13" i="7"/>
  <c r="AB9" i="7"/>
  <c r="Z14" i="7"/>
  <c r="AB16" i="7"/>
  <c r="AB10" i="7"/>
  <c r="I39" i="7"/>
  <c r="I40" i="7" s="1"/>
  <c r="AB15" i="7"/>
  <c r="Z16" i="7"/>
  <c r="Z13" i="7"/>
  <c r="F39" i="7"/>
  <c r="F40" i="7" s="1"/>
  <c r="E39" i="7"/>
  <c r="E40" i="7" s="1"/>
  <c r="Z9" i="7"/>
  <c r="Z17" i="7"/>
  <c r="Z10" i="7"/>
  <c r="C39" i="7"/>
  <c r="C40" i="7" s="1"/>
  <c r="AB8" i="7"/>
  <c r="Z39" i="7" l="1"/>
  <c r="B8" i="4" s="1"/>
  <c r="AB39" i="7"/>
  <c r="C8" i="4" s="1"/>
  <c r="AL26" i="3"/>
  <c r="AN26" i="3" s="1"/>
  <c r="AL27" i="3"/>
  <c r="AN27" i="3" s="1"/>
  <c r="AL25" i="3"/>
  <c r="AN25" i="3" s="1"/>
  <c r="AL24" i="3"/>
  <c r="AM24" i="3" s="1"/>
  <c r="Z40" i="7" l="1"/>
  <c r="AM25" i="3"/>
  <c r="AN24" i="3"/>
  <c r="AM27" i="3"/>
  <c r="AM26" i="3"/>
  <c r="AG27" i="3" l="1"/>
  <c r="AE24" i="3"/>
  <c r="AI24" i="3" s="1"/>
  <c r="AG25" i="3" l="1"/>
  <c r="AG24" i="3"/>
  <c r="M8" i="2" l="1"/>
  <c r="M9" i="2"/>
  <c r="N9" i="2" s="1"/>
  <c r="M7" i="2"/>
  <c r="N7" i="2" s="1"/>
  <c r="M6" i="2"/>
  <c r="N6" i="2" s="1"/>
  <c r="N8" i="2" l="1"/>
  <c r="AD17" i="6" l="1"/>
  <c r="AF17" i="6" l="1"/>
  <c r="AE17" i="6"/>
  <c r="W16" i="6"/>
  <c r="Y16" i="6" l="1"/>
  <c r="E23" i="5" l="1"/>
  <c r="F23" i="5"/>
  <c r="F19" i="5"/>
  <c r="F20" i="5"/>
  <c r="F21" i="5"/>
  <c r="F22" i="5"/>
  <c r="F24" i="5"/>
  <c r="F25" i="5"/>
  <c r="F26" i="5"/>
  <c r="F27" i="5"/>
  <c r="F28" i="5"/>
  <c r="F29" i="5"/>
  <c r="F30" i="5" l="1"/>
  <c r="F31" i="5" s="1"/>
  <c r="W17" i="6" l="1"/>
  <c r="AA17" i="6" l="1"/>
  <c r="Y17" i="6"/>
  <c r="M5" i="2" l="1"/>
  <c r="W8" i="6"/>
  <c r="W11" i="6"/>
  <c r="W13" i="6"/>
  <c r="W14" i="6"/>
  <c r="W10" i="6"/>
  <c r="W12" i="6"/>
  <c r="W15" i="6"/>
  <c r="W9" i="6"/>
  <c r="W23" i="6"/>
  <c r="W24" i="6"/>
  <c r="W25" i="6"/>
  <c r="W26" i="6"/>
  <c r="W7" i="6"/>
  <c r="R9" i="5"/>
  <c r="R10" i="5"/>
  <c r="R11" i="5"/>
  <c r="R12" i="5"/>
  <c r="R13" i="5"/>
  <c r="R14" i="5"/>
  <c r="R15" i="5"/>
  <c r="R16" i="5"/>
  <c r="R17" i="5"/>
  <c r="R8" i="5"/>
  <c r="R7" i="5"/>
  <c r="R6" i="5"/>
  <c r="AE8" i="3"/>
  <c r="AE9" i="3"/>
  <c r="AE10" i="3"/>
  <c r="AE15" i="3"/>
  <c r="AE17" i="3"/>
  <c r="AE21" i="3"/>
  <c r="AG21" i="3" s="1"/>
  <c r="AE12" i="3"/>
  <c r="AE13" i="3"/>
  <c r="AE16" i="3"/>
  <c r="AI16" i="3" s="1"/>
  <c r="AE22" i="3"/>
  <c r="AI22" i="3" s="1"/>
  <c r="AE23" i="3"/>
  <c r="AI23" i="3" s="1"/>
  <c r="AE40" i="3" l="1"/>
  <c r="W27" i="6"/>
  <c r="A2" i="6"/>
  <c r="A2" i="5"/>
  <c r="AD7" i="6" l="1"/>
  <c r="AD8" i="6"/>
  <c r="AF8" i="6" s="1"/>
  <c r="AD11" i="6"/>
  <c r="AE11" i="6" s="1"/>
  <c r="AD13" i="6"/>
  <c r="AF13" i="6" s="1"/>
  <c r="AD14" i="6"/>
  <c r="AF14" i="6" s="1"/>
  <c r="AD10" i="6"/>
  <c r="AF10" i="6" s="1"/>
  <c r="AD12" i="6"/>
  <c r="AE12" i="6" s="1"/>
  <c r="AD15" i="6"/>
  <c r="AF15" i="6" s="1"/>
  <c r="AD9" i="6"/>
  <c r="AD23" i="6"/>
  <c r="AF23" i="6" s="1"/>
  <c r="AD24" i="6"/>
  <c r="AD25" i="6"/>
  <c r="AE25" i="6" s="1"/>
  <c r="AD26" i="6"/>
  <c r="AF26" i="6" s="1"/>
  <c r="AD16" i="6"/>
  <c r="AE16" i="6" s="1"/>
  <c r="AA15" i="6"/>
  <c r="AF7" i="6" l="1"/>
  <c r="AE7" i="6"/>
  <c r="AF16" i="6"/>
  <c r="AF9" i="6"/>
  <c r="AE9" i="6"/>
  <c r="AF24" i="6"/>
  <c r="AE24" i="6"/>
  <c r="AE10" i="6"/>
  <c r="AE8" i="6"/>
  <c r="AF12" i="6"/>
  <c r="AF11" i="6"/>
  <c r="AE23" i="6"/>
  <c r="AE14" i="6"/>
  <c r="AF25" i="6"/>
  <c r="AE26" i="6"/>
  <c r="AE15" i="6"/>
  <c r="AE13" i="6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AA16" i="5" l="1"/>
  <c r="AA8" i="5"/>
  <c r="AA17" i="5"/>
  <c r="AA12" i="5"/>
  <c r="AA13" i="5"/>
  <c r="AA11" i="5"/>
  <c r="AA15" i="5"/>
  <c r="AA10" i="5"/>
  <c r="AA14" i="5"/>
  <c r="AA9" i="5"/>
  <c r="AM7" i="3"/>
  <c r="AL8" i="3"/>
  <c r="AM8" i="3" s="1"/>
  <c r="AL9" i="3"/>
  <c r="AM9" i="3" s="1"/>
  <c r="AL10" i="3"/>
  <c r="AM10" i="3" s="1"/>
  <c r="AL17" i="3"/>
  <c r="AM17" i="3" s="1"/>
  <c r="AL19" i="3"/>
  <c r="AM19" i="3" s="1"/>
  <c r="AL21" i="3"/>
  <c r="AM21" i="3" s="1"/>
  <c r="AL11" i="3"/>
  <c r="AM11" i="3" s="1"/>
  <c r="AL12" i="3"/>
  <c r="AM12" i="3" s="1"/>
  <c r="AL13" i="3"/>
  <c r="AL14" i="3"/>
  <c r="AM14" i="3" s="1"/>
  <c r="AL16" i="3"/>
  <c r="AM16" i="3" s="1"/>
  <c r="AL22" i="3"/>
  <c r="AM22" i="3" s="1"/>
  <c r="AL23" i="3"/>
  <c r="AM23" i="3" s="1"/>
  <c r="AN14" i="3" l="1"/>
  <c r="AN9" i="3"/>
  <c r="AN10" i="3"/>
  <c r="AN12" i="3"/>
  <c r="AN23" i="3"/>
  <c r="AN11" i="3"/>
  <c r="AN22" i="3"/>
  <c r="AN21" i="3"/>
  <c r="AN19" i="3"/>
  <c r="AN17" i="3"/>
  <c r="AN8" i="3"/>
  <c r="AN7" i="3"/>
  <c r="AN13" i="3"/>
  <c r="AM13" i="3"/>
  <c r="AN16" i="3"/>
  <c r="E48" i="6" l="1"/>
  <c r="F48" i="6"/>
  <c r="H48" i="6"/>
  <c r="G48" i="6"/>
  <c r="I48" i="6"/>
  <c r="AA7" i="6"/>
  <c r="Y8" i="6"/>
  <c r="AA11" i="6"/>
  <c r="Y13" i="6"/>
  <c r="AA14" i="6"/>
  <c r="Y7" i="6"/>
  <c r="Y11" i="6"/>
  <c r="AA16" i="6"/>
  <c r="D49" i="6" l="1"/>
  <c r="Y14" i="6"/>
  <c r="AA13" i="6"/>
  <c r="AA8" i="6"/>
  <c r="Y15" i="6" l="1"/>
  <c r="Y9" i="6"/>
  <c r="AA23" i="6"/>
  <c r="Y12" i="6" l="1"/>
  <c r="AA12" i="6"/>
  <c r="AA10" i="6"/>
  <c r="Y10" i="6"/>
  <c r="F49" i="6" l="1"/>
  <c r="H49" i="6"/>
  <c r="I49" i="6"/>
  <c r="G49" i="6"/>
  <c r="I29" i="5" l="1"/>
  <c r="AI10" i="3" l="1"/>
  <c r="AI8" i="3"/>
  <c r="AI7" i="3"/>
  <c r="AI9" i="3"/>
  <c r="AG7" i="3" l="1"/>
  <c r="AG9" i="3"/>
  <c r="AG8" i="3"/>
  <c r="AG10" i="3"/>
  <c r="AA26" i="6" l="1"/>
  <c r="AA25" i="6"/>
  <c r="Y25" i="6"/>
  <c r="Y26" i="6"/>
  <c r="Y23" i="6"/>
  <c r="Y24" i="6"/>
  <c r="Y27" i="6" l="1"/>
  <c r="E49" i="6"/>
  <c r="AA24" i="6"/>
  <c r="AA9" i="6"/>
  <c r="C49" i="6" l="1"/>
  <c r="W6" i="6"/>
  <c r="Y49" i="6" s="1"/>
  <c r="Y48" i="6"/>
  <c r="AA27" i="6"/>
  <c r="AA48" i="6" s="1"/>
  <c r="C11" i="4" l="1"/>
  <c r="K29" i="5"/>
  <c r="V17" i="5"/>
  <c r="V16" i="5"/>
  <c r="T17" i="5"/>
  <c r="T16" i="5"/>
  <c r="D28" i="5"/>
  <c r="E28" i="5"/>
  <c r="G28" i="5"/>
  <c r="H28" i="5"/>
  <c r="I28" i="5"/>
  <c r="J28" i="5"/>
  <c r="K28" i="5"/>
  <c r="L28" i="5"/>
  <c r="M28" i="5"/>
  <c r="N28" i="5"/>
  <c r="O28" i="5"/>
  <c r="P28" i="5"/>
  <c r="Q28" i="5"/>
  <c r="D29" i="5"/>
  <c r="E29" i="5"/>
  <c r="G29" i="5"/>
  <c r="H29" i="5"/>
  <c r="J29" i="5"/>
  <c r="L29" i="5"/>
  <c r="M29" i="5"/>
  <c r="N29" i="5"/>
  <c r="O29" i="5"/>
  <c r="P29" i="5"/>
  <c r="Q29" i="5"/>
  <c r="C28" i="5"/>
  <c r="C29" i="5"/>
  <c r="AG23" i="3" l="1"/>
  <c r="AG22" i="3"/>
  <c r="R18" i="5" l="1"/>
  <c r="R21" i="5" s="1"/>
  <c r="C7" i="4" l="1"/>
  <c r="B7" i="4" l="1"/>
  <c r="AL15" i="3"/>
  <c r="AM15" i="3" s="1"/>
  <c r="Y7" i="5"/>
  <c r="Z7" i="5" s="1"/>
  <c r="AA7" i="5" l="1"/>
  <c r="AN15" i="3"/>
  <c r="K19" i="5" l="1"/>
  <c r="AI21" i="3"/>
  <c r="O19" i="5" l="1"/>
  <c r="O20" i="5"/>
  <c r="O21" i="5"/>
  <c r="O22" i="5"/>
  <c r="O23" i="5"/>
  <c r="O24" i="5"/>
  <c r="O25" i="5"/>
  <c r="O26" i="5"/>
  <c r="O27" i="5"/>
  <c r="L19" i="5"/>
  <c r="O30" i="5" l="1"/>
  <c r="O31" i="5" s="1"/>
  <c r="AG12" i="3"/>
  <c r="AI12" i="3"/>
  <c r="AG11" i="3"/>
  <c r="AI11" i="3"/>
  <c r="H23" i="5" l="1"/>
  <c r="I23" i="5"/>
  <c r="J23" i="5"/>
  <c r="K23" i="5"/>
  <c r="L23" i="5"/>
  <c r="M23" i="5"/>
  <c r="N23" i="5"/>
  <c r="P23" i="5"/>
  <c r="Q23" i="5"/>
  <c r="H24" i="5"/>
  <c r="I24" i="5"/>
  <c r="J24" i="5"/>
  <c r="K24" i="5"/>
  <c r="L24" i="5"/>
  <c r="M24" i="5"/>
  <c r="N24" i="5"/>
  <c r="P24" i="5"/>
  <c r="Q24" i="5"/>
  <c r="C23" i="5"/>
  <c r="D23" i="5"/>
  <c r="C24" i="5"/>
  <c r="D24" i="5"/>
  <c r="E24" i="5"/>
  <c r="G24" i="5"/>
  <c r="G23" i="5"/>
  <c r="T11" i="5"/>
  <c r="V12" i="5"/>
  <c r="T12" i="5" l="1"/>
  <c r="V11" i="5"/>
  <c r="K20" i="5"/>
  <c r="K21" i="5"/>
  <c r="K22" i="5"/>
  <c r="K25" i="5"/>
  <c r="K26" i="5"/>
  <c r="K27" i="5"/>
  <c r="K30" i="5" l="1"/>
  <c r="K31" i="5" s="1"/>
  <c r="M19" i="5"/>
  <c r="N19" i="5"/>
  <c r="P19" i="5"/>
  <c r="Q19" i="5"/>
  <c r="M20" i="5"/>
  <c r="N20" i="5"/>
  <c r="P20" i="5"/>
  <c r="Q20" i="5"/>
  <c r="M21" i="5"/>
  <c r="N21" i="5"/>
  <c r="P21" i="5"/>
  <c r="Q21" i="5"/>
  <c r="M22" i="5"/>
  <c r="N22" i="5"/>
  <c r="P22" i="5"/>
  <c r="Q22" i="5"/>
  <c r="M25" i="5"/>
  <c r="N25" i="5"/>
  <c r="P25" i="5"/>
  <c r="Q25" i="5"/>
  <c r="M26" i="5"/>
  <c r="N26" i="5"/>
  <c r="P26" i="5"/>
  <c r="Q26" i="5"/>
  <c r="M27" i="5"/>
  <c r="N27" i="5"/>
  <c r="P27" i="5"/>
  <c r="Q27" i="5"/>
  <c r="Q30" i="5" l="1"/>
  <c r="Q31" i="5" s="1"/>
  <c r="P30" i="5"/>
  <c r="P31" i="5" s="1"/>
  <c r="N30" i="5"/>
  <c r="N31" i="5" s="1"/>
  <c r="M30" i="5"/>
  <c r="M31" i="5" s="1"/>
  <c r="D19" i="5" l="1"/>
  <c r="E19" i="5"/>
  <c r="G19" i="5"/>
  <c r="H19" i="5"/>
  <c r="I19" i="5"/>
  <c r="J19" i="5"/>
  <c r="D20" i="5"/>
  <c r="E20" i="5"/>
  <c r="G20" i="5"/>
  <c r="H20" i="5"/>
  <c r="I20" i="5"/>
  <c r="J20" i="5"/>
  <c r="L20" i="5"/>
  <c r="D21" i="5"/>
  <c r="E21" i="5"/>
  <c r="G21" i="5"/>
  <c r="H21" i="5"/>
  <c r="I21" i="5"/>
  <c r="J21" i="5"/>
  <c r="L21" i="5"/>
  <c r="D22" i="5"/>
  <c r="E22" i="5"/>
  <c r="G22" i="5"/>
  <c r="H22" i="5"/>
  <c r="I22" i="5"/>
  <c r="J22" i="5"/>
  <c r="L22" i="5"/>
  <c r="D25" i="5"/>
  <c r="E25" i="5"/>
  <c r="G25" i="5"/>
  <c r="H25" i="5"/>
  <c r="I25" i="5"/>
  <c r="J25" i="5"/>
  <c r="L25" i="5"/>
  <c r="D26" i="5"/>
  <c r="E26" i="5"/>
  <c r="G26" i="5"/>
  <c r="H26" i="5"/>
  <c r="I26" i="5"/>
  <c r="J26" i="5"/>
  <c r="L26" i="5"/>
  <c r="D27" i="5"/>
  <c r="E27" i="5"/>
  <c r="G27" i="5"/>
  <c r="H27" i="5"/>
  <c r="I27" i="5"/>
  <c r="J27" i="5"/>
  <c r="L27" i="5"/>
  <c r="C20" i="5"/>
  <c r="C21" i="5"/>
  <c r="C22" i="5"/>
  <c r="C25" i="5"/>
  <c r="C26" i="5"/>
  <c r="C27" i="5"/>
  <c r="C19" i="5"/>
  <c r="I30" i="5" l="1"/>
  <c r="I31" i="5" s="1"/>
  <c r="H30" i="5"/>
  <c r="H31" i="5" s="1"/>
  <c r="G30" i="5"/>
  <c r="G31" i="5" s="1"/>
  <c r="C30" i="5"/>
  <c r="C31" i="5" s="1"/>
  <c r="J30" i="5"/>
  <c r="J31" i="5" s="1"/>
  <c r="E30" i="5"/>
  <c r="E31" i="5" s="1"/>
  <c r="D30" i="5"/>
  <c r="D31" i="5" s="1"/>
  <c r="L30" i="5"/>
  <c r="L31" i="5" s="1"/>
  <c r="U13" i="5" l="1"/>
  <c r="AH13" i="3" l="1"/>
  <c r="T9" i="5" l="1"/>
  <c r="V10" i="5"/>
  <c r="V8" i="5"/>
  <c r="V7" i="5"/>
  <c r="AI15" i="3"/>
  <c r="AI17" i="3"/>
  <c r="AG19" i="3"/>
  <c r="V9" i="5" l="1"/>
  <c r="T8" i="5"/>
  <c r="T10" i="5"/>
  <c r="T7" i="5"/>
  <c r="AG17" i="3"/>
  <c r="AG15" i="3"/>
  <c r="AG14" i="3" l="1"/>
  <c r="AG13" i="3"/>
  <c r="V15" i="5"/>
  <c r="T14" i="5"/>
  <c r="T13" i="5"/>
  <c r="AI13" i="3" l="1"/>
  <c r="AI14" i="3"/>
  <c r="AG16" i="3"/>
  <c r="AG40" i="3" s="1"/>
  <c r="V14" i="5"/>
  <c r="V13" i="5"/>
  <c r="T15" i="5"/>
  <c r="T18" i="5" s="1"/>
  <c r="AI40" i="3" l="1"/>
  <c r="B15" i="4"/>
  <c r="B5" i="4"/>
  <c r="T19" i="5"/>
  <c r="T21" i="5"/>
  <c r="V18" i="5"/>
  <c r="V21" i="5" s="1"/>
  <c r="C15" i="4" l="1"/>
  <c r="C21" i="4" s="1"/>
  <c r="C5" i="4"/>
  <c r="C6" i="4"/>
  <c r="B6" i="4" l="1"/>
  <c r="C13" i="4" l="1"/>
  <c r="C16" i="4" s="1"/>
  <c r="M13" i="2"/>
  <c r="B11" i="4" l="1"/>
  <c r="B13" i="4" l="1"/>
  <c r="B16" i="4" s="1"/>
  <c r="AE6" i="3"/>
  <c r="AG74" i="3" s="1"/>
  <c r="D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tc={7EB17965-1042-4791-B352-751C547AEF04}</author>
  </authors>
  <commentList>
    <comment ref="O7" authorId="0" shapeId="0" xr:uid="{7EB17965-1042-4791-B352-751C547AEF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13.69 PRECIO ANTERIOR</t>
      </text>
    </comment>
  </commentList>
</comments>
</file>

<file path=xl/sharedStrings.xml><?xml version="1.0" encoding="utf-8"?>
<sst xmlns="http://schemas.openxmlformats.org/spreadsheetml/2006/main" count="577" uniqueCount="348">
  <si>
    <t>Date</t>
  </si>
  <si>
    <t>ACCUMULATED</t>
  </si>
  <si>
    <t>LEATHER UNIT PRICE</t>
  </si>
  <si>
    <t>MONTHLY LEATHER SALES</t>
  </si>
  <si>
    <t>CUTTING UNIT PRICE</t>
  </si>
  <si>
    <t>MONTHLY CUTTING SALES</t>
  </si>
  <si>
    <t>Packings</t>
  </si>
  <si>
    <t xml:space="preserve"> </t>
  </si>
  <si>
    <t>Invoice #</t>
  </si>
  <si>
    <t>TOTAL USD</t>
  </si>
  <si>
    <t xml:space="preserve">RH FSB CL/FL </t>
  </si>
  <si>
    <t>RSB BENCH</t>
  </si>
  <si>
    <t>RSC BENCH</t>
  </si>
  <si>
    <t>FSB LH</t>
  </si>
  <si>
    <t>FSC LH CL/FL</t>
  </si>
  <si>
    <t>PIELES</t>
  </si>
  <si>
    <t>ACUMULADO PIEL MAGNA</t>
  </si>
  <si>
    <t>RSC 60</t>
  </si>
  <si>
    <t>RSC 40</t>
  </si>
  <si>
    <t>RSB 40</t>
  </si>
  <si>
    <t>RSB 60</t>
  </si>
  <si>
    <t>FMCKTX7</t>
  </si>
  <si>
    <t>MCKINLEY TX7</t>
  </si>
  <si>
    <t>PROGRAM</t>
  </si>
  <si>
    <t>TOTALS</t>
  </si>
  <si>
    <t>SUMMARY IRVIN SHIPMENTS</t>
  </si>
  <si>
    <t>JL-SAHARA LEATHER</t>
  </si>
  <si>
    <t>FSB RH</t>
  </si>
  <si>
    <t>JL-TX7</t>
  </si>
  <si>
    <t>JL-STT</t>
  </si>
  <si>
    <t>JL72/74- TX7</t>
  </si>
  <si>
    <t>JL -STT</t>
  </si>
  <si>
    <t>FT BACK SAHARA LH</t>
  </si>
  <si>
    <t>2532932BQW-AD</t>
  </si>
  <si>
    <t>2532934BQW-AD</t>
  </si>
  <si>
    <t>2536300BQW-AD</t>
  </si>
  <si>
    <t>2532934BQX-AD</t>
  </si>
  <si>
    <t>2536300BQX-AD</t>
  </si>
  <si>
    <t>2532932BQX-AD</t>
  </si>
  <si>
    <t>2538319BQW-AB</t>
  </si>
  <si>
    <t>2536341BQX-AD</t>
  </si>
  <si>
    <t>2536342BQX-AD</t>
  </si>
  <si>
    <t>2538319BQX-AB</t>
  </si>
  <si>
    <t>$2.00 KUFNER</t>
  </si>
  <si>
    <t>2536146BQW-AD</t>
  </si>
  <si>
    <t>2536146BQX-AD</t>
  </si>
  <si>
    <t>2532773BQX-AC</t>
  </si>
  <si>
    <t>2532774BQX-AD</t>
  </si>
  <si>
    <t>2532773BQW-AC</t>
  </si>
  <si>
    <t>2532774BQW-AD</t>
  </si>
  <si>
    <t>TOTAL</t>
  </si>
  <si>
    <t>CUTTING</t>
  </si>
  <si>
    <t>JL-VT9</t>
  </si>
  <si>
    <t>Pendiente</t>
  </si>
  <si>
    <t xml:space="preserve">2546116BQX-AA </t>
  </si>
  <si>
    <t xml:space="preserve">2546123BQX-AA    </t>
  </si>
  <si>
    <t>FMCKSTT</t>
  </si>
  <si>
    <t>MCKINLEY STT</t>
  </si>
  <si>
    <t>Cutting</t>
  </si>
  <si>
    <t>2532934C4X-AD</t>
  </si>
  <si>
    <t>2536300C4X-AD</t>
  </si>
  <si>
    <t>2532932C4X-AD</t>
  </si>
  <si>
    <t>2544600C4X-AA</t>
  </si>
  <si>
    <t>2544601C4X-AA</t>
  </si>
  <si>
    <t>NET</t>
  </si>
  <si>
    <t>KUFNER</t>
  </si>
  <si>
    <t>2544599BQW-AB</t>
  </si>
  <si>
    <t>2544598BQW-AB</t>
  </si>
  <si>
    <t>2544600BQW-AA</t>
  </si>
  <si>
    <t>2544601BQW-AA</t>
  </si>
  <si>
    <t>2536146C4X-AD</t>
  </si>
  <si>
    <t>2536341C4X-AE</t>
  </si>
  <si>
    <t>2536342C4X-AE</t>
  </si>
  <si>
    <t>2538319C4X-AB</t>
  </si>
  <si>
    <t>GROSS</t>
  </si>
  <si>
    <t>2546123C4X-AA</t>
  </si>
  <si>
    <t>FMCKVT9</t>
  </si>
  <si>
    <t>MCKINLEY VT9</t>
  </si>
  <si>
    <t>MONTHLY LEATHER CUT</t>
  </si>
  <si>
    <t>SA5</t>
  </si>
  <si>
    <t>MCKINLEY SA5</t>
  </si>
  <si>
    <t>FCNPTX7</t>
  </si>
  <si>
    <t>NAPPA TX7</t>
  </si>
  <si>
    <t>FULL HIDES/EVEN UP/OVERTIME</t>
  </si>
  <si>
    <t>2552034BQW-AA</t>
  </si>
  <si>
    <t>2552035BQW-AA</t>
  </si>
  <si>
    <t>2552093BQW-AA</t>
  </si>
  <si>
    <t>2552092BQW-AA</t>
  </si>
  <si>
    <t>$4.50 EMBOSSING OSCAR-MIKE</t>
  </si>
  <si>
    <t>LAMINATION</t>
  </si>
  <si>
    <t>QUILTING</t>
  </si>
  <si>
    <t>TOTAL PLM</t>
  </si>
  <si>
    <t>2549592BQW-AA</t>
  </si>
  <si>
    <t>2549593BQW-AA</t>
  </si>
  <si>
    <t>2549586BQW-AA</t>
  </si>
  <si>
    <t>2551480BQW-AA</t>
  </si>
  <si>
    <t>JEEP JT SUMMIT REAR SEAT BACK 40%</t>
  </si>
  <si>
    <t>2551479BQW-AA</t>
  </si>
  <si>
    <t>JEEP JT SUMMIT REAR SEAT BACK 60%</t>
  </si>
  <si>
    <t>2551482BQW-AA</t>
  </si>
  <si>
    <t>JEEP JT SUMMIT REAR SEAT CUSHION 40%</t>
  </si>
  <si>
    <t>2551481BQW-AA</t>
  </si>
  <si>
    <t>JEEP JT SUMMIT REAR SEAT CUSHION 60%</t>
  </si>
  <si>
    <t>2549607BQW-AA</t>
  </si>
  <si>
    <t>JEEP JL SUMMIT REAR BACK 40%</t>
  </si>
  <si>
    <t>2549613BQW-AA</t>
  </si>
  <si>
    <t>JEEP JL SUMMIT REAR BACK 60%</t>
  </si>
  <si>
    <t>2549601BQW-AA</t>
  </si>
  <si>
    <t>JEEP JL SUMMIT REAR CUSH. 40%</t>
  </si>
  <si>
    <t>2549616BQW-AA</t>
  </si>
  <si>
    <t>JEEP JL SUMMIT REAR CUSH. 60%</t>
  </si>
  <si>
    <t>2546116C4X-AA</t>
  </si>
  <si>
    <t>2532773C4X-AC</t>
  </si>
  <si>
    <t>2532774C4X-AD</t>
  </si>
  <si>
    <t>2544598C4X-AB</t>
  </si>
  <si>
    <t>2544599C4X-AB</t>
  </si>
  <si>
    <t>2536341BQW-AE</t>
  </si>
  <si>
    <t>2536342BQW-AE</t>
  </si>
  <si>
    <t>2546116BQW-AA</t>
  </si>
  <si>
    <t>2546123BQW-AA</t>
  </si>
  <si>
    <t>2552497BQW-AA</t>
  </si>
  <si>
    <t>TX7</t>
  </si>
  <si>
    <t>MOJAVE LEATHER KIT FSB RH 2PCS</t>
  </si>
  <si>
    <t>2552498BQW-AA</t>
  </si>
  <si>
    <t xml:space="preserve">MOJAVE LEATHER KIT-FSBLH 2PCS </t>
  </si>
  <si>
    <t>NAPPA SA5</t>
  </si>
  <si>
    <t>2552497C6S-AA</t>
  </si>
  <si>
    <t>2552498C6S-AA</t>
  </si>
  <si>
    <t>2532932C6S-AD</t>
  </si>
  <si>
    <t xml:space="preserve">LTHR KIT-JL FSC LH  4PC        </t>
  </si>
  <si>
    <t>2544601C6S-AA</t>
  </si>
  <si>
    <t xml:space="preserve">LEATHER KIT - JT RSB 40 2PC    </t>
  </si>
  <si>
    <t>2544600C6S-AA</t>
  </si>
  <si>
    <t xml:space="preserve">LEATHER KIT - JT RSB 60 2PC    </t>
  </si>
  <si>
    <t>2544599C6S-AB</t>
  </si>
  <si>
    <t xml:space="preserve">LEATHER KIT - JT RSC 40 2pc pc </t>
  </si>
  <si>
    <t>2544598C6S-AB</t>
  </si>
  <si>
    <t xml:space="preserve">LEATHER KIT - JT RSC 60 PC 2pc </t>
  </si>
  <si>
    <t xml:space="preserve">JL74 FSB SUMMIT LEATHER KIT 5PC     </t>
  </si>
  <si>
    <t xml:space="preserve">JL74 FSB SUMMIT  LEATHER KIT 5PC   </t>
  </si>
  <si>
    <t xml:space="preserve">JL74 FSC SUMMIT LEATHER KIT4PC </t>
  </si>
  <si>
    <t>JL74 SUMMIT L KIT  RSB 40 2pc</t>
  </si>
  <si>
    <t>JL74 SUMMIT L KIT  RSB 60 2PC</t>
  </si>
  <si>
    <t>JL74 SUMMIT L KIT RSC 40 2P</t>
  </si>
  <si>
    <t>JL74 SUMMIT L KIT RSC 60 2P</t>
  </si>
  <si>
    <t xml:space="preserve">JT SUMMIT L KIT RSB 40      </t>
  </si>
  <si>
    <t xml:space="preserve">JT SUMMIT L KIT RSB 60      </t>
  </si>
  <si>
    <t>JT SUMMIT L KIT  RSC 40</t>
  </si>
  <si>
    <t>JT SUMMIT L KIT  RSC 60</t>
  </si>
  <si>
    <t>2549592C6S-AA</t>
  </si>
  <si>
    <t>2549593C6S-AA</t>
  </si>
  <si>
    <t>2549586C6S-AA</t>
  </si>
  <si>
    <t>2549607C6S-AA</t>
  </si>
  <si>
    <t>2549613C6S-AA</t>
  </si>
  <si>
    <t>2549601C6S-AA</t>
  </si>
  <si>
    <t>2549616C6S-AA</t>
  </si>
  <si>
    <t>2551480C6S-AA</t>
  </si>
  <si>
    <t>2551479C6S-AA</t>
  </si>
  <si>
    <t>2551482C6S-AA</t>
  </si>
  <si>
    <t>2551481C6S-AA</t>
  </si>
  <si>
    <t>JT SUMMIT NAPPA SA5</t>
  </si>
  <si>
    <t>JT SUMMIT NAPPA TX7</t>
  </si>
  <si>
    <t>MOJAVE MCKINLEY TX7</t>
  </si>
  <si>
    <t>MOJAVE MCKINLEY SA5</t>
  </si>
  <si>
    <t>TOTAL PRICE</t>
  </si>
  <si>
    <t>MOJAVE-SA5</t>
  </si>
  <si>
    <t xml:space="preserve">TOTAL </t>
  </si>
  <si>
    <t>PLM</t>
  </si>
  <si>
    <t>FMCKSA5</t>
  </si>
  <si>
    <t>FCNPSA5</t>
  </si>
  <si>
    <t>PRICE</t>
  </si>
  <si>
    <t>2552497BQW-AB</t>
  </si>
  <si>
    <t>2552498BQW-AB</t>
  </si>
  <si>
    <t>2537299BQW-AC</t>
  </si>
  <si>
    <t>2537392BQW-AC</t>
  </si>
  <si>
    <t>2537239BQW-AC</t>
  </si>
  <si>
    <t>2537243BQW-AC</t>
  </si>
  <si>
    <t>Amount</t>
  </si>
  <si>
    <t>JL-PHEV TX7</t>
  </si>
  <si>
    <t>Change in 1/30/20</t>
  </si>
  <si>
    <t>2549592BQW-AB</t>
  </si>
  <si>
    <t>2549593BQW-AB</t>
  </si>
  <si>
    <t>2552497C6S-AB</t>
  </si>
  <si>
    <t>2552498C6S-AB</t>
  </si>
  <si>
    <t>2549592C6S-AB</t>
  </si>
  <si>
    <t>2549593C6S-AB</t>
  </si>
  <si>
    <t>2537239C4X-AC</t>
  </si>
  <si>
    <t>2537243C4X-AC</t>
  </si>
  <si>
    <t>2537299C4X-AC</t>
  </si>
  <si>
    <t>2537392C4X-AC</t>
  </si>
  <si>
    <t>Incorrect prices in PO</t>
  </si>
  <si>
    <t>2551308BQW-AB</t>
  </si>
  <si>
    <t>2551313BQW-AB</t>
  </si>
  <si>
    <t>2551318BQW-AB</t>
  </si>
  <si>
    <t>2550716BQW-AB</t>
  </si>
  <si>
    <t>Wrong prices in PO</t>
  </si>
  <si>
    <t>2551308C6S-AB</t>
  </si>
  <si>
    <t>2550716C6S-AB</t>
  </si>
  <si>
    <t>2551313C6S-AB</t>
  </si>
  <si>
    <t>2551318C6S-AB</t>
  </si>
  <si>
    <t>2558341BQW-AA</t>
  </si>
  <si>
    <t>2558342BQW-AA</t>
  </si>
  <si>
    <t>FRONT BACK</t>
  </si>
  <si>
    <t>JL-TEXAS TRAIL TX7</t>
  </si>
  <si>
    <t>2557587BQW-AA</t>
  </si>
  <si>
    <t>2557588BQW-AA</t>
  </si>
  <si>
    <t>FRONT BACK RH</t>
  </si>
  <si>
    <t>FRONT BACK LH</t>
  </si>
  <si>
    <t>JANUARY</t>
  </si>
  <si>
    <t>JL0104-1</t>
  </si>
  <si>
    <t>JL0104-2</t>
  </si>
  <si>
    <t>JL0104-3</t>
  </si>
  <si>
    <t>JL0105-1</t>
  </si>
  <si>
    <t>JL0105-2</t>
  </si>
  <si>
    <t>JL0105-3</t>
  </si>
  <si>
    <t>JL0105-4</t>
  </si>
  <si>
    <t>JL0106-1</t>
  </si>
  <si>
    <t>JL0106-2</t>
  </si>
  <si>
    <t>JL0107-1</t>
  </si>
  <si>
    <t>JL0107-2</t>
  </si>
  <si>
    <t>JL0107-3</t>
  </si>
  <si>
    <t>JL0107-4</t>
  </si>
  <si>
    <t>JL0108-1</t>
  </si>
  <si>
    <t>JL0108-2</t>
  </si>
  <si>
    <t>JL0108-3</t>
  </si>
  <si>
    <t>JL0106-3</t>
  </si>
  <si>
    <t>JL0111-1</t>
  </si>
  <si>
    <t>JL0112-1</t>
  </si>
  <si>
    <t>JL0112-2</t>
  </si>
  <si>
    <t>JL0112-3</t>
  </si>
  <si>
    <t>JL0113-1</t>
  </si>
  <si>
    <t>JL0113-2</t>
  </si>
  <si>
    <t>JL0113-3</t>
  </si>
  <si>
    <t>JL0113-4</t>
  </si>
  <si>
    <t>JL0114-1</t>
  </si>
  <si>
    <t>JL0114-2</t>
  </si>
  <si>
    <t>JL0114-3</t>
  </si>
  <si>
    <t>JL0111-3</t>
  </si>
  <si>
    <t>JL0111-2</t>
  </si>
  <si>
    <t>PREPAID (01/14/21)</t>
  </si>
  <si>
    <t>JL0115-1</t>
  </si>
  <si>
    <t>JL0115-2</t>
  </si>
  <si>
    <t>JL0118-1</t>
  </si>
  <si>
    <t>JL0118-2</t>
  </si>
  <si>
    <t>JL0118-3</t>
  </si>
  <si>
    <t>JL0119-1</t>
  </si>
  <si>
    <t>JL0119-2</t>
  </si>
  <si>
    <t>2536341BQW-AE obs</t>
  </si>
  <si>
    <t>2536342BQW-AE obs</t>
  </si>
  <si>
    <t>PLJTRC6MCKTX7 2019 JEEP JT</t>
  </si>
  <si>
    <t>PLJTRC4MCKTX7 2019 JEEP JT</t>
  </si>
  <si>
    <t>PMJTRB6MCKTX7 2019 JEEP JT</t>
  </si>
  <si>
    <t>PMJTRB4MCKTX7 2019 JEEP JT</t>
  </si>
  <si>
    <t>PJL2BC2MCKTX7 2018 JEEP JL</t>
  </si>
  <si>
    <t>PJL2EFBMCKTX7 2018 JEEP JL</t>
  </si>
  <si>
    <t>PJL2EFRMCKTX7 2018 JEEP JL</t>
  </si>
  <si>
    <t>PJL2BBKMCKTX7 2018 JEEP JL</t>
  </si>
  <si>
    <t>PJL2RC6MCKTX7 2018 JEEP JL</t>
  </si>
  <si>
    <t>PJL2RC4MCKTX7 2018 JEEP JL</t>
  </si>
  <si>
    <t>PJLFCRLMCKTX7 2018 JEEP JL</t>
  </si>
  <si>
    <t>PJLSFBRMCKTX7 2018 JEEP JL</t>
  </si>
  <si>
    <t>PJLSFBLMCKTX7 2018 JEEP JL</t>
  </si>
  <si>
    <t>PJLFFBLMCKTX7 2018 JEEP JL</t>
  </si>
  <si>
    <t>PJLFFBRMCKTX7 2018 JEEP JL</t>
  </si>
  <si>
    <t>PJLFRRHMCKTX7 2018 JEEP JL</t>
  </si>
  <si>
    <t>PJLFRLHMCKTX7 2018 JEEP JL</t>
  </si>
  <si>
    <t>PJPRC60MCKTX7 JEEP JL PHEV</t>
  </si>
  <si>
    <t>PJPRC40MCKTX7 JEEP JL PHEV</t>
  </si>
  <si>
    <t>PJPRB60MCKTX7 JEEP JL PHEV</t>
  </si>
  <si>
    <t>PJPRB40MCKTX7 JEEP JL PHEV</t>
  </si>
  <si>
    <t>PMJMFBRMCKTX7 JT MOJAVE</t>
  </si>
  <si>
    <t>PMJMFBLMCKTX7 JT MOJAVE</t>
  </si>
  <si>
    <t>PMJLFBRMCKTX7 JT MOJAVE</t>
  </si>
  <si>
    <t>PMJLFBLMCKTX7 JT MOJAVE</t>
  </si>
  <si>
    <t>PJL2RB6MCKTX7 2018 JEEP JL</t>
  </si>
  <si>
    <t>PJLTFBRMCKTX7 2018 JEEP JL</t>
  </si>
  <si>
    <t>PJLTFBLMCKTX7 2018 JEEP JL</t>
  </si>
  <si>
    <t>2552497BQW-AB obs</t>
  </si>
  <si>
    <t>2552498BQW-AB obs</t>
  </si>
  <si>
    <t>PJL2RC6MCKVT9 2018 JEEP JL</t>
  </si>
  <si>
    <t>PJL2RC4MCKVT9 2018 JEEP JL</t>
  </si>
  <si>
    <t>PJLFCRLMCKVT9 2018 JEEP JL</t>
  </si>
  <si>
    <t>PJLSFBRMCKVT9 2018 JEEP JL</t>
  </si>
  <si>
    <t>PJL2BC2MCKVT9 2018 JEEP JL</t>
  </si>
  <si>
    <t>PJLSFBLMCKVT9 2018 JEEP JL</t>
  </si>
  <si>
    <t>PJL2FBLMCKVT9 2018 JEEP JL</t>
  </si>
  <si>
    <t>PJL2FBRMCKVT9 2018 JEEP JL</t>
  </si>
  <si>
    <t>PJL2BBKMCKVT9 2018 JEEP JL</t>
  </si>
  <si>
    <t>PJL2RB4MCKVT9 2018 JEEP JL</t>
  </si>
  <si>
    <t>PJL2RB6MCKVT9 2018 JEEP JL</t>
  </si>
  <si>
    <t>PLJTRC6MCKVT9 2019 JEEP JT</t>
  </si>
  <si>
    <t>PLJTRC4MCKVT9 2019 JEEP JT</t>
  </si>
  <si>
    <t>PMJTRB6MCKVT9 2019 JEEP JT</t>
  </si>
  <si>
    <t>PMJTRB4MCKVT9 2019 JEEP JT</t>
  </si>
  <si>
    <t>PJPRB60MCKVT9 JEEP JL PHEV</t>
  </si>
  <si>
    <t>PJPRB40MCKVT9 JEEP JL PHEV</t>
  </si>
  <si>
    <t>PJPRC60MCKVT9 JEEP JL PHEV</t>
  </si>
  <si>
    <t>PJPRC40MCKVT9 JEEP JL PHEV</t>
  </si>
  <si>
    <t>PMJSFSCNPJTX7 JEEP JL SUMMIT</t>
  </si>
  <si>
    <t>PMJSFBLNPJTX7 JEEP JL SUMMIT</t>
  </si>
  <si>
    <t>PMJSFBRNPJTX7 JEEP JL SUMMIT</t>
  </si>
  <si>
    <t>PMJSRC4NPJTX7 JEEP JL SUMMIT</t>
  </si>
  <si>
    <t>PMJSRB4NPJTX7 JEEP JL SUMMIT</t>
  </si>
  <si>
    <t>PMJSRB6NPJTX7 JEEP JL SUMMIT</t>
  </si>
  <si>
    <t>PMJSRC6NPJTX7 JEEP JL SUMMIT</t>
  </si>
  <si>
    <t>PJPSRC6NPJTX7 JL PHEV SUMMIT</t>
  </si>
  <si>
    <t>PJPSRC4NPJTX7 JL PHEV SUMMIT</t>
  </si>
  <si>
    <t>PJPSRB4NPJTX7 JL PHEV SUMMIT</t>
  </si>
  <si>
    <t>PJPSRB6NPJTX7 JL PHEV SUMMIT</t>
  </si>
  <si>
    <t>PMJMFBRMCKSA5 JT MOJAVE</t>
  </si>
  <si>
    <t>PMJMFBLMCKSA5 JT MOJAVE</t>
  </si>
  <si>
    <t>PJLFCRLMCKSA5 2018 JEEP JL</t>
  </si>
  <si>
    <t>PLJTRC6MCKSA5 2019 JEEP JT</t>
  </si>
  <si>
    <t>PLJTRC4MCKSA5 2019 JEEP JT</t>
  </si>
  <si>
    <t>PMJTRB6MCKSA5 2019 JEEP JT</t>
  </si>
  <si>
    <t>PMJTRB4MCKSA5 2019 JEEP JT</t>
  </si>
  <si>
    <t>PMJSFSCNPJSA5 JEEP JL SUMMIT</t>
  </si>
  <si>
    <t>PMJSFBLNPJSA5 JEEP JL SUMMIT</t>
  </si>
  <si>
    <t>PMJSFBRNPJSA5 JEEP JL SUMMIT</t>
  </si>
  <si>
    <t>PJPSRC6NPJSA5 JL PHEV SUMMIT</t>
  </si>
  <si>
    <t>PJPSRC4NPJSA5 JL PHEV SUMMIT</t>
  </si>
  <si>
    <t>PJPSRB4NPJSA5 JL PHEV SUMMIT</t>
  </si>
  <si>
    <t>PJPSRB6NPJSA5 JL PHEV SUMMIT</t>
  </si>
  <si>
    <t>PJTSRB6NPJSA5 JEEP JT SUMMIT</t>
  </si>
  <si>
    <t>PJTSRB4NPJSA5 JEEP JT SUMMIT</t>
  </si>
  <si>
    <t>JL0120-1</t>
  </si>
  <si>
    <t>JL0121-1</t>
  </si>
  <si>
    <t>JL0120-2</t>
  </si>
  <si>
    <t>JL0120-3</t>
  </si>
  <si>
    <t>JL0120-5</t>
  </si>
  <si>
    <t>JL0120-4</t>
  </si>
  <si>
    <t>JL0121-2</t>
  </si>
  <si>
    <t>JL0121-3</t>
  </si>
  <si>
    <t>WK0122-1</t>
  </si>
  <si>
    <t>JL0122-2</t>
  </si>
  <si>
    <t>JL0122-3</t>
  </si>
  <si>
    <t>JL0122-4</t>
  </si>
  <si>
    <t>PJTSRC6NPJSA5 JEEP JT SUMMIT</t>
  </si>
  <si>
    <t>PJTSRC4NPJSA5 JEEP JT SUMMIT</t>
  </si>
  <si>
    <t>PREPAID (01/21/21)</t>
  </si>
  <si>
    <t>JL0125-1</t>
  </si>
  <si>
    <t>JL0125-2</t>
  </si>
  <si>
    <t>JL0125-3</t>
  </si>
  <si>
    <t>JL0125-4</t>
  </si>
  <si>
    <t>JL0126-1</t>
  </si>
  <si>
    <t>JL0126-2</t>
  </si>
  <si>
    <t>JL0126-3</t>
  </si>
  <si>
    <t>JL0126-4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</si>
</sst>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0.0000"/>
    <numFmt numFmtId="167" formatCode="#,##0.00000;[Red]\-#,##0.00000"/>
    <numFmt numFmtId="168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5" tint="-0.499984740745262"/>
      <name val="Calibri"/>
      <family val="2"/>
    </font>
    <font>
      <sz val="10"/>
      <name val="Arial"/>
      <family val="2"/>
    </font>
    <font>
      <sz val="7"/>
      <color theme="5" tint="-0.499984740745262"/>
      <name val="Calibri"/>
      <family val="2"/>
    </font>
    <font>
      <b/>
      <sz val="12"/>
      <color theme="1"/>
      <name val="Calibri"/>
      <family val="2"/>
    </font>
    <font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7"/>
      <name val="Calibri"/>
      <family val="2"/>
    </font>
    <font>
      <b/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22" fillId="0" borderId="0"/>
  </cellStyleXfs>
  <cellXfs count="527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7" xfId="0" applyBorder="1"/>
    <xf numFmtId="0" fontId="5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0" fontId="2" fillId="0" borderId="0" xfId="0" applyFont="1" applyAlignment="1">
      <alignment horizontal="right"/>
    </xf>
    <xf numFmtId="164" fontId="2" fillId="4" borderId="23" xfId="0" applyNumberFormat="1" applyFont="1" applyFill="1" applyBorder="1"/>
    <xf numFmtId="44" fontId="2" fillId="4" borderId="23" xfId="0" applyNumberFormat="1" applyFont="1" applyFill="1" applyBorder="1"/>
    <xf numFmtId="0" fontId="2" fillId="3" borderId="23" xfId="0" applyFont="1" applyFill="1" applyBorder="1"/>
    <xf numFmtId="0" fontId="2" fillId="0" borderId="23" xfId="0" applyFont="1" applyBorder="1"/>
    <xf numFmtId="44" fontId="1" fillId="0" borderId="23" xfId="1" applyBorder="1"/>
    <xf numFmtId="44" fontId="2" fillId="3" borderId="23" xfId="1" applyFont="1" applyFill="1" applyBorder="1" applyAlignment="1">
      <alignment horizontal="center"/>
    </xf>
    <xf numFmtId="4" fontId="2" fillId="0" borderId="0" xfId="0" applyNumberFormat="1" applyFont="1"/>
    <xf numFmtId="43" fontId="2" fillId="0" borderId="0" xfId="2" applyFont="1" applyAlignment="1">
      <alignment vertical="center"/>
    </xf>
    <xf numFmtId="43" fontId="2" fillId="0" borderId="0" xfId="2" applyFont="1"/>
    <xf numFmtId="8" fontId="0" fillId="0" borderId="0" xfId="0" applyNumberFormat="1"/>
    <xf numFmtId="44" fontId="2" fillId="2" borderId="0" xfId="1" applyFont="1" applyFill="1" applyAlignment="1">
      <alignment horizontal="center"/>
    </xf>
    <xf numFmtId="43" fontId="0" fillId="0" borderId="0" xfId="0" applyNumberFormat="1"/>
    <xf numFmtId="43" fontId="0" fillId="0" borderId="0" xfId="2" applyFont="1"/>
    <xf numFmtId="44" fontId="1" fillId="0" borderId="0" xfId="1" applyAlignment="1">
      <alignment horizontal="center"/>
    </xf>
    <xf numFmtId="44" fontId="0" fillId="0" borderId="0" xfId="0" applyNumberFormat="1"/>
    <xf numFmtId="0" fontId="9" fillId="0" borderId="0" xfId="0" applyFont="1"/>
    <xf numFmtId="0" fontId="9" fillId="2" borderId="0" xfId="0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0" fontId="9" fillId="2" borderId="0" xfId="0" applyFont="1" applyFill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0" fillId="0" borderId="0" xfId="0" applyNumberFormat="1" applyFont="1" applyAlignment="1">
      <alignment horizontal="center"/>
    </xf>
    <xf numFmtId="44" fontId="9" fillId="3" borderId="8" xfId="1" applyFont="1" applyFill="1" applyBorder="1"/>
    <xf numFmtId="164" fontId="9" fillId="4" borderId="8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44" fontId="10" fillId="2" borderId="0" xfId="1" applyFont="1" applyFill="1" applyAlignment="1">
      <alignment horizontal="center"/>
    </xf>
    <xf numFmtId="164" fontId="10" fillId="2" borderId="0" xfId="1" applyNumberFormat="1" applyFont="1" applyFill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44" fontId="10" fillId="4" borderId="23" xfId="0" applyNumberFormat="1" applyFont="1" applyFill="1" applyBorder="1"/>
    <xf numFmtId="0" fontId="10" fillId="0" borderId="0" xfId="0" applyFont="1"/>
    <xf numFmtId="164" fontId="10" fillId="4" borderId="23" xfId="0" applyNumberFormat="1" applyFont="1" applyFill="1" applyBorder="1"/>
    <xf numFmtId="0" fontId="3" fillId="2" borderId="9" xfId="1" applyNumberFormat="1" applyFont="1" applyFill="1" applyBorder="1" applyAlignment="1">
      <alignment horizontal="center"/>
    </xf>
    <xf numFmtId="0" fontId="3" fillId="2" borderId="22" xfId="1" applyNumberFormat="1" applyFont="1" applyFill="1" applyBorder="1" applyAlignment="1">
      <alignment horizontal="center"/>
    </xf>
    <xf numFmtId="0" fontId="11" fillId="3" borderId="8" xfId="1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8" xfId="1" applyNumberFormat="1" applyFont="1" applyFill="1" applyBorder="1" applyAlignment="1">
      <alignment horizontal="center"/>
    </xf>
    <xf numFmtId="0" fontId="6" fillId="0" borderId="7" xfId="1" applyNumberFormat="1" applyFont="1" applyBorder="1" applyAlignment="1">
      <alignment horizontal="center"/>
    </xf>
    <xf numFmtId="0" fontId="6" fillId="0" borderId="8" xfId="1" applyNumberFormat="1" applyFont="1" applyBorder="1" applyAlignment="1">
      <alignment horizontal="center"/>
    </xf>
    <xf numFmtId="0" fontId="6" fillId="0" borderId="13" xfId="1" applyNumberFormat="1" applyFont="1" applyBorder="1" applyAlignment="1">
      <alignment horizontal="center"/>
    </xf>
    <xf numFmtId="0" fontId="6" fillId="0" borderId="14" xfId="1" applyNumberFormat="1" applyFont="1" applyBorder="1" applyAlignment="1">
      <alignment horizontal="center"/>
    </xf>
    <xf numFmtId="44" fontId="5" fillId="3" borderId="14" xfId="1" applyFont="1" applyFill="1" applyBorder="1" applyAlignment="1">
      <alignment horizontal="center"/>
    </xf>
    <xf numFmtId="44" fontId="7" fillId="0" borderId="0" xfId="1" applyFont="1" applyAlignment="1">
      <alignment horizontal="center"/>
    </xf>
    <xf numFmtId="0" fontId="2" fillId="3" borderId="32" xfId="0" applyFont="1" applyFill="1" applyBorder="1" applyAlignment="1">
      <alignment horizontal="left"/>
    </xf>
    <xf numFmtId="0" fontId="9" fillId="3" borderId="0" xfId="0" applyFont="1" applyFill="1" applyAlignment="1">
      <alignment horizontal="center"/>
    </xf>
    <xf numFmtId="44" fontId="9" fillId="3" borderId="16" xfId="1" applyFont="1" applyFill="1" applyBorder="1"/>
    <xf numFmtId="44" fontId="9" fillId="4" borderId="9" xfId="1" applyFont="1" applyFill="1" applyBorder="1"/>
    <xf numFmtId="44" fontId="9" fillId="3" borderId="14" xfId="1" applyFont="1" applyFill="1" applyBorder="1"/>
    <xf numFmtId="44" fontId="9" fillId="4" borderId="22" xfId="1" applyFont="1" applyFill="1" applyBorder="1"/>
    <xf numFmtId="164" fontId="7" fillId="4" borderId="8" xfId="0" applyNumberFormat="1" applyFont="1" applyFill="1" applyBorder="1" applyAlignment="1">
      <alignment horizontal="center"/>
    </xf>
    <xf numFmtId="44" fontId="15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1" fillId="3" borderId="35" xfId="1" applyFill="1" applyBorder="1"/>
    <xf numFmtId="164" fontId="2" fillId="2" borderId="0" xfId="1" applyNumberFormat="1" applyFont="1" applyFill="1" applyAlignment="1">
      <alignment horizontal="center"/>
    </xf>
    <xf numFmtId="0" fontId="4" fillId="3" borderId="8" xfId="1" applyNumberFormat="1" applyFont="1" applyFill="1" applyBorder="1" applyAlignment="1">
      <alignment horizontal="center"/>
    </xf>
    <xf numFmtId="44" fontId="2" fillId="0" borderId="0" xfId="0" applyNumberFormat="1" applyFont="1"/>
    <xf numFmtId="0" fontId="5" fillId="0" borderId="18" xfId="0" applyFont="1" applyBorder="1" applyAlignment="1">
      <alignment horizontal="center"/>
    </xf>
    <xf numFmtId="0" fontId="2" fillId="0" borderId="0" xfId="0" applyFont="1"/>
    <xf numFmtId="164" fontId="16" fillId="4" borderId="8" xfId="0" applyNumberFormat="1" applyFont="1" applyFill="1" applyBorder="1" applyAlignment="1">
      <alignment horizontal="center"/>
    </xf>
    <xf numFmtId="43" fontId="2" fillId="2" borderId="0" xfId="2" applyFont="1" applyFill="1" applyAlignment="1">
      <alignment horizontal="center"/>
    </xf>
    <xf numFmtId="43" fontId="2" fillId="0" borderId="0" xfId="0" applyNumberFormat="1" applyFont="1"/>
    <xf numFmtId="0" fontId="2" fillId="3" borderId="23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vertical="center"/>
    </xf>
    <xf numFmtId="0" fontId="5" fillId="3" borderId="7" xfId="1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43" fontId="16" fillId="3" borderId="8" xfId="2" applyFont="1" applyFill="1" applyBorder="1" applyAlignment="1">
      <alignment horizontal="center"/>
    </xf>
    <xf numFmtId="43" fontId="16" fillId="3" borderId="16" xfId="2" applyFont="1" applyFill="1" applyBorder="1" applyAlignment="1">
      <alignment horizontal="center"/>
    </xf>
    <xf numFmtId="164" fontId="16" fillId="4" borderId="16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43" fontId="9" fillId="3" borderId="8" xfId="2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44" fontId="9" fillId="4" borderId="28" xfId="1" applyFont="1" applyFill="1" applyBorder="1"/>
    <xf numFmtId="2" fontId="9" fillId="3" borderId="32" xfId="0" applyNumberFormat="1" applyFont="1" applyFill="1" applyBorder="1" applyAlignment="1">
      <alignment horizontal="center"/>
    </xf>
    <xf numFmtId="0" fontId="9" fillId="3" borderId="32" xfId="0" applyFont="1" applyFill="1" applyBorder="1"/>
    <xf numFmtId="2" fontId="9" fillId="4" borderId="32" xfId="0" applyNumberFormat="1" applyFont="1" applyFill="1" applyBorder="1" applyAlignment="1">
      <alignment horizontal="center"/>
    </xf>
    <xf numFmtId="0" fontId="9" fillId="4" borderId="24" xfId="0" applyFont="1" applyFill="1" applyBorder="1"/>
    <xf numFmtId="0" fontId="8" fillId="6" borderId="7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164" fontId="16" fillId="4" borderId="14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44" fontId="5" fillId="3" borderId="13" xfId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44" fontId="0" fillId="3" borderId="23" xfId="1" applyFont="1" applyFill="1" applyBorder="1"/>
    <xf numFmtId="0" fontId="6" fillId="0" borderId="9" xfId="1" applyNumberFormat="1" applyFont="1" applyBorder="1" applyAlignment="1">
      <alignment horizontal="center"/>
    </xf>
    <xf numFmtId="165" fontId="5" fillId="3" borderId="7" xfId="1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42" xfId="0" applyFont="1" applyFill="1" applyBorder="1" applyAlignment="1">
      <alignment horizontal="center"/>
    </xf>
    <xf numFmtId="0" fontId="11" fillId="3" borderId="43" xfId="0" applyFont="1" applyFill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13" fillId="3" borderId="36" xfId="0" applyNumberFormat="1" applyFont="1" applyFill="1" applyBorder="1" applyAlignment="1">
      <alignment horizontal="center" wrapText="1"/>
    </xf>
    <xf numFmtId="0" fontId="4" fillId="3" borderId="9" xfId="1" applyNumberFormat="1" applyFont="1" applyFill="1" applyBorder="1" applyAlignment="1">
      <alignment horizontal="center"/>
    </xf>
    <xf numFmtId="0" fontId="11" fillId="3" borderId="9" xfId="1" applyNumberFormat="1" applyFont="1" applyFill="1" applyBorder="1" applyAlignment="1">
      <alignment horizontal="center"/>
    </xf>
    <xf numFmtId="43" fontId="0" fillId="3" borderId="25" xfId="2" applyFont="1" applyFill="1" applyBorder="1" applyAlignment="1">
      <alignment horizontal="center"/>
    </xf>
    <xf numFmtId="44" fontId="5" fillId="0" borderId="9" xfId="1" applyFont="1" applyBorder="1" applyAlignment="1">
      <alignment horizontal="center"/>
    </xf>
    <xf numFmtId="0" fontId="12" fillId="0" borderId="8" xfId="1" applyNumberFormat="1" applyFont="1" applyBorder="1" applyAlignment="1">
      <alignment horizontal="center"/>
    </xf>
    <xf numFmtId="0" fontId="12" fillId="0" borderId="9" xfId="1" applyNumberFormat="1" applyFont="1" applyBorder="1" applyAlignment="1">
      <alignment horizontal="center"/>
    </xf>
    <xf numFmtId="0" fontId="12" fillId="0" borderId="14" xfId="1" applyNumberFormat="1" applyFont="1" applyBorder="1" applyAlignment="1">
      <alignment horizontal="center"/>
    </xf>
    <xf numFmtId="0" fontId="12" fillId="0" borderId="22" xfId="1" applyNumberFormat="1" applyFont="1" applyBorder="1" applyAlignment="1">
      <alignment horizontal="center"/>
    </xf>
    <xf numFmtId="43" fontId="9" fillId="3" borderId="14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Border="1"/>
    <xf numFmtId="0" fontId="5" fillId="0" borderId="0" xfId="0" applyFont="1" applyFill="1" applyBorder="1" applyAlignment="1">
      <alignment horizontal="center" wrapText="1"/>
    </xf>
    <xf numFmtId="44" fontId="1" fillId="0" borderId="0" xfId="1" applyFill="1" applyBorder="1"/>
    <xf numFmtId="0" fontId="0" fillId="0" borderId="0" xfId="0" applyFont="1"/>
    <xf numFmtId="166" fontId="0" fillId="0" borderId="0" xfId="0" applyNumberFormat="1"/>
    <xf numFmtId="166" fontId="9" fillId="0" borderId="0" xfId="0" applyNumberFormat="1" applyFont="1"/>
    <xf numFmtId="166" fontId="0" fillId="0" borderId="0" xfId="0" applyNumberFormat="1" applyFont="1"/>
    <xf numFmtId="0" fontId="4" fillId="0" borderId="4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0" borderId="27" xfId="0" applyBorder="1"/>
    <xf numFmtId="2" fontId="5" fillId="3" borderId="34" xfId="0" applyNumberFormat="1" applyFont="1" applyFill="1" applyBorder="1" applyAlignment="1">
      <alignment horizontal="center" wrapText="1"/>
    </xf>
    <xf numFmtId="0" fontId="6" fillId="0" borderId="2" xfId="1" applyNumberFormat="1" applyFont="1" applyBorder="1" applyAlignment="1">
      <alignment horizontal="center"/>
    </xf>
    <xf numFmtId="0" fontId="6" fillId="0" borderId="3" xfId="1" applyNumberFormat="1" applyFont="1" applyBorder="1" applyAlignment="1">
      <alignment horizontal="center"/>
    </xf>
    <xf numFmtId="165" fontId="5" fillId="3" borderId="2" xfId="1" applyNumberFormat="1" applyFont="1" applyFill="1" applyBorder="1" applyAlignment="1"/>
    <xf numFmtId="0" fontId="12" fillId="0" borderId="3" xfId="1" applyNumberFormat="1" applyFont="1" applyBorder="1" applyAlignment="1">
      <alignment horizontal="center"/>
    </xf>
    <xf numFmtId="0" fontId="12" fillId="0" borderId="4" xfId="1" applyNumberFormat="1" applyFont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6" fillId="3" borderId="7" xfId="1" applyNumberFormat="1" applyFont="1" applyFill="1" applyBorder="1" applyAlignment="1">
      <alignment horizontal="center"/>
    </xf>
    <xf numFmtId="0" fontId="6" fillId="3" borderId="8" xfId="1" applyNumberFormat="1" applyFont="1" applyFill="1" applyBorder="1" applyAlignment="1">
      <alignment horizontal="center"/>
    </xf>
    <xf numFmtId="0" fontId="12" fillId="3" borderId="8" xfId="1" applyNumberFormat="1" applyFont="1" applyFill="1" applyBorder="1" applyAlignment="1">
      <alignment horizontal="center"/>
    </xf>
    <xf numFmtId="0" fontId="12" fillId="3" borderId="9" xfId="1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44" fontId="9" fillId="3" borderId="9" xfId="1" applyFont="1" applyFill="1" applyBorder="1"/>
    <xf numFmtId="0" fontId="9" fillId="3" borderId="0" xfId="0" applyFont="1" applyFill="1"/>
    <xf numFmtId="0" fontId="0" fillId="3" borderId="0" xfId="0" applyFont="1" applyFill="1"/>
    <xf numFmtId="166" fontId="9" fillId="3" borderId="0" xfId="0" applyNumberFormat="1" applyFont="1" applyFill="1"/>
    <xf numFmtId="2" fontId="9" fillId="3" borderId="0" xfId="0" applyNumberFormat="1" applyFont="1" applyFill="1"/>
    <xf numFmtId="0" fontId="6" fillId="0" borderId="16" xfId="1" applyNumberFormat="1" applyFont="1" applyBorder="1" applyAlignment="1">
      <alignment horizontal="center"/>
    </xf>
    <xf numFmtId="43" fontId="0" fillId="3" borderId="8" xfId="2" applyFont="1" applyFill="1" applyBorder="1" applyAlignment="1">
      <alignment horizontal="center"/>
    </xf>
    <xf numFmtId="44" fontId="1" fillId="3" borderId="8" xfId="1" applyFill="1" applyBorder="1"/>
    <xf numFmtId="16" fontId="5" fillId="3" borderId="18" xfId="0" applyNumberFormat="1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44" fontId="5" fillId="3" borderId="21" xfId="1" applyFont="1" applyFill="1" applyBorder="1" applyAlignment="1">
      <alignment horizontal="center"/>
    </xf>
    <xf numFmtId="0" fontId="6" fillId="0" borderId="38" xfId="1" applyNumberFormat="1" applyFont="1" applyBorder="1" applyAlignment="1">
      <alignment horizontal="center"/>
    </xf>
    <xf numFmtId="0" fontId="6" fillId="0" borderId="39" xfId="1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17" fillId="0" borderId="0" xfId="0" applyFont="1"/>
    <xf numFmtId="2" fontId="5" fillId="4" borderId="0" xfId="0" applyNumberFormat="1" applyFont="1" applyFill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44" fontId="13" fillId="3" borderId="32" xfId="1" applyFont="1" applyFill="1" applyBorder="1" applyAlignment="1">
      <alignment horizontal="center" wrapText="1"/>
    </xf>
    <xf numFmtId="165" fontId="5" fillId="3" borderId="3" xfId="1" applyNumberFormat="1" applyFont="1" applyFill="1" applyBorder="1" applyAlignment="1">
      <alignment horizontal="center"/>
    </xf>
    <xf numFmtId="0" fontId="0" fillId="3" borderId="52" xfId="0" applyFill="1" applyBorder="1"/>
    <xf numFmtId="165" fontId="5" fillId="3" borderId="31" xfId="1" applyNumberFormat="1" applyFont="1" applyFill="1" applyBorder="1" applyAlignment="1"/>
    <xf numFmtId="165" fontId="5" fillId="3" borderId="51" xfId="1" applyNumberFormat="1" applyFont="1" applyFill="1" applyBorder="1" applyAlignment="1">
      <alignment horizontal="center"/>
    </xf>
    <xf numFmtId="165" fontId="5" fillId="3" borderId="51" xfId="1" applyNumberFormat="1" applyFont="1" applyFill="1" applyBorder="1" applyAlignment="1"/>
    <xf numFmtId="165" fontId="5" fillId="3" borderId="51" xfId="1" applyNumberFormat="1" applyFont="1" applyFill="1" applyBorder="1"/>
    <xf numFmtId="44" fontId="9" fillId="3" borderId="51" xfId="1" applyFont="1" applyFill="1" applyBorder="1" applyAlignment="1">
      <alignment horizontal="center"/>
    </xf>
    <xf numFmtId="44" fontId="9" fillId="3" borderId="52" xfId="1" applyFont="1" applyFill="1" applyBorder="1" applyAlignment="1">
      <alignment horizontal="center"/>
    </xf>
    <xf numFmtId="16" fontId="5" fillId="3" borderId="3" xfId="1" applyNumberFormat="1" applyFont="1" applyFill="1" applyBorder="1" applyAlignment="1">
      <alignment horizontal="center"/>
    </xf>
    <xf numFmtId="165" fontId="11" fillId="3" borderId="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center"/>
    </xf>
    <xf numFmtId="165" fontId="11" fillId="3" borderId="4" xfId="1" applyNumberFormat="1" applyFont="1" applyFill="1" applyBorder="1" applyAlignment="1">
      <alignment horizontal="center"/>
    </xf>
    <xf numFmtId="44" fontId="11" fillId="3" borderId="14" xfId="1" applyFont="1" applyFill="1" applyBorder="1" applyAlignment="1">
      <alignment horizontal="center"/>
    </xf>
    <xf numFmtId="44" fontId="11" fillId="3" borderId="22" xfId="1" applyFont="1" applyFill="1" applyBorder="1" applyAlignment="1">
      <alignment horizontal="center"/>
    </xf>
    <xf numFmtId="16" fontId="15" fillId="3" borderId="51" xfId="0" applyNumberFormat="1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16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44" fontId="2" fillId="4" borderId="0" xfId="0" applyNumberFormat="1" applyFont="1" applyFill="1"/>
    <xf numFmtId="164" fontId="2" fillId="4" borderId="0" xfId="0" applyNumberFormat="1" applyFont="1" applyFill="1"/>
    <xf numFmtId="9" fontId="0" fillId="0" borderId="0" xfId="4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167" fontId="23" fillId="0" borderId="8" xfId="5" applyNumberFormat="1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24" fillId="7" borderId="8" xfId="0" applyFont="1" applyFill="1" applyBorder="1" applyAlignment="1">
      <alignment horizontal="center"/>
    </xf>
    <xf numFmtId="0" fontId="26" fillId="8" borderId="38" xfId="0" applyFont="1" applyFill="1" applyBorder="1"/>
    <xf numFmtId="0" fontId="27" fillId="8" borderId="34" xfId="0" applyFont="1" applyFill="1" applyBorder="1"/>
    <xf numFmtId="0" fontId="28" fillId="0" borderId="8" xfId="0" applyFont="1" applyBorder="1" applyAlignment="1">
      <alignment horizontal="center"/>
    </xf>
    <xf numFmtId="167" fontId="29" fillId="0" borderId="8" xfId="5" applyNumberFormat="1" applyFont="1" applyBorder="1" applyAlignment="1">
      <alignment horizontal="center"/>
    </xf>
    <xf numFmtId="0" fontId="29" fillId="0" borderId="8" xfId="0" applyFont="1" applyBorder="1" applyAlignment="1">
      <alignment horizontal="left"/>
    </xf>
    <xf numFmtId="0" fontId="25" fillId="8" borderId="8" xfId="5" applyFont="1" applyFill="1" applyBorder="1"/>
    <xf numFmtId="0" fontId="15" fillId="3" borderId="5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" fontId="15" fillId="3" borderId="48" xfId="0" applyNumberFormat="1" applyFont="1" applyFill="1" applyBorder="1" applyAlignment="1"/>
    <xf numFmtId="0" fontId="15" fillId="3" borderId="49" xfId="0" applyNumberFormat="1" applyFont="1" applyFill="1" applyBorder="1" applyAlignment="1"/>
    <xf numFmtId="0" fontId="19" fillId="0" borderId="41" xfId="0" applyFont="1" applyBorder="1" applyAlignment="1"/>
    <xf numFmtId="44" fontId="0" fillId="0" borderId="0" xfId="1" applyFont="1"/>
    <xf numFmtId="0" fontId="30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44" fontId="2" fillId="0" borderId="0" xfId="1" applyFont="1"/>
    <xf numFmtId="44" fontId="6" fillId="0" borderId="8" xfId="1" applyFont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44" fontId="0" fillId="0" borderId="56" xfId="1" applyFont="1" applyBorder="1"/>
    <xf numFmtId="44" fontId="2" fillId="0" borderId="57" xfId="1" applyFont="1" applyBorder="1"/>
    <xf numFmtId="0" fontId="6" fillId="0" borderId="4" xfId="1" applyNumberFormat="1" applyFont="1" applyBorder="1" applyAlignment="1">
      <alignment horizontal="center"/>
    </xf>
    <xf numFmtId="0" fontId="6" fillId="0" borderId="37" xfId="1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44" fontId="2" fillId="4" borderId="0" xfId="0" applyNumberFormat="1" applyFont="1" applyFill="1" applyBorder="1"/>
    <xf numFmtId="2" fontId="16" fillId="0" borderId="0" xfId="0" applyNumberFormat="1" applyFont="1"/>
    <xf numFmtId="168" fontId="0" fillId="0" borderId="0" xfId="0" applyNumberFormat="1"/>
    <xf numFmtId="168" fontId="16" fillId="0" borderId="0" xfId="0" applyNumberFormat="1" applyFont="1"/>
    <xf numFmtId="43" fontId="16" fillId="0" borderId="0" xfId="0" applyNumberFormat="1" applyFont="1"/>
    <xf numFmtId="44" fontId="2" fillId="0" borderId="0" xfId="0" applyNumberFormat="1" applyFont="1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0" fillId="0" borderId="0" xfId="0" applyFill="1"/>
    <xf numFmtId="0" fontId="31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8" xfId="1" applyNumberFormat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60" xfId="1" applyNumberFormat="1" applyFont="1" applyBorder="1" applyAlignment="1">
      <alignment horizontal="center"/>
    </xf>
    <xf numFmtId="0" fontId="6" fillId="0" borderId="53" xfId="1" applyNumberFormat="1" applyFont="1" applyBorder="1" applyAlignment="1">
      <alignment horizontal="center"/>
    </xf>
    <xf numFmtId="0" fontId="6" fillId="0" borderId="54" xfId="1" applyNumberFormat="1" applyFont="1" applyBorder="1" applyAlignment="1">
      <alignment horizontal="center"/>
    </xf>
    <xf numFmtId="168" fontId="0" fillId="4" borderId="0" xfId="0" applyNumberFormat="1" applyFill="1"/>
    <xf numFmtId="166" fontId="16" fillId="0" borderId="0" xfId="0" applyNumberFormat="1" applyFont="1"/>
    <xf numFmtId="0" fontId="0" fillId="0" borderId="0" xfId="0" applyBorder="1"/>
    <xf numFmtId="43" fontId="0" fillId="0" borderId="0" xfId="2" applyFont="1" applyBorder="1"/>
    <xf numFmtId="0" fontId="2" fillId="0" borderId="0" xfId="0" applyFont="1" applyBorder="1"/>
    <xf numFmtId="43" fontId="2" fillId="0" borderId="0" xfId="0" applyNumberFormat="1" applyFont="1" applyBorder="1"/>
    <xf numFmtId="43" fontId="2" fillId="0" borderId="57" xfId="2" applyFont="1" applyBorder="1"/>
    <xf numFmtId="2" fontId="5" fillId="4" borderId="0" xfId="0" applyNumberFormat="1" applyFont="1" applyFill="1" applyAlignment="1">
      <alignment horizontal="center" wrapText="1"/>
    </xf>
    <xf numFmtId="0" fontId="6" fillId="10" borderId="8" xfId="1" applyNumberFormat="1" applyFont="1" applyFill="1" applyBorder="1" applyAlignment="1">
      <alignment horizontal="center"/>
    </xf>
    <xf numFmtId="0" fontId="6" fillId="10" borderId="38" xfId="1" applyNumberFormat="1" applyFont="1" applyFill="1" applyBorder="1" applyAlignment="1">
      <alignment horizontal="center"/>
    </xf>
    <xf numFmtId="0" fontId="31" fillId="10" borderId="38" xfId="1" applyNumberFormat="1" applyFont="1" applyFill="1" applyBorder="1" applyAlignment="1">
      <alignment horizontal="center"/>
    </xf>
    <xf numFmtId="0" fontId="6" fillId="0" borderId="34" xfId="1" applyNumberFormat="1" applyFont="1" applyBorder="1" applyAlignment="1">
      <alignment horizontal="center"/>
    </xf>
    <xf numFmtId="0" fontId="0" fillId="0" borderId="0" xfId="0"/>
    <xf numFmtId="0" fontId="6" fillId="0" borderId="21" xfId="1" applyNumberFormat="1" applyFont="1" applyBorder="1" applyAlignment="1">
      <alignment horizontal="center"/>
    </xf>
    <xf numFmtId="0" fontId="31" fillId="10" borderId="34" xfId="1" applyNumberFormat="1" applyFont="1" applyFill="1" applyBorder="1" applyAlignment="1">
      <alignment horizontal="center"/>
    </xf>
    <xf numFmtId="0" fontId="31" fillId="10" borderId="8" xfId="1" applyNumberFormat="1" applyFont="1" applyFill="1" applyBorder="1" applyAlignment="1">
      <alignment horizontal="center"/>
    </xf>
    <xf numFmtId="0" fontId="6" fillId="10" borderId="34" xfId="1" applyNumberFormat="1" applyFont="1" applyFill="1" applyBorder="1" applyAlignment="1">
      <alignment horizontal="center"/>
    </xf>
    <xf numFmtId="0" fontId="31" fillId="0" borderId="8" xfId="1" applyNumberFormat="1" applyFont="1" applyFill="1" applyBorder="1" applyAlignment="1">
      <alignment horizontal="center"/>
    </xf>
    <xf numFmtId="0" fontId="31" fillId="0" borderId="3" xfId="1" applyNumberFormat="1" applyFont="1" applyBorder="1" applyAlignment="1">
      <alignment horizontal="center"/>
    </xf>
    <xf numFmtId="0" fontId="6" fillId="0" borderId="14" xfId="1" applyNumberFormat="1" applyFont="1" applyFill="1" applyBorder="1" applyAlignment="1">
      <alignment horizontal="center"/>
    </xf>
    <xf numFmtId="0" fontId="31" fillId="0" borderId="14" xfId="1" applyNumberFormat="1" applyFont="1" applyFill="1" applyBorder="1" applyAlignment="1">
      <alignment horizontal="center"/>
    </xf>
    <xf numFmtId="0" fontId="31" fillId="0" borderId="14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55" xfId="1" applyNumberFormat="1" applyFont="1" applyFill="1" applyBorder="1" applyAlignment="1">
      <alignment horizontal="center"/>
    </xf>
    <xf numFmtId="44" fontId="15" fillId="0" borderId="50" xfId="1" applyFont="1" applyFill="1" applyBorder="1" applyAlignment="1"/>
    <xf numFmtId="44" fontId="15" fillId="0" borderId="41" xfId="1" applyFont="1" applyFill="1" applyBorder="1" applyAlignment="1"/>
    <xf numFmtId="44" fontId="15" fillId="0" borderId="49" xfId="1" applyFont="1" applyFill="1" applyBorder="1" applyAlignment="1"/>
    <xf numFmtId="44" fontId="15" fillId="0" borderId="51" xfId="1" applyFont="1" applyFill="1" applyBorder="1" applyAlignment="1"/>
    <xf numFmtId="2" fontId="2" fillId="0" borderId="50" xfId="0" applyNumberFormat="1" applyFont="1" applyFill="1" applyBorder="1" applyAlignment="1">
      <alignment horizontal="center"/>
    </xf>
    <xf numFmtId="0" fontId="0" fillId="0" borderId="52" xfId="0" applyFill="1" applyBorder="1"/>
    <xf numFmtId="165" fontId="5" fillId="4" borderId="3" xfId="1" applyNumberFormat="1" applyFont="1" applyFill="1" applyBorder="1" applyAlignment="1">
      <alignment horizontal="center"/>
    </xf>
    <xf numFmtId="165" fontId="5" fillId="4" borderId="37" xfId="1" applyNumberFormat="1" applyFont="1" applyFill="1" applyBorder="1" applyAlignment="1">
      <alignment horizontal="center"/>
    </xf>
    <xf numFmtId="165" fontId="8" fillId="4" borderId="37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0" fontId="5" fillId="4" borderId="8" xfId="1" applyNumberFormat="1" applyFont="1" applyFill="1" applyBorder="1" applyAlignment="1">
      <alignment horizontal="center"/>
    </xf>
    <xf numFmtId="0" fontId="5" fillId="4" borderId="38" xfId="1" applyNumberFormat="1" applyFont="1" applyFill="1" applyBorder="1" applyAlignment="1">
      <alignment horizontal="center"/>
    </xf>
    <xf numFmtId="0" fontId="8" fillId="4" borderId="38" xfId="1" applyNumberFormat="1" applyFont="1" applyFill="1" applyBorder="1" applyAlignment="1">
      <alignment horizontal="center"/>
    </xf>
    <xf numFmtId="0" fontId="5" fillId="4" borderId="9" xfId="1" applyNumberFormat="1" applyFont="1" applyFill="1" applyBorder="1" applyAlignment="1">
      <alignment horizontal="center"/>
    </xf>
    <xf numFmtId="44" fontId="5" fillId="4" borderId="46" xfId="1" applyFont="1" applyFill="1" applyBorder="1" applyAlignment="1">
      <alignment horizontal="center"/>
    </xf>
    <xf numFmtId="44" fontId="5" fillId="4" borderId="47" xfId="1" applyFont="1" applyFill="1" applyBorder="1" applyAlignment="1">
      <alignment horizontal="center"/>
    </xf>
    <xf numFmtId="44" fontId="8" fillId="4" borderId="47" xfId="1" applyFont="1" applyFill="1" applyBorder="1" applyAlignment="1">
      <alignment horizontal="center"/>
    </xf>
    <xf numFmtId="44" fontId="5" fillId="4" borderId="61" xfId="1" applyFont="1" applyFill="1" applyBorder="1" applyAlignment="1">
      <alignment horizontal="center"/>
    </xf>
    <xf numFmtId="44" fontId="5" fillId="4" borderId="0" xfId="1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165" fontId="5" fillId="4" borderId="18" xfId="1" applyNumberFormat="1" applyFont="1" applyFill="1" applyBorder="1" applyAlignment="1">
      <alignment horizontal="center"/>
    </xf>
    <xf numFmtId="0" fontId="5" fillId="4" borderId="34" xfId="1" applyNumberFormat="1" applyFont="1" applyFill="1" applyBorder="1" applyAlignment="1">
      <alignment horizontal="center"/>
    </xf>
    <xf numFmtId="44" fontId="5" fillId="4" borderId="45" xfId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44" fontId="5" fillId="4" borderId="53" xfId="1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44" fontId="1" fillId="3" borderId="16" xfId="1" applyFill="1" applyBorder="1"/>
    <xf numFmtId="0" fontId="4" fillId="4" borderId="7" xfId="0" applyFont="1" applyFill="1" applyBorder="1" applyAlignment="1">
      <alignment horizontal="center" vertical="center"/>
    </xf>
    <xf numFmtId="44" fontId="5" fillId="4" borderId="59" xfId="1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43" fontId="2" fillId="0" borderId="0" xfId="0" applyNumberFormat="1" applyFont="1" applyAlignment="1">
      <alignment horizontal="center"/>
    </xf>
    <xf numFmtId="0" fontId="0" fillId="4" borderId="58" xfId="0" applyFill="1" applyBorder="1"/>
    <xf numFmtId="2" fontId="0" fillId="4" borderId="35" xfId="0" applyNumberFormat="1" applyFill="1" applyBorder="1" applyAlignment="1">
      <alignment horizontal="center"/>
    </xf>
    <xf numFmtId="44" fontId="7" fillId="13" borderId="0" xfId="1" applyFont="1" applyFill="1" applyBorder="1"/>
    <xf numFmtId="2" fontId="5" fillId="13" borderId="44" xfId="0" applyNumberFormat="1" applyFont="1" applyFill="1" applyBorder="1" applyAlignment="1">
      <alignment horizontal="center" wrapText="1"/>
    </xf>
    <xf numFmtId="164" fontId="7" fillId="13" borderId="0" xfId="0" applyNumberFormat="1" applyFont="1" applyFill="1" applyBorder="1" applyAlignment="1">
      <alignment horizontal="center"/>
    </xf>
    <xf numFmtId="44" fontId="7" fillId="12" borderId="0" xfId="1" applyFont="1" applyFill="1" applyBorder="1"/>
    <xf numFmtId="44" fontId="7" fillId="12" borderId="32" xfId="1" applyFont="1" applyFill="1" applyBorder="1"/>
    <xf numFmtId="0" fontId="6" fillId="0" borderId="18" xfId="1" applyNumberFormat="1" applyFont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5" fillId="14" borderId="44" xfId="0" applyFont="1" applyFill="1" applyBorder="1" applyAlignment="1">
      <alignment horizontal="center"/>
    </xf>
    <xf numFmtId="0" fontId="5" fillId="15" borderId="44" xfId="0" applyFont="1" applyFill="1" applyBorder="1" applyAlignment="1">
      <alignment horizontal="left" vertical="center"/>
    </xf>
    <xf numFmtId="0" fontId="5" fillId="15" borderId="62" xfId="0" applyFont="1" applyFill="1" applyBorder="1" applyAlignment="1">
      <alignment horizontal="left" vertical="center"/>
    </xf>
    <xf numFmtId="0" fontId="5" fillId="9" borderId="48" xfId="0" applyFont="1" applyFill="1" applyBorder="1" applyAlignment="1">
      <alignment horizontal="left" vertical="center"/>
    </xf>
    <xf numFmtId="0" fontId="5" fillId="9" borderId="44" xfId="0" applyFont="1" applyFill="1" applyBorder="1" applyAlignment="1">
      <alignment horizontal="left" vertical="center"/>
    </xf>
    <xf numFmtId="2" fontId="5" fillId="9" borderId="48" xfId="0" applyNumberFormat="1" applyFont="1" applyFill="1" applyBorder="1" applyAlignment="1">
      <alignment horizontal="center" wrapText="1"/>
    </xf>
    <xf numFmtId="44" fontId="7" fillId="9" borderId="41" xfId="1" applyFont="1" applyFill="1" applyBorder="1" applyAlignment="1">
      <alignment horizontal="center"/>
    </xf>
    <xf numFmtId="44" fontId="7" fillId="9" borderId="41" xfId="1" applyFont="1" applyFill="1" applyBorder="1"/>
    <xf numFmtId="164" fontId="7" fillId="9" borderId="41" xfId="0" applyNumberFormat="1" applyFont="1" applyFill="1" applyBorder="1" applyAlignment="1">
      <alignment horizontal="center"/>
    </xf>
    <xf numFmtId="164" fontId="7" fillId="9" borderId="5" xfId="0" applyNumberFormat="1" applyFont="1" applyFill="1" applyBorder="1" applyAlignment="1">
      <alignment horizontal="center"/>
    </xf>
    <xf numFmtId="2" fontId="5" fillId="9" borderId="44" xfId="0" applyNumberFormat="1" applyFont="1" applyFill="1" applyBorder="1" applyAlignment="1">
      <alignment horizontal="center" wrapText="1"/>
    </xf>
    <xf numFmtId="44" fontId="7" fillId="9" borderId="0" xfId="1" applyFont="1" applyFill="1" applyBorder="1" applyAlignment="1">
      <alignment horizontal="center"/>
    </xf>
    <xf numFmtId="44" fontId="7" fillId="9" borderId="0" xfId="1" applyFont="1" applyFill="1" applyBorder="1"/>
    <xf numFmtId="164" fontId="7" fillId="9" borderId="0" xfId="0" applyNumberFormat="1" applyFont="1" applyFill="1" applyBorder="1" applyAlignment="1">
      <alignment horizontal="center"/>
    </xf>
    <xf numFmtId="164" fontId="7" fillId="9" borderId="10" xfId="0" applyNumberFormat="1" applyFont="1" applyFill="1" applyBorder="1" applyAlignment="1">
      <alignment horizontal="center"/>
    </xf>
    <xf numFmtId="0" fontId="4" fillId="9" borderId="4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5" borderId="32" xfId="0" applyFont="1" applyFill="1" applyBorder="1" applyAlignment="1">
      <alignment horizontal="center"/>
    </xf>
    <xf numFmtId="2" fontId="5" fillId="9" borderId="41" xfId="0" applyNumberFormat="1" applyFont="1" applyFill="1" applyBorder="1" applyAlignment="1">
      <alignment horizontal="center" wrapText="1"/>
    </xf>
    <xf numFmtId="2" fontId="5" fillId="9" borderId="0" xfId="0" applyNumberFormat="1" applyFont="1" applyFill="1" applyBorder="1" applyAlignment="1">
      <alignment horizontal="center" wrapText="1"/>
    </xf>
    <xf numFmtId="44" fontId="7" fillId="14" borderId="0" xfId="1" applyFont="1" applyFill="1" applyBorder="1" applyAlignment="1">
      <alignment horizontal="center"/>
    </xf>
    <xf numFmtId="44" fontId="7" fillId="14" borderId="0" xfId="1" applyFont="1" applyFill="1" applyBorder="1"/>
    <xf numFmtId="0" fontId="2" fillId="0" borderId="0" xfId="0" applyFont="1" applyFill="1"/>
    <xf numFmtId="0" fontId="2" fillId="0" borderId="51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16" fontId="5" fillId="4" borderId="8" xfId="1" applyNumberFormat="1" applyFont="1" applyFill="1" applyBorder="1" applyAlignment="1">
      <alignment horizontal="center"/>
    </xf>
    <xf numFmtId="16" fontId="5" fillId="4" borderId="38" xfId="1" applyNumberFormat="1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44" fontId="5" fillId="4" borderId="35" xfId="1" applyFont="1" applyFill="1" applyBorder="1" applyAlignment="1">
      <alignment horizontal="center"/>
    </xf>
    <xf numFmtId="44" fontId="5" fillId="4" borderId="40" xfId="1" applyFont="1" applyFill="1" applyBorder="1" applyAlignment="1">
      <alignment horizontal="center"/>
    </xf>
    <xf numFmtId="44" fontId="5" fillId="4" borderId="58" xfId="1" applyFont="1" applyFill="1" applyBorder="1" applyAlignment="1">
      <alignment horizontal="center"/>
    </xf>
    <xf numFmtId="44" fontId="5" fillId="4" borderId="25" xfId="1" applyFont="1" applyFill="1" applyBorder="1" applyAlignment="1">
      <alignment horizontal="center" wrapText="1"/>
    </xf>
    <xf numFmtId="0" fontId="0" fillId="4" borderId="35" xfId="0" applyFill="1" applyBorder="1"/>
    <xf numFmtId="2" fontId="5" fillId="14" borderId="0" xfId="0" applyNumberFormat="1" applyFont="1" applyFill="1" applyBorder="1" applyAlignment="1">
      <alignment horizontal="center" wrapText="1"/>
    </xf>
    <xf numFmtId="164" fontId="7" fillId="14" borderId="0" xfId="0" applyNumberFormat="1" applyFont="1" applyFill="1" applyBorder="1" applyAlignment="1">
      <alignment horizontal="center"/>
    </xf>
    <xf numFmtId="164" fontId="7" fillId="14" borderId="10" xfId="0" applyNumberFormat="1" applyFont="1" applyFill="1" applyBorder="1" applyAlignment="1">
      <alignment horizontal="center"/>
    </xf>
    <xf numFmtId="2" fontId="5" fillId="12" borderId="0" xfId="0" applyNumberFormat="1" applyFont="1" applyFill="1" applyBorder="1" applyAlignment="1">
      <alignment horizontal="center" wrapText="1"/>
    </xf>
    <xf numFmtId="44" fontId="7" fillId="12" borderId="0" xfId="1" applyFont="1" applyFill="1" applyBorder="1" applyAlignment="1">
      <alignment horizontal="center"/>
    </xf>
    <xf numFmtId="164" fontId="7" fillId="12" borderId="0" xfId="0" applyNumberFormat="1" applyFont="1" applyFill="1" applyBorder="1" applyAlignment="1">
      <alignment horizontal="center"/>
    </xf>
    <xf numFmtId="164" fontId="7" fillId="12" borderId="10" xfId="0" applyNumberFormat="1" applyFont="1" applyFill="1" applyBorder="1" applyAlignment="1">
      <alignment horizontal="center"/>
    </xf>
    <xf numFmtId="2" fontId="5" fillId="12" borderId="32" xfId="0" applyNumberFormat="1" applyFont="1" applyFill="1" applyBorder="1" applyAlignment="1">
      <alignment horizontal="center" wrapText="1"/>
    </xf>
    <xf numFmtId="44" fontId="7" fillId="12" borderId="32" xfId="1" applyFont="1" applyFill="1" applyBorder="1" applyAlignment="1">
      <alignment horizontal="center"/>
    </xf>
    <xf numFmtId="164" fontId="7" fillId="12" borderId="32" xfId="0" applyNumberFormat="1" applyFont="1" applyFill="1" applyBorder="1" applyAlignment="1">
      <alignment horizontal="center"/>
    </xf>
    <xf numFmtId="164" fontId="7" fillId="12" borderId="24" xfId="0" applyNumberFormat="1" applyFont="1" applyFill="1" applyBorder="1" applyAlignment="1">
      <alignment horizontal="center"/>
    </xf>
    <xf numFmtId="43" fontId="7" fillId="9" borderId="0" xfId="2" applyFont="1" applyFill="1" applyBorder="1" applyAlignment="1">
      <alignment horizontal="center"/>
    </xf>
    <xf numFmtId="43" fontId="7" fillId="11" borderId="0" xfId="2" applyFont="1" applyFill="1" applyBorder="1" applyAlignment="1">
      <alignment horizontal="center"/>
    </xf>
    <xf numFmtId="44" fontId="7" fillId="11" borderId="0" xfId="1" applyFont="1" applyFill="1" applyBorder="1"/>
    <xf numFmtId="164" fontId="7" fillId="11" borderId="0" xfId="0" applyNumberFormat="1" applyFont="1" applyFill="1" applyBorder="1" applyAlignment="1">
      <alignment horizontal="center"/>
    </xf>
    <xf numFmtId="43" fontId="7" fillId="12" borderId="0" xfId="2" applyFont="1" applyFill="1" applyBorder="1" applyAlignment="1">
      <alignment horizontal="center"/>
    </xf>
    <xf numFmtId="43" fontId="7" fillId="13" borderId="0" xfId="2" applyFont="1" applyFill="1" applyBorder="1" applyAlignment="1">
      <alignment horizontal="center"/>
    </xf>
    <xf numFmtId="43" fontId="7" fillId="9" borderId="41" xfId="2" applyFont="1" applyFill="1" applyBorder="1" applyAlignment="1">
      <alignment horizontal="center"/>
    </xf>
    <xf numFmtId="44" fontId="7" fillId="9" borderId="5" xfId="1" applyFont="1" applyFill="1" applyBorder="1"/>
    <xf numFmtId="44" fontId="7" fillId="9" borderId="10" xfId="1" applyFont="1" applyFill="1" applyBorder="1"/>
    <xf numFmtId="2" fontId="5" fillId="11" borderId="44" xfId="0" applyNumberFormat="1" applyFont="1" applyFill="1" applyBorder="1" applyAlignment="1">
      <alignment horizontal="center" wrapText="1"/>
    </xf>
    <xf numFmtId="44" fontId="7" fillId="11" borderId="10" xfId="1" applyFont="1" applyFill="1" applyBorder="1"/>
    <xf numFmtId="2" fontId="5" fillId="12" borderId="44" xfId="0" applyNumberFormat="1" applyFont="1" applyFill="1" applyBorder="1" applyAlignment="1">
      <alignment horizontal="center" wrapText="1"/>
    </xf>
    <xf numFmtId="44" fontId="7" fillId="12" borderId="10" xfId="1" applyFont="1" applyFill="1" applyBorder="1"/>
    <xf numFmtId="44" fontId="7" fillId="13" borderId="10" xfId="1" applyFont="1" applyFill="1" applyBorder="1"/>
    <xf numFmtId="2" fontId="5" fillId="13" borderId="62" xfId="0" applyNumberFormat="1" applyFont="1" applyFill="1" applyBorder="1" applyAlignment="1">
      <alignment horizontal="center" wrapText="1"/>
    </xf>
    <xf numFmtId="43" fontId="7" fillId="13" borderId="32" xfId="2" applyFont="1" applyFill="1" applyBorder="1" applyAlignment="1">
      <alignment horizontal="center"/>
    </xf>
    <xf numFmtId="44" fontId="7" fillId="13" borderId="32" xfId="1" applyFont="1" applyFill="1" applyBorder="1"/>
    <xf numFmtId="164" fontId="7" fillId="13" borderId="32" xfId="0" applyNumberFormat="1" applyFont="1" applyFill="1" applyBorder="1" applyAlignment="1">
      <alignment horizontal="center"/>
    </xf>
    <xf numFmtId="44" fontId="7" fillId="13" borderId="24" xfId="1" applyFont="1" applyFill="1" applyBorder="1"/>
    <xf numFmtId="0" fontId="4" fillId="4" borderId="58" xfId="0" applyFont="1" applyFill="1" applyBorder="1" applyAlignment="1">
      <alignment horizontal="center"/>
    </xf>
    <xf numFmtId="0" fontId="5" fillId="9" borderId="48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44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11" borderId="44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0" borderId="44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2" borderId="44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3" borderId="44" xfId="0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0" fontId="5" fillId="13" borderId="62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44" fontId="5" fillId="4" borderId="14" xfId="1" applyFont="1" applyFill="1" applyBorder="1" applyAlignment="1">
      <alignment horizontal="center"/>
    </xf>
    <xf numFmtId="44" fontId="5" fillId="4" borderId="39" xfId="1" applyFont="1" applyFill="1" applyBorder="1" applyAlignment="1">
      <alignment horizontal="center"/>
    </xf>
    <xf numFmtId="44" fontId="5" fillId="4" borderId="22" xfId="1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5" fillId="16" borderId="48" xfId="0" applyFont="1" applyFill="1" applyBorder="1" applyAlignment="1">
      <alignment horizontal="center" vertical="center"/>
    </xf>
    <xf numFmtId="0" fontId="5" fillId="16" borderId="44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/>
    </xf>
    <xf numFmtId="0" fontId="5" fillId="14" borderId="62" xfId="0" applyFont="1" applyFill="1" applyBorder="1" applyAlignment="1">
      <alignment horizontal="center"/>
    </xf>
    <xf numFmtId="44" fontId="7" fillId="16" borderId="41" xfId="1" applyFont="1" applyFill="1" applyBorder="1"/>
    <xf numFmtId="44" fontId="7" fillId="16" borderId="0" xfId="1" applyFont="1" applyFill="1" applyBorder="1"/>
    <xf numFmtId="44" fontId="7" fillId="14" borderId="32" xfId="1" applyFont="1" applyFill="1" applyBorder="1"/>
    <xf numFmtId="44" fontId="7" fillId="16" borderId="41" xfId="1" applyFont="1" applyFill="1" applyBorder="1" applyAlignment="1">
      <alignment horizontal="center"/>
    </xf>
    <xf numFmtId="164" fontId="7" fillId="16" borderId="41" xfId="0" applyNumberFormat="1" applyFont="1" applyFill="1" applyBorder="1" applyAlignment="1">
      <alignment horizontal="center"/>
    </xf>
    <xf numFmtId="164" fontId="7" fillId="16" borderId="5" xfId="0" applyNumberFormat="1" applyFont="1" applyFill="1" applyBorder="1" applyAlignment="1">
      <alignment horizontal="center"/>
    </xf>
    <xf numFmtId="44" fontId="7" fillId="16" borderId="0" xfId="1" applyFont="1" applyFill="1" applyBorder="1" applyAlignment="1">
      <alignment horizontal="center"/>
    </xf>
    <xf numFmtId="164" fontId="7" fillId="16" borderId="0" xfId="0" applyNumberFormat="1" applyFont="1" applyFill="1" applyBorder="1" applyAlignment="1">
      <alignment horizontal="center"/>
    </xf>
    <xf numFmtId="164" fontId="7" fillId="16" borderId="10" xfId="0" applyNumberFormat="1" applyFont="1" applyFill="1" applyBorder="1" applyAlignment="1">
      <alignment horizontal="center"/>
    </xf>
    <xf numFmtId="2" fontId="5" fillId="14" borderId="44" xfId="0" applyNumberFormat="1" applyFont="1" applyFill="1" applyBorder="1" applyAlignment="1">
      <alignment horizontal="center" wrapText="1"/>
    </xf>
    <xf numFmtId="44" fontId="7" fillId="14" borderId="32" xfId="1" applyFont="1" applyFill="1" applyBorder="1" applyAlignment="1">
      <alignment horizontal="center"/>
    </xf>
    <xf numFmtId="164" fontId="7" fillId="14" borderId="32" xfId="0" applyNumberFormat="1" applyFont="1" applyFill="1" applyBorder="1" applyAlignment="1">
      <alignment horizontal="center"/>
    </xf>
    <xf numFmtId="164" fontId="7" fillId="14" borderId="24" xfId="0" applyNumberFormat="1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5" fillId="14" borderId="32" xfId="0" applyFont="1" applyFill="1" applyBorder="1" applyAlignment="1">
      <alignment horizontal="center"/>
    </xf>
    <xf numFmtId="2" fontId="5" fillId="16" borderId="41" xfId="0" applyNumberFormat="1" applyFont="1" applyFill="1" applyBorder="1" applyAlignment="1">
      <alignment horizontal="center" wrapText="1"/>
    </xf>
    <xf numFmtId="2" fontId="5" fillId="16" borderId="0" xfId="0" applyNumberFormat="1" applyFont="1" applyFill="1" applyBorder="1" applyAlignment="1">
      <alignment horizontal="center" wrapText="1"/>
    </xf>
    <xf numFmtId="2" fontId="5" fillId="14" borderId="32" xfId="0" applyNumberFormat="1" applyFont="1" applyFill="1" applyBorder="1" applyAlignment="1">
      <alignment horizontal="center" wrapText="1"/>
    </xf>
    <xf numFmtId="44" fontId="8" fillId="4" borderId="40" xfId="1" applyFont="1" applyFill="1" applyBorder="1" applyAlignment="1">
      <alignment horizontal="center"/>
    </xf>
    <xf numFmtId="0" fontId="3" fillId="2" borderId="4" xfId="1" applyNumberFormat="1" applyFont="1" applyFill="1" applyBorder="1" applyAlignment="1">
      <alignment horizontal="center"/>
    </xf>
    <xf numFmtId="44" fontId="7" fillId="14" borderId="41" xfId="1" applyFont="1" applyFill="1" applyBorder="1"/>
    <xf numFmtId="2" fontId="5" fillId="14" borderId="48" xfId="0" applyNumberFormat="1" applyFont="1" applyFill="1" applyBorder="1" applyAlignment="1">
      <alignment horizontal="center" wrapText="1"/>
    </xf>
    <xf numFmtId="164" fontId="7" fillId="14" borderId="41" xfId="0" applyNumberFormat="1" applyFont="1" applyFill="1" applyBorder="1" applyAlignment="1">
      <alignment horizontal="center"/>
    </xf>
    <xf numFmtId="164" fontId="7" fillId="14" borderId="5" xfId="0" applyNumberFormat="1" applyFont="1" applyFill="1" applyBorder="1" applyAlignment="1">
      <alignment horizontal="center"/>
    </xf>
    <xf numFmtId="0" fontId="5" fillId="14" borderId="48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/>
    </xf>
    <xf numFmtId="0" fontId="5" fillId="14" borderId="44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/>
    </xf>
    <xf numFmtId="165" fontId="5" fillId="4" borderId="3" xfId="1" applyNumberFormat="1" applyFont="1" applyFill="1" applyBorder="1" applyAlignment="1"/>
    <xf numFmtId="0" fontId="5" fillId="17" borderId="44" xfId="0" applyFont="1" applyFill="1" applyBorder="1" applyAlignment="1">
      <alignment horizontal="center" vertical="center"/>
    </xf>
    <xf numFmtId="0" fontId="5" fillId="16" borderId="62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/>
    </xf>
    <xf numFmtId="2" fontId="5" fillId="17" borderId="44" xfId="0" applyNumberFormat="1" applyFont="1" applyFill="1" applyBorder="1" applyAlignment="1">
      <alignment horizontal="center" wrapText="1"/>
    </xf>
    <xf numFmtId="44" fontId="7" fillId="17" borderId="0" xfId="1" applyFont="1" applyFill="1" applyBorder="1" applyAlignment="1">
      <alignment horizontal="center"/>
    </xf>
    <xf numFmtId="44" fontId="7" fillId="17" borderId="0" xfId="1" applyFont="1" applyFill="1" applyBorder="1"/>
    <xf numFmtId="164" fontId="7" fillId="17" borderId="0" xfId="0" applyNumberFormat="1" applyFont="1" applyFill="1" applyBorder="1" applyAlignment="1">
      <alignment horizontal="center"/>
    </xf>
    <xf numFmtId="164" fontId="7" fillId="17" borderId="10" xfId="0" applyNumberFormat="1" applyFont="1" applyFill="1" applyBorder="1" applyAlignment="1">
      <alignment horizontal="center"/>
    </xf>
    <xf numFmtId="2" fontId="5" fillId="16" borderId="62" xfId="0" applyNumberFormat="1" applyFont="1" applyFill="1" applyBorder="1" applyAlignment="1">
      <alignment horizontal="center" wrapText="1"/>
    </xf>
    <xf numFmtId="44" fontId="7" fillId="16" borderId="32" xfId="1" applyFont="1" applyFill="1" applyBorder="1" applyAlignment="1">
      <alignment horizontal="center"/>
    </xf>
    <xf numFmtId="44" fontId="7" fillId="16" borderId="32" xfId="1" applyFont="1" applyFill="1" applyBorder="1"/>
    <xf numFmtId="164" fontId="7" fillId="16" borderId="32" xfId="0" applyNumberFormat="1" applyFont="1" applyFill="1" applyBorder="1" applyAlignment="1">
      <alignment horizontal="center"/>
    </xf>
    <xf numFmtId="164" fontId="7" fillId="16" borderId="24" xfId="0" applyNumberFormat="1" applyFont="1" applyFill="1" applyBorder="1" applyAlignment="1">
      <alignment horizontal="center"/>
    </xf>
    <xf numFmtId="44" fontId="7" fillId="14" borderId="41" xfId="1" applyFont="1" applyFill="1" applyBorder="1" applyAlignment="1">
      <alignment horizontal="center"/>
    </xf>
    <xf numFmtId="44" fontId="5" fillId="0" borderId="4" xfId="1" applyFont="1" applyBorder="1" applyAlignment="1">
      <alignment horizontal="center"/>
    </xf>
    <xf numFmtId="44" fontId="5" fillId="0" borderId="22" xfId="1" applyFont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/>
    </xf>
    <xf numFmtId="44" fontId="15" fillId="0" borderId="0" xfId="0" applyNumberFormat="1" applyFont="1"/>
    <xf numFmtId="44" fontId="7" fillId="0" borderId="0" xfId="0" applyNumberFormat="1" applyFont="1"/>
    <xf numFmtId="44" fontId="7" fillId="10" borderId="0" xfId="1" applyFont="1" applyFill="1" applyBorder="1"/>
    <xf numFmtId="44" fontId="7" fillId="10" borderId="32" xfId="1" applyFont="1" applyFill="1" applyBorder="1"/>
    <xf numFmtId="2" fontId="5" fillId="10" borderId="0" xfId="0" applyNumberFormat="1" applyFont="1" applyFill="1" applyBorder="1" applyAlignment="1">
      <alignment horizontal="center" wrapText="1"/>
    </xf>
    <xf numFmtId="44" fontId="7" fillId="10" borderId="0" xfId="1" applyFont="1" applyFill="1" applyBorder="1" applyAlignment="1">
      <alignment horizontal="center"/>
    </xf>
    <xf numFmtId="164" fontId="7" fillId="10" borderId="0" xfId="0" applyNumberFormat="1" applyFont="1" applyFill="1" applyBorder="1" applyAlignment="1">
      <alignment horizontal="center"/>
    </xf>
    <xf numFmtId="164" fontId="7" fillId="10" borderId="10" xfId="0" applyNumberFormat="1" applyFont="1" applyFill="1" applyBorder="1" applyAlignment="1">
      <alignment horizontal="center"/>
    </xf>
    <xf numFmtId="2" fontId="5" fillId="10" borderId="32" xfId="0" applyNumberFormat="1" applyFont="1" applyFill="1" applyBorder="1" applyAlignment="1">
      <alignment horizontal="center" wrapText="1"/>
    </xf>
    <xf numFmtId="44" fontId="7" fillId="10" borderId="32" xfId="1" applyFont="1" applyFill="1" applyBorder="1" applyAlignment="1">
      <alignment horizontal="center"/>
    </xf>
    <xf numFmtId="164" fontId="7" fillId="10" borderId="32" xfId="0" applyNumberFormat="1" applyFont="1" applyFill="1" applyBorder="1" applyAlignment="1">
      <alignment horizontal="center"/>
    </xf>
    <xf numFmtId="164" fontId="7" fillId="10" borderId="24" xfId="0" applyNumberFormat="1" applyFont="1" applyFill="1" applyBorder="1" applyAlignment="1">
      <alignment horizontal="center"/>
    </xf>
    <xf numFmtId="0" fontId="5" fillId="18" borderId="44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/>
    </xf>
    <xf numFmtId="0" fontId="5" fillId="18" borderId="62" xfId="0" applyFont="1" applyFill="1" applyBorder="1" applyAlignment="1">
      <alignment horizontal="center" vertical="center"/>
    </xf>
    <xf numFmtId="0" fontId="4" fillId="18" borderId="32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2" fontId="5" fillId="4" borderId="41" xfId="0" applyNumberFormat="1" applyFont="1" applyFill="1" applyBorder="1" applyAlignment="1">
      <alignment horizontal="center" wrapText="1"/>
    </xf>
    <xf numFmtId="2" fontId="5" fillId="4" borderId="0" xfId="0" applyNumberFormat="1" applyFont="1" applyFill="1" applyAlignment="1">
      <alignment horizont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center" wrapText="1"/>
    </xf>
    <xf numFmtId="0" fontId="5" fillId="4" borderId="34" xfId="0" applyFont="1" applyFill="1" applyBorder="1" applyAlignment="1">
      <alignment horizontal="center" wrapText="1"/>
    </xf>
    <xf numFmtId="2" fontId="5" fillId="4" borderId="3" xfId="0" applyNumberFormat="1" applyFont="1" applyFill="1" applyBorder="1" applyAlignment="1">
      <alignment horizontal="center" wrapText="1"/>
    </xf>
    <xf numFmtId="2" fontId="5" fillId="4" borderId="8" xfId="0" applyNumberFormat="1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16" fontId="15" fillId="0" borderId="48" xfId="0" applyNumberFormat="1" applyFont="1" applyFill="1" applyBorder="1" applyAlignment="1">
      <alignment horizontal="center"/>
    </xf>
    <xf numFmtId="16" fontId="15" fillId="0" borderId="49" xfId="0" applyNumberFormat="1" applyFont="1" applyFill="1" applyBorder="1" applyAlignment="1">
      <alignment horizontal="center"/>
    </xf>
    <xf numFmtId="0" fontId="15" fillId="3" borderId="51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  <xf numFmtId="165" fontId="5" fillId="3" borderId="51" xfId="1" applyNumberFormat="1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2" fontId="13" fillId="3" borderId="41" xfId="0" applyNumberFormat="1" applyFont="1" applyFill="1" applyBorder="1" applyAlignment="1">
      <alignment horizontal="center" wrapText="1"/>
    </xf>
    <xf numFmtId="2" fontId="13" fillId="3" borderId="0" xfId="0" applyNumberFormat="1" applyFont="1" applyFill="1" applyAlignment="1">
      <alignment horizontal="center" wrapText="1"/>
    </xf>
    <xf numFmtId="2" fontId="13" fillId="4" borderId="41" xfId="0" applyNumberFormat="1" applyFont="1" applyFill="1" applyBorder="1" applyAlignment="1">
      <alignment horizontal="center" wrapText="1"/>
    </xf>
    <xf numFmtId="2" fontId="13" fillId="4" borderId="0" xfId="0" applyNumberFormat="1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7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0">
    <cellStyle name="Comma 2" xfId="8" xr:uid="{3ED38691-1583-4C6C-9884-D6F847269909}"/>
    <cellStyle name="Comma 3" xfId="7" xr:uid="{8801AEE2-223E-478B-8725-E6A3D8F3A9DE}"/>
    <cellStyle name="Millares" xfId="2" builtinId="3"/>
    <cellStyle name="Moneda" xfId="1" builtinId="4"/>
    <cellStyle name="Normal" xfId="0" builtinId="0"/>
    <cellStyle name="Normal 2" xfId="9" xr:uid="{1431644C-BCD5-4F87-BE39-2E69057B89C0}"/>
    <cellStyle name="Normal 3" xfId="3" xr:uid="{00000000-0005-0000-0000-000003000000}"/>
    <cellStyle name="Normal 4" xfId="6" xr:uid="{0F5B163F-3027-40DC-959D-6692DE297103}"/>
    <cellStyle name="normal_DISTRIB. X PROD. V229 FORD" xfId="5" xr:uid="{2063329D-F1E5-4303-9626-993ABF32FFB6}"/>
    <cellStyle name="Porcentaje" xfId="4" builtinId="5"/>
  </cellStyles>
  <dxfs count="0"/>
  <tableStyles count="0" defaultTableStyle="TableStyleMedium9" defaultPivotStyle="PivotStyleLight16"/>
  <colors>
    <mruColors>
      <color rgb="FFFF99FF"/>
      <color rgb="FFFF66FF"/>
      <color rgb="FFFF0066"/>
      <color rgb="FF6666FF"/>
      <color rgb="FFE907CE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la Gerardo" id="{A497D52E-43EF-496E-B232-484992884D6E}" userId="S-1-5-21-420632628-2401199908-3016587022-11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0-03-13T22:30:58.26" personId="{A497D52E-43EF-496E-B232-484992884D6E}" id="{7EB17965-1042-4791-B352-751C547AEF04}">
    <text>13.69 PRECIO ANTERIOR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9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N5" sqref="AN5"/>
    </sheetView>
  </sheetViews>
  <sheetFormatPr baseColWidth="10" defaultColWidth="8.88671875" defaultRowHeight="14.4" x14ac:dyDescent="0.3"/>
  <cols>
    <col min="1" max="1" width="23.88671875" bestFit="1" customWidth="1"/>
    <col min="2" max="2" width="35.109375" customWidth="1"/>
    <col min="3" max="3" width="14.109375" customWidth="1"/>
    <col min="4" max="6" width="14.5546875" customWidth="1"/>
    <col min="7" max="9" width="16.44140625" customWidth="1"/>
    <col min="10" max="10" width="15.5546875" customWidth="1"/>
    <col min="11" max="12" width="16.44140625" customWidth="1"/>
    <col min="13" max="13" width="15.88671875" customWidth="1"/>
    <col min="14" max="14" width="14.5546875" customWidth="1"/>
    <col min="15" max="24" width="14.109375" customWidth="1"/>
    <col min="25" max="30" width="6.5546875" bestFit="1" customWidth="1"/>
    <col min="31" max="31" width="17.109375" bestFit="1" customWidth="1"/>
    <col min="32" max="32" width="17.5546875" customWidth="1"/>
    <col min="33" max="33" width="14.109375" customWidth="1"/>
    <col min="34" max="34" width="22.6640625" bestFit="1" customWidth="1"/>
    <col min="35" max="35" width="17.5546875" customWidth="1"/>
    <col min="36" max="36" width="32.109375" bestFit="1" customWidth="1"/>
  </cols>
  <sheetData>
    <row r="1" spans="1:40" ht="15" thickBot="1" x14ac:dyDescent="0.35"/>
    <row r="2" spans="1:40" ht="16.2" thickBot="1" x14ac:dyDescent="0.35">
      <c r="A2" s="493" t="s">
        <v>208</v>
      </c>
      <c r="B2" s="493"/>
      <c r="C2" s="288"/>
      <c r="D2" s="289"/>
      <c r="E2" s="290"/>
      <c r="F2" s="290"/>
      <c r="G2" s="290"/>
      <c r="H2" s="290"/>
      <c r="I2" s="290"/>
      <c r="J2" s="290"/>
      <c r="K2" s="291"/>
      <c r="L2" s="291"/>
      <c r="M2" s="292"/>
      <c r="N2" s="292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4"/>
    </row>
    <row r="3" spans="1:40" x14ac:dyDescent="0.3">
      <c r="A3" s="491" t="s">
        <v>28</v>
      </c>
      <c r="B3" s="312" t="s">
        <v>0</v>
      </c>
      <c r="C3" s="309">
        <v>44200</v>
      </c>
      <c r="D3" s="295">
        <v>44201</v>
      </c>
      <c r="E3" s="295">
        <v>44202</v>
      </c>
      <c r="F3" s="295">
        <v>44203</v>
      </c>
      <c r="G3" s="295">
        <v>44204</v>
      </c>
      <c r="H3" s="295">
        <v>44207</v>
      </c>
      <c r="I3" s="295">
        <v>44208</v>
      </c>
      <c r="J3" s="295">
        <v>44209</v>
      </c>
      <c r="K3" s="295">
        <v>44210</v>
      </c>
      <c r="L3" s="295">
        <v>44211</v>
      </c>
      <c r="M3" s="295">
        <v>44214</v>
      </c>
      <c r="N3" s="295">
        <v>44215</v>
      </c>
      <c r="O3" s="296">
        <v>44216</v>
      </c>
      <c r="P3" s="296">
        <v>44216</v>
      </c>
      <c r="Q3" s="295">
        <v>44217</v>
      </c>
      <c r="R3" s="295">
        <v>44218</v>
      </c>
      <c r="S3" s="296">
        <v>44221</v>
      </c>
      <c r="T3" s="296">
        <v>44222</v>
      </c>
      <c r="U3" s="296"/>
      <c r="V3" s="296"/>
      <c r="W3" s="296"/>
      <c r="X3" s="296"/>
      <c r="Y3" s="296"/>
      <c r="Z3" s="296"/>
      <c r="AA3" s="297"/>
      <c r="AB3" s="297"/>
      <c r="AC3" s="297"/>
      <c r="AD3" s="298"/>
      <c r="AE3" s="487" t="s">
        <v>1</v>
      </c>
      <c r="AF3" s="489" t="s">
        <v>2</v>
      </c>
      <c r="AG3" s="487" t="s">
        <v>3</v>
      </c>
      <c r="AH3" s="489" t="s">
        <v>4</v>
      </c>
      <c r="AI3" s="494" t="s">
        <v>5</v>
      </c>
      <c r="AJ3" s="132"/>
    </row>
    <row r="4" spans="1:40" x14ac:dyDescent="0.3">
      <c r="A4" s="492"/>
      <c r="B4" s="313" t="s">
        <v>6</v>
      </c>
      <c r="C4" s="310" t="s">
        <v>209</v>
      </c>
      <c r="D4" s="299" t="s">
        <v>212</v>
      </c>
      <c r="E4" s="299" t="s">
        <v>216</v>
      </c>
      <c r="F4" s="299" t="s">
        <v>218</v>
      </c>
      <c r="G4" s="299" t="s">
        <v>222</v>
      </c>
      <c r="H4" s="299" t="s">
        <v>226</v>
      </c>
      <c r="I4" s="299" t="s">
        <v>227</v>
      </c>
      <c r="J4" s="299" t="s">
        <v>230</v>
      </c>
      <c r="K4" s="299" t="s">
        <v>234</v>
      </c>
      <c r="L4" s="299" t="s">
        <v>240</v>
      </c>
      <c r="M4" s="299" t="s">
        <v>242</v>
      </c>
      <c r="N4" s="299" t="s">
        <v>245</v>
      </c>
      <c r="O4" s="300" t="s">
        <v>325</v>
      </c>
      <c r="P4" s="300" t="s">
        <v>329</v>
      </c>
      <c r="Q4" s="299" t="s">
        <v>326</v>
      </c>
      <c r="R4" s="299" t="s">
        <v>333</v>
      </c>
      <c r="S4" s="300" t="s">
        <v>340</v>
      </c>
      <c r="T4" s="300" t="s">
        <v>344</v>
      </c>
      <c r="U4" s="300"/>
      <c r="V4" s="300"/>
      <c r="W4" s="300"/>
      <c r="X4" s="300"/>
      <c r="Y4" s="300"/>
      <c r="Z4" s="300"/>
      <c r="AA4" s="301"/>
      <c r="AB4" s="301"/>
      <c r="AC4" s="301"/>
      <c r="AD4" s="302"/>
      <c r="AE4" s="488"/>
      <c r="AF4" s="490"/>
      <c r="AG4" s="488"/>
      <c r="AH4" s="490"/>
      <c r="AI4" s="495"/>
      <c r="AJ4" s="132"/>
    </row>
    <row r="5" spans="1:40" x14ac:dyDescent="0.3">
      <c r="A5" s="492"/>
      <c r="B5" s="313" t="s">
        <v>8</v>
      </c>
      <c r="C5" s="310">
        <v>554276</v>
      </c>
      <c r="D5" s="299">
        <v>554315</v>
      </c>
      <c r="E5" s="299">
        <v>554316</v>
      </c>
      <c r="F5" s="299">
        <v>554318</v>
      </c>
      <c r="G5" s="299">
        <v>554322</v>
      </c>
      <c r="H5" s="299">
        <v>554459</v>
      </c>
      <c r="I5" s="299">
        <v>554463</v>
      </c>
      <c r="J5" s="299">
        <v>554471</v>
      </c>
      <c r="K5" s="299">
        <v>554472</v>
      </c>
      <c r="L5" s="299">
        <v>554473</v>
      </c>
      <c r="M5" s="299">
        <v>554493</v>
      </c>
      <c r="N5" s="299">
        <v>554508</v>
      </c>
      <c r="O5" s="300">
        <v>554571</v>
      </c>
      <c r="P5" s="300">
        <v>554575</v>
      </c>
      <c r="Q5" s="299">
        <v>554605</v>
      </c>
      <c r="R5" s="299">
        <v>554632</v>
      </c>
      <c r="S5" s="300">
        <v>554673</v>
      </c>
      <c r="T5" s="300"/>
      <c r="U5" s="300"/>
      <c r="V5" s="300"/>
      <c r="W5" s="300"/>
      <c r="X5" s="300"/>
      <c r="Y5" s="300"/>
      <c r="Z5" s="300"/>
      <c r="AA5" s="301"/>
      <c r="AB5" s="301"/>
      <c r="AC5" s="301"/>
      <c r="AD5" s="302"/>
      <c r="AE5" s="488"/>
      <c r="AF5" s="490"/>
      <c r="AG5" s="488"/>
      <c r="AH5" s="490"/>
      <c r="AI5" s="495"/>
      <c r="AJ5" s="132"/>
      <c r="AK5" s="76"/>
      <c r="AL5" s="76"/>
      <c r="AM5" s="76" t="s">
        <v>50</v>
      </c>
      <c r="AN5" s="76">
        <v>0.35</v>
      </c>
    </row>
    <row r="6" spans="1:40" ht="15" thickBot="1" x14ac:dyDescent="0.35">
      <c r="A6" s="492"/>
      <c r="B6" s="399"/>
      <c r="C6" s="311">
        <v>39896.699999999997</v>
      </c>
      <c r="D6" s="303">
        <v>35260.199999999997</v>
      </c>
      <c r="E6" s="303">
        <v>34593.300000000003</v>
      </c>
      <c r="F6" s="303">
        <v>33756.300000000003</v>
      </c>
      <c r="G6" s="303">
        <v>39282.300000000003</v>
      </c>
      <c r="H6" s="303">
        <v>31307.4</v>
      </c>
      <c r="I6" s="303">
        <v>30550.2</v>
      </c>
      <c r="J6" s="303">
        <v>25108.5</v>
      </c>
      <c r="K6" s="303">
        <v>34998.21</v>
      </c>
      <c r="L6" s="303">
        <v>28272.6</v>
      </c>
      <c r="M6" s="303">
        <v>18534</v>
      </c>
      <c r="N6" s="303">
        <v>34059.300000000003</v>
      </c>
      <c r="O6" s="304">
        <v>26605.5</v>
      </c>
      <c r="P6" s="304">
        <v>2743.2</v>
      </c>
      <c r="Q6" s="303">
        <v>5688.3</v>
      </c>
      <c r="R6" s="303">
        <v>18303.3</v>
      </c>
      <c r="S6" s="304">
        <v>25619.1</v>
      </c>
      <c r="T6" s="304"/>
      <c r="U6" s="304"/>
      <c r="V6" s="304"/>
      <c r="W6" s="304"/>
      <c r="X6" s="304"/>
      <c r="Y6" s="304"/>
      <c r="Z6" s="304"/>
      <c r="AA6" s="305"/>
      <c r="AB6" s="305"/>
      <c r="AC6" s="305"/>
      <c r="AD6" s="306"/>
      <c r="AE6" s="307">
        <f t="shared" ref="AE6:AE39" si="0">SUM(C6:AD6)</f>
        <v>464578.41</v>
      </c>
      <c r="AF6" s="272"/>
      <c r="AG6" s="308"/>
      <c r="AH6" s="181"/>
      <c r="AI6" s="182"/>
      <c r="AJ6" s="132"/>
      <c r="AK6" s="76" t="s">
        <v>64</v>
      </c>
      <c r="AL6" s="76" t="s">
        <v>74</v>
      </c>
      <c r="AM6" s="76" t="s">
        <v>170</v>
      </c>
      <c r="AN6" s="76" t="s">
        <v>167</v>
      </c>
    </row>
    <row r="7" spans="1:40" x14ac:dyDescent="0.3">
      <c r="A7" s="400" t="s">
        <v>67</v>
      </c>
      <c r="B7" s="401" t="s">
        <v>249</v>
      </c>
      <c r="C7" s="332">
        <v>120</v>
      </c>
      <c r="D7" s="145">
        <v>150</v>
      </c>
      <c r="E7" s="145">
        <v>120</v>
      </c>
      <c r="F7" s="145">
        <v>120</v>
      </c>
      <c r="G7" s="145">
        <v>150</v>
      </c>
      <c r="H7" s="145">
        <v>150</v>
      </c>
      <c r="I7" s="145">
        <v>120</v>
      </c>
      <c r="J7" s="145">
        <v>60</v>
      </c>
      <c r="K7" s="145">
        <v>120</v>
      </c>
      <c r="L7" s="145"/>
      <c r="M7" s="145"/>
      <c r="N7" s="145">
        <v>60</v>
      </c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283"/>
      <c r="AB7" s="283"/>
      <c r="AC7" s="283"/>
      <c r="AD7" s="243"/>
      <c r="AE7" s="341">
        <f t="shared" si="0"/>
        <v>1170</v>
      </c>
      <c r="AF7" s="386">
        <v>5.19</v>
      </c>
      <c r="AG7" s="343">
        <f t="shared" ref="AG7:AG10" si="1">AE7*AF7</f>
        <v>6072.3</v>
      </c>
      <c r="AH7" s="344">
        <v>1</v>
      </c>
      <c r="AI7" s="387">
        <f t="shared" ref="AI7:AI10" si="2">AE7*AH7</f>
        <v>1170</v>
      </c>
      <c r="AJ7" s="133"/>
      <c r="AK7" s="200">
        <v>1.6291</v>
      </c>
      <c r="AL7" s="34">
        <f>+AK7/0.57</f>
        <v>2.8580701754385966</v>
      </c>
      <c r="AM7" s="39">
        <f>+AL7*(1.67+0.35)</f>
        <v>5.7733017543859653</v>
      </c>
      <c r="AN7" s="39">
        <f t="shared" ref="AN7:AN10" si="3">+AL7*0.35</f>
        <v>1.0003245614035088</v>
      </c>
    </row>
    <row r="8" spans="1:40" x14ac:dyDescent="0.3">
      <c r="A8" s="402" t="s">
        <v>66</v>
      </c>
      <c r="B8" s="403" t="s">
        <v>250</v>
      </c>
      <c r="C8" s="276">
        <v>120</v>
      </c>
      <c r="D8" s="57">
        <v>150</v>
      </c>
      <c r="E8" s="57">
        <v>120</v>
      </c>
      <c r="F8" s="57">
        <v>120</v>
      </c>
      <c r="G8" s="57">
        <v>150</v>
      </c>
      <c r="H8" s="57">
        <v>150</v>
      </c>
      <c r="I8" s="57">
        <v>120</v>
      </c>
      <c r="J8" s="57">
        <v>60</v>
      </c>
      <c r="K8" s="57">
        <v>120</v>
      </c>
      <c r="L8" s="57"/>
      <c r="M8" s="57"/>
      <c r="N8" s="57">
        <v>60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254"/>
      <c r="AB8" s="254"/>
      <c r="AC8" s="254"/>
      <c r="AD8" s="167"/>
      <c r="AE8" s="346">
        <f t="shared" si="0"/>
        <v>1170</v>
      </c>
      <c r="AF8" s="380">
        <v>5.19</v>
      </c>
      <c r="AG8" s="348">
        <f t="shared" si="1"/>
        <v>6072.3</v>
      </c>
      <c r="AH8" s="349">
        <v>1</v>
      </c>
      <c r="AI8" s="388">
        <f t="shared" si="2"/>
        <v>1170</v>
      </c>
      <c r="AJ8" s="133"/>
      <c r="AK8" s="200">
        <v>1.6291</v>
      </c>
      <c r="AL8" s="34">
        <f t="shared" ref="AL8:AL10" si="4">+AK8/0.57</f>
        <v>2.8580701754385966</v>
      </c>
      <c r="AM8" s="39">
        <f t="shared" ref="AM8:AM10" si="5">+AL8*(1.67+0.35)</f>
        <v>5.7733017543859653</v>
      </c>
      <c r="AN8" s="39">
        <f t="shared" si="3"/>
        <v>1.0003245614035088</v>
      </c>
    </row>
    <row r="9" spans="1:40" x14ac:dyDescent="0.3">
      <c r="A9" s="402" t="s">
        <v>68</v>
      </c>
      <c r="B9" s="403" t="s">
        <v>251</v>
      </c>
      <c r="C9" s="276">
        <v>120</v>
      </c>
      <c r="D9" s="57">
        <v>150</v>
      </c>
      <c r="E9" s="57">
        <v>120</v>
      </c>
      <c r="F9" s="57">
        <v>120</v>
      </c>
      <c r="G9" s="57">
        <v>150</v>
      </c>
      <c r="H9" s="57">
        <v>150</v>
      </c>
      <c r="I9" s="57">
        <v>120</v>
      </c>
      <c r="J9" s="57">
        <v>60</v>
      </c>
      <c r="K9" s="57">
        <v>150</v>
      </c>
      <c r="L9" s="57"/>
      <c r="M9" s="57"/>
      <c r="N9" s="57">
        <v>60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254"/>
      <c r="AB9" s="254"/>
      <c r="AC9" s="254"/>
      <c r="AD9" s="167"/>
      <c r="AE9" s="346">
        <f t="shared" si="0"/>
        <v>1200</v>
      </c>
      <c r="AF9" s="380">
        <v>4.12</v>
      </c>
      <c r="AG9" s="348">
        <f t="shared" si="1"/>
        <v>4944</v>
      </c>
      <c r="AH9" s="349">
        <v>0.79</v>
      </c>
      <c r="AI9" s="388">
        <f t="shared" si="2"/>
        <v>948</v>
      </c>
      <c r="AJ9" s="133"/>
      <c r="AK9" s="200">
        <v>1.2946</v>
      </c>
      <c r="AL9" s="34">
        <f t="shared" si="4"/>
        <v>2.2712280701754386</v>
      </c>
      <c r="AM9" s="39">
        <f t="shared" si="5"/>
        <v>4.5878807017543863</v>
      </c>
      <c r="AN9" s="39">
        <f t="shared" si="3"/>
        <v>0.79492982456140349</v>
      </c>
    </row>
    <row r="10" spans="1:40" x14ac:dyDescent="0.3">
      <c r="A10" s="402" t="s">
        <v>69</v>
      </c>
      <c r="B10" s="403" t="s">
        <v>252</v>
      </c>
      <c r="C10" s="276">
        <v>120</v>
      </c>
      <c r="D10" s="57">
        <v>150</v>
      </c>
      <c r="E10" s="57">
        <v>120</v>
      </c>
      <c r="F10" s="57">
        <v>120</v>
      </c>
      <c r="G10" s="57">
        <v>150</v>
      </c>
      <c r="H10" s="57">
        <v>150</v>
      </c>
      <c r="I10" s="57">
        <v>120</v>
      </c>
      <c r="J10" s="57">
        <v>60</v>
      </c>
      <c r="K10" s="57">
        <v>150</v>
      </c>
      <c r="L10" s="57"/>
      <c r="M10" s="57"/>
      <c r="N10" s="57">
        <v>60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254"/>
      <c r="AB10" s="254"/>
      <c r="AC10" s="254"/>
      <c r="AD10" s="167"/>
      <c r="AE10" s="346">
        <f t="shared" si="0"/>
        <v>1200</v>
      </c>
      <c r="AF10" s="380">
        <v>4.12</v>
      </c>
      <c r="AG10" s="348">
        <f t="shared" si="1"/>
        <v>4944</v>
      </c>
      <c r="AH10" s="349">
        <v>0.79</v>
      </c>
      <c r="AI10" s="388">
        <f t="shared" si="2"/>
        <v>948</v>
      </c>
      <c r="AJ10" s="133"/>
      <c r="AK10" s="200">
        <v>1.2946</v>
      </c>
      <c r="AL10" s="34">
        <f t="shared" si="4"/>
        <v>2.2712280701754386</v>
      </c>
      <c r="AM10" s="39">
        <f t="shared" si="5"/>
        <v>4.5878807017543863</v>
      </c>
      <c r="AN10" s="39">
        <f t="shared" si="3"/>
        <v>0.79492982456140349</v>
      </c>
    </row>
    <row r="11" spans="1:40" x14ac:dyDescent="0.3">
      <c r="A11" s="404" t="s">
        <v>48</v>
      </c>
      <c r="B11" s="405" t="s">
        <v>257</v>
      </c>
      <c r="C11" s="276">
        <v>420</v>
      </c>
      <c r="D11" s="57">
        <v>390</v>
      </c>
      <c r="E11" s="57">
        <v>330</v>
      </c>
      <c r="F11" s="57">
        <v>270</v>
      </c>
      <c r="G11" s="57">
        <v>240</v>
      </c>
      <c r="H11" s="57">
        <v>240</v>
      </c>
      <c r="I11" s="57">
        <v>240</v>
      </c>
      <c r="J11" s="57">
        <v>210</v>
      </c>
      <c r="K11" s="57">
        <v>210</v>
      </c>
      <c r="L11" s="57">
        <v>240</v>
      </c>
      <c r="M11" s="57">
        <v>180</v>
      </c>
      <c r="N11" s="57">
        <v>270</v>
      </c>
      <c r="O11" s="57">
        <v>360</v>
      </c>
      <c r="P11" s="57"/>
      <c r="Q11" s="57">
        <v>360</v>
      </c>
      <c r="R11" s="57">
        <v>390</v>
      </c>
      <c r="S11" s="57">
        <v>360</v>
      </c>
      <c r="T11" s="57">
        <v>210</v>
      </c>
      <c r="U11" s="57"/>
      <c r="V11" s="57"/>
      <c r="W11" s="57"/>
      <c r="X11" s="57"/>
      <c r="Y11" s="57"/>
      <c r="Z11" s="57"/>
      <c r="AA11" s="254"/>
      <c r="AB11" s="254"/>
      <c r="AC11" s="254"/>
      <c r="AD11" s="167"/>
      <c r="AE11" s="389">
        <f>SUM(C11:AD11)</f>
        <v>4920</v>
      </c>
      <c r="AF11" s="381">
        <v>5.14</v>
      </c>
      <c r="AG11" s="382">
        <f>AE11*AF11</f>
        <v>25288.799999999999</v>
      </c>
      <c r="AH11" s="383">
        <v>0.98</v>
      </c>
      <c r="AI11" s="390">
        <f>AE11*AH11</f>
        <v>4821.6000000000004</v>
      </c>
      <c r="AJ11" s="133"/>
      <c r="AK11" s="200">
        <v>1.6041000000000001</v>
      </c>
      <c r="AL11" s="34">
        <f t="shared" ref="AL11:AL16" si="6">+AK11/0.57</f>
        <v>2.8142105263157897</v>
      </c>
      <c r="AM11" s="39">
        <f>+AL11*(1.67+0.35)</f>
        <v>5.6847052631578956</v>
      </c>
      <c r="AN11" s="39">
        <f>+AL11*0.35</f>
        <v>0.98497368421052633</v>
      </c>
    </row>
    <row r="12" spans="1:40" x14ac:dyDescent="0.3">
      <c r="A12" s="404" t="s">
        <v>49</v>
      </c>
      <c r="B12" s="405" t="s">
        <v>258</v>
      </c>
      <c r="C12" s="276">
        <v>420</v>
      </c>
      <c r="D12" s="57">
        <v>360</v>
      </c>
      <c r="E12" s="57">
        <v>330</v>
      </c>
      <c r="F12" s="57">
        <v>240</v>
      </c>
      <c r="G12" s="57">
        <v>240</v>
      </c>
      <c r="H12" s="57">
        <v>240</v>
      </c>
      <c r="I12" s="57">
        <v>270</v>
      </c>
      <c r="J12" s="57">
        <v>210</v>
      </c>
      <c r="K12" s="57">
        <v>210</v>
      </c>
      <c r="L12" s="57">
        <v>240</v>
      </c>
      <c r="M12" s="57">
        <v>180</v>
      </c>
      <c r="N12" s="57">
        <v>270</v>
      </c>
      <c r="O12" s="57">
        <v>210</v>
      </c>
      <c r="P12" s="57"/>
      <c r="Q12" s="57">
        <v>210</v>
      </c>
      <c r="R12" s="57">
        <v>180</v>
      </c>
      <c r="S12" s="57">
        <v>240</v>
      </c>
      <c r="T12" s="57">
        <v>150</v>
      </c>
      <c r="U12" s="57"/>
      <c r="V12" s="57"/>
      <c r="W12" s="57"/>
      <c r="X12" s="57"/>
      <c r="Y12" s="57"/>
      <c r="Z12" s="57"/>
      <c r="AA12" s="254"/>
      <c r="AB12" s="254"/>
      <c r="AC12" s="254"/>
      <c r="AD12" s="167"/>
      <c r="AE12" s="389">
        <f>SUM(C12:AD12)</f>
        <v>4200</v>
      </c>
      <c r="AF12" s="381">
        <v>5.29</v>
      </c>
      <c r="AG12" s="382">
        <f>AE12*AF12</f>
        <v>22218</v>
      </c>
      <c r="AH12" s="383">
        <v>1.01</v>
      </c>
      <c r="AI12" s="390">
        <f>AE12*AH12</f>
        <v>4242</v>
      </c>
      <c r="AJ12" s="133"/>
      <c r="AK12" s="200">
        <v>1.6488</v>
      </c>
      <c r="AL12" s="34">
        <f t="shared" si="6"/>
        <v>2.8926315789473689</v>
      </c>
      <c r="AM12" s="39">
        <f>+AL12*(1.67+0.35)</f>
        <v>5.8431157894736856</v>
      </c>
      <c r="AN12" s="39">
        <f>+AL12*0.35</f>
        <v>1.0124210526315791</v>
      </c>
    </row>
    <row r="13" spans="1:40" x14ac:dyDescent="0.3">
      <c r="A13" s="404" t="s">
        <v>33</v>
      </c>
      <c r="B13" s="405" t="s">
        <v>259</v>
      </c>
      <c r="C13" s="276">
        <v>1320</v>
      </c>
      <c r="D13" s="57">
        <v>1170</v>
      </c>
      <c r="E13" s="57">
        <v>1080</v>
      </c>
      <c r="F13" s="57">
        <v>1020</v>
      </c>
      <c r="G13" s="57">
        <v>1260</v>
      </c>
      <c r="H13" s="57">
        <v>1020</v>
      </c>
      <c r="I13" s="57">
        <v>1110</v>
      </c>
      <c r="J13" s="57">
        <v>690</v>
      </c>
      <c r="K13" s="57">
        <v>900</v>
      </c>
      <c r="L13" s="57">
        <v>960</v>
      </c>
      <c r="M13" s="57">
        <v>600</v>
      </c>
      <c r="N13" s="57">
        <v>1050</v>
      </c>
      <c r="O13" s="57">
        <v>750</v>
      </c>
      <c r="P13" s="57"/>
      <c r="Q13" s="57"/>
      <c r="R13" s="57">
        <v>690</v>
      </c>
      <c r="S13" s="57">
        <v>840</v>
      </c>
      <c r="T13" s="57"/>
      <c r="U13" s="57"/>
      <c r="V13" s="57"/>
      <c r="W13" s="57"/>
      <c r="X13" s="57"/>
      <c r="Y13" s="57"/>
      <c r="Z13" s="57"/>
      <c r="AA13" s="254"/>
      <c r="AB13" s="254"/>
      <c r="AC13" s="254"/>
      <c r="AD13" s="167"/>
      <c r="AE13" s="389">
        <f>SUM(C13:AD13)</f>
        <v>14460</v>
      </c>
      <c r="AF13" s="381">
        <v>9.8000000000000007</v>
      </c>
      <c r="AG13" s="382">
        <f>AE13*AF13</f>
        <v>141708</v>
      </c>
      <c r="AH13" s="383">
        <f>1.63+2</f>
        <v>3.63</v>
      </c>
      <c r="AI13" s="390">
        <f>AE13*AH13</f>
        <v>52489.799999999996</v>
      </c>
      <c r="AJ13" t="s">
        <v>43</v>
      </c>
      <c r="AK13" s="200">
        <v>2.6482999999999999</v>
      </c>
      <c r="AL13" s="34">
        <f t="shared" si="6"/>
        <v>4.646140350877193</v>
      </c>
      <c r="AM13" s="39">
        <f>+AL13*(1.67+0.35)+2</f>
        <v>11.38520350877193</v>
      </c>
      <c r="AN13" s="39">
        <f>+AL13*0.35+2</f>
        <v>3.6261491228070177</v>
      </c>
    </row>
    <row r="14" spans="1:40" x14ac:dyDescent="0.3">
      <c r="A14" s="404" t="s">
        <v>34</v>
      </c>
      <c r="B14" s="405" t="s">
        <v>260</v>
      </c>
      <c r="C14" s="276">
        <v>660</v>
      </c>
      <c r="D14" s="57">
        <v>510</v>
      </c>
      <c r="E14" s="57">
        <v>480</v>
      </c>
      <c r="F14" s="57">
        <v>510</v>
      </c>
      <c r="G14" s="57">
        <v>540</v>
      </c>
      <c r="H14" s="57">
        <v>450</v>
      </c>
      <c r="I14" s="57">
        <v>330</v>
      </c>
      <c r="J14" s="57">
        <v>180</v>
      </c>
      <c r="K14" s="57">
        <v>480</v>
      </c>
      <c r="L14" s="57">
        <v>300</v>
      </c>
      <c r="M14" s="57">
        <v>300</v>
      </c>
      <c r="N14" s="57">
        <v>480</v>
      </c>
      <c r="O14" s="57">
        <v>360</v>
      </c>
      <c r="P14" s="57"/>
      <c r="Q14" s="57"/>
      <c r="R14" s="57">
        <v>300</v>
      </c>
      <c r="S14" s="57">
        <v>420</v>
      </c>
      <c r="T14" s="57">
        <v>420</v>
      </c>
      <c r="U14" s="57"/>
      <c r="V14" s="57"/>
      <c r="W14" s="57"/>
      <c r="X14" s="57"/>
      <c r="Y14" s="57"/>
      <c r="Z14" s="57"/>
      <c r="AA14" s="254"/>
      <c r="AB14" s="254"/>
      <c r="AC14" s="254"/>
      <c r="AD14" s="167"/>
      <c r="AE14" s="389">
        <f>SUM(C14:AD14)</f>
        <v>6720</v>
      </c>
      <c r="AF14" s="381">
        <v>11</v>
      </c>
      <c r="AG14" s="382">
        <f>AE14*AF14</f>
        <v>73920</v>
      </c>
      <c r="AH14" s="383">
        <v>2.1</v>
      </c>
      <c r="AI14" s="390">
        <f>AE14*AH14</f>
        <v>14112</v>
      </c>
      <c r="AJ14" s="133"/>
      <c r="AK14" s="200">
        <v>3.4184999999999999</v>
      </c>
      <c r="AL14" s="34">
        <f t="shared" si="6"/>
        <v>5.9973684210526317</v>
      </c>
      <c r="AM14" s="39">
        <f>+AL14*(1.67+0.35)</f>
        <v>12.114684210526317</v>
      </c>
      <c r="AN14" s="39">
        <f>+AL14*0.35</f>
        <v>2.099078947368421</v>
      </c>
    </row>
    <row r="15" spans="1:40" x14ac:dyDescent="0.3">
      <c r="A15" s="404" t="s">
        <v>44</v>
      </c>
      <c r="B15" s="405" t="s">
        <v>253</v>
      </c>
      <c r="C15" s="276"/>
      <c r="D15" s="57"/>
      <c r="E15" s="57"/>
      <c r="F15" s="57"/>
      <c r="G15" s="57">
        <v>60</v>
      </c>
      <c r="H15" s="57"/>
      <c r="I15" s="57"/>
      <c r="J15" s="57">
        <v>120</v>
      </c>
      <c r="K15" s="57">
        <v>60</v>
      </c>
      <c r="L15" s="57">
        <v>60</v>
      </c>
      <c r="M15" s="57"/>
      <c r="N15" s="57">
        <v>60</v>
      </c>
      <c r="O15" s="57">
        <v>60</v>
      </c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254"/>
      <c r="AB15" s="254"/>
      <c r="AC15" s="254"/>
      <c r="AD15" s="167"/>
      <c r="AE15" s="389">
        <f t="shared" si="0"/>
        <v>420</v>
      </c>
      <c r="AF15" s="381">
        <v>9.4499999999999993</v>
      </c>
      <c r="AG15" s="382">
        <f t="shared" ref="AG15:AG20" si="7">AE15*AF15</f>
        <v>3968.9999999999995</v>
      </c>
      <c r="AH15" s="383">
        <v>1.86</v>
      </c>
      <c r="AI15" s="390">
        <f t="shared" ref="AI15:AI21" si="8">AE15*AH15</f>
        <v>781.2</v>
      </c>
      <c r="AJ15" s="133"/>
      <c r="AK15" s="200">
        <v>3.0282</v>
      </c>
      <c r="AL15" s="34">
        <f t="shared" si="6"/>
        <v>5.3126315789473688</v>
      </c>
      <c r="AM15" s="39">
        <f>+AL15*(1.67+0.35)</f>
        <v>10.731515789473685</v>
      </c>
      <c r="AN15" s="39">
        <f>+AL15*0.35</f>
        <v>1.8594210526315789</v>
      </c>
    </row>
    <row r="16" spans="1:40" x14ac:dyDescent="0.3">
      <c r="A16" s="404" t="s">
        <v>35</v>
      </c>
      <c r="B16" s="405" t="s">
        <v>261</v>
      </c>
      <c r="C16" s="276">
        <v>660</v>
      </c>
      <c r="D16" s="57">
        <v>540</v>
      </c>
      <c r="E16" s="57">
        <v>510</v>
      </c>
      <c r="F16" s="57">
        <v>480</v>
      </c>
      <c r="G16" s="57">
        <v>540</v>
      </c>
      <c r="H16" s="57">
        <v>450</v>
      </c>
      <c r="I16" s="57">
        <v>330</v>
      </c>
      <c r="J16" s="57">
        <v>210</v>
      </c>
      <c r="K16" s="57">
        <v>480</v>
      </c>
      <c r="L16" s="57">
        <v>300</v>
      </c>
      <c r="M16" s="57">
        <v>300</v>
      </c>
      <c r="N16" s="57">
        <v>450</v>
      </c>
      <c r="O16" s="57">
        <v>360</v>
      </c>
      <c r="P16" s="57"/>
      <c r="Q16" s="57"/>
      <c r="R16" s="57">
        <v>300</v>
      </c>
      <c r="S16" s="57">
        <v>420</v>
      </c>
      <c r="T16" s="57">
        <v>420</v>
      </c>
      <c r="U16" s="57"/>
      <c r="V16" s="57"/>
      <c r="W16" s="57"/>
      <c r="X16" s="57"/>
      <c r="Y16" s="57"/>
      <c r="Z16" s="57"/>
      <c r="AA16" s="254"/>
      <c r="AB16" s="254"/>
      <c r="AC16" s="254"/>
      <c r="AD16" s="167"/>
      <c r="AE16" s="389">
        <f>SUM(C16:AD16)</f>
        <v>6750</v>
      </c>
      <c r="AF16" s="381">
        <v>11</v>
      </c>
      <c r="AG16" s="382">
        <f>AE16*AF16</f>
        <v>74250</v>
      </c>
      <c r="AH16" s="383">
        <v>2.1</v>
      </c>
      <c r="AI16" s="390">
        <f>AE16*AH16</f>
        <v>14175</v>
      </c>
      <c r="AJ16" s="133"/>
      <c r="AK16" s="200">
        <v>3.4184999999999999</v>
      </c>
      <c r="AL16" s="34">
        <f t="shared" si="6"/>
        <v>5.9973684210526317</v>
      </c>
      <c r="AM16" s="39">
        <f>+AL16*(1.67+0.35)</f>
        <v>12.114684210526317</v>
      </c>
      <c r="AN16" s="39">
        <f>+AL16*0.35</f>
        <v>2.099078947368421</v>
      </c>
    </row>
    <row r="17" spans="1:42" x14ac:dyDescent="0.3">
      <c r="A17" s="406" t="s">
        <v>247</v>
      </c>
      <c r="B17" s="407" t="s">
        <v>254</v>
      </c>
      <c r="C17" s="279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75"/>
      <c r="AE17" s="389">
        <f t="shared" si="0"/>
        <v>0</v>
      </c>
      <c r="AF17" s="381">
        <v>12.83</v>
      </c>
      <c r="AG17" s="382">
        <f t="shared" si="7"/>
        <v>0</v>
      </c>
      <c r="AH17" s="383">
        <v>2.11</v>
      </c>
      <c r="AI17" s="390">
        <f t="shared" si="8"/>
        <v>0</v>
      </c>
      <c r="AJ17" s="133"/>
      <c r="AK17" s="200">
        <v>3.4373999999999998</v>
      </c>
      <c r="AL17" s="34">
        <f t="shared" ref="AL17:AL21" si="9">+AK17/0.57</f>
        <v>6.0305263157894737</v>
      </c>
      <c r="AM17" s="39">
        <f t="shared" ref="AM17:AM21" si="10">+AL17*(1.67+0.35)</f>
        <v>12.181663157894738</v>
      </c>
      <c r="AN17" s="39">
        <f t="shared" ref="AN17:AN21" si="11">+AL17*0.35</f>
        <v>2.1106842105263155</v>
      </c>
    </row>
    <row r="18" spans="1:42" x14ac:dyDescent="0.3">
      <c r="A18" s="404" t="s">
        <v>116</v>
      </c>
      <c r="B18" s="405" t="s">
        <v>254</v>
      </c>
      <c r="C18" s="276"/>
      <c r="D18" s="57"/>
      <c r="E18" s="57"/>
      <c r="F18" s="57"/>
      <c r="G18" s="57">
        <v>60</v>
      </c>
      <c r="H18" s="57"/>
      <c r="I18" s="57">
        <v>30</v>
      </c>
      <c r="J18" s="57">
        <v>60</v>
      </c>
      <c r="K18" s="57">
        <v>60</v>
      </c>
      <c r="L18" s="57">
        <v>60</v>
      </c>
      <c r="M18" s="57"/>
      <c r="N18" s="57">
        <v>60</v>
      </c>
      <c r="O18" s="57">
        <v>60</v>
      </c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254"/>
      <c r="AB18" s="254"/>
      <c r="AC18" s="254"/>
      <c r="AD18" s="167"/>
      <c r="AE18" s="389">
        <f t="shared" si="0"/>
        <v>390</v>
      </c>
      <c r="AF18" s="381">
        <v>11.01</v>
      </c>
      <c r="AG18" s="382">
        <f t="shared" si="7"/>
        <v>4293.8999999999996</v>
      </c>
      <c r="AH18" s="383">
        <v>2.11</v>
      </c>
      <c r="AI18" s="390">
        <f t="shared" si="8"/>
        <v>822.9</v>
      </c>
      <c r="AJ18" s="133"/>
      <c r="AK18" s="200">
        <v>3.4373999999999998</v>
      </c>
      <c r="AL18" s="34">
        <f t="shared" ref="AL18" si="12">+AK18/0.57</f>
        <v>6.0305263157894737</v>
      </c>
      <c r="AM18" s="39">
        <f t="shared" ref="AM18" si="13">+AL18*(1.67+0.35)</f>
        <v>12.181663157894738</v>
      </c>
      <c r="AN18" s="39">
        <f t="shared" ref="AN18" si="14">+AL18*0.35</f>
        <v>2.1106842105263155</v>
      </c>
    </row>
    <row r="19" spans="1:42" x14ac:dyDescent="0.3">
      <c r="A19" s="406" t="s">
        <v>248</v>
      </c>
      <c r="B19" s="407" t="s">
        <v>255</v>
      </c>
      <c r="C19" s="281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80"/>
      <c r="AB19" s="280"/>
      <c r="AC19" s="280"/>
      <c r="AD19" s="274"/>
      <c r="AE19" s="389">
        <f t="shared" si="0"/>
        <v>0</v>
      </c>
      <c r="AF19" s="381">
        <v>12.83</v>
      </c>
      <c r="AG19" s="382">
        <f t="shared" si="7"/>
        <v>0</v>
      </c>
      <c r="AH19" s="383">
        <v>2.11</v>
      </c>
      <c r="AI19" s="390">
        <f t="shared" si="8"/>
        <v>0</v>
      </c>
      <c r="AJ19" s="133"/>
      <c r="AK19" s="200">
        <v>3.4373999999999998</v>
      </c>
      <c r="AL19" s="34">
        <f t="shared" si="9"/>
        <v>6.0305263157894737</v>
      </c>
      <c r="AM19" s="39">
        <f t="shared" si="10"/>
        <v>12.181663157894738</v>
      </c>
      <c r="AN19" s="39">
        <f t="shared" si="11"/>
        <v>2.1106842105263155</v>
      </c>
    </row>
    <row r="20" spans="1:42" x14ac:dyDescent="0.3">
      <c r="A20" s="404" t="s">
        <v>117</v>
      </c>
      <c r="B20" s="405" t="s">
        <v>255</v>
      </c>
      <c r="C20" s="276"/>
      <c r="D20" s="57"/>
      <c r="E20" s="57"/>
      <c r="F20" s="57"/>
      <c r="G20" s="57">
        <v>60</v>
      </c>
      <c r="H20" s="57"/>
      <c r="I20" s="57"/>
      <c r="J20" s="57">
        <v>90</v>
      </c>
      <c r="K20" s="57">
        <v>60</v>
      </c>
      <c r="L20" s="57">
        <v>60</v>
      </c>
      <c r="M20" s="57"/>
      <c r="N20" s="57">
        <v>60</v>
      </c>
      <c r="O20" s="57">
        <v>60</v>
      </c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254"/>
      <c r="AB20" s="254"/>
      <c r="AC20" s="254"/>
      <c r="AD20" s="167"/>
      <c r="AE20" s="389">
        <f t="shared" si="0"/>
        <v>390</v>
      </c>
      <c r="AF20" s="381">
        <v>11.01</v>
      </c>
      <c r="AG20" s="382">
        <f t="shared" si="7"/>
        <v>4293.8999999999996</v>
      </c>
      <c r="AH20" s="383">
        <v>2.11</v>
      </c>
      <c r="AI20" s="390">
        <f t="shared" si="8"/>
        <v>822.9</v>
      </c>
      <c r="AJ20" s="133"/>
      <c r="AK20" s="200">
        <v>3.4373999999999998</v>
      </c>
      <c r="AL20" s="34">
        <f t="shared" ref="AL20" si="15">+AK20/0.57</f>
        <v>6.0305263157894737</v>
      </c>
      <c r="AM20" s="39">
        <f t="shared" ref="AM20" si="16">+AL20*(1.67+0.35)</f>
        <v>12.181663157894738</v>
      </c>
      <c r="AN20" s="39">
        <f t="shared" ref="AN20" si="17">+AL20*0.35</f>
        <v>2.1106842105263155</v>
      </c>
    </row>
    <row r="21" spans="1:42" x14ac:dyDescent="0.3">
      <c r="A21" s="404" t="s">
        <v>39</v>
      </c>
      <c r="B21" s="405" t="s">
        <v>256</v>
      </c>
      <c r="C21" s="276"/>
      <c r="D21" s="57"/>
      <c r="E21" s="57"/>
      <c r="F21" s="57"/>
      <c r="G21" s="57">
        <v>60</v>
      </c>
      <c r="H21" s="57"/>
      <c r="I21" s="57"/>
      <c r="J21" s="57">
        <v>90</v>
      </c>
      <c r="K21" s="57">
        <v>60</v>
      </c>
      <c r="L21" s="57">
        <v>60</v>
      </c>
      <c r="M21" s="57"/>
      <c r="N21" s="57">
        <v>60</v>
      </c>
      <c r="O21" s="57">
        <v>60</v>
      </c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254"/>
      <c r="AB21" s="254"/>
      <c r="AC21" s="254"/>
      <c r="AD21" s="167"/>
      <c r="AE21" s="389">
        <f t="shared" si="0"/>
        <v>390</v>
      </c>
      <c r="AF21" s="381">
        <v>9.73</v>
      </c>
      <c r="AG21" s="382">
        <f>AE21*AF21</f>
        <v>3794.7000000000003</v>
      </c>
      <c r="AH21" s="383">
        <v>1.9</v>
      </c>
      <c r="AI21" s="390">
        <f t="shared" si="8"/>
        <v>741</v>
      </c>
      <c r="AJ21" s="133"/>
      <c r="AK21" s="200">
        <v>3.0985999999999998</v>
      </c>
      <c r="AL21" s="34">
        <f t="shared" si="9"/>
        <v>5.4361403508771931</v>
      </c>
      <c r="AM21" s="39">
        <f t="shared" si="10"/>
        <v>10.981003508771931</v>
      </c>
      <c r="AN21" s="39">
        <f t="shared" si="11"/>
        <v>1.9026491228070175</v>
      </c>
    </row>
    <row r="22" spans="1:42" x14ac:dyDescent="0.3">
      <c r="A22" s="404" t="s">
        <v>118</v>
      </c>
      <c r="B22" s="405" t="s">
        <v>274</v>
      </c>
      <c r="C22" s="276">
        <v>420</v>
      </c>
      <c r="D22" s="57">
        <v>390</v>
      </c>
      <c r="E22" s="57">
        <v>300</v>
      </c>
      <c r="F22" s="57">
        <v>270</v>
      </c>
      <c r="G22" s="57">
        <v>240</v>
      </c>
      <c r="H22" s="57">
        <v>240</v>
      </c>
      <c r="I22" s="57">
        <v>270</v>
      </c>
      <c r="J22" s="57">
        <v>180</v>
      </c>
      <c r="K22" s="57">
        <v>210</v>
      </c>
      <c r="L22" s="57">
        <v>270</v>
      </c>
      <c r="M22" s="256">
        <v>180</v>
      </c>
      <c r="N22" s="256">
        <v>270</v>
      </c>
      <c r="O22" s="256">
        <v>180</v>
      </c>
      <c r="P22" s="256"/>
      <c r="Q22" s="256">
        <v>210</v>
      </c>
      <c r="R22" s="256">
        <v>210</v>
      </c>
      <c r="S22" s="256">
        <v>270</v>
      </c>
      <c r="T22" s="256">
        <v>120</v>
      </c>
      <c r="U22" s="256"/>
      <c r="V22" s="57"/>
      <c r="W22" s="57"/>
      <c r="X22" s="57"/>
      <c r="Y22" s="57"/>
      <c r="Z22" s="57"/>
      <c r="AA22" s="254"/>
      <c r="AB22" s="254"/>
      <c r="AC22" s="254"/>
      <c r="AD22" s="167"/>
      <c r="AE22" s="389">
        <f>SUM(C22:AD22)</f>
        <v>4230</v>
      </c>
      <c r="AF22" s="381">
        <v>4.72</v>
      </c>
      <c r="AG22" s="382">
        <f t="shared" ref="AG22:AG23" si="18">AE22*AF22</f>
        <v>19965.599999999999</v>
      </c>
      <c r="AH22" s="383">
        <v>0.9</v>
      </c>
      <c r="AI22" s="390">
        <f>AE22*AH22</f>
        <v>3807</v>
      </c>
      <c r="AJ22" s="133"/>
      <c r="AK22" s="200">
        <v>1.4716</v>
      </c>
      <c r="AL22" s="34">
        <f>+AK22/0.57</f>
        <v>2.5817543859649126</v>
      </c>
      <c r="AM22" s="39">
        <f>+AL22*(1.67+0.35)</f>
        <v>5.2151438596491237</v>
      </c>
      <c r="AN22" s="39">
        <f>+AL22*0.35</f>
        <v>0.90361403508771931</v>
      </c>
    </row>
    <row r="23" spans="1:42" x14ac:dyDescent="0.3">
      <c r="A23" s="404" t="s">
        <v>119</v>
      </c>
      <c r="B23" s="405" t="s">
        <v>262</v>
      </c>
      <c r="C23" s="276">
        <v>420</v>
      </c>
      <c r="D23" s="57">
        <v>390</v>
      </c>
      <c r="E23" s="57">
        <v>330</v>
      </c>
      <c r="F23" s="57">
        <v>240</v>
      </c>
      <c r="G23" s="57">
        <v>240</v>
      </c>
      <c r="H23" s="57">
        <v>240</v>
      </c>
      <c r="I23" s="57">
        <v>270</v>
      </c>
      <c r="J23" s="57">
        <v>180</v>
      </c>
      <c r="K23" s="57">
        <v>210</v>
      </c>
      <c r="L23" s="57">
        <v>270</v>
      </c>
      <c r="M23" s="57">
        <v>180</v>
      </c>
      <c r="N23" s="57">
        <v>270</v>
      </c>
      <c r="O23" s="57">
        <v>180</v>
      </c>
      <c r="P23" s="57"/>
      <c r="Q23" s="57">
        <v>210</v>
      </c>
      <c r="R23" s="57">
        <v>210</v>
      </c>
      <c r="S23" s="57">
        <v>270</v>
      </c>
      <c r="T23" s="57">
        <v>210</v>
      </c>
      <c r="U23" s="57"/>
      <c r="V23" s="57"/>
      <c r="W23" s="57"/>
      <c r="X23" s="57"/>
      <c r="Y23" s="57"/>
      <c r="Z23" s="57"/>
      <c r="AA23" s="254"/>
      <c r="AB23" s="254"/>
      <c r="AC23" s="254"/>
      <c r="AD23" s="167"/>
      <c r="AE23" s="389">
        <f>SUM(C23:AD23)</f>
        <v>4320</v>
      </c>
      <c r="AF23" s="381">
        <v>4.7300000000000004</v>
      </c>
      <c r="AG23" s="382">
        <f t="shared" si="18"/>
        <v>20433.600000000002</v>
      </c>
      <c r="AH23" s="383">
        <v>0.91</v>
      </c>
      <c r="AI23" s="390">
        <f>AE23*AH23</f>
        <v>3931.2000000000003</v>
      </c>
      <c r="AJ23" s="133"/>
      <c r="AK23" s="266">
        <v>1.476</v>
      </c>
      <c r="AL23" s="34">
        <f>+AK23/0.57</f>
        <v>2.5894736842105264</v>
      </c>
      <c r="AM23" s="39">
        <f>+AL23*(1.67+0.35)</f>
        <v>5.2307368421052631</v>
      </c>
      <c r="AN23" s="39">
        <f>+AL23*0.35</f>
        <v>0.90631578947368419</v>
      </c>
    </row>
    <row r="24" spans="1:42" x14ac:dyDescent="0.3">
      <c r="A24" s="404" t="s">
        <v>84</v>
      </c>
      <c r="B24" s="405" t="s">
        <v>262</v>
      </c>
      <c r="C24" s="276"/>
      <c r="D24" s="57"/>
      <c r="E24" s="57"/>
      <c r="F24" s="57">
        <v>60</v>
      </c>
      <c r="G24" s="57"/>
      <c r="H24" s="57"/>
      <c r="I24" s="57"/>
      <c r="J24" s="57"/>
      <c r="K24" s="57"/>
      <c r="L24" s="57"/>
      <c r="M24" s="57"/>
      <c r="N24" s="57">
        <v>60</v>
      </c>
      <c r="O24" s="57"/>
      <c r="P24" s="57"/>
      <c r="Q24" s="57">
        <v>60</v>
      </c>
      <c r="R24" s="57"/>
      <c r="S24" s="57"/>
      <c r="T24" s="57"/>
      <c r="U24" s="57"/>
      <c r="V24" s="57"/>
      <c r="W24" s="57"/>
      <c r="X24" s="57"/>
      <c r="Y24" s="57"/>
      <c r="Z24" s="57"/>
      <c r="AA24" s="254"/>
      <c r="AB24" s="254"/>
      <c r="AC24" s="254"/>
      <c r="AD24" s="167"/>
      <c r="AE24" s="389">
        <f t="shared" si="0"/>
        <v>180</v>
      </c>
      <c r="AF24" s="381">
        <v>8.49</v>
      </c>
      <c r="AG24" s="382">
        <f t="shared" ref="AG24:AG39" si="19">AE24*AF24</f>
        <v>1528.2</v>
      </c>
      <c r="AH24" s="383">
        <v>5.19</v>
      </c>
      <c r="AI24" s="390">
        <f t="shared" ref="AI24:AI39" si="20">AE24*AH24</f>
        <v>934.2</v>
      </c>
      <c r="AJ24" s="133" t="s">
        <v>88</v>
      </c>
      <c r="AK24" s="200">
        <v>0.78959999999999997</v>
      </c>
      <c r="AL24" s="200">
        <f>+AK24/0.4</f>
        <v>1.9739999999999998</v>
      </c>
      <c r="AM24" s="201">
        <f>+AL24*(1.67+0.35)+4.5</f>
        <v>8.4874799999999997</v>
      </c>
      <c r="AN24" s="201">
        <f>+AL24*0.35+4.5</f>
        <v>5.1909000000000001</v>
      </c>
    </row>
    <row r="25" spans="1:42" x14ac:dyDescent="0.3">
      <c r="A25" s="404" t="s">
        <v>85</v>
      </c>
      <c r="B25" s="405" t="s">
        <v>263</v>
      </c>
      <c r="C25" s="276"/>
      <c r="D25" s="57"/>
      <c r="E25" s="57"/>
      <c r="F25" s="57">
        <v>60</v>
      </c>
      <c r="G25" s="57"/>
      <c r="H25" s="57"/>
      <c r="I25" s="57"/>
      <c r="J25" s="57"/>
      <c r="K25" s="57">
        <v>30</v>
      </c>
      <c r="L25" s="57">
        <v>30</v>
      </c>
      <c r="M25" s="57"/>
      <c r="N25" s="57">
        <v>30</v>
      </c>
      <c r="O25" s="57">
        <v>30</v>
      </c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254"/>
      <c r="AB25" s="254"/>
      <c r="AC25" s="254"/>
      <c r="AD25" s="167"/>
      <c r="AE25" s="389">
        <f t="shared" si="0"/>
        <v>180</v>
      </c>
      <c r="AF25" s="381">
        <v>8.49</v>
      </c>
      <c r="AG25" s="382">
        <f t="shared" si="19"/>
        <v>1528.2</v>
      </c>
      <c r="AH25" s="383">
        <v>5.19</v>
      </c>
      <c r="AI25" s="390">
        <f t="shared" si="20"/>
        <v>934.2</v>
      </c>
      <c r="AJ25" s="133" t="s">
        <v>88</v>
      </c>
      <c r="AK25" s="200">
        <v>0.78959999999999997</v>
      </c>
      <c r="AL25" s="200">
        <f>+AK25/0.4</f>
        <v>1.9739999999999998</v>
      </c>
      <c r="AM25" s="201">
        <f>+AL25*(1.67+0.35)+4.5</f>
        <v>8.4874799999999997</v>
      </c>
      <c r="AN25" s="201">
        <f>+AL25*0.35+4.5</f>
        <v>5.1909000000000001</v>
      </c>
    </row>
    <row r="26" spans="1:42" x14ac:dyDescent="0.3">
      <c r="A26" s="404" t="s">
        <v>87</v>
      </c>
      <c r="B26" s="405" t="s">
        <v>265</v>
      </c>
      <c r="C26" s="27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>
        <v>30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254"/>
      <c r="AB26" s="254"/>
      <c r="AC26" s="254"/>
      <c r="AD26" s="167"/>
      <c r="AE26" s="389">
        <f>SUM(C26:AD26)</f>
        <v>30</v>
      </c>
      <c r="AF26" s="381">
        <v>7.77</v>
      </c>
      <c r="AG26" s="382">
        <f>AE26*AF26</f>
        <v>233.1</v>
      </c>
      <c r="AH26" s="383">
        <v>5.2</v>
      </c>
      <c r="AI26" s="390">
        <f>AE26*AH26</f>
        <v>156</v>
      </c>
      <c r="AJ26" s="133" t="s">
        <v>88</v>
      </c>
      <c r="AK26" s="200">
        <v>0.79490000000000005</v>
      </c>
      <c r="AL26" s="200">
        <f>+AK26/0.4</f>
        <v>1.98725</v>
      </c>
      <c r="AM26" s="201">
        <f>+AL26*(1.67+0.35)+4.5</f>
        <v>8.514244999999999</v>
      </c>
      <c r="AN26" s="201">
        <f>+AL26*0.35+4.5</f>
        <v>5.1955375000000004</v>
      </c>
    </row>
    <row r="27" spans="1:42" x14ac:dyDescent="0.3">
      <c r="A27" s="404" t="s">
        <v>86</v>
      </c>
      <c r="B27" s="405" t="s">
        <v>264</v>
      </c>
      <c r="C27" s="276"/>
      <c r="D27" s="57"/>
      <c r="E27" s="57"/>
      <c r="F27" s="57"/>
      <c r="G27" s="57"/>
      <c r="H27" s="57"/>
      <c r="I27" s="57"/>
      <c r="J27" s="57"/>
      <c r="K27" s="57">
        <v>53</v>
      </c>
      <c r="L27" s="57"/>
      <c r="M27" s="57"/>
      <c r="N27" s="57"/>
      <c r="O27" s="57"/>
      <c r="P27" s="57"/>
      <c r="Q27" s="57">
        <v>30</v>
      </c>
      <c r="R27" s="57"/>
      <c r="S27" s="57"/>
      <c r="T27" s="57"/>
      <c r="U27" s="57"/>
      <c r="V27" s="57"/>
      <c r="W27" s="57"/>
      <c r="X27" s="57"/>
      <c r="Y27" s="57"/>
      <c r="Z27" s="57"/>
      <c r="AA27" s="254"/>
      <c r="AB27" s="254"/>
      <c r="AC27" s="254"/>
      <c r="AD27" s="167"/>
      <c r="AE27" s="389">
        <f t="shared" si="0"/>
        <v>83</v>
      </c>
      <c r="AF27" s="381">
        <v>7.77</v>
      </c>
      <c r="AG27" s="382">
        <f t="shared" si="19"/>
        <v>644.91</v>
      </c>
      <c r="AH27" s="383">
        <v>5.2</v>
      </c>
      <c r="AI27" s="390">
        <f t="shared" si="20"/>
        <v>431.6</v>
      </c>
      <c r="AJ27" s="133" t="s">
        <v>88</v>
      </c>
      <c r="AK27" s="200">
        <v>0.79490000000000005</v>
      </c>
      <c r="AL27" s="200">
        <f>+AK27/0.4</f>
        <v>1.98725</v>
      </c>
      <c r="AM27" s="201">
        <f t="shared" ref="AM27" si="21">+AL27*(1.67+0.35)+4.5</f>
        <v>8.514244999999999</v>
      </c>
      <c r="AN27" s="201">
        <f t="shared" ref="AN27" si="22">+AL27*0.35+4.5</f>
        <v>5.1955375000000004</v>
      </c>
    </row>
    <row r="28" spans="1:42" x14ac:dyDescent="0.3">
      <c r="A28" s="404" t="s">
        <v>204</v>
      </c>
      <c r="B28" s="405" t="s">
        <v>275</v>
      </c>
      <c r="C28" s="276"/>
      <c r="D28" s="57"/>
      <c r="E28" s="57"/>
      <c r="F28" s="57"/>
      <c r="G28" s="57"/>
      <c r="H28" s="57"/>
      <c r="I28" s="57"/>
      <c r="J28" s="57"/>
      <c r="K28" s="57">
        <v>30</v>
      </c>
      <c r="L28" s="57"/>
      <c r="M28" s="256"/>
      <c r="N28" s="256">
        <v>60</v>
      </c>
      <c r="O28" s="256"/>
      <c r="P28" s="256"/>
      <c r="Q28" s="256"/>
      <c r="R28" s="256"/>
      <c r="S28" s="256"/>
      <c r="T28" s="256">
        <v>30</v>
      </c>
      <c r="U28" s="256"/>
      <c r="V28" s="57"/>
      <c r="W28" s="57"/>
      <c r="X28" s="57"/>
      <c r="Y28" s="57"/>
      <c r="Z28" s="57"/>
      <c r="AA28" s="254"/>
      <c r="AB28" s="254"/>
      <c r="AC28" s="254"/>
      <c r="AD28" s="167"/>
      <c r="AE28" s="389">
        <f>SUM(C28:AD28)</f>
        <v>120</v>
      </c>
      <c r="AF28" s="381">
        <v>11.19</v>
      </c>
      <c r="AG28" s="382">
        <f>AE28*AF28</f>
        <v>1342.8</v>
      </c>
      <c r="AH28" s="383">
        <v>2.1</v>
      </c>
      <c r="AI28" s="390">
        <f>AE28*AH28</f>
        <v>252</v>
      </c>
      <c r="AJ28" s="133"/>
      <c r="AK28" s="200">
        <v>3.4184999999999999</v>
      </c>
      <c r="AL28" s="135">
        <f>AK28/0.57</f>
        <v>5.9973684210526317</v>
      </c>
      <c r="AM28" s="39">
        <f>+AL28*(1.46+0.35)</f>
        <v>10.855236842105263</v>
      </c>
      <c r="AN28" s="39">
        <f>+AL28*0.35</f>
        <v>2.099078947368421</v>
      </c>
      <c r="AO28" s="200" t="s">
        <v>190</v>
      </c>
      <c r="AP28" s="30"/>
    </row>
    <row r="29" spans="1:42" x14ac:dyDescent="0.3">
      <c r="A29" s="404" t="s">
        <v>205</v>
      </c>
      <c r="B29" s="405" t="s">
        <v>276</v>
      </c>
      <c r="C29" s="276"/>
      <c r="D29" s="57"/>
      <c r="E29" s="57"/>
      <c r="F29" s="57"/>
      <c r="G29" s="57"/>
      <c r="H29" s="57"/>
      <c r="I29" s="57"/>
      <c r="J29" s="57"/>
      <c r="K29" s="57">
        <v>30</v>
      </c>
      <c r="L29" s="57"/>
      <c r="M29" s="256"/>
      <c r="N29" s="256">
        <v>60</v>
      </c>
      <c r="O29" s="256"/>
      <c r="P29" s="256"/>
      <c r="Q29" s="256"/>
      <c r="R29" s="256"/>
      <c r="S29" s="256"/>
      <c r="T29" s="256">
        <v>30</v>
      </c>
      <c r="U29" s="256"/>
      <c r="V29" s="57"/>
      <c r="W29" s="57"/>
      <c r="X29" s="57"/>
      <c r="Y29" s="57"/>
      <c r="Z29" s="57"/>
      <c r="AA29" s="254"/>
      <c r="AB29" s="254"/>
      <c r="AC29" s="254"/>
      <c r="AD29" s="167"/>
      <c r="AE29" s="389">
        <f>SUM(C29:AD29)</f>
        <v>120</v>
      </c>
      <c r="AF29" s="381">
        <v>11.19</v>
      </c>
      <c r="AG29" s="382">
        <f>AE29*AF29</f>
        <v>1342.8</v>
      </c>
      <c r="AH29" s="383">
        <v>2.1</v>
      </c>
      <c r="AI29" s="390">
        <f>AE29*AH29</f>
        <v>252</v>
      </c>
      <c r="AJ29" s="133"/>
      <c r="AK29" s="200">
        <v>3.4184999999999999</v>
      </c>
      <c r="AL29" s="135">
        <f t="shared" ref="AL29" si="23">AK29/0.57</f>
        <v>5.9973684210526317</v>
      </c>
      <c r="AM29" s="39">
        <f>+AL29*(1.46+0.35)</f>
        <v>10.855236842105263</v>
      </c>
      <c r="AN29" s="39">
        <f>+AL29*0.35</f>
        <v>2.099078947368421</v>
      </c>
      <c r="AO29" s="200" t="s">
        <v>190</v>
      </c>
      <c r="AP29" s="30"/>
    </row>
    <row r="30" spans="1:42" x14ac:dyDescent="0.3">
      <c r="A30" s="408" t="s">
        <v>173</v>
      </c>
      <c r="B30" s="409" t="s">
        <v>266</v>
      </c>
      <c r="C30" s="276">
        <v>90</v>
      </c>
      <c r="D30" s="57">
        <v>90</v>
      </c>
      <c r="E30" s="57">
        <v>150</v>
      </c>
      <c r="F30" s="57">
        <v>150</v>
      </c>
      <c r="G30" s="57">
        <v>210</v>
      </c>
      <c r="H30" s="57">
        <v>120</v>
      </c>
      <c r="I30" s="57">
        <v>150</v>
      </c>
      <c r="J30" s="57">
        <v>120</v>
      </c>
      <c r="K30" s="57">
        <v>150</v>
      </c>
      <c r="L30" s="57">
        <v>180</v>
      </c>
      <c r="M30" s="57">
        <v>120</v>
      </c>
      <c r="N30" s="57">
        <v>120</v>
      </c>
      <c r="O30" s="57">
        <v>180</v>
      </c>
      <c r="P30" s="57"/>
      <c r="Q30" s="57"/>
      <c r="R30" s="57"/>
      <c r="S30" s="57">
        <v>120</v>
      </c>
      <c r="T30" s="57"/>
      <c r="U30" s="57"/>
      <c r="V30" s="57"/>
      <c r="W30" s="57"/>
      <c r="X30" s="57"/>
      <c r="Y30" s="57"/>
      <c r="Z30" s="57"/>
      <c r="AA30" s="254"/>
      <c r="AB30" s="254"/>
      <c r="AC30" s="254"/>
      <c r="AD30" s="167"/>
      <c r="AE30" s="391">
        <f t="shared" si="0"/>
        <v>1950</v>
      </c>
      <c r="AF30" s="384">
        <v>5.03</v>
      </c>
      <c r="AG30" s="330">
        <f t="shared" si="19"/>
        <v>9808.5</v>
      </c>
      <c r="AH30" s="374">
        <v>1.04</v>
      </c>
      <c r="AI30" s="392">
        <f t="shared" si="20"/>
        <v>2028</v>
      </c>
      <c r="AJ30" s="133"/>
      <c r="AK30" s="200">
        <v>1.7011000000000001</v>
      </c>
      <c r="AL30" s="135">
        <f>AK30/0.57</f>
        <v>2.9843859649122813</v>
      </c>
      <c r="AM30" s="39">
        <f>+AL30*(1.46+0.35)</f>
        <v>5.4017385964912288</v>
      </c>
      <c r="AN30" s="39">
        <f t="shared" ref="AN30:AN33" si="24">+AL30*0.35</f>
        <v>1.0445350877192985</v>
      </c>
      <c r="AO30" s="200" t="s">
        <v>190</v>
      </c>
    </row>
    <row r="31" spans="1:42" x14ac:dyDescent="0.3">
      <c r="A31" s="408" t="s">
        <v>174</v>
      </c>
      <c r="B31" s="409" t="s">
        <v>267</v>
      </c>
      <c r="C31" s="276">
        <v>90</v>
      </c>
      <c r="D31" s="57">
        <v>90</v>
      </c>
      <c r="E31" s="57">
        <v>150</v>
      </c>
      <c r="F31" s="57">
        <v>150</v>
      </c>
      <c r="G31" s="57">
        <v>210</v>
      </c>
      <c r="H31" s="57">
        <v>120</v>
      </c>
      <c r="I31" s="57">
        <v>150</v>
      </c>
      <c r="J31" s="57">
        <v>120</v>
      </c>
      <c r="K31" s="57">
        <v>150</v>
      </c>
      <c r="L31" s="57">
        <v>180</v>
      </c>
      <c r="M31" s="57">
        <v>120</v>
      </c>
      <c r="N31" s="57">
        <v>120</v>
      </c>
      <c r="O31" s="57">
        <v>180</v>
      </c>
      <c r="P31" s="57"/>
      <c r="Q31" s="57"/>
      <c r="R31" s="57"/>
      <c r="S31" s="57">
        <v>120</v>
      </c>
      <c r="T31" s="57"/>
      <c r="U31" s="57"/>
      <c r="V31" s="57"/>
      <c r="W31" s="57"/>
      <c r="X31" s="57"/>
      <c r="Y31" s="57"/>
      <c r="Z31" s="57"/>
      <c r="AA31" s="254"/>
      <c r="AB31" s="254"/>
      <c r="AC31" s="254"/>
      <c r="AD31" s="167"/>
      <c r="AE31" s="391">
        <f t="shared" si="0"/>
        <v>1950</v>
      </c>
      <c r="AF31" s="384">
        <v>5.15</v>
      </c>
      <c r="AG31" s="330">
        <f t="shared" si="19"/>
        <v>10042.5</v>
      </c>
      <c r="AH31" s="374">
        <v>1.07</v>
      </c>
      <c r="AI31" s="392">
        <f t="shared" si="20"/>
        <v>2086.5</v>
      </c>
      <c r="AJ31" s="133"/>
      <c r="AK31" s="200">
        <v>1.7393000000000001</v>
      </c>
      <c r="AL31" s="135">
        <f t="shared" ref="AL31:AL33" si="25">AK31/0.57</f>
        <v>3.05140350877193</v>
      </c>
      <c r="AM31" s="39">
        <f t="shared" ref="AM31:AM33" si="26">+AL31*(1.46+0.35)</f>
        <v>5.5230403508771939</v>
      </c>
      <c r="AN31" s="39">
        <f t="shared" si="24"/>
        <v>1.0679912280701753</v>
      </c>
      <c r="AO31" s="200" t="s">
        <v>190</v>
      </c>
    </row>
    <row r="32" spans="1:42" x14ac:dyDescent="0.3">
      <c r="A32" s="408" t="s">
        <v>175</v>
      </c>
      <c r="B32" s="409" t="s">
        <v>268</v>
      </c>
      <c r="C32" s="276">
        <v>90</v>
      </c>
      <c r="D32" s="57">
        <v>90</v>
      </c>
      <c r="E32" s="57">
        <v>150</v>
      </c>
      <c r="F32" s="57">
        <v>150</v>
      </c>
      <c r="G32" s="57">
        <v>210</v>
      </c>
      <c r="H32" s="57">
        <v>120</v>
      </c>
      <c r="I32" s="57">
        <v>150</v>
      </c>
      <c r="J32" s="57">
        <v>120</v>
      </c>
      <c r="K32" s="57">
        <v>150</v>
      </c>
      <c r="L32" s="57">
        <v>180</v>
      </c>
      <c r="M32" s="256">
        <v>120</v>
      </c>
      <c r="N32" s="256">
        <v>120</v>
      </c>
      <c r="O32" s="256">
        <v>180</v>
      </c>
      <c r="P32" s="256"/>
      <c r="Q32" s="256"/>
      <c r="R32" s="256"/>
      <c r="S32" s="256">
        <v>120</v>
      </c>
      <c r="T32" s="256"/>
      <c r="U32" s="256"/>
      <c r="V32" s="57"/>
      <c r="W32" s="57"/>
      <c r="X32" s="57"/>
      <c r="Y32" s="57"/>
      <c r="Z32" s="57"/>
      <c r="AA32" s="254"/>
      <c r="AB32" s="254"/>
      <c r="AC32" s="254"/>
      <c r="AD32" s="167"/>
      <c r="AE32" s="391">
        <f t="shared" si="0"/>
        <v>1950</v>
      </c>
      <c r="AF32" s="384">
        <v>5.28</v>
      </c>
      <c r="AG32" s="330">
        <f t="shared" si="19"/>
        <v>10296</v>
      </c>
      <c r="AH32" s="374">
        <v>1.08</v>
      </c>
      <c r="AI32" s="392">
        <f t="shared" si="20"/>
        <v>2106</v>
      </c>
      <c r="AJ32" s="133"/>
      <c r="AK32" s="200">
        <v>1.7644</v>
      </c>
      <c r="AL32" s="135">
        <f t="shared" si="25"/>
        <v>3.0954385964912281</v>
      </c>
      <c r="AM32" s="39">
        <f t="shared" si="26"/>
        <v>5.6027438596491228</v>
      </c>
      <c r="AN32" s="39">
        <f t="shared" si="24"/>
        <v>1.0834035087719298</v>
      </c>
      <c r="AO32" s="200" t="s">
        <v>190</v>
      </c>
    </row>
    <row r="33" spans="1:42" x14ac:dyDescent="0.3">
      <c r="A33" s="408" t="s">
        <v>176</v>
      </c>
      <c r="B33" s="409" t="s">
        <v>269</v>
      </c>
      <c r="C33" s="276">
        <v>90</v>
      </c>
      <c r="D33" s="57">
        <v>90</v>
      </c>
      <c r="E33" s="57">
        <v>150</v>
      </c>
      <c r="F33" s="57">
        <v>150</v>
      </c>
      <c r="G33" s="57">
        <v>210</v>
      </c>
      <c r="H33" s="57">
        <v>120</v>
      </c>
      <c r="I33" s="57">
        <v>150</v>
      </c>
      <c r="J33" s="57">
        <v>120</v>
      </c>
      <c r="K33" s="57">
        <v>150</v>
      </c>
      <c r="L33" s="57">
        <v>180</v>
      </c>
      <c r="M33" s="256">
        <v>120</v>
      </c>
      <c r="N33" s="256">
        <v>120</v>
      </c>
      <c r="O33" s="256">
        <v>180</v>
      </c>
      <c r="P33" s="256"/>
      <c r="Q33" s="256"/>
      <c r="R33" s="256"/>
      <c r="S33" s="256">
        <v>120</v>
      </c>
      <c r="T33" s="256"/>
      <c r="U33" s="256"/>
      <c r="V33" s="57"/>
      <c r="W33" s="57"/>
      <c r="X33" s="57"/>
      <c r="Y33" s="57"/>
      <c r="Z33" s="57"/>
      <c r="AA33" s="254"/>
      <c r="AB33" s="254"/>
      <c r="AC33" s="254"/>
      <c r="AD33" s="167"/>
      <c r="AE33" s="391">
        <f t="shared" si="0"/>
        <v>1950</v>
      </c>
      <c r="AF33" s="384">
        <v>5.17</v>
      </c>
      <c r="AG33" s="330">
        <f t="shared" si="19"/>
        <v>10081.5</v>
      </c>
      <c r="AH33" s="374">
        <v>1.06</v>
      </c>
      <c r="AI33" s="392">
        <f t="shared" si="20"/>
        <v>2067</v>
      </c>
      <c r="AJ33" s="133"/>
      <c r="AK33" s="200">
        <v>1.7273000000000001</v>
      </c>
      <c r="AL33" s="135">
        <f t="shared" si="25"/>
        <v>3.030350877192983</v>
      </c>
      <c r="AM33" s="39">
        <f t="shared" si="26"/>
        <v>5.4849350877192995</v>
      </c>
      <c r="AN33" s="39">
        <f t="shared" si="24"/>
        <v>1.0606228070175441</v>
      </c>
      <c r="AO33" s="200" t="s">
        <v>190</v>
      </c>
    </row>
    <row r="34" spans="1:42" x14ac:dyDescent="0.3">
      <c r="A34" s="406" t="s">
        <v>277</v>
      </c>
      <c r="B34" s="407" t="s">
        <v>270</v>
      </c>
      <c r="C34" s="281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80"/>
      <c r="AB34" s="280"/>
      <c r="AC34" s="280"/>
      <c r="AD34" s="274"/>
      <c r="AE34" s="328">
        <f t="shared" si="0"/>
        <v>0</v>
      </c>
      <c r="AF34" s="385">
        <v>12.83</v>
      </c>
      <c r="AG34" s="327">
        <f t="shared" si="19"/>
        <v>0</v>
      </c>
      <c r="AH34" s="329">
        <v>2.2200000000000002</v>
      </c>
      <c r="AI34" s="393">
        <f t="shared" si="20"/>
        <v>0</v>
      </c>
      <c r="AJ34" s="133" t="s">
        <v>179</v>
      </c>
      <c r="AK34" s="200">
        <v>3.6166999999999998</v>
      </c>
      <c r="AL34" s="200">
        <f>+AK34/0.57</f>
        <v>6.3450877192982462</v>
      </c>
      <c r="AM34" s="201">
        <f>+AL34*(1.67+0.35)</f>
        <v>12.817077192982458</v>
      </c>
      <c r="AN34" s="201">
        <f>+AL34*0.35</f>
        <v>2.2207807017543861</v>
      </c>
    </row>
    <row r="35" spans="1:42" x14ac:dyDescent="0.3">
      <c r="A35" s="406" t="s">
        <v>278</v>
      </c>
      <c r="B35" s="407" t="s">
        <v>271</v>
      </c>
      <c r="C35" s="281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80"/>
      <c r="AB35" s="280"/>
      <c r="AC35" s="280"/>
      <c r="AD35" s="274"/>
      <c r="AE35" s="328">
        <f t="shared" si="0"/>
        <v>0</v>
      </c>
      <c r="AF35" s="385">
        <v>12.83</v>
      </c>
      <c r="AG35" s="327">
        <f t="shared" si="19"/>
        <v>0</v>
      </c>
      <c r="AH35" s="329">
        <v>2.2200000000000002</v>
      </c>
      <c r="AI35" s="393">
        <f t="shared" si="20"/>
        <v>0</v>
      </c>
      <c r="AJ35" s="133" t="s">
        <v>179</v>
      </c>
      <c r="AK35" s="200">
        <v>3.6166999999999998</v>
      </c>
      <c r="AL35" s="200">
        <f>+AK35/0.57</f>
        <v>6.3450877192982462</v>
      </c>
      <c r="AM35" s="201">
        <f>+AL35*(1.67+0.35)</f>
        <v>12.817077192982458</v>
      </c>
      <c r="AN35" s="201">
        <f>+AL35*0.35</f>
        <v>2.2207807017543861</v>
      </c>
      <c r="AP35" s="30">
        <f>+AM35-AF35</f>
        <v>-1.2922807017542226E-2</v>
      </c>
    </row>
    <row r="36" spans="1:42" x14ac:dyDescent="0.3">
      <c r="A36" s="410" t="s">
        <v>171</v>
      </c>
      <c r="B36" s="411" t="s">
        <v>270</v>
      </c>
      <c r="C36" s="276"/>
      <c r="D36" s="57"/>
      <c r="E36" s="57">
        <v>60</v>
      </c>
      <c r="F36" s="57">
        <v>30</v>
      </c>
      <c r="G36" s="57">
        <v>30</v>
      </c>
      <c r="H36" s="57">
        <v>60</v>
      </c>
      <c r="I36" s="57"/>
      <c r="J36" s="57">
        <v>60</v>
      </c>
      <c r="K36" s="57">
        <v>90</v>
      </c>
      <c r="L36" s="57"/>
      <c r="M36" s="256"/>
      <c r="N36" s="256"/>
      <c r="O36" s="256"/>
      <c r="P36" s="256">
        <v>120</v>
      </c>
      <c r="Q36" s="256"/>
      <c r="R36" s="256"/>
      <c r="S36" s="256"/>
      <c r="T36" s="282"/>
      <c r="U36" s="256"/>
      <c r="V36" s="57"/>
      <c r="W36" s="57"/>
      <c r="X36" s="57"/>
      <c r="Y36" s="57"/>
      <c r="Z36" s="57"/>
      <c r="AA36" s="254"/>
      <c r="AB36" s="254"/>
      <c r="AC36" s="254"/>
      <c r="AD36" s="167"/>
      <c r="AE36" s="328">
        <f t="shared" si="0"/>
        <v>450</v>
      </c>
      <c r="AF36" s="385">
        <v>11.43</v>
      </c>
      <c r="AG36" s="327">
        <f t="shared" si="19"/>
        <v>5143.5</v>
      </c>
      <c r="AH36" s="329">
        <v>2.2200000000000002</v>
      </c>
      <c r="AI36" s="393">
        <f t="shared" si="20"/>
        <v>999.00000000000011</v>
      </c>
      <c r="AJ36" s="133"/>
      <c r="AK36" s="200">
        <v>3.6166999999999998</v>
      </c>
      <c r="AL36" s="135">
        <f>AK36/0.57</f>
        <v>6.3450877192982462</v>
      </c>
      <c r="AM36" s="39">
        <f>+AL36*(1.46+0.35)</f>
        <v>11.484608771929826</v>
      </c>
      <c r="AN36" s="39">
        <f t="shared" ref="AN36:AN39" si="27">+AL36*0.35</f>
        <v>2.2207807017543861</v>
      </c>
      <c r="AO36" s="200" t="s">
        <v>190</v>
      </c>
      <c r="AP36" s="30"/>
    </row>
    <row r="37" spans="1:42" x14ac:dyDescent="0.3">
      <c r="A37" s="410" t="s">
        <v>172</v>
      </c>
      <c r="B37" s="411" t="s">
        <v>271</v>
      </c>
      <c r="C37" s="276"/>
      <c r="D37" s="57"/>
      <c r="E37" s="57">
        <v>60</v>
      </c>
      <c r="F37" s="57">
        <v>30</v>
      </c>
      <c r="G37" s="57">
        <v>30</v>
      </c>
      <c r="H37" s="57">
        <v>60</v>
      </c>
      <c r="I37" s="57"/>
      <c r="J37" s="57">
        <v>60</v>
      </c>
      <c r="K37" s="57">
        <v>90</v>
      </c>
      <c r="L37" s="57"/>
      <c r="M37" s="256"/>
      <c r="N37" s="256"/>
      <c r="O37" s="256"/>
      <c r="P37" s="256">
        <v>120</v>
      </c>
      <c r="Q37" s="256"/>
      <c r="R37" s="256"/>
      <c r="S37" s="256"/>
      <c r="T37" s="282"/>
      <c r="U37" s="256"/>
      <c r="V37" s="57"/>
      <c r="W37" s="57"/>
      <c r="X37" s="57"/>
      <c r="Y37" s="57"/>
      <c r="Z37" s="57"/>
      <c r="AA37" s="254"/>
      <c r="AB37" s="254"/>
      <c r="AC37" s="254"/>
      <c r="AD37" s="167"/>
      <c r="AE37" s="328">
        <f t="shared" si="0"/>
        <v>450</v>
      </c>
      <c r="AF37" s="385">
        <v>11.43</v>
      </c>
      <c r="AG37" s="327">
        <f t="shared" si="19"/>
        <v>5143.5</v>
      </c>
      <c r="AH37" s="329">
        <v>2.2200000000000002</v>
      </c>
      <c r="AI37" s="393">
        <f t="shared" si="20"/>
        <v>999.00000000000011</v>
      </c>
      <c r="AJ37" s="133"/>
      <c r="AK37" s="200">
        <v>3.6166999999999998</v>
      </c>
      <c r="AL37" s="135">
        <f t="shared" ref="AL37" si="28">AK37/0.57</f>
        <v>6.3450877192982462</v>
      </c>
      <c r="AM37" s="39">
        <f t="shared" ref="AM37" si="29">+AL37*(1.46+0.35)</f>
        <v>11.484608771929826</v>
      </c>
      <c r="AN37" s="39">
        <f t="shared" si="27"/>
        <v>2.2207807017543861</v>
      </c>
      <c r="AO37" s="200" t="s">
        <v>190</v>
      </c>
      <c r="AP37" s="30"/>
    </row>
    <row r="38" spans="1:42" x14ac:dyDescent="0.3">
      <c r="A38" s="410" t="s">
        <v>200</v>
      </c>
      <c r="B38" s="411" t="s">
        <v>272</v>
      </c>
      <c r="C38" s="276"/>
      <c r="D38" s="57"/>
      <c r="E38" s="57"/>
      <c r="F38" s="57">
        <v>30</v>
      </c>
      <c r="G38" s="57"/>
      <c r="H38" s="57"/>
      <c r="I38" s="57">
        <v>60</v>
      </c>
      <c r="J38" s="57">
        <v>60</v>
      </c>
      <c r="K38" s="57"/>
      <c r="L38" s="57">
        <v>30</v>
      </c>
      <c r="M38" s="256"/>
      <c r="N38" s="256"/>
      <c r="O38" s="256"/>
      <c r="P38" s="256"/>
      <c r="Q38" s="256"/>
      <c r="R38" s="256"/>
      <c r="S38" s="256"/>
      <c r="T38" s="282"/>
      <c r="U38" s="256"/>
      <c r="V38" s="57"/>
      <c r="W38" s="57"/>
      <c r="X38" s="57"/>
      <c r="Y38" s="57"/>
      <c r="Z38" s="57"/>
      <c r="AA38" s="254"/>
      <c r="AB38" s="254"/>
      <c r="AC38" s="254"/>
      <c r="AD38" s="167"/>
      <c r="AE38" s="328">
        <f t="shared" si="0"/>
        <v>180</v>
      </c>
      <c r="AF38" s="385">
        <v>12.83</v>
      </c>
      <c r="AG38" s="327">
        <f t="shared" si="19"/>
        <v>2309.4</v>
      </c>
      <c r="AH38" s="329">
        <v>2.2200000000000002</v>
      </c>
      <c r="AI38" s="393">
        <f t="shared" si="20"/>
        <v>399.6</v>
      </c>
      <c r="AJ38" s="133"/>
      <c r="AK38" s="200">
        <v>3.6166999999999998</v>
      </c>
      <c r="AL38" s="135">
        <f>AK38/0.57</f>
        <v>6.3450877192982462</v>
      </c>
      <c r="AM38" s="39">
        <f>+AL38*(1.46+0.35)</f>
        <v>11.484608771929826</v>
      </c>
      <c r="AN38" s="39">
        <f t="shared" si="27"/>
        <v>2.2207807017543861</v>
      </c>
      <c r="AO38" s="200" t="s">
        <v>190</v>
      </c>
      <c r="AP38" s="30"/>
    </row>
    <row r="39" spans="1:42" ht="15" thickBot="1" x14ac:dyDescent="0.35">
      <c r="A39" s="412" t="s">
        <v>201</v>
      </c>
      <c r="B39" s="413" t="s">
        <v>273</v>
      </c>
      <c r="C39" s="278"/>
      <c r="D39" s="59"/>
      <c r="E39" s="59"/>
      <c r="F39" s="59">
        <v>30</v>
      </c>
      <c r="G39" s="59"/>
      <c r="H39" s="59"/>
      <c r="I39" s="59">
        <v>60</v>
      </c>
      <c r="J39" s="59">
        <v>60</v>
      </c>
      <c r="K39" s="59"/>
      <c r="L39" s="59">
        <v>30</v>
      </c>
      <c r="M39" s="284"/>
      <c r="N39" s="284"/>
      <c r="O39" s="284"/>
      <c r="P39" s="284"/>
      <c r="Q39" s="284"/>
      <c r="R39" s="284"/>
      <c r="S39" s="284"/>
      <c r="T39" s="285"/>
      <c r="U39" s="284"/>
      <c r="V39" s="59"/>
      <c r="W39" s="59"/>
      <c r="X39" s="59"/>
      <c r="Y39" s="59"/>
      <c r="Z39" s="59"/>
      <c r="AA39" s="286"/>
      <c r="AB39" s="286"/>
      <c r="AC39" s="286"/>
      <c r="AD39" s="168"/>
      <c r="AE39" s="394">
        <f t="shared" si="0"/>
        <v>180</v>
      </c>
      <c r="AF39" s="395">
        <v>12.83</v>
      </c>
      <c r="AG39" s="396">
        <f t="shared" si="19"/>
        <v>2309.4</v>
      </c>
      <c r="AH39" s="397">
        <v>2.2200000000000002</v>
      </c>
      <c r="AI39" s="398">
        <f t="shared" si="20"/>
        <v>399.6</v>
      </c>
      <c r="AJ39" s="133"/>
      <c r="AK39" s="200">
        <v>3.6166999999999998</v>
      </c>
      <c r="AL39" s="135">
        <f t="shared" ref="AL39" si="30">AK39/0.57</f>
        <v>6.3450877192982462</v>
      </c>
      <c r="AM39" s="39">
        <f t="shared" ref="AM39" si="31">+AL39*(1.46+0.35)</f>
        <v>11.484608771929826</v>
      </c>
      <c r="AN39" s="39">
        <f t="shared" si="27"/>
        <v>2.2207807017543861</v>
      </c>
      <c r="AO39" s="200" t="s">
        <v>190</v>
      </c>
      <c r="AP39" s="30"/>
    </row>
    <row r="40" spans="1:42" x14ac:dyDescent="0.3">
      <c r="A40" s="277"/>
      <c r="B40" s="277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S40" t="s">
        <v>7</v>
      </c>
      <c r="AE40" s="78">
        <f>SUM(AE7:AE39)</f>
        <v>61703</v>
      </c>
      <c r="AF40" s="5"/>
      <c r="AG40" s="29">
        <f>SUM(AG7:AG39)</f>
        <v>477922.41000000003</v>
      </c>
      <c r="AH40" s="6"/>
      <c r="AI40" s="29">
        <f>SUM(AI7:AI39)</f>
        <v>119027.29999999999</v>
      </c>
      <c r="AJ40" s="29"/>
    </row>
    <row r="41" spans="1:42" ht="14.25" hidden="1" customHeight="1" x14ac:dyDescent="0.3">
      <c r="A41" s="277"/>
      <c r="B41" s="277"/>
      <c r="C41" s="32">
        <f t="shared" ref="C41:C73" si="32">+C7*$AF7</f>
        <v>622.80000000000007</v>
      </c>
      <c r="D41" s="32">
        <f t="shared" ref="D41:AD41" si="33">+D7*$AF7</f>
        <v>778.50000000000011</v>
      </c>
      <c r="E41" s="32">
        <f t="shared" si="33"/>
        <v>622.80000000000007</v>
      </c>
      <c r="F41" s="32">
        <f t="shared" si="33"/>
        <v>622.80000000000007</v>
      </c>
      <c r="G41" s="32">
        <f t="shared" si="33"/>
        <v>778.50000000000011</v>
      </c>
      <c r="H41" s="32">
        <f t="shared" si="33"/>
        <v>778.50000000000011</v>
      </c>
      <c r="I41" s="32">
        <f t="shared" si="33"/>
        <v>622.80000000000007</v>
      </c>
      <c r="J41" s="32">
        <f t="shared" si="33"/>
        <v>311.40000000000003</v>
      </c>
      <c r="K41" s="32">
        <f t="shared" si="33"/>
        <v>622.80000000000007</v>
      </c>
      <c r="L41" s="32">
        <f t="shared" si="33"/>
        <v>0</v>
      </c>
      <c r="M41" s="32">
        <f t="shared" si="33"/>
        <v>0</v>
      </c>
      <c r="N41" s="32">
        <f t="shared" si="33"/>
        <v>311.40000000000003</v>
      </c>
      <c r="O41" s="32">
        <f t="shared" si="33"/>
        <v>0</v>
      </c>
      <c r="P41" s="32">
        <f t="shared" si="33"/>
        <v>0</v>
      </c>
      <c r="Q41" s="32">
        <f t="shared" si="33"/>
        <v>0</v>
      </c>
      <c r="R41" s="32">
        <f t="shared" si="33"/>
        <v>0</v>
      </c>
      <c r="S41" s="32">
        <f t="shared" si="33"/>
        <v>0</v>
      </c>
      <c r="T41" s="32">
        <f t="shared" si="33"/>
        <v>0</v>
      </c>
      <c r="U41" s="32">
        <f t="shared" si="33"/>
        <v>0</v>
      </c>
      <c r="V41" s="32">
        <f t="shared" si="33"/>
        <v>0</v>
      </c>
      <c r="W41" s="32">
        <f t="shared" si="33"/>
        <v>0</v>
      </c>
      <c r="X41" s="32">
        <f t="shared" si="33"/>
        <v>0</v>
      </c>
      <c r="Y41" s="32">
        <f t="shared" si="33"/>
        <v>0</v>
      </c>
      <c r="Z41" s="32">
        <f t="shared" si="33"/>
        <v>0</v>
      </c>
      <c r="AA41" s="32">
        <f t="shared" si="33"/>
        <v>0</v>
      </c>
      <c r="AB41" s="32">
        <f t="shared" si="33"/>
        <v>0</v>
      </c>
      <c r="AC41" s="32">
        <f t="shared" si="33"/>
        <v>0</v>
      </c>
      <c r="AD41" s="32">
        <f t="shared" si="33"/>
        <v>0</v>
      </c>
      <c r="AE41" s="78"/>
      <c r="AF41" s="5"/>
      <c r="AG41" s="29"/>
      <c r="AH41" s="6"/>
      <c r="AI41" s="29"/>
      <c r="AJ41" s="29"/>
    </row>
    <row r="42" spans="1:42" ht="14.25" hidden="1" customHeight="1" x14ac:dyDescent="0.3">
      <c r="A42" s="277"/>
      <c r="B42" s="277"/>
      <c r="C42" s="32">
        <f t="shared" si="32"/>
        <v>622.80000000000007</v>
      </c>
      <c r="D42" s="32">
        <f t="shared" ref="D42:AD42" si="34">+D8*$AF8</f>
        <v>778.50000000000011</v>
      </c>
      <c r="E42" s="32">
        <f t="shared" si="34"/>
        <v>622.80000000000007</v>
      </c>
      <c r="F42" s="32">
        <f t="shared" si="34"/>
        <v>622.80000000000007</v>
      </c>
      <c r="G42" s="32">
        <f t="shared" si="34"/>
        <v>778.50000000000011</v>
      </c>
      <c r="H42" s="32">
        <f t="shared" si="34"/>
        <v>778.50000000000011</v>
      </c>
      <c r="I42" s="32">
        <f t="shared" si="34"/>
        <v>622.80000000000007</v>
      </c>
      <c r="J42" s="32">
        <f t="shared" si="34"/>
        <v>311.40000000000003</v>
      </c>
      <c r="K42" s="32">
        <f t="shared" si="34"/>
        <v>622.80000000000007</v>
      </c>
      <c r="L42" s="32">
        <f t="shared" si="34"/>
        <v>0</v>
      </c>
      <c r="M42" s="32">
        <f t="shared" si="34"/>
        <v>0</v>
      </c>
      <c r="N42" s="32">
        <f t="shared" si="34"/>
        <v>311.40000000000003</v>
      </c>
      <c r="O42" s="32">
        <f t="shared" si="34"/>
        <v>0</v>
      </c>
      <c r="P42" s="32">
        <f t="shared" si="34"/>
        <v>0</v>
      </c>
      <c r="Q42" s="32">
        <f t="shared" si="34"/>
        <v>0</v>
      </c>
      <c r="R42" s="32">
        <f t="shared" si="34"/>
        <v>0</v>
      </c>
      <c r="S42" s="32">
        <f t="shared" si="34"/>
        <v>0</v>
      </c>
      <c r="T42" s="32">
        <f t="shared" si="34"/>
        <v>0</v>
      </c>
      <c r="U42" s="32">
        <f t="shared" si="34"/>
        <v>0</v>
      </c>
      <c r="V42" s="32">
        <f t="shared" si="34"/>
        <v>0</v>
      </c>
      <c r="W42" s="32">
        <f t="shared" si="34"/>
        <v>0</v>
      </c>
      <c r="X42" s="32">
        <f t="shared" si="34"/>
        <v>0</v>
      </c>
      <c r="Y42" s="32">
        <f t="shared" si="34"/>
        <v>0</v>
      </c>
      <c r="Z42" s="32">
        <f t="shared" si="34"/>
        <v>0</v>
      </c>
      <c r="AA42" s="32">
        <f t="shared" si="34"/>
        <v>0</v>
      </c>
      <c r="AB42" s="32">
        <f t="shared" si="34"/>
        <v>0</v>
      </c>
      <c r="AC42" s="32">
        <f t="shared" si="34"/>
        <v>0</v>
      </c>
      <c r="AD42" s="32">
        <f t="shared" si="34"/>
        <v>0</v>
      </c>
      <c r="AE42" s="78"/>
      <c r="AF42" s="5"/>
      <c r="AG42" s="29"/>
      <c r="AH42" s="6"/>
      <c r="AI42" s="29"/>
      <c r="AJ42" s="29"/>
    </row>
    <row r="43" spans="1:42" ht="14.25" hidden="1" customHeight="1" x14ac:dyDescent="0.3">
      <c r="A43" s="277"/>
      <c r="B43" s="277"/>
      <c r="C43" s="32">
        <f t="shared" si="32"/>
        <v>494.40000000000003</v>
      </c>
      <c r="D43" s="32">
        <f t="shared" ref="D43:AD43" si="35">+D9*$AF9</f>
        <v>618</v>
      </c>
      <c r="E43" s="32">
        <f t="shared" si="35"/>
        <v>494.40000000000003</v>
      </c>
      <c r="F43" s="32">
        <f t="shared" si="35"/>
        <v>494.40000000000003</v>
      </c>
      <c r="G43" s="32">
        <f t="shared" si="35"/>
        <v>618</v>
      </c>
      <c r="H43" s="32">
        <f t="shared" si="35"/>
        <v>618</v>
      </c>
      <c r="I43" s="32">
        <f t="shared" si="35"/>
        <v>494.40000000000003</v>
      </c>
      <c r="J43" s="32">
        <f t="shared" si="35"/>
        <v>247.20000000000002</v>
      </c>
      <c r="K43" s="32">
        <f t="shared" si="35"/>
        <v>618</v>
      </c>
      <c r="L43" s="32">
        <f t="shared" si="35"/>
        <v>0</v>
      </c>
      <c r="M43" s="32">
        <f t="shared" si="35"/>
        <v>0</v>
      </c>
      <c r="N43" s="32">
        <f t="shared" si="35"/>
        <v>247.20000000000002</v>
      </c>
      <c r="O43" s="32">
        <f t="shared" si="35"/>
        <v>0</v>
      </c>
      <c r="P43" s="32">
        <f t="shared" si="35"/>
        <v>0</v>
      </c>
      <c r="Q43" s="32">
        <f t="shared" si="35"/>
        <v>0</v>
      </c>
      <c r="R43" s="32">
        <f t="shared" si="35"/>
        <v>0</v>
      </c>
      <c r="S43" s="32">
        <f t="shared" si="35"/>
        <v>0</v>
      </c>
      <c r="T43" s="32">
        <f t="shared" si="35"/>
        <v>0</v>
      </c>
      <c r="U43" s="32">
        <f t="shared" si="35"/>
        <v>0</v>
      </c>
      <c r="V43" s="32">
        <f t="shared" si="35"/>
        <v>0</v>
      </c>
      <c r="W43" s="32">
        <f t="shared" si="35"/>
        <v>0</v>
      </c>
      <c r="X43" s="32">
        <f t="shared" si="35"/>
        <v>0</v>
      </c>
      <c r="Y43" s="32">
        <f t="shared" si="35"/>
        <v>0</v>
      </c>
      <c r="Z43" s="32">
        <f t="shared" si="35"/>
        <v>0</v>
      </c>
      <c r="AA43" s="32">
        <f t="shared" si="35"/>
        <v>0</v>
      </c>
      <c r="AB43" s="32">
        <f t="shared" si="35"/>
        <v>0</v>
      </c>
      <c r="AC43" s="32">
        <f t="shared" si="35"/>
        <v>0</v>
      </c>
      <c r="AD43" s="32">
        <f t="shared" si="35"/>
        <v>0</v>
      </c>
      <c r="AE43" s="78"/>
      <c r="AF43" s="5"/>
      <c r="AG43" s="29"/>
      <c r="AH43" s="6"/>
      <c r="AI43" s="29"/>
      <c r="AJ43" s="29"/>
    </row>
    <row r="44" spans="1:42" ht="14.25" hidden="1" customHeight="1" x14ac:dyDescent="0.3">
      <c r="A44" s="277"/>
      <c r="B44" s="277"/>
      <c r="C44" s="32">
        <f t="shared" si="32"/>
        <v>494.40000000000003</v>
      </c>
      <c r="D44" s="32">
        <f t="shared" ref="D44:AD44" si="36">+D10*$AF10</f>
        <v>618</v>
      </c>
      <c r="E44" s="32">
        <f t="shared" si="36"/>
        <v>494.40000000000003</v>
      </c>
      <c r="F44" s="32">
        <f t="shared" si="36"/>
        <v>494.40000000000003</v>
      </c>
      <c r="G44" s="32">
        <f t="shared" si="36"/>
        <v>618</v>
      </c>
      <c r="H44" s="32">
        <f t="shared" si="36"/>
        <v>618</v>
      </c>
      <c r="I44" s="32">
        <f t="shared" si="36"/>
        <v>494.40000000000003</v>
      </c>
      <c r="J44" s="32">
        <f t="shared" si="36"/>
        <v>247.20000000000002</v>
      </c>
      <c r="K44" s="32">
        <f t="shared" si="36"/>
        <v>618</v>
      </c>
      <c r="L44" s="32">
        <f t="shared" si="36"/>
        <v>0</v>
      </c>
      <c r="M44" s="32">
        <f t="shared" si="36"/>
        <v>0</v>
      </c>
      <c r="N44" s="32">
        <f t="shared" si="36"/>
        <v>247.20000000000002</v>
      </c>
      <c r="O44" s="32">
        <f t="shared" si="36"/>
        <v>0</v>
      </c>
      <c r="P44" s="32">
        <f t="shared" si="36"/>
        <v>0</v>
      </c>
      <c r="Q44" s="32">
        <f t="shared" si="36"/>
        <v>0</v>
      </c>
      <c r="R44" s="32">
        <f t="shared" si="36"/>
        <v>0</v>
      </c>
      <c r="S44" s="32">
        <f t="shared" si="36"/>
        <v>0</v>
      </c>
      <c r="T44" s="32">
        <f t="shared" si="36"/>
        <v>0</v>
      </c>
      <c r="U44" s="32">
        <f t="shared" si="36"/>
        <v>0</v>
      </c>
      <c r="V44" s="32">
        <f t="shared" si="36"/>
        <v>0</v>
      </c>
      <c r="W44" s="32">
        <f t="shared" si="36"/>
        <v>0</v>
      </c>
      <c r="X44" s="32">
        <f t="shared" si="36"/>
        <v>0</v>
      </c>
      <c r="Y44" s="32">
        <f t="shared" si="36"/>
        <v>0</v>
      </c>
      <c r="Z44" s="32">
        <f t="shared" si="36"/>
        <v>0</v>
      </c>
      <c r="AA44" s="32">
        <f t="shared" si="36"/>
        <v>0</v>
      </c>
      <c r="AB44" s="32">
        <f t="shared" si="36"/>
        <v>0</v>
      </c>
      <c r="AC44" s="32">
        <f t="shared" si="36"/>
        <v>0</v>
      </c>
      <c r="AD44" s="32">
        <f t="shared" si="36"/>
        <v>0</v>
      </c>
      <c r="AE44" s="78"/>
      <c r="AF44" s="5"/>
      <c r="AG44" s="29"/>
      <c r="AH44" s="6"/>
      <c r="AI44" s="29"/>
      <c r="AJ44" s="29"/>
    </row>
    <row r="45" spans="1:42" ht="14.25" hidden="1" customHeight="1" x14ac:dyDescent="0.3">
      <c r="A45" s="277"/>
      <c r="B45" s="277"/>
      <c r="C45" s="32">
        <f t="shared" si="32"/>
        <v>2158.7999999999997</v>
      </c>
      <c r="D45" s="32">
        <f t="shared" ref="D45:AD45" si="37">+D11*$AF11</f>
        <v>2004.6</v>
      </c>
      <c r="E45" s="32">
        <f t="shared" si="37"/>
        <v>1696.1999999999998</v>
      </c>
      <c r="F45" s="32">
        <f t="shared" si="37"/>
        <v>1387.8</v>
      </c>
      <c r="G45" s="32">
        <f t="shared" si="37"/>
        <v>1233.5999999999999</v>
      </c>
      <c r="H45" s="32">
        <f t="shared" si="37"/>
        <v>1233.5999999999999</v>
      </c>
      <c r="I45" s="32">
        <f t="shared" si="37"/>
        <v>1233.5999999999999</v>
      </c>
      <c r="J45" s="32">
        <f t="shared" si="37"/>
        <v>1079.3999999999999</v>
      </c>
      <c r="K45" s="32">
        <f t="shared" si="37"/>
        <v>1079.3999999999999</v>
      </c>
      <c r="L45" s="32">
        <f t="shared" si="37"/>
        <v>1233.5999999999999</v>
      </c>
      <c r="M45" s="32">
        <f t="shared" si="37"/>
        <v>925.19999999999993</v>
      </c>
      <c r="N45" s="32">
        <f t="shared" si="37"/>
        <v>1387.8</v>
      </c>
      <c r="O45" s="32">
        <f t="shared" si="37"/>
        <v>1850.3999999999999</v>
      </c>
      <c r="P45" s="32">
        <f t="shared" si="37"/>
        <v>0</v>
      </c>
      <c r="Q45" s="32">
        <f t="shared" si="37"/>
        <v>1850.3999999999999</v>
      </c>
      <c r="R45" s="32">
        <f>+R11*$AF11</f>
        <v>2004.6</v>
      </c>
      <c r="S45" s="32">
        <f t="shared" si="37"/>
        <v>1850.3999999999999</v>
      </c>
      <c r="T45" s="32">
        <f t="shared" si="37"/>
        <v>1079.3999999999999</v>
      </c>
      <c r="U45" s="32">
        <f t="shared" si="37"/>
        <v>0</v>
      </c>
      <c r="V45" s="32">
        <f t="shared" si="37"/>
        <v>0</v>
      </c>
      <c r="W45" s="32">
        <f t="shared" si="37"/>
        <v>0</v>
      </c>
      <c r="X45" s="32">
        <f t="shared" si="37"/>
        <v>0</v>
      </c>
      <c r="Y45" s="32">
        <f t="shared" si="37"/>
        <v>0</v>
      </c>
      <c r="Z45" s="32">
        <f t="shared" si="37"/>
        <v>0</v>
      </c>
      <c r="AA45" s="32">
        <f t="shared" si="37"/>
        <v>0</v>
      </c>
      <c r="AB45" s="32">
        <f t="shared" si="37"/>
        <v>0</v>
      </c>
      <c r="AC45" s="32">
        <f t="shared" si="37"/>
        <v>0</v>
      </c>
      <c r="AD45" s="32">
        <f t="shared" si="37"/>
        <v>0</v>
      </c>
      <c r="AE45" s="4"/>
      <c r="AF45" s="5"/>
      <c r="AH45" s="6"/>
    </row>
    <row r="46" spans="1:42" ht="14.25" hidden="1" customHeight="1" x14ac:dyDescent="0.3">
      <c r="A46" s="277"/>
      <c r="B46" s="277"/>
      <c r="C46" s="32">
        <f t="shared" si="32"/>
        <v>2221.8000000000002</v>
      </c>
      <c r="D46" s="32">
        <f t="shared" ref="D46:AD46" si="38">+D12*$AF12</f>
        <v>1904.4</v>
      </c>
      <c r="E46" s="32">
        <f t="shared" si="38"/>
        <v>1745.7</v>
      </c>
      <c r="F46" s="32">
        <f t="shared" si="38"/>
        <v>1269.5999999999999</v>
      </c>
      <c r="G46" s="32">
        <f t="shared" si="38"/>
        <v>1269.5999999999999</v>
      </c>
      <c r="H46" s="32">
        <f t="shared" si="38"/>
        <v>1269.5999999999999</v>
      </c>
      <c r="I46" s="32">
        <f t="shared" si="38"/>
        <v>1428.3</v>
      </c>
      <c r="J46" s="32">
        <f t="shared" si="38"/>
        <v>1110.9000000000001</v>
      </c>
      <c r="K46" s="32">
        <f t="shared" si="38"/>
        <v>1110.9000000000001</v>
      </c>
      <c r="L46" s="32">
        <f t="shared" si="38"/>
        <v>1269.5999999999999</v>
      </c>
      <c r="M46" s="32">
        <f t="shared" si="38"/>
        <v>952.2</v>
      </c>
      <c r="N46" s="32">
        <f t="shared" si="38"/>
        <v>1428.3</v>
      </c>
      <c r="O46" s="32">
        <f t="shared" si="38"/>
        <v>1110.9000000000001</v>
      </c>
      <c r="P46" s="32">
        <f t="shared" si="38"/>
        <v>0</v>
      </c>
      <c r="Q46" s="32">
        <f t="shared" si="38"/>
        <v>1110.9000000000001</v>
      </c>
      <c r="R46" s="32">
        <f t="shared" si="38"/>
        <v>952.2</v>
      </c>
      <c r="S46" s="32">
        <f t="shared" si="38"/>
        <v>1269.5999999999999</v>
      </c>
      <c r="T46" s="32">
        <f t="shared" si="38"/>
        <v>793.5</v>
      </c>
      <c r="U46" s="32">
        <f t="shared" si="38"/>
        <v>0</v>
      </c>
      <c r="V46" s="32">
        <f t="shared" si="38"/>
        <v>0</v>
      </c>
      <c r="W46" s="32">
        <f t="shared" si="38"/>
        <v>0</v>
      </c>
      <c r="X46" s="32">
        <f t="shared" si="38"/>
        <v>0</v>
      </c>
      <c r="Y46" s="32">
        <f t="shared" si="38"/>
        <v>0</v>
      </c>
      <c r="Z46" s="32">
        <f t="shared" si="38"/>
        <v>0</v>
      </c>
      <c r="AA46" s="32">
        <f t="shared" si="38"/>
        <v>0</v>
      </c>
      <c r="AB46" s="32">
        <f t="shared" si="38"/>
        <v>0</v>
      </c>
      <c r="AC46" s="32">
        <f t="shared" si="38"/>
        <v>0</v>
      </c>
      <c r="AD46" s="32">
        <f t="shared" si="38"/>
        <v>0</v>
      </c>
      <c r="AE46" s="4"/>
      <c r="AF46" s="5"/>
      <c r="AG46" s="7"/>
      <c r="AH46" s="6"/>
    </row>
    <row r="47" spans="1:42" ht="14.25" hidden="1" customHeight="1" x14ac:dyDescent="0.3">
      <c r="A47" s="277"/>
      <c r="B47" s="277"/>
      <c r="C47" s="32">
        <f t="shared" si="32"/>
        <v>12936.000000000002</v>
      </c>
      <c r="D47" s="32">
        <f t="shared" ref="D47:AD47" si="39">+D13*$AF13</f>
        <v>11466</v>
      </c>
      <c r="E47" s="32">
        <f t="shared" si="39"/>
        <v>10584</v>
      </c>
      <c r="F47" s="32">
        <f t="shared" si="39"/>
        <v>9996</v>
      </c>
      <c r="G47" s="32">
        <f t="shared" si="39"/>
        <v>12348</v>
      </c>
      <c r="H47" s="32">
        <f t="shared" si="39"/>
        <v>9996</v>
      </c>
      <c r="I47" s="32">
        <f t="shared" si="39"/>
        <v>10878</v>
      </c>
      <c r="J47" s="32">
        <f t="shared" si="39"/>
        <v>6762.0000000000009</v>
      </c>
      <c r="K47" s="32">
        <f t="shared" si="39"/>
        <v>8820</v>
      </c>
      <c r="L47" s="32">
        <f t="shared" si="39"/>
        <v>9408</v>
      </c>
      <c r="M47" s="32">
        <f t="shared" si="39"/>
        <v>5880</v>
      </c>
      <c r="N47" s="32">
        <f t="shared" si="39"/>
        <v>10290</v>
      </c>
      <c r="O47" s="32">
        <f t="shared" si="39"/>
        <v>7350.0000000000009</v>
      </c>
      <c r="P47" s="32">
        <f t="shared" si="39"/>
        <v>0</v>
      </c>
      <c r="Q47" s="32">
        <f t="shared" si="39"/>
        <v>0</v>
      </c>
      <c r="R47" s="32">
        <f t="shared" si="39"/>
        <v>6762.0000000000009</v>
      </c>
      <c r="S47" s="32">
        <f t="shared" si="39"/>
        <v>8232</v>
      </c>
      <c r="T47" s="32">
        <f t="shared" si="39"/>
        <v>0</v>
      </c>
      <c r="U47" s="32">
        <f t="shared" si="39"/>
        <v>0</v>
      </c>
      <c r="V47" s="32">
        <f t="shared" si="39"/>
        <v>0</v>
      </c>
      <c r="W47" s="32">
        <f t="shared" si="39"/>
        <v>0</v>
      </c>
      <c r="X47" s="32">
        <f t="shared" si="39"/>
        <v>0</v>
      </c>
      <c r="Y47" s="32">
        <f t="shared" si="39"/>
        <v>0</v>
      </c>
      <c r="Z47" s="32">
        <f t="shared" si="39"/>
        <v>0</v>
      </c>
      <c r="AA47" s="32">
        <f t="shared" si="39"/>
        <v>0</v>
      </c>
      <c r="AB47" s="32">
        <f t="shared" si="39"/>
        <v>0</v>
      </c>
      <c r="AC47" s="32">
        <f t="shared" si="39"/>
        <v>0</v>
      </c>
      <c r="AD47" s="32">
        <f t="shared" si="39"/>
        <v>0</v>
      </c>
      <c r="AE47" s="4"/>
      <c r="AF47" s="5"/>
      <c r="AG47" s="7"/>
      <c r="AH47" s="6"/>
    </row>
    <row r="48" spans="1:42" ht="14.25" hidden="1" customHeight="1" x14ac:dyDescent="0.3">
      <c r="A48" s="277"/>
      <c r="B48" s="277"/>
      <c r="C48" s="32">
        <f t="shared" si="32"/>
        <v>7260</v>
      </c>
      <c r="D48" s="32">
        <f t="shared" ref="D48:AD48" si="40">+D14*$AF14</f>
        <v>5610</v>
      </c>
      <c r="E48" s="32">
        <f t="shared" si="40"/>
        <v>5280</v>
      </c>
      <c r="F48" s="32">
        <f t="shared" si="40"/>
        <v>5610</v>
      </c>
      <c r="G48" s="32">
        <f t="shared" si="40"/>
        <v>5940</v>
      </c>
      <c r="H48" s="32">
        <f t="shared" si="40"/>
        <v>4950</v>
      </c>
      <c r="I48" s="32">
        <f t="shared" si="40"/>
        <v>3630</v>
      </c>
      <c r="J48" s="32">
        <f t="shared" si="40"/>
        <v>1980</v>
      </c>
      <c r="K48" s="32">
        <f t="shared" si="40"/>
        <v>5280</v>
      </c>
      <c r="L48" s="32">
        <f t="shared" si="40"/>
        <v>3300</v>
      </c>
      <c r="M48" s="32">
        <f t="shared" si="40"/>
        <v>3300</v>
      </c>
      <c r="N48" s="32">
        <f t="shared" si="40"/>
        <v>5280</v>
      </c>
      <c r="O48" s="32">
        <f t="shared" si="40"/>
        <v>3960</v>
      </c>
      <c r="P48" s="32">
        <f t="shared" si="40"/>
        <v>0</v>
      </c>
      <c r="Q48" s="32">
        <f t="shared" si="40"/>
        <v>0</v>
      </c>
      <c r="R48" s="32">
        <f t="shared" si="40"/>
        <v>3300</v>
      </c>
      <c r="S48" s="32">
        <f t="shared" si="40"/>
        <v>4620</v>
      </c>
      <c r="T48" s="32">
        <f t="shared" si="40"/>
        <v>4620</v>
      </c>
      <c r="U48" s="32">
        <f t="shared" si="40"/>
        <v>0</v>
      </c>
      <c r="V48" s="32">
        <f t="shared" si="40"/>
        <v>0</v>
      </c>
      <c r="W48" s="32">
        <f t="shared" si="40"/>
        <v>0</v>
      </c>
      <c r="X48" s="32">
        <f t="shared" si="40"/>
        <v>0</v>
      </c>
      <c r="Y48" s="32">
        <f t="shared" si="40"/>
        <v>0</v>
      </c>
      <c r="Z48" s="32">
        <f t="shared" si="40"/>
        <v>0</v>
      </c>
      <c r="AA48" s="32">
        <f t="shared" si="40"/>
        <v>0</v>
      </c>
      <c r="AB48" s="32">
        <f t="shared" si="40"/>
        <v>0</v>
      </c>
      <c r="AC48" s="32">
        <f t="shared" si="40"/>
        <v>0</v>
      </c>
      <c r="AD48" s="32">
        <f t="shared" si="40"/>
        <v>0</v>
      </c>
      <c r="AJ48" s="131"/>
    </row>
    <row r="49" spans="1:36" ht="14.25" hidden="1" customHeight="1" x14ac:dyDescent="0.3">
      <c r="A49" s="277"/>
      <c r="B49" s="277"/>
      <c r="C49" s="32">
        <f t="shared" si="32"/>
        <v>0</v>
      </c>
      <c r="D49" s="32">
        <f t="shared" ref="D49:AD49" si="41">+D15*$AF15</f>
        <v>0</v>
      </c>
      <c r="E49" s="32">
        <f t="shared" si="41"/>
        <v>0</v>
      </c>
      <c r="F49" s="32">
        <f t="shared" si="41"/>
        <v>0</v>
      </c>
      <c r="G49" s="32">
        <f t="shared" si="41"/>
        <v>567</v>
      </c>
      <c r="H49" s="32">
        <f t="shared" si="41"/>
        <v>0</v>
      </c>
      <c r="I49" s="32">
        <f t="shared" si="41"/>
        <v>0</v>
      </c>
      <c r="J49" s="32">
        <f t="shared" si="41"/>
        <v>1134</v>
      </c>
      <c r="K49" s="32">
        <f t="shared" si="41"/>
        <v>567</v>
      </c>
      <c r="L49" s="32">
        <f t="shared" si="41"/>
        <v>567</v>
      </c>
      <c r="M49" s="32">
        <f t="shared" si="41"/>
        <v>0</v>
      </c>
      <c r="N49" s="32">
        <f t="shared" si="41"/>
        <v>567</v>
      </c>
      <c r="O49" s="32">
        <f t="shared" si="41"/>
        <v>567</v>
      </c>
      <c r="P49" s="32">
        <f t="shared" si="41"/>
        <v>0</v>
      </c>
      <c r="Q49" s="32">
        <f t="shared" si="41"/>
        <v>0</v>
      </c>
      <c r="R49" s="32">
        <f t="shared" si="41"/>
        <v>0</v>
      </c>
      <c r="S49" s="32">
        <f t="shared" si="41"/>
        <v>0</v>
      </c>
      <c r="T49" s="32">
        <f t="shared" si="41"/>
        <v>0</v>
      </c>
      <c r="U49" s="32">
        <f t="shared" si="41"/>
        <v>0</v>
      </c>
      <c r="V49" s="32">
        <f t="shared" si="41"/>
        <v>0</v>
      </c>
      <c r="W49" s="32">
        <f t="shared" si="41"/>
        <v>0</v>
      </c>
      <c r="X49" s="32">
        <f t="shared" si="41"/>
        <v>0</v>
      </c>
      <c r="Y49" s="32">
        <f t="shared" si="41"/>
        <v>0</v>
      </c>
      <c r="Z49" s="32">
        <f t="shared" si="41"/>
        <v>0</v>
      </c>
      <c r="AA49" s="32">
        <f t="shared" si="41"/>
        <v>0</v>
      </c>
      <c r="AB49" s="32">
        <f t="shared" si="41"/>
        <v>0</v>
      </c>
      <c r="AC49" s="32">
        <f t="shared" si="41"/>
        <v>0</v>
      </c>
      <c r="AD49" s="32">
        <f t="shared" si="41"/>
        <v>0</v>
      </c>
      <c r="AJ49" s="131"/>
    </row>
    <row r="50" spans="1:36" ht="14.25" hidden="1" customHeight="1" x14ac:dyDescent="0.3">
      <c r="A50" s="277"/>
      <c r="B50" s="277"/>
      <c r="C50" s="32">
        <f t="shared" si="32"/>
        <v>7260</v>
      </c>
      <c r="D50" s="32">
        <f t="shared" ref="D50:AD50" si="42">+D16*$AF16</f>
        <v>5940</v>
      </c>
      <c r="E50" s="32">
        <f t="shared" si="42"/>
        <v>5610</v>
      </c>
      <c r="F50" s="32">
        <f t="shared" si="42"/>
        <v>5280</v>
      </c>
      <c r="G50" s="32">
        <f t="shared" si="42"/>
        <v>5940</v>
      </c>
      <c r="H50" s="32">
        <f t="shared" si="42"/>
        <v>4950</v>
      </c>
      <c r="I50" s="32">
        <f t="shared" si="42"/>
        <v>3630</v>
      </c>
      <c r="J50" s="32">
        <f t="shared" si="42"/>
        <v>2310</v>
      </c>
      <c r="K50" s="32">
        <f t="shared" si="42"/>
        <v>5280</v>
      </c>
      <c r="L50" s="32">
        <f t="shared" si="42"/>
        <v>3300</v>
      </c>
      <c r="M50" s="32">
        <f t="shared" si="42"/>
        <v>3300</v>
      </c>
      <c r="N50" s="32">
        <f t="shared" si="42"/>
        <v>4950</v>
      </c>
      <c r="O50" s="32">
        <f t="shared" si="42"/>
        <v>3960</v>
      </c>
      <c r="P50" s="32">
        <f t="shared" si="42"/>
        <v>0</v>
      </c>
      <c r="Q50" s="32">
        <f t="shared" si="42"/>
        <v>0</v>
      </c>
      <c r="R50" s="32">
        <f t="shared" si="42"/>
        <v>3300</v>
      </c>
      <c r="S50" s="32">
        <f t="shared" si="42"/>
        <v>4620</v>
      </c>
      <c r="T50" s="32">
        <f t="shared" si="42"/>
        <v>4620</v>
      </c>
      <c r="U50" s="32">
        <f t="shared" si="42"/>
        <v>0</v>
      </c>
      <c r="V50" s="32">
        <f t="shared" si="42"/>
        <v>0</v>
      </c>
      <c r="W50" s="32">
        <f t="shared" si="42"/>
        <v>0</v>
      </c>
      <c r="X50" s="32">
        <f t="shared" si="42"/>
        <v>0</v>
      </c>
      <c r="Y50" s="32">
        <f t="shared" si="42"/>
        <v>0</v>
      </c>
      <c r="Z50" s="32">
        <f t="shared" si="42"/>
        <v>0</v>
      </c>
      <c r="AA50" s="32">
        <f t="shared" si="42"/>
        <v>0</v>
      </c>
      <c r="AB50" s="32">
        <f t="shared" si="42"/>
        <v>0</v>
      </c>
      <c r="AC50" s="32">
        <f t="shared" si="42"/>
        <v>0</v>
      </c>
      <c r="AD50" s="32">
        <f t="shared" si="42"/>
        <v>0</v>
      </c>
    </row>
    <row r="51" spans="1:36" ht="14.25" hidden="1" customHeight="1" x14ac:dyDescent="0.3">
      <c r="C51" s="32">
        <f t="shared" si="32"/>
        <v>0</v>
      </c>
      <c r="D51" s="32">
        <f t="shared" ref="D51:AD51" si="43">+D17*$AF17</f>
        <v>0</v>
      </c>
      <c r="E51" s="32">
        <f t="shared" si="43"/>
        <v>0</v>
      </c>
      <c r="F51" s="32">
        <f t="shared" si="43"/>
        <v>0</v>
      </c>
      <c r="G51" s="32">
        <f t="shared" si="43"/>
        <v>0</v>
      </c>
      <c r="H51" s="32">
        <f t="shared" si="43"/>
        <v>0</v>
      </c>
      <c r="I51" s="32">
        <f t="shared" si="43"/>
        <v>0</v>
      </c>
      <c r="J51" s="32">
        <f t="shared" si="43"/>
        <v>0</v>
      </c>
      <c r="K51" s="32">
        <f t="shared" si="43"/>
        <v>0</v>
      </c>
      <c r="L51" s="32">
        <f t="shared" si="43"/>
        <v>0</v>
      </c>
      <c r="M51" s="32">
        <f t="shared" si="43"/>
        <v>0</v>
      </c>
      <c r="N51" s="32">
        <f t="shared" si="43"/>
        <v>0</v>
      </c>
      <c r="O51" s="32">
        <f t="shared" si="43"/>
        <v>0</v>
      </c>
      <c r="P51" s="32">
        <f t="shared" si="43"/>
        <v>0</v>
      </c>
      <c r="Q51" s="32">
        <f t="shared" si="43"/>
        <v>0</v>
      </c>
      <c r="R51" s="32">
        <f t="shared" si="43"/>
        <v>0</v>
      </c>
      <c r="S51" s="32">
        <f t="shared" si="43"/>
        <v>0</v>
      </c>
      <c r="T51" s="32">
        <f t="shared" si="43"/>
        <v>0</v>
      </c>
      <c r="U51" s="32">
        <f t="shared" si="43"/>
        <v>0</v>
      </c>
      <c r="V51" s="32">
        <f t="shared" si="43"/>
        <v>0</v>
      </c>
      <c r="W51" s="32">
        <f t="shared" si="43"/>
        <v>0</v>
      </c>
      <c r="X51" s="32">
        <f t="shared" si="43"/>
        <v>0</v>
      </c>
      <c r="Y51" s="32">
        <f t="shared" si="43"/>
        <v>0</v>
      </c>
      <c r="Z51" s="32">
        <f t="shared" si="43"/>
        <v>0</v>
      </c>
      <c r="AA51" s="32">
        <f t="shared" si="43"/>
        <v>0</v>
      </c>
      <c r="AB51" s="32">
        <f t="shared" si="43"/>
        <v>0</v>
      </c>
      <c r="AC51" s="32">
        <f t="shared" si="43"/>
        <v>0</v>
      </c>
      <c r="AD51" s="32">
        <f t="shared" si="43"/>
        <v>0</v>
      </c>
    </row>
    <row r="52" spans="1:36" ht="14.25" hidden="1" customHeight="1" x14ac:dyDescent="0.3">
      <c r="A52" s="277"/>
      <c r="B52" s="277"/>
      <c r="C52" s="32">
        <f t="shared" si="32"/>
        <v>0</v>
      </c>
      <c r="D52" s="32">
        <f t="shared" ref="D52:AD52" si="44">+D18*$AF18</f>
        <v>0</v>
      </c>
      <c r="E52" s="32">
        <f t="shared" si="44"/>
        <v>0</v>
      </c>
      <c r="F52" s="32">
        <f t="shared" si="44"/>
        <v>0</v>
      </c>
      <c r="G52" s="32">
        <f t="shared" si="44"/>
        <v>660.6</v>
      </c>
      <c r="H52" s="32">
        <f t="shared" si="44"/>
        <v>0</v>
      </c>
      <c r="I52" s="32">
        <f t="shared" si="44"/>
        <v>330.3</v>
      </c>
      <c r="J52" s="32">
        <f t="shared" si="44"/>
        <v>660.6</v>
      </c>
      <c r="K52" s="32">
        <f t="shared" si="44"/>
        <v>660.6</v>
      </c>
      <c r="L52" s="32">
        <f t="shared" si="44"/>
        <v>660.6</v>
      </c>
      <c r="M52" s="32">
        <f t="shared" si="44"/>
        <v>0</v>
      </c>
      <c r="N52" s="32">
        <f t="shared" si="44"/>
        <v>660.6</v>
      </c>
      <c r="O52" s="32">
        <f t="shared" si="44"/>
        <v>660.6</v>
      </c>
      <c r="P52" s="32">
        <f t="shared" si="44"/>
        <v>0</v>
      </c>
      <c r="Q52" s="32">
        <f t="shared" si="44"/>
        <v>0</v>
      </c>
      <c r="R52" s="32">
        <f t="shared" si="44"/>
        <v>0</v>
      </c>
      <c r="S52" s="32">
        <f t="shared" si="44"/>
        <v>0</v>
      </c>
      <c r="T52" s="32">
        <f t="shared" si="44"/>
        <v>0</v>
      </c>
      <c r="U52" s="32">
        <f t="shared" si="44"/>
        <v>0</v>
      </c>
      <c r="V52" s="32">
        <f t="shared" si="44"/>
        <v>0</v>
      </c>
      <c r="W52" s="32">
        <f t="shared" si="44"/>
        <v>0</v>
      </c>
      <c r="X52" s="32">
        <f t="shared" si="44"/>
        <v>0</v>
      </c>
      <c r="Y52" s="32">
        <f t="shared" si="44"/>
        <v>0</v>
      </c>
      <c r="Z52" s="32">
        <f t="shared" si="44"/>
        <v>0</v>
      </c>
      <c r="AA52" s="32">
        <f t="shared" si="44"/>
        <v>0</v>
      </c>
      <c r="AB52" s="32">
        <f t="shared" si="44"/>
        <v>0</v>
      </c>
      <c r="AC52" s="32">
        <f t="shared" si="44"/>
        <v>0</v>
      </c>
      <c r="AD52" s="32">
        <f t="shared" si="44"/>
        <v>0</v>
      </c>
    </row>
    <row r="53" spans="1:36" ht="14.25" hidden="1" customHeight="1" x14ac:dyDescent="0.3">
      <c r="C53" s="32">
        <f t="shared" si="32"/>
        <v>0</v>
      </c>
      <c r="D53" s="32">
        <f t="shared" ref="D53:AD53" si="45">+D19*$AF19</f>
        <v>0</v>
      </c>
      <c r="E53" s="32">
        <f t="shared" si="45"/>
        <v>0</v>
      </c>
      <c r="F53" s="32">
        <f t="shared" si="45"/>
        <v>0</v>
      </c>
      <c r="G53" s="32">
        <f t="shared" si="45"/>
        <v>0</v>
      </c>
      <c r="H53" s="32">
        <f t="shared" si="45"/>
        <v>0</v>
      </c>
      <c r="I53" s="32">
        <f t="shared" si="45"/>
        <v>0</v>
      </c>
      <c r="J53" s="32">
        <f t="shared" si="45"/>
        <v>0</v>
      </c>
      <c r="K53" s="32">
        <f t="shared" si="45"/>
        <v>0</v>
      </c>
      <c r="L53" s="32">
        <f t="shared" si="45"/>
        <v>0</v>
      </c>
      <c r="M53" s="32">
        <f t="shared" si="45"/>
        <v>0</v>
      </c>
      <c r="N53" s="32">
        <f t="shared" si="45"/>
        <v>0</v>
      </c>
      <c r="O53" s="32">
        <f t="shared" si="45"/>
        <v>0</v>
      </c>
      <c r="P53" s="32">
        <f t="shared" si="45"/>
        <v>0</v>
      </c>
      <c r="Q53" s="32">
        <f t="shared" si="45"/>
        <v>0</v>
      </c>
      <c r="R53" s="32">
        <f t="shared" si="45"/>
        <v>0</v>
      </c>
      <c r="S53" s="32">
        <f t="shared" si="45"/>
        <v>0</v>
      </c>
      <c r="T53" s="32">
        <f t="shared" si="45"/>
        <v>0</v>
      </c>
      <c r="U53" s="32">
        <f t="shared" si="45"/>
        <v>0</v>
      </c>
      <c r="V53" s="32">
        <f t="shared" si="45"/>
        <v>0</v>
      </c>
      <c r="W53" s="32">
        <f t="shared" si="45"/>
        <v>0</v>
      </c>
      <c r="X53" s="32">
        <f t="shared" si="45"/>
        <v>0</v>
      </c>
      <c r="Y53" s="32">
        <f t="shared" si="45"/>
        <v>0</v>
      </c>
      <c r="Z53" s="32">
        <f t="shared" si="45"/>
        <v>0</v>
      </c>
      <c r="AA53" s="32">
        <f t="shared" si="45"/>
        <v>0</v>
      </c>
      <c r="AB53" s="32">
        <f t="shared" si="45"/>
        <v>0</v>
      </c>
      <c r="AC53" s="32">
        <f t="shared" si="45"/>
        <v>0</v>
      </c>
      <c r="AD53" s="32">
        <f t="shared" si="45"/>
        <v>0</v>
      </c>
    </row>
    <row r="54" spans="1:36" ht="14.25" hidden="1" customHeight="1" x14ac:dyDescent="0.3">
      <c r="C54" s="32">
        <f t="shared" si="32"/>
        <v>0</v>
      </c>
      <c r="D54" s="32">
        <f t="shared" ref="D54:AD54" si="46">+D20*$AF20</f>
        <v>0</v>
      </c>
      <c r="E54" s="32">
        <f t="shared" si="46"/>
        <v>0</v>
      </c>
      <c r="F54" s="32">
        <f t="shared" si="46"/>
        <v>0</v>
      </c>
      <c r="G54" s="32">
        <f t="shared" si="46"/>
        <v>660.6</v>
      </c>
      <c r="H54" s="32">
        <f t="shared" si="46"/>
        <v>0</v>
      </c>
      <c r="I54" s="32">
        <f t="shared" si="46"/>
        <v>0</v>
      </c>
      <c r="J54" s="32">
        <f t="shared" si="46"/>
        <v>990.9</v>
      </c>
      <c r="K54" s="32">
        <f t="shared" si="46"/>
        <v>660.6</v>
      </c>
      <c r="L54" s="32">
        <f t="shared" si="46"/>
        <v>660.6</v>
      </c>
      <c r="M54" s="32">
        <f t="shared" si="46"/>
        <v>0</v>
      </c>
      <c r="N54" s="32">
        <f t="shared" si="46"/>
        <v>660.6</v>
      </c>
      <c r="O54" s="32">
        <f t="shared" si="46"/>
        <v>660.6</v>
      </c>
      <c r="P54" s="32">
        <f t="shared" si="46"/>
        <v>0</v>
      </c>
      <c r="Q54" s="32">
        <f t="shared" si="46"/>
        <v>0</v>
      </c>
      <c r="R54" s="32">
        <f t="shared" si="46"/>
        <v>0</v>
      </c>
      <c r="S54" s="32">
        <f t="shared" si="46"/>
        <v>0</v>
      </c>
      <c r="T54" s="32">
        <f t="shared" si="46"/>
        <v>0</v>
      </c>
      <c r="U54" s="32">
        <f t="shared" si="46"/>
        <v>0</v>
      </c>
      <c r="V54" s="32">
        <f t="shared" si="46"/>
        <v>0</v>
      </c>
      <c r="W54" s="32">
        <f t="shared" si="46"/>
        <v>0</v>
      </c>
      <c r="X54" s="32">
        <f t="shared" si="46"/>
        <v>0</v>
      </c>
      <c r="Y54" s="32">
        <f t="shared" si="46"/>
        <v>0</v>
      </c>
      <c r="Z54" s="32">
        <f t="shared" si="46"/>
        <v>0</v>
      </c>
      <c r="AA54" s="32">
        <f t="shared" si="46"/>
        <v>0</v>
      </c>
      <c r="AB54" s="32">
        <f t="shared" si="46"/>
        <v>0</v>
      </c>
      <c r="AC54" s="32">
        <f t="shared" si="46"/>
        <v>0</v>
      </c>
      <c r="AD54" s="32">
        <f t="shared" si="46"/>
        <v>0</v>
      </c>
    </row>
    <row r="55" spans="1:36" ht="14.25" hidden="1" customHeight="1" x14ac:dyDescent="0.3">
      <c r="C55" s="32">
        <f t="shared" si="32"/>
        <v>0</v>
      </c>
      <c r="D55" s="32">
        <f t="shared" ref="D55:AD55" si="47">+D21*$AF21</f>
        <v>0</v>
      </c>
      <c r="E55" s="32">
        <f t="shared" si="47"/>
        <v>0</v>
      </c>
      <c r="F55" s="32">
        <f t="shared" si="47"/>
        <v>0</v>
      </c>
      <c r="G55" s="32">
        <f t="shared" si="47"/>
        <v>583.80000000000007</v>
      </c>
      <c r="H55" s="32">
        <f t="shared" si="47"/>
        <v>0</v>
      </c>
      <c r="I55" s="32">
        <f t="shared" si="47"/>
        <v>0</v>
      </c>
      <c r="J55" s="32">
        <f t="shared" si="47"/>
        <v>875.7</v>
      </c>
      <c r="K55" s="32">
        <f t="shared" si="47"/>
        <v>583.80000000000007</v>
      </c>
      <c r="L55" s="32">
        <f t="shared" si="47"/>
        <v>583.80000000000007</v>
      </c>
      <c r="M55" s="32">
        <f t="shared" si="47"/>
        <v>0</v>
      </c>
      <c r="N55" s="32">
        <f t="shared" si="47"/>
        <v>583.80000000000007</v>
      </c>
      <c r="O55" s="32">
        <f t="shared" si="47"/>
        <v>583.80000000000007</v>
      </c>
      <c r="P55" s="32">
        <f t="shared" si="47"/>
        <v>0</v>
      </c>
      <c r="Q55" s="32">
        <f t="shared" si="47"/>
        <v>0</v>
      </c>
      <c r="R55" s="32">
        <f t="shared" si="47"/>
        <v>0</v>
      </c>
      <c r="S55" s="32">
        <f t="shared" si="47"/>
        <v>0</v>
      </c>
      <c r="T55" s="32">
        <f t="shared" si="47"/>
        <v>0</v>
      </c>
      <c r="U55" s="32">
        <f t="shared" si="47"/>
        <v>0</v>
      </c>
      <c r="V55" s="32">
        <f t="shared" si="47"/>
        <v>0</v>
      </c>
      <c r="W55" s="32">
        <f t="shared" si="47"/>
        <v>0</v>
      </c>
      <c r="X55" s="32">
        <f t="shared" si="47"/>
        <v>0</v>
      </c>
      <c r="Y55" s="32">
        <f t="shared" si="47"/>
        <v>0</v>
      </c>
      <c r="Z55" s="32">
        <f t="shared" si="47"/>
        <v>0</v>
      </c>
      <c r="AA55" s="32">
        <f t="shared" si="47"/>
        <v>0</v>
      </c>
      <c r="AB55" s="32">
        <f t="shared" si="47"/>
        <v>0</v>
      </c>
      <c r="AC55" s="32">
        <f t="shared" si="47"/>
        <v>0</v>
      </c>
      <c r="AD55" s="32">
        <f t="shared" si="47"/>
        <v>0</v>
      </c>
    </row>
    <row r="56" spans="1:36" ht="14.25" hidden="1" customHeight="1" x14ac:dyDescent="0.3">
      <c r="C56" s="32">
        <f t="shared" si="32"/>
        <v>1982.3999999999999</v>
      </c>
      <c r="D56" s="32">
        <f t="shared" ref="D56:AD56" si="48">+D22*$AF22</f>
        <v>1840.8</v>
      </c>
      <c r="E56" s="32">
        <f t="shared" si="48"/>
        <v>1416</v>
      </c>
      <c r="F56" s="32">
        <f t="shared" si="48"/>
        <v>1274.3999999999999</v>
      </c>
      <c r="G56" s="32">
        <f t="shared" si="48"/>
        <v>1132.8</v>
      </c>
      <c r="H56" s="32">
        <f t="shared" si="48"/>
        <v>1132.8</v>
      </c>
      <c r="I56" s="32">
        <f t="shared" si="48"/>
        <v>1274.3999999999999</v>
      </c>
      <c r="J56" s="32">
        <f t="shared" si="48"/>
        <v>849.59999999999991</v>
      </c>
      <c r="K56" s="32">
        <f t="shared" si="48"/>
        <v>991.19999999999993</v>
      </c>
      <c r="L56" s="32">
        <f t="shared" si="48"/>
        <v>1274.3999999999999</v>
      </c>
      <c r="M56" s="32">
        <f t="shared" si="48"/>
        <v>849.59999999999991</v>
      </c>
      <c r="N56" s="32">
        <f t="shared" si="48"/>
        <v>1274.3999999999999</v>
      </c>
      <c r="O56" s="32">
        <f t="shared" si="48"/>
        <v>849.59999999999991</v>
      </c>
      <c r="P56" s="32">
        <f t="shared" si="48"/>
        <v>0</v>
      </c>
      <c r="Q56" s="32">
        <f t="shared" si="48"/>
        <v>991.19999999999993</v>
      </c>
      <c r="R56" s="32">
        <f t="shared" si="48"/>
        <v>991.19999999999993</v>
      </c>
      <c r="S56" s="32">
        <f t="shared" si="48"/>
        <v>1274.3999999999999</v>
      </c>
      <c r="T56" s="32">
        <f t="shared" si="48"/>
        <v>566.4</v>
      </c>
      <c r="U56" s="32">
        <f t="shared" si="48"/>
        <v>0</v>
      </c>
      <c r="V56" s="32">
        <f t="shared" si="48"/>
        <v>0</v>
      </c>
      <c r="W56" s="32">
        <f t="shared" si="48"/>
        <v>0</v>
      </c>
      <c r="X56" s="32">
        <f t="shared" si="48"/>
        <v>0</v>
      </c>
      <c r="Y56" s="32">
        <f t="shared" si="48"/>
        <v>0</v>
      </c>
      <c r="Z56" s="32">
        <f t="shared" si="48"/>
        <v>0</v>
      </c>
      <c r="AA56" s="32">
        <f t="shared" si="48"/>
        <v>0</v>
      </c>
      <c r="AB56" s="32">
        <f t="shared" si="48"/>
        <v>0</v>
      </c>
      <c r="AC56" s="32">
        <f t="shared" si="48"/>
        <v>0</v>
      </c>
      <c r="AD56" s="32">
        <f t="shared" si="48"/>
        <v>0</v>
      </c>
    </row>
    <row r="57" spans="1:36" ht="14.25" hidden="1" customHeight="1" x14ac:dyDescent="0.3">
      <c r="C57" s="32">
        <f t="shared" si="32"/>
        <v>1986.6000000000001</v>
      </c>
      <c r="D57" s="32">
        <f t="shared" ref="D57:AD57" si="49">+D23*$AF23</f>
        <v>1844.7000000000003</v>
      </c>
      <c r="E57" s="32">
        <f t="shared" si="49"/>
        <v>1560.9</v>
      </c>
      <c r="F57" s="32">
        <f t="shared" si="49"/>
        <v>1135.2</v>
      </c>
      <c r="G57" s="32">
        <f t="shared" si="49"/>
        <v>1135.2</v>
      </c>
      <c r="H57" s="32">
        <f t="shared" si="49"/>
        <v>1135.2</v>
      </c>
      <c r="I57" s="32">
        <f t="shared" si="49"/>
        <v>1277.1000000000001</v>
      </c>
      <c r="J57" s="32">
        <f t="shared" si="49"/>
        <v>851.40000000000009</v>
      </c>
      <c r="K57" s="32">
        <f t="shared" si="49"/>
        <v>993.30000000000007</v>
      </c>
      <c r="L57" s="32">
        <f t="shared" si="49"/>
        <v>1277.1000000000001</v>
      </c>
      <c r="M57" s="32">
        <f t="shared" si="49"/>
        <v>851.40000000000009</v>
      </c>
      <c r="N57" s="32">
        <f t="shared" si="49"/>
        <v>1277.1000000000001</v>
      </c>
      <c r="O57" s="32">
        <f t="shared" si="49"/>
        <v>851.40000000000009</v>
      </c>
      <c r="P57" s="32">
        <f t="shared" si="49"/>
        <v>0</v>
      </c>
      <c r="Q57" s="32">
        <f t="shared" si="49"/>
        <v>993.30000000000007</v>
      </c>
      <c r="R57" s="32">
        <f t="shared" si="49"/>
        <v>993.30000000000007</v>
      </c>
      <c r="S57" s="32">
        <f t="shared" si="49"/>
        <v>1277.1000000000001</v>
      </c>
      <c r="T57" s="32">
        <f t="shared" si="49"/>
        <v>993.30000000000007</v>
      </c>
      <c r="U57" s="32">
        <f t="shared" si="49"/>
        <v>0</v>
      </c>
      <c r="V57" s="32">
        <f t="shared" si="49"/>
        <v>0</v>
      </c>
      <c r="W57" s="32">
        <f t="shared" si="49"/>
        <v>0</v>
      </c>
      <c r="X57" s="32">
        <f t="shared" si="49"/>
        <v>0</v>
      </c>
      <c r="Y57" s="32">
        <f t="shared" si="49"/>
        <v>0</v>
      </c>
      <c r="Z57" s="32">
        <f t="shared" si="49"/>
        <v>0</v>
      </c>
      <c r="AA57" s="32">
        <f t="shared" si="49"/>
        <v>0</v>
      </c>
      <c r="AB57" s="32">
        <f t="shared" si="49"/>
        <v>0</v>
      </c>
      <c r="AC57" s="32">
        <f t="shared" si="49"/>
        <v>0</v>
      </c>
      <c r="AD57" s="32">
        <f t="shared" si="49"/>
        <v>0</v>
      </c>
    </row>
    <row r="58" spans="1:36" ht="14.25" hidden="1" customHeight="1" x14ac:dyDescent="0.3">
      <c r="C58" s="32">
        <f t="shared" si="32"/>
        <v>0</v>
      </c>
      <c r="D58" s="32">
        <f t="shared" ref="D58:AD58" si="50">+D24*$AF24</f>
        <v>0</v>
      </c>
      <c r="E58" s="32">
        <f t="shared" si="50"/>
        <v>0</v>
      </c>
      <c r="F58" s="32">
        <f t="shared" si="50"/>
        <v>509.40000000000003</v>
      </c>
      <c r="G58" s="32">
        <f t="shared" si="50"/>
        <v>0</v>
      </c>
      <c r="H58" s="32">
        <f t="shared" si="50"/>
        <v>0</v>
      </c>
      <c r="I58" s="32">
        <f t="shared" si="50"/>
        <v>0</v>
      </c>
      <c r="J58" s="32">
        <f t="shared" si="50"/>
        <v>0</v>
      </c>
      <c r="K58" s="32">
        <f t="shared" si="50"/>
        <v>0</v>
      </c>
      <c r="L58" s="32">
        <f t="shared" si="50"/>
        <v>0</v>
      </c>
      <c r="M58" s="32">
        <f t="shared" si="50"/>
        <v>0</v>
      </c>
      <c r="N58" s="32">
        <f t="shared" si="50"/>
        <v>509.40000000000003</v>
      </c>
      <c r="O58" s="32">
        <f t="shared" si="50"/>
        <v>0</v>
      </c>
      <c r="P58" s="32">
        <f t="shared" si="50"/>
        <v>0</v>
      </c>
      <c r="Q58" s="32">
        <f t="shared" si="50"/>
        <v>509.40000000000003</v>
      </c>
      <c r="R58" s="32">
        <f t="shared" si="50"/>
        <v>0</v>
      </c>
      <c r="S58" s="32">
        <f t="shared" si="50"/>
        <v>0</v>
      </c>
      <c r="T58" s="32">
        <f t="shared" si="50"/>
        <v>0</v>
      </c>
      <c r="U58" s="32">
        <f t="shared" si="50"/>
        <v>0</v>
      </c>
      <c r="V58" s="32">
        <f t="shared" si="50"/>
        <v>0</v>
      </c>
      <c r="W58" s="32">
        <f t="shared" si="50"/>
        <v>0</v>
      </c>
      <c r="X58" s="32">
        <f t="shared" si="50"/>
        <v>0</v>
      </c>
      <c r="Y58" s="32">
        <f t="shared" si="50"/>
        <v>0</v>
      </c>
      <c r="Z58" s="32">
        <f t="shared" si="50"/>
        <v>0</v>
      </c>
      <c r="AA58" s="32">
        <f t="shared" si="50"/>
        <v>0</v>
      </c>
      <c r="AB58" s="32">
        <f t="shared" si="50"/>
        <v>0</v>
      </c>
      <c r="AC58" s="32">
        <f t="shared" si="50"/>
        <v>0</v>
      </c>
      <c r="AD58" s="32">
        <f t="shared" si="50"/>
        <v>0</v>
      </c>
    </row>
    <row r="59" spans="1:36" ht="14.25" hidden="1" customHeight="1" x14ac:dyDescent="0.3">
      <c r="C59" s="32">
        <f t="shared" si="32"/>
        <v>0</v>
      </c>
      <c r="D59" s="32">
        <f t="shared" ref="D59:AD59" si="51">+D25*$AF25</f>
        <v>0</v>
      </c>
      <c r="E59" s="32">
        <f t="shared" si="51"/>
        <v>0</v>
      </c>
      <c r="F59" s="32">
        <f t="shared" si="51"/>
        <v>509.40000000000003</v>
      </c>
      <c r="G59" s="32">
        <f t="shared" si="51"/>
        <v>0</v>
      </c>
      <c r="H59" s="32">
        <f t="shared" si="51"/>
        <v>0</v>
      </c>
      <c r="I59" s="32">
        <f t="shared" si="51"/>
        <v>0</v>
      </c>
      <c r="J59" s="32">
        <f t="shared" si="51"/>
        <v>0</v>
      </c>
      <c r="K59" s="32">
        <f t="shared" si="51"/>
        <v>254.70000000000002</v>
      </c>
      <c r="L59" s="32">
        <f t="shared" si="51"/>
        <v>254.70000000000002</v>
      </c>
      <c r="M59" s="32">
        <f t="shared" si="51"/>
        <v>0</v>
      </c>
      <c r="N59" s="32">
        <f t="shared" si="51"/>
        <v>254.70000000000002</v>
      </c>
      <c r="O59" s="32">
        <f t="shared" si="51"/>
        <v>254.70000000000002</v>
      </c>
      <c r="P59" s="32">
        <f t="shared" si="51"/>
        <v>0</v>
      </c>
      <c r="Q59" s="32">
        <f t="shared" si="51"/>
        <v>0</v>
      </c>
      <c r="R59" s="32">
        <f t="shared" si="51"/>
        <v>0</v>
      </c>
      <c r="S59" s="32">
        <f t="shared" si="51"/>
        <v>0</v>
      </c>
      <c r="T59" s="32">
        <f t="shared" si="51"/>
        <v>0</v>
      </c>
      <c r="U59" s="32">
        <f t="shared" si="51"/>
        <v>0</v>
      </c>
      <c r="V59" s="32">
        <f t="shared" si="51"/>
        <v>0</v>
      </c>
      <c r="W59" s="32">
        <f t="shared" si="51"/>
        <v>0</v>
      </c>
      <c r="X59" s="32">
        <f t="shared" si="51"/>
        <v>0</v>
      </c>
      <c r="Y59" s="32">
        <f t="shared" si="51"/>
        <v>0</v>
      </c>
      <c r="Z59" s="32">
        <f t="shared" si="51"/>
        <v>0</v>
      </c>
      <c r="AA59" s="32">
        <f t="shared" si="51"/>
        <v>0</v>
      </c>
      <c r="AB59" s="32">
        <f t="shared" si="51"/>
        <v>0</v>
      </c>
      <c r="AC59" s="32">
        <f t="shared" si="51"/>
        <v>0</v>
      </c>
      <c r="AD59" s="32">
        <f t="shared" si="51"/>
        <v>0</v>
      </c>
    </row>
    <row r="60" spans="1:36" ht="14.25" hidden="1" customHeight="1" x14ac:dyDescent="0.3">
      <c r="C60" s="32">
        <f t="shared" si="32"/>
        <v>0</v>
      </c>
      <c r="D60" s="32">
        <f t="shared" ref="D60:AD60" si="52">+D26*$AF26</f>
        <v>0</v>
      </c>
      <c r="E60" s="32">
        <f t="shared" si="52"/>
        <v>0</v>
      </c>
      <c r="F60" s="32">
        <f t="shared" si="52"/>
        <v>0</v>
      </c>
      <c r="G60" s="32">
        <f t="shared" si="52"/>
        <v>0</v>
      </c>
      <c r="H60" s="32">
        <f t="shared" si="52"/>
        <v>0</v>
      </c>
      <c r="I60" s="32">
        <f t="shared" si="52"/>
        <v>0</v>
      </c>
      <c r="J60" s="32">
        <f t="shared" si="52"/>
        <v>0</v>
      </c>
      <c r="K60" s="32">
        <f t="shared" si="52"/>
        <v>0</v>
      </c>
      <c r="L60" s="32">
        <f t="shared" si="52"/>
        <v>0</v>
      </c>
      <c r="M60" s="32">
        <f t="shared" si="52"/>
        <v>0</v>
      </c>
      <c r="N60" s="32">
        <f t="shared" si="52"/>
        <v>0</v>
      </c>
      <c r="O60" s="32">
        <f t="shared" si="52"/>
        <v>233.1</v>
      </c>
      <c r="P60" s="32">
        <f t="shared" si="52"/>
        <v>0</v>
      </c>
      <c r="Q60" s="32">
        <f t="shared" si="52"/>
        <v>0</v>
      </c>
      <c r="R60" s="32">
        <f t="shared" si="52"/>
        <v>0</v>
      </c>
      <c r="S60" s="32">
        <f t="shared" si="52"/>
        <v>0</v>
      </c>
      <c r="T60" s="32">
        <f t="shared" si="52"/>
        <v>0</v>
      </c>
      <c r="U60" s="32">
        <f t="shared" si="52"/>
        <v>0</v>
      </c>
      <c r="V60" s="32">
        <f t="shared" si="52"/>
        <v>0</v>
      </c>
      <c r="W60" s="32">
        <f t="shared" si="52"/>
        <v>0</v>
      </c>
      <c r="X60" s="32">
        <f t="shared" si="52"/>
        <v>0</v>
      </c>
      <c r="Y60" s="32">
        <f t="shared" si="52"/>
        <v>0</v>
      </c>
      <c r="Z60" s="32">
        <f t="shared" si="52"/>
        <v>0</v>
      </c>
      <c r="AA60" s="32">
        <f t="shared" si="52"/>
        <v>0</v>
      </c>
      <c r="AB60" s="32">
        <f t="shared" si="52"/>
        <v>0</v>
      </c>
      <c r="AC60" s="32">
        <f t="shared" si="52"/>
        <v>0</v>
      </c>
      <c r="AD60" s="32">
        <f t="shared" si="52"/>
        <v>0</v>
      </c>
    </row>
    <row r="61" spans="1:36" ht="14.25" hidden="1" customHeight="1" x14ac:dyDescent="0.3">
      <c r="C61" s="32">
        <f t="shared" si="32"/>
        <v>0</v>
      </c>
      <c r="D61" s="32">
        <f t="shared" ref="D61:AD61" si="53">+D27*$AF27</f>
        <v>0</v>
      </c>
      <c r="E61" s="32">
        <f t="shared" si="53"/>
        <v>0</v>
      </c>
      <c r="F61" s="32">
        <f t="shared" si="53"/>
        <v>0</v>
      </c>
      <c r="G61" s="32">
        <f t="shared" si="53"/>
        <v>0</v>
      </c>
      <c r="H61" s="32">
        <f t="shared" si="53"/>
        <v>0</v>
      </c>
      <c r="I61" s="32">
        <f t="shared" si="53"/>
        <v>0</v>
      </c>
      <c r="J61" s="32">
        <f t="shared" si="53"/>
        <v>0</v>
      </c>
      <c r="K61" s="32">
        <f t="shared" si="53"/>
        <v>411.81</v>
      </c>
      <c r="L61" s="32">
        <f t="shared" si="53"/>
        <v>0</v>
      </c>
      <c r="M61" s="32">
        <f t="shared" si="53"/>
        <v>0</v>
      </c>
      <c r="N61" s="32">
        <f t="shared" si="53"/>
        <v>0</v>
      </c>
      <c r="O61" s="32">
        <f t="shared" si="53"/>
        <v>0</v>
      </c>
      <c r="P61" s="32">
        <f t="shared" si="53"/>
        <v>0</v>
      </c>
      <c r="Q61" s="32">
        <f t="shared" si="53"/>
        <v>233.1</v>
      </c>
      <c r="R61" s="32">
        <f t="shared" si="53"/>
        <v>0</v>
      </c>
      <c r="S61" s="32">
        <f t="shared" si="53"/>
        <v>0</v>
      </c>
      <c r="T61" s="32">
        <f t="shared" si="53"/>
        <v>0</v>
      </c>
      <c r="U61" s="32">
        <f t="shared" si="53"/>
        <v>0</v>
      </c>
      <c r="V61" s="32">
        <f t="shared" si="53"/>
        <v>0</v>
      </c>
      <c r="W61" s="32">
        <f t="shared" si="53"/>
        <v>0</v>
      </c>
      <c r="X61" s="32">
        <f t="shared" si="53"/>
        <v>0</v>
      </c>
      <c r="Y61" s="32">
        <f t="shared" si="53"/>
        <v>0</v>
      </c>
      <c r="Z61" s="32">
        <f t="shared" si="53"/>
        <v>0</v>
      </c>
      <c r="AA61" s="32">
        <f t="shared" si="53"/>
        <v>0</v>
      </c>
      <c r="AB61" s="32">
        <f t="shared" si="53"/>
        <v>0</v>
      </c>
      <c r="AC61" s="32">
        <f t="shared" si="53"/>
        <v>0</v>
      </c>
      <c r="AD61" s="32">
        <f t="shared" si="53"/>
        <v>0</v>
      </c>
    </row>
    <row r="62" spans="1:36" ht="14.25" hidden="1" customHeight="1" x14ac:dyDescent="0.3">
      <c r="C62" s="32">
        <f t="shared" si="32"/>
        <v>0</v>
      </c>
      <c r="D62" s="32">
        <f t="shared" ref="D62:AD62" si="54">+D28*$AF28</f>
        <v>0</v>
      </c>
      <c r="E62" s="32">
        <f t="shared" si="54"/>
        <v>0</v>
      </c>
      <c r="F62" s="32">
        <f t="shared" si="54"/>
        <v>0</v>
      </c>
      <c r="G62" s="32">
        <f t="shared" si="54"/>
        <v>0</v>
      </c>
      <c r="H62" s="32">
        <f t="shared" si="54"/>
        <v>0</v>
      </c>
      <c r="I62" s="32">
        <f t="shared" si="54"/>
        <v>0</v>
      </c>
      <c r="J62" s="32">
        <f t="shared" si="54"/>
        <v>0</v>
      </c>
      <c r="K62" s="32">
        <f t="shared" si="54"/>
        <v>335.7</v>
      </c>
      <c r="L62" s="32">
        <f t="shared" si="54"/>
        <v>0</v>
      </c>
      <c r="M62" s="32">
        <f t="shared" si="54"/>
        <v>0</v>
      </c>
      <c r="N62" s="32">
        <f t="shared" si="54"/>
        <v>671.4</v>
      </c>
      <c r="O62" s="32">
        <f t="shared" si="54"/>
        <v>0</v>
      </c>
      <c r="P62" s="32">
        <f t="shared" si="54"/>
        <v>0</v>
      </c>
      <c r="Q62" s="32">
        <f t="shared" si="54"/>
        <v>0</v>
      </c>
      <c r="R62" s="32">
        <f t="shared" si="54"/>
        <v>0</v>
      </c>
      <c r="S62" s="32">
        <f t="shared" si="54"/>
        <v>0</v>
      </c>
      <c r="T62" s="32">
        <f t="shared" si="54"/>
        <v>335.7</v>
      </c>
      <c r="U62" s="32">
        <f t="shared" si="54"/>
        <v>0</v>
      </c>
      <c r="V62" s="32">
        <f t="shared" si="54"/>
        <v>0</v>
      </c>
      <c r="W62" s="32">
        <f t="shared" si="54"/>
        <v>0</v>
      </c>
      <c r="X62" s="32">
        <f t="shared" si="54"/>
        <v>0</v>
      </c>
      <c r="Y62" s="32">
        <f t="shared" si="54"/>
        <v>0</v>
      </c>
      <c r="Z62" s="32">
        <f t="shared" si="54"/>
        <v>0</v>
      </c>
      <c r="AA62" s="32">
        <f t="shared" si="54"/>
        <v>0</v>
      </c>
      <c r="AB62" s="32">
        <f t="shared" si="54"/>
        <v>0</v>
      </c>
      <c r="AC62" s="32">
        <f t="shared" si="54"/>
        <v>0</v>
      </c>
      <c r="AD62" s="32">
        <f t="shared" si="54"/>
        <v>0</v>
      </c>
    </row>
    <row r="63" spans="1:36" ht="14.25" hidden="1" customHeight="1" x14ac:dyDescent="0.3">
      <c r="C63" s="32">
        <f t="shared" si="32"/>
        <v>0</v>
      </c>
      <c r="D63" s="32">
        <f t="shared" ref="D63:AD63" si="55">+D29*$AF29</f>
        <v>0</v>
      </c>
      <c r="E63" s="32">
        <f t="shared" si="55"/>
        <v>0</v>
      </c>
      <c r="F63" s="32">
        <f t="shared" si="55"/>
        <v>0</v>
      </c>
      <c r="G63" s="32">
        <f t="shared" si="55"/>
        <v>0</v>
      </c>
      <c r="H63" s="32">
        <f t="shared" si="55"/>
        <v>0</v>
      </c>
      <c r="I63" s="32">
        <f t="shared" si="55"/>
        <v>0</v>
      </c>
      <c r="J63" s="32">
        <f t="shared" si="55"/>
        <v>0</v>
      </c>
      <c r="K63" s="32">
        <f t="shared" si="55"/>
        <v>335.7</v>
      </c>
      <c r="L63" s="32">
        <f t="shared" si="55"/>
        <v>0</v>
      </c>
      <c r="M63" s="32">
        <f t="shared" si="55"/>
        <v>0</v>
      </c>
      <c r="N63" s="32">
        <f t="shared" si="55"/>
        <v>671.4</v>
      </c>
      <c r="O63" s="32">
        <f t="shared" si="55"/>
        <v>0</v>
      </c>
      <c r="P63" s="32">
        <f t="shared" si="55"/>
        <v>0</v>
      </c>
      <c r="Q63" s="32">
        <f t="shared" si="55"/>
        <v>0</v>
      </c>
      <c r="R63" s="32">
        <f t="shared" si="55"/>
        <v>0</v>
      </c>
      <c r="S63" s="32">
        <f t="shared" si="55"/>
        <v>0</v>
      </c>
      <c r="T63" s="32">
        <f t="shared" si="55"/>
        <v>335.7</v>
      </c>
      <c r="U63" s="32">
        <f t="shared" si="55"/>
        <v>0</v>
      </c>
      <c r="V63" s="32">
        <f t="shared" si="55"/>
        <v>0</v>
      </c>
      <c r="W63" s="32">
        <f t="shared" si="55"/>
        <v>0</v>
      </c>
      <c r="X63" s="32">
        <f t="shared" si="55"/>
        <v>0</v>
      </c>
      <c r="Y63" s="32">
        <f t="shared" si="55"/>
        <v>0</v>
      </c>
      <c r="Z63" s="32">
        <f t="shared" si="55"/>
        <v>0</v>
      </c>
      <c r="AA63" s="32">
        <f t="shared" si="55"/>
        <v>0</v>
      </c>
      <c r="AB63" s="32">
        <f t="shared" si="55"/>
        <v>0</v>
      </c>
      <c r="AC63" s="32">
        <f t="shared" si="55"/>
        <v>0</v>
      </c>
      <c r="AD63" s="32">
        <f t="shared" si="55"/>
        <v>0</v>
      </c>
    </row>
    <row r="64" spans="1:36" ht="14.25" hidden="1" customHeight="1" x14ac:dyDescent="0.3">
      <c r="C64" s="32">
        <f t="shared" si="32"/>
        <v>452.70000000000005</v>
      </c>
      <c r="D64" s="32">
        <f t="shared" ref="D64:AD64" si="56">+D30*$AF30</f>
        <v>452.70000000000005</v>
      </c>
      <c r="E64" s="32">
        <f t="shared" si="56"/>
        <v>754.5</v>
      </c>
      <c r="F64" s="32">
        <f t="shared" si="56"/>
        <v>754.5</v>
      </c>
      <c r="G64" s="32">
        <f t="shared" si="56"/>
        <v>1056.3</v>
      </c>
      <c r="H64" s="32">
        <f t="shared" si="56"/>
        <v>603.6</v>
      </c>
      <c r="I64" s="32">
        <f t="shared" si="56"/>
        <v>754.5</v>
      </c>
      <c r="J64" s="32">
        <f t="shared" si="56"/>
        <v>603.6</v>
      </c>
      <c r="K64" s="32">
        <f t="shared" si="56"/>
        <v>754.5</v>
      </c>
      <c r="L64" s="32">
        <f t="shared" si="56"/>
        <v>905.40000000000009</v>
      </c>
      <c r="M64" s="32">
        <f t="shared" si="56"/>
        <v>603.6</v>
      </c>
      <c r="N64" s="32">
        <f t="shared" si="56"/>
        <v>603.6</v>
      </c>
      <c r="O64" s="32">
        <f t="shared" si="56"/>
        <v>905.40000000000009</v>
      </c>
      <c r="P64" s="32">
        <f t="shared" si="56"/>
        <v>0</v>
      </c>
      <c r="Q64" s="32">
        <f t="shared" si="56"/>
        <v>0</v>
      </c>
      <c r="R64" s="32">
        <f t="shared" si="56"/>
        <v>0</v>
      </c>
      <c r="S64" s="32">
        <f t="shared" si="56"/>
        <v>603.6</v>
      </c>
      <c r="T64" s="32">
        <f t="shared" si="56"/>
        <v>0</v>
      </c>
      <c r="U64" s="32">
        <f t="shared" si="56"/>
        <v>0</v>
      </c>
      <c r="V64" s="32">
        <f t="shared" si="56"/>
        <v>0</v>
      </c>
      <c r="W64" s="32">
        <f t="shared" si="56"/>
        <v>0</v>
      </c>
      <c r="X64" s="32">
        <f t="shared" si="56"/>
        <v>0</v>
      </c>
      <c r="Y64" s="32">
        <f t="shared" si="56"/>
        <v>0</v>
      </c>
      <c r="Z64" s="32">
        <f t="shared" si="56"/>
        <v>0</v>
      </c>
      <c r="AA64" s="32">
        <f t="shared" si="56"/>
        <v>0</v>
      </c>
      <c r="AB64" s="32">
        <f t="shared" si="56"/>
        <v>0</v>
      </c>
      <c r="AC64" s="32">
        <f t="shared" si="56"/>
        <v>0</v>
      </c>
      <c r="AD64" s="32">
        <f t="shared" si="56"/>
        <v>0</v>
      </c>
    </row>
    <row r="65" spans="1:36" ht="14.25" hidden="1" customHeight="1" x14ac:dyDescent="0.3">
      <c r="C65" s="32">
        <f t="shared" si="32"/>
        <v>463.50000000000006</v>
      </c>
      <c r="D65" s="32">
        <f t="shared" ref="D65:AD65" si="57">+D31*$AF31</f>
        <v>463.50000000000006</v>
      </c>
      <c r="E65" s="32">
        <f t="shared" si="57"/>
        <v>772.5</v>
      </c>
      <c r="F65" s="32">
        <f t="shared" si="57"/>
        <v>772.5</v>
      </c>
      <c r="G65" s="32">
        <f t="shared" si="57"/>
        <v>1081.5</v>
      </c>
      <c r="H65" s="32">
        <f t="shared" si="57"/>
        <v>618</v>
      </c>
      <c r="I65" s="32">
        <f t="shared" si="57"/>
        <v>772.5</v>
      </c>
      <c r="J65" s="32">
        <f t="shared" si="57"/>
        <v>618</v>
      </c>
      <c r="K65" s="32">
        <f t="shared" si="57"/>
        <v>772.5</v>
      </c>
      <c r="L65" s="32">
        <f t="shared" si="57"/>
        <v>927.00000000000011</v>
      </c>
      <c r="M65" s="32">
        <f t="shared" si="57"/>
        <v>618</v>
      </c>
      <c r="N65" s="32">
        <f t="shared" si="57"/>
        <v>618</v>
      </c>
      <c r="O65" s="32">
        <f t="shared" si="57"/>
        <v>927.00000000000011</v>
      </c>
      <c r="P65" s="32">
        <f t="shared" si="57"/>
        <v>0</v>
      </c>
      <c r="Q65" s="32">
        <f t="shared" si="57"/>
        <v>0</v>
      </c>
      <c r="R65" s="32">
        <f t="shared" si="57"/>
        <v>0</v>
      </c>
      <c r="S65" s="32">
        <f t="shared" si="57"/>
        <v>618</v>
      </c>
      <c r="T65" s="32">
        <f t="shared" si="57"/>
        <v>0</v>
      </c>
      <c r="U65" s="32">
        <f t="shared" si="57"/>
        <v>0</v>
      </c>
      <c r="V65" s="32">
        <f t="shared" si="57"/>
        <v>0</v>
      </c>
      <c r="W65" s="32">
        <f t="shared" si="57"/>
        <v>0</v>
      </c>
      <c r="X65" s="32">
        <f t="shared" si="57"/>
        <v>0</v>
      </c>
      <c r="Y65" s="32">
        <f t="shared" si="57"/>
        <v>0</v>
      </c>
      <c r="Z65" s="32">
        <f t="shared" si="57"/>
        <v>0</v>
      </c>
      <c r="AA65" s="32">
        <f t="shared" si="57"/>
        <v>0</v>
      </c>
      <c r="AB65" s="32">
        <f t="shared" si="57"/>
        <v>0</v>
      </c>
      <c r="AC65" s="32">
        <f t="shared" si="57"/>
        <v>0</v>
      </c>
      <c r="AD65" s="32">
        <f t="shared" si="57"/>
        <v>0</v>
      </c>
    </row>
    <row r="66" spans="1:36" ht="14.25" hidden="1" customHeight="1" x14ac:dyDescent="0.3">
      <c r="C66" s="32">
        <f t="shared" si="32"/>
        <v>475.20000000000005</v>
      </c>
      <c r="D66" s="32">
        <f t="shared" ref="D66:AD66" si="58">+D32*$AF32</f>
        <v>475.20000000000005</v>
      </c>
      <c r="E66" s="32">
        <f t="shared" si="58"/>
        <v>792</v>
      </c>
      <c r="F66" s="32">
        <f t="shared" si="58"/>
        <v>792</v>
      </c>
      <c r="G66" s="32">
        <f t="shared" si="58"/>
        <v>1108.8</v>
      </c>
      <c r="H66" s="32">
        <f t="shared" si="58"/>
        <v>633.6</v>
      </c>
      <c r="I66" s="32">
        <f t="shared" si="58"/>
        <v>792</v>
      </c>
      <c r="J66" s="32">
        <f t="shared" si="58"/>
        <v>633.6</v>
      </c>
      <c r="K66" s="32">
        <f t="shared" si="58"/>
        <v>792</v>
      </c>
      <c r="L66" s="32">
        <f t="shared" si="58"/>
        <v>950.40000000000009</v>
      </c>
      <c r="M66" s="32">
        <f t="shared" si="58"/>
        <v>633.6</v>
      </c>
      <c r="N66" s="32">
        <f t="shared" si="58"/>
        <v>633.6</v>
      </c>
      <c r="O66" s="32">
        <f t="shared" si="58"/>
        <v>950.40000000000009</v>
      </c>
      <c r="P66" s="32">
        <f t="shared" si="58"/>
        <v>0</v>
      </c>
      <c r="Q66" s="32">
        <f t="shared" si="58"/>
        <v>0</v>
      </c>
      <c r="R66" s="32">
        <f t="shared" si="58"/>
        <v>0</v>
      </c>
      <c r="S66" s="32">
        <f t="shared" si="58"/>
        <v>633.6</v>
      </c>
      <c r="T66" s="32">
        <f t="shared" si="58"/>
        <v>0</v>
      </c>
      <c r="U66" s="32">
        <f t="shared" si="58"/>
        <v>0</v>
      </c>
      <c r="V66" s="32">
        <f t="shared" si="58"/>
        <v>0</v>
      </c>
      <c r="W66" s="32">
        <f t="shared" si="58"/>
        <v>0</v>
      </c>
      <c r="X66" s="32">
        <f t="shared" si="58"/>
        <v>0</v>
      </c>
      <c r="Y66" s="32">
        <f t="shared" si="58"/>
        <v>0</v>
      </c>
      <c r="Z66" s="32">
        <f t="shared" si="58"/>
        <v>0</v>
      </c>
      <c r="AA66" s="32">
        <f t="shared" si="58"/>
        <v>0</v>
      </c>
      <c r="AB66" s="32">
        <f t="shared" si="58"/>
        <v>0</v>
      </c>
      <c r="AC66" s="32">
        <f t="shared" si="58"/>
        <v>0</v>
      </c>
      <c r="AD66" s="32">
        <f t="shared" si="58"/>
        <v>0</v>
      </c>
    </row>
    <row r="67" spans="1:36" ht="14.25" hidden="1" customHeight="1" x14ac:dyDescent="0.3">
      <c r="C67" s="32">
        <f t="shared" si="32"/>
        <v>465.3</v>
      </c>
      <c r="D67" s="32">
        <f t="shared" ref="D67:AD67" si="59">+D33*$AF33</f>
        <v>465.3</v>
      </c>
      <c r="E67" s="32">
        <f t="shared" si="59"/>
        <v>775.5</v>
      </c>
      <c r="F67" s="32">
        <f t="shared" si="59"/>
        <v>775.5</v>
      </c>
      <c r="G67" s="32">
        <f t="shared" si="59"/>
        <v>1085.7</v>
      </c>
      <c r="H67" s="32">
        <f t="shared" si="59"/>
        <v>620.4</v>
      </c>
      <c r="I67" s="32">
        <f t="shared" si="59"/>
        <v>775.5</v>
      </c>
      <c r="J67" s="32">
        <f t="shared" si="59"/>
        <v>620.4</v>
      </c>
      <c r="K67" s="32">
        <f t="shared" si="59"/>
        <v>775.5</v>
      </c>
      <c r="L67" s="32">
        <f t="shared" si="59"/>
        <v>930.6</v>
      </c>
      <c r="M67" s="32">
        <f t="shared" si="59"/>
        <v>620.4</v>
      </c>
      <c r="N67" s="32">
        <f t="shared" si="59"/>
        <v>620.4</v>
      </c>
      <c r="O67" s="32">
        <f t="shared" si="59"/>
        <v>930.6</v>
      </c>
      <c r="P67" s="32">
        <f t="shared" si="59"/>
        <v>0</v>
      </c>
      <c r="Q67" s="32">
        <f t="shared" si="59"/>
        <v>0</v>
      </c>
      <c r="R67" s="32">
        <f t="shared" si="59"/>
        <v>0</v>
      </c>
      <c r="S67" s="32">
        <f t="shared" si="59"/>
        <v>620.4</v>
      </c>
      <c r="T67" s="32">
        <f t="shared" si="59"/>
        <v>0</v>
      </c>
      <c r="U67" s="32">
        <f t="shared" si="59"/>
        <v>0</v>
      </c>
      <c r="V67" s="32">
        <f t="shared" si="59"/>
        <v>0</v>
      </c>
      <c r="W67" s="32">
        <f t="shared" si="59"/>
        <v>0</v>
      </c>
      <c r="X67" s="32">
        <f t="shared" si="59"/>
        <v>0</v>
      </c>
      <c r="Y67" s="32">
        <f t="shared" si="59"/>
        <v>0</v>
      </c>
      <c r="Z67" s="32">
        <f t="shared" si="59"/>
        <v>0</v>
      </c>
      <c r="AA67" s="32">
        <f t="shared" si="59"/>
        <v>0</v>
      </c>
      <c r="AB67" s="32">
        <f t="shared" si="59"/>
        <v>0</v>
      </c>
      <c r="AC67" s="32">
        <f t="shared" si="59"/>
        <v>0</v>
      </c>
      <c r="AD67" s="32">
        <f t="shared" si="59"/>
        <v>0</v>
      </c>
    </row>
    <row r="68" spans="1:36" ht="14.25" hidden="1" customHeight="1" x14ac:dyDescent="0.3">
      <c r="C68" s="32">
        <f t="shared" si="32"/>
        <v>0</v>
      </c>
      <c r="D68" s="32">
        <f t="shared" ref="D68:AD68" si="60">+D34*$AF34</f>
        <v>0</v>
      </c>
      <c r="E68" s="32">
        <f t="shared" si="60"/>
        <v>0</v>
      </c>
      <c r="F68" s="32">
        <f t="shared" si="60"/>
        <v>0</v>
      </c>
      <c r="G68" s="32">
        <f t="shared" si="60"/>
        <v>0</v>
      </c>
      <c r="H68" s="32">
        <f t="shared" si="60"/>
        <v>0</v>
      </c>
      <c r="I68" s="32">
        <f t="shared" si="60"/>
        <v>0</v>
      </c>
      <c r="J68" s="32">
        <f t="shared" si="60"/>
        <v>0</v>
      </c>
      <c r="K68" s="32">
        <f t="shared" si="60"/>
        <v>0</v>
      </c>
      <c r="L68" s="32">
        <f t="shared" si="60"/>
        <v>0</v>
      </c>
      <c r="M68" s="32">
        <f t="shared" si="60"/>
        <v>0</v>
      </c>
      <c r="N68" s="32">
        <f t="shared" si="60"/>
        <v>0</v>
      </c>
      <c r="O68" s="32">
        <f t="shared" si="60"/>
        <v>0</v>
      </c>
      <c r="P68" s="32">
        <f t="shared" si="60"/>
        <v>0</v>
      </c>
      <c r="Q68" s="32">
        <f t="shared" si="60"/>
        <v>0</v>
      </c>
      <c r="R68" s="32">
        <f t="shared" si="60"/>
        <v>0</v>
      </c>
      <c r="S68" s="32">
        <f t="shared" si="60"/>
        <v>0</v>
      </c>
      <c r="T68" s="32">
        <f t="shared" si="60"/>
        <v>0</v>
      </c>
      <c r="U68" s="32">
        <f t="shared" si="60"/>
        <v>0</v>
      </c>
      <c r="V68" s="32">
        <f t="shared" si="60"/>
        <v>0</v>
      </c>
      <c r="W68" s="32">
        <f t="shared" si="60"/>
        <v>0</v>
      </c>
      <c r="X68" s="32">
        <f t="shared" si="60"/>
        <v>0</v>
      </c>
      <c r="Y68" s="32">
        <f t="shared" si="60"/>
        <v>0</v>
      </c>
      <c r="Z68" s="32">
        <f t="shared" si="60"/>
        <v>0</v>
      </c>
      <c r="AA68" s="32">
        <f t="shared" si="60"/>
        <v>0</v>
      </c>
      <c r="AB68" s="32">
        <f t="shared" si="60"/>
        <v>0</v>
      </c>
      <c r="AC68" s="32">
        <f t="shared" si="60"/>
        <v>0</v>
      </c>
      <c r="AD68" s="32">
        <f t="shared" si="60"/>
        <v>0</v>
      </c>
    </row>
    <row r="69" spans="1:36" ht="14.25" hidden="1" customHeight="1" x14ac:dyDescent="0.3">
      <c r="C69" s="32">
        <f t="shared" si="32"/>
        <v>0</v>
      </c>
      <c r="D69" s="32">
        <f t="shared" ref="D69:AD69" si="61">+D35*$AF35</f>
        <v>0</v>
      </c>
      <c r="E69" s="32">
        <f t="shared" si="61"/>
        <v>0</v>
      </c>
      <c r="F69" s="32">
        <f t="shared" si="61"/>
        <v>0</v>
      </c>
      <c r="G69" s="32">
        <f t="shared" si="61"/>
        <v>0</v>
      </c>
      <c r="H69" s="32">
        <f t="shared" si="61"/>
        <v>0</v>
      </c>
      <c r="I69" s="32">
        <f t="shared" si="61"/>
        <v>0</v>
      </c>
      <c r="J69" s="32">
        <f t="shared" si="61"/>
        <v>0</v>
      </c>
      <c r="K69" s="32">
        <f t="shared" si="61"/>
        <v>0</v>
      </c>
      <c r="L69" s="32">
        <f t="shared" si="61"/>
        <v>0</v>
      </c>
      <c r="M69" s="32">
        <f t="shared" si="61"/>
        <v>0</v>
      </c>
      <c r="N69" s="32">
        <f t="shared" si="61"/>
        <v>0</v>
      </c>
      <c r="O69" s="32">
        <f t="shared" si="61"/>
        <v>0</v>
      </c>
      <c r="P69" s="32">
        <f t="shared" si="61"/>
        <v>0</v>
      </c>
      <c r="Q69" s="32">
        <f t="shared" si="61"/>
        <v>0</v>
      </c>
      <c r="R69" s="32">
        <f t="shared" si="61"/>
        <v>0</v>
      </c>
      <c r="S69" s="32">
        <f t="shared" si="61"/>
        <v>0</v>
      </c>
      <c r="T69" s="32">
        <f t="shared" si="61"/>
        <v>0</v>
      </c>
      <c r="U69" s="32">
        <f t="shared" si="61"/>
        <v>0</v>
      </c>
      <c r="V69" s="32">
        <f t="shared" si="61"/>
        <v>0</v>
      </c>
      <c r="W69" s="32">
        <f t="shared" si="61"/>
        <v>0</v>
      </c>
      <c r="X69" s="32">
        <f t="shared" si="61"/>
        <v>0</v>
      </c>
      <c r="Y69" s="32">
        <f t="shared" si="61"/>
        <v>0</v>
      </c>
      <c r="Z69" s="32">
        <f t="shared" si="61"/>
        <v>0</v>
      </c>
      <c r="AA69" s="32">
        <f t="shared" si="61"/>
        <v>0</v>
      </c>
      <c r="AB69" s="32">
        <f t="shared" si="61"/>
        <v>0</v>
      </c>
      <c r="AC69" s="32">
        <f t="shared" si="61"/>
        <v>0</v>
      </c>
      <c r="AD69" s="32">
        <f t="shared" si="61"/>
        <v>0</v>
      </c>
    </row>
    <row r="70" spans="1:36" ht="14.25" hidden="1" customHeight="1" x14ac:dyDescent="0.3">
      <c r="C70" s="32">
        <f t="shared" si="32"/>
        <v>0</v>
      </c>
      <c r="D70" s="32">
        <f t="shared" ref="D70:AD70" si="62">+D36*$AF36</f>
        <v>0</v>
      </c>
      <c r="E70" s="32">
        <f t="shared" si="62"/>
        <v>685.8</v>
      </c>
      <c r="F70" s="32">
        <f t="shared" si="62"/>
        <v>342.9</v>
      </c>
      <c r="G70" s="32">
        <f t="shared" si="62"/>
        <v>342.9</v>
      </c>
      <c r="H70" s="32">
        <f t="shared" si="62"/>
        <v>685.8</v>
      </c>
      <c r="I70" s="32">
        <f t="shared" si="62"/>
        <v>0</v>
      </c>
      <c r="J70" s="32">
        <f t="shared" si="62"/>
        <v>685.8</v>
      </c>
      <c r="K70" s="32">
        <f t="shared" si="62"/>
        <v>1028.7</v>
      </c>
      <c r="L70" s="32">
        <f t="shared" si="62"/>
        <v>0</v>
      </c>
      <c r="M70" s="32">
        <f t="shared" si="62"/>
        <v>0</v>
      </c>
      <c r="N70" s="32">
        <f t="shared" si="62"/>
        <v>0</v>
      </c>
      <c r="O70" s="32">
        <f t="shared" si="62"/>
        <v>0</v>
      </c>
      <c r="P70" s="32">
        <f t="shared" si="62"/>
        <v>1371.6</v>
      </c>
      <c r="Q70" s="32">
        <f t="shared" si="62"/>
        <v>0</v>
      </c>
      <c r="R70" s="32">
        <f t="shared" si="62"/>
        <v>0</v>
      </c>
      <c r="S70" s="32">
        <f t="shared" si="62"/>
        <v>0</v>
      </c>
      <c r="T70" s="32">
        <f t="shared" si="62"/>
        <v>0</v>
      </c>
      <c r="U70" s="32">
        <f t="shared" si="62"/>
        <v>0</v>
      </c>
      <c r="V70" s="32">
        <f t="shared" si="62"/>
        <v>0</v>
      </c>
      <c r="W70" s="32">
        <f t="shared" si="62"/>
        <v>0</v>
      </c>
      <c r="X70" s="32">
        <f t="shared" si="62"/>
        <v>0</v>
      </c>
      <c r="Y70" s="32">
        <f t="shared" si="62"/>
        <v>0</v>
      </c>
      <c r="Z70" s="32">
        <f t="shared" si="62"/>
        <v>0</v>
      </c>
      <c r="AA70" s="32">
        <f t="shared" si="62"/>
        <v>0</v>
      </c>
      <c r="AB70" s="32">
        <f t="shared" si="62"/>
        <v>0</v>
      </c>
      <c r="AC70" s="32">
        <f t="shared" si="62"/>
        <v>0</v>
      </c>
      <c r="AD70" s="32">
        <f t="shared" si="62"/>
        <v>0</v>
      </c>
    </row>
    <row r="71" spans="1:36" ht="14.25" hidden="1" customHeight="1" x14ac:dyDescent="0.3">
      <c r="C71" s="32">
        <f t="shared" si="32"/>
        <v>0</v>
      </c>
      <c r="D71" s="32">
        <f t="shared" ref="D71:AD71" si="63">+D37*$AF37</f>
        <v>0</v>
      </c>
      <c r="E71" s="32">
        <f t="shared" si="63"/>
        <v>685.8</v>
      </c>
      <c r="F71" s="32">
        <f>+F37*$AF37</f>
        <v>342.9</v>
      </c>
      <c r="G71" s="32">
        <f t="shared" si="63"/>
        <v>342.9</v>
      </c>
      <c r="H71" s="32">
        <f t="shared" si="63"/>
        <v>685.8</v>
      </c>
      <c r="I71" s="32">
        <f t="shared" si="63"/>
        <v>0</v>
      </c>
      <c r="J71" s="32">
        <f t="shared" si="63"/>
        <v>685.8</v>
      </c>
      <c r="K71" s="32">
        <f t="shared" si="63"/>
        <v>1028.7</v>
      </c>
      <c r="L71" s="32">
        <f t="shared" si="63"/>
        <v>0</v>
      </c>
      <c r="M71" s="32">
        <f t="shared" si="63"/>
        <v>0</v>
      </c>
      <c r="N71" s="32">
        <f t="shared" si="63"/>
        <v>0</v>
      </c>
      <c r="O71" s="32">
        <f t="shared" si="63"/>
        <v>0</v>
      </c>
      <c r="P71" s="32">
        <f t="shared" si="63"/>
        <v>1371.6</v>
      </c>
      <c r="Q71" s="32">
        <f t="shared" si="63"/>
        <v>0</v>
      </c>
      <c r="R71" s="32">
        <f t="shared" si="63"/>
        <v>0</v>
      </c>
      <c r="S71" s="32">
        <f t="shared" si="63"/>
        <v>0</v>
      </c>
      <c r="T71" s="32">
        <f t="shared" si="63"/>
        <v>0</v>
      </c>
      <c r="U71" s="32">
        <f t="shared" si="63"/>
        <v>0</v>
      </c>
      <c r="V71" s="32">
        <f t="shared" si="63"/>
        <v>0</v>
      </c>
      <c r="W71" s="32">
        <f t="shared" si="63"/>
        <v>0</v>
      </c>
      <c r="X71" s="32">
        <f t="shared" si="63"/>
        <v>0</v>
      </c>
      <c r="Y71" s="32">
        <f t="shared" si="63"/>
        <v>0</v>
      </c>
      <c r="Z71" s="32">
        <f t="shared" si="63"/>
        <v>0</v>
      </c>
      <c r="AA71" s="32">
        <f t="shared" si="63"/>
        <v>0</v>
      </c>
      <c r="AB71" s="32">
        <f t="shared" si="63"/>
        <v>0</v>
      </c>
      <c r="AC71" s="32">
        <f t="shared" si="63"/>
        <v>0</v>
      </c>
      <c r="AD71" s="32">
        <f t="shared" si="63"/>
        <v>0</v>
      </c>
    </row>
    <row r="72" spans="1:36" ht="14.25" hidden="1" customHeight="1" x14ac:dyDescent="0.3">
      <c r="C72" s="32">
        <f t="shared" si="32"/>
        <v>0</v>
      </c>
      <c r="D72" s="32">
        <f t="shared" ref="D72:AD72" si="64">+D38*$AF38</f>
        <v>0</v>
      </c>
      <c r="E72" s="32">
        <f t="shared" si="64"/>
        <v>0</v>
      </c>
      <c r="F72" s="32">
        <f t="shared" si="64"/>
        <v>384.9</v>
      </c>
      <c r="G72" s="32">
        <f t="shared" si="64"/>
        <v>0</v>
      </c>
      <c r="H72" s="32">
        <f t="shared" si="64"/>
        <v>0</v>
      </c>
      <c r="I72" s="32">
        <f t="shared" si="64"/>
        <v>769.8</v>
      </c>
      <c r="J72" s="32">
        <f t="shared" si="64"/>
        <v>769.8</v>
      </c>
      <c r="K72" s="32">
        <f t="shared" si="64"/>
        <v>0</v>
      </c>
      <c r="L72" s="32">
        <f t="shared" si="64"/>
        <v>384.9</v>
      </c>
      <c r="M72" s="32">
        <f t="shared" si="64"/>
        <v>0</v>
      </c>
      <c r="N72" s="32">
        <f t="shared" si="64"/>
        <v>0</v>
      </c>
      <c r="O72" s="32">
        <f t="shared" si="64"/>
        <v>0</v>
      </c>
      <c r="P72" s="32">
        <f t="shared" si="64"/>
        <v>0</v>
      </c>
      <c r="Q72" s="32">
        <f t="shared" si="64"/>
        <v>0</v>
      </c>
      <c r="R72" s="32">
        <f t="shared" si="64"/>
        <v>0</v>
      </c>
      <c r="S72" s="32">
        <f t="shared" si="64"/>
        <v>0</v>
      </c>
      <c r="T72" s="32">
        <f t="shared" si="64"/>
        <v>0</v>
      </c>
      <c r="U72" s="32">
        <f t="shared" si="64"/>
        <v>0</v>
      </c>
      <c r="V72" s="32">
        <f t="shared" si="64"/>
        <v>0</v>
      </c>
      <c r="W72" s="32">
        <f t="shared" si="64"/>
        <v>0</v>
      </c>
      <c r="X72" s="32">
        <f t="shared" si="64"/>
        <v>0</v>
      </c>
      <c r="Y72" s="32">
        <f t="shared" si="64"/>
        <v>0</v>
      </c>
      <c r="Z72" s="32">
        <f t="shared" si="64"/>
        <v>0</v>
      </c>
      <c r="AA72" s="32">
        <f t="shared" si="64"/>
        <v>0</v>
      </c>
      <c r="AB72" s="32">
        <f t="shared" si="64"/>
        <v>0</v>
      </c>
      <c r="AC72" s="32">
        <f t="shared" si="64"/>
        <v>0</v>
      </c>
      <c r="AD72" s="32">
        <f t="shared" si="64"/>
        <v>0</v>
      </c>
    </row>
    <row r="73" spans="1:36" ht="14.25" hidden="1" customHeight="1" x14ac:dyDescent="0.3">
      <c r="C73" s="32">
        <f t="shared" si="32"/>
        <v>0</v>
      </c>
      <c r="D73" s="32">
        <f t="shared" ref="D73:AD73" si="65">+D39*$AF39</f>
        <v>0</v>
      </c>
      <c r="E73" s="32">
        <f t="shared" si="65"/>
        <v>0</v>
      </c>
      <c r="F73" s="32">
        <f t="shared" si="65"/>
        <v>384.9</v>
      </c>
      <c r="G73" s="32">
        <f t="shared" si="65"/>
        <v>0</v>
      </c>
      <c r="H73" s="32">
        <f t="shared" si="65"/>
        <v>0</v>
      </c>
      <c r="I73" s="32">
        <f t="shared" si="65"/>
        <v>769.8</v>
      </c>
      <c r="J73" s="32">
        <f t="shared" si="65"/>
        <v>769.8</v>
      </c>
      <c r="K73" s="32">
        <f t="shared" si="65"/>
        <v>0</v>
      </c>
      <c r="L73" s="32">
        <f t="shared" si="65"/>
        <v>384.9</v>
      </c>
      <c r="M73" s="32">
        <f t="shared" si="65"/>
        <v>0</v>
      </c>
      <c r="N73" s="32">
        <f t="shared" si="65"/>
        <v>0</v>
      </c>
      <c r="O73" s="32">
        <f t="shared" si="65"/>
        <v>0</v>
      </c>
      <c r="P73" s="32">
        <f t="shared" si="65"/>
        <v>0</v>
      </c>
      <c r="Q73" s="32">
        <f t="shared" si="65"/>
        <v>0</v>
      </c>
      <c r="R73" s="32">
        <f t="shared" si="65"/>
        <v>0</v>
      </c>
      <c r="S73" s="32">
        <f t="shared" si="65"/>
        <v>0</v>
      </c>
      <c r="T73" s="32">
        <f t="shared" si="65"/>
        <v>0</v>
      </c>
      <c r="U73" s="32">
        <f t="shared" si="65"/>
        <v>0</v>
      </c>
      <c r="V73" s="32">
        <f t="shared" si="65"/>
        <v>0</v>
      </c>
      <c r="W73" s="32">
        <f t="shared" si="65"/>
        <v>0</v>
      </c>
      <c r="X73" s="32">
        <f t="shared" si="65"/>
        <v>0</v>
      </c>
      <c r="Y73" s="32">
        <f t="shared" si="65"/>
        <v>0</v>
      </c>
      <c r="Z73" s="32">
        <f t="shared" si="65"/>
        <v>0</v>
      </c>
      <c r="AA73" s="32">
        <f t="shared" si="65"/>
        <v>0</v>
      </c>
      <c r="AB73" s="32">
        <f t="shared" si="65"/>
        <v>0</v>
      </c>
      <c r="AC73" s="32">
        <f t="shared" si="65"/>
        <v>0</v>
      </c>
      <c r="AD73" s="32">
        <f t="shared" si="65"/>
        <v>0</v>
      </c>
    </row>
    <row r="74" spans="1:36" ht="14.25" customHeight="1" x14ac:dyDescent="0.3">
      <c r="C74" s="74">
        <f t="shared" ref="C74:AD74" si="66">SUM(C41:C73)</f>
        <v>39896.699999999997</v>
      </c>
      <c r="D74" s="74">
        <f t="shared" si="66"/>
        <v>35260.199999999997</v>
      </c>
      <c r="E74" s="74">
        <f t="shared" si="66"/>
        <v>34593.300000000003</v>
      </c>
      <c r="F74" s="74">
        <f t="shared" si="66"/>
        <v>33756.30000000001</v>
      </c>
      <c r="G74" s="74">
        <f t="shared" si="66"/>
        <v>39282.300000000003</v>
      </c>
      <c r="H74" s="74">
        <f t="shared" si="66"/>
        <v>31307.399999999998</v>
      </c>
      <c r="I74" s="74">
        <f t="shared" si="66"/>
        <v>30550.199999999997</v>
      </c>
      <c r="J74" s="74">
        <f t="shared" si="66"/>
        <v>25108.499999999996</v>
      </c>
      <c r="K74" s="74">
        <f t="shared" si="66"/>
        <v>34998.209999999992</v>
      </c>
      <c r="L74" s="74">
        <f t="shared" si="66"/>
        <v>28272.600000000002</v>
      </c>
      <c r="M74" s="74">
        <f t="shared" si="66"/>
        <v>18534</v>
      </c>
      <c r="N74" s="74">
        <f t="shared" si="66"/>
        <v>34059.300000000003</v>
      </c>
      <c r="O74" s="74">
        <f t="shared" si="66"/>
        <v>26605.5</v>
      </c>
      <c r="P74" s="74">
        <f t="shared" si="66"/>
        <v>2743.2</v>
      </c>
      <c r="Q74" s="74">
        <f t="shared" si="66"/>
        <v>5688.3</v>
      </c>
      <c r="R74" s="74">
        <f t="shared" si="66"/>
        <v>18303.3</v>
      </c>
      <c r="S74" s="74">
        <f t="shared" si="66"/>
        <v>25619.1</v>
      </c>
      <c r="T74" s="74">
        <f t="shared" si="66"/>
        <v>13344</v>
      </c>
      <c r="U74" s="74">
        <f t="shared" si="66"/>
        <v>0</v>
      </c>
      <c r="V74" s="74">
        <f t="shared" si="66"/>
        <v>0</v>
      </c>
      <c r="W74" s="74">
        <f t="shared" si="66"/>
        <v>0</v>
      </c>
      <c r="X74" s="74">
        <f t="shared" si="66"/>
        <v>0</v>
      </c>
      <c r="Y74" s="74">
        <f t="shared" si="66"/>
        <v>0</v>
      </c>
      <c r="Z74" s="74">
        <f t="shared" si="66"/>
        <v>0</v>
      </c>
      <c r="AA74" s="74">
        <f t="shared" si="66"/>
        <v>0</v>
      </c>
      <c r="AB74" s="74">
        <f t="shared" si="66"/>
        <v>0</v>
      </c>
      <c r="AC74" s="74">
        <f t="shared" si="66"/>
        <v>0</v>
      </c>
      <c r="AD74" s="74">
        <f t="shared" si="66"/>
        <v>0</v>
      </c>
      <c r="AG74" s="31">
        <f>AE6-AG40</f>
        <v>-13344.000000000058</v>
      </c>
    </row>
    <row r="75" spans="1:36" x14ac:dyDescent="0.3">
      <c r="C75" s="74">
        <f t="shared" ref="C75:V75" si="67">+C6-C74</f>
        <v>0</v>
      </c>
      <c r="D75" s="74">
        <f t="shared" si="67"/>
        <v>0</v>
      </c>
      <c r="E75" s="74">
        <f t="shared" si="67"/>
        <v>0</v>
      </c>
      <c r="F75" s="74">
        <f t="shared" si="67"/>
        <v>0</v>
      </c>
      <c r="G75" s="74">
        <f t="shared" si="67"/>
        <v>0</v>
      </c>
      <c r="H75" s="74">
        <f t="shared" si="67"/>
        <v>0</v>
      </c>
      <c r="I75" s="74">
        <f t="shared" si="67"/>
        <v>0</v>
      </c>
      <c r="J75" s="74">
        <f t="shared" si="67"/>
        <v>0</v>
      </c>
      <c r="K75" s="74">
        <f t="shared" si="67"/>
        <v>0</v>
      </c>
      <c r="L75" s="74">
        <f t="shared" si="67"/>
        <v>0</v>
      </c>
      <c r="M75" s="74">
        <f t="shared" si="67"/>
        <v>0</v>
      </c>
      <c r="N75" s="74">
        <f t="shared" si="67"/>
        <v>0</v>
      </c>
      <c r="O75" s="74">
        <f t="shared" si="67"/>
        <v>0</v>
      </c>
      <c r="P75" s="74">
        <f t="shared" si="67"/>
        <v>0</v>
      </c>
      <c r="Q75" s="74">
        <f t="shared" si="67"/>
        <v>0</v>
      </c>
      <c r="R75" s="74">
        <f t="shared" si="67"/>
        <v>0</v>
      </c>
      <c r="S75" s="74">
        <f t="shared" si="67"/>
        <v>0</v>
      </c>
      <c r="T75" s="74">
        <f t="shared" si="67"/>
        <v>-13344</v>
      </c>
      <c r="U75" s="74">
        <f t="shared" si="67"/>
        <v>0</v>
      </c>
      <c r="V75" s="74">
        <f t="shared" si="67"/>
        <v>0</v>
      </c>
      <c r="W75" s="74">
        <f>+W6-W74-C82</f>
        <v>0</v>
      </c>
      <c r="X75" s="74">
        <f t="shared" ref="X75:AD75" si="68">+X6-X74</f>
        <v>0</v>
      </c>
      <c r="Y75" s="74">
        <f t="shared" si="68"/>
        <v>0</v>
      </c>
      <c r="Z75" s="74">
        <f t="shared" si="68"/>
        <v>0</v>
      </c>
      <c r="AA75" s="74">
        <f t="shared" si="68"/>
        <v>0</v>
      </c>
      <c r="AB75" s="74">
        <f t="shared" si="68"/>
        <v>0</v>
      </c>
      <c r="AC75" s="74">
        <f t="shared" si="68"/>
        <v>0</v>
      </c>
      <c r="AD75" s="74">
        <f t="shared" si="68"/>
        <v>0</v>
      </c>
      <c r="AG75" s="33"/>
      <c r="AJ75" s="249"/>
    </row>
    <row r="76" spans="1:36" ht="15.75" customHeight="1" x14ac:dyDescent="0.3">
      <c r="AJ76" s="249"/>
    </row>
    <row r="77" spans="1:36" x14ac:dyDescent="0.3">
      <c r="AG77" s="33"/>
      <c r="AJ77" s="249"/>
    </row>
    <row r="78" spans="1:36" ht="15" thickBot="1" x14ac:dyDescent="0.35">
      <c r="A78" s="287" t="str">
        <f>+A2</f>
        <v>JANUARY</v>
      </c>
      <c r="B78" s="70"/>
      <c r="AJ78" s="249"/>
    </row>
    <row r="79" spans="1:36" x14ac:dyDescent="0.3">
      <c r="A79" s="491" t="s">
        <v>178</v>
      </c>
      <c r="B79" s="314" t="s">
        <v>0</v>
      </c>
      <c r="C79" s="295"/>
      <c r="D79" s="295"/>
      <c r="E79" s="295"/>
      <c r="F79" s="295"/>
      <c r="G79" s="295"/>
      <c r="H79" s="295"/>
      <c r="I79" s="295"/>
      <c r="J79" s="295"/>
      <c r="K79" s="295"/>
      <c r="L79" s="296"/>
      <c r="M79" s="296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487" t="s">
        <v>1</v>
      </c>
      <c r="AF79" s="489" t="s">
        <v>2</v>
      </c>
      <c r="AG79" s="487" t="s">
        <v>3</v>
      </c>
      <c r="AH79" s="489" t="s">
        <v>4</v>
      </c>
      <c r="AI79" s="494" t="s">
        <v>5</v>
      </c>
      <c r="AJ79" s="30"/>
    </row>
    <row r="80" spans="1:36" x14ac:dyDescent="0.3">
      <c r="A80" s="492"/>
      <c r="B80" s="315" t="s">
        <v>6</v>
      </c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M80" s="300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  <c r="AA80" s="299"/>
      <c r="AB80" s="299"/>
      <c r="AC80" s="299"/>
      <c r="AD80" s="299"/>
      <c r="AE80" s="488"/>
      <c r="AF80" s="490"/>
      <c r="AG80" s="488"/>
      <c r="AH80" s="490"/>
      <c r="AI80" s="495"/>
      <c r="AJ80" s="30"/>
    </row>
    <row r="81" spans="1:42" x14ac:dyDescent="0.3">
      <c r="A81" s="492"/>
      <c r="B81" s="315" t="s">
        <v>8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299"/>
      <c r="AD81" s="299"/>
      <c r="AE81" s="488"/>
      <c r="AF81" s="490"/>
      <c r="AG81" s="488"/>
      <c r="AH81" s="490"/>
      <c r="AI81" s="495"/>
      <c r="AJ81" s="249"/>
      <c r="AK81" s="255"/>
      <c r="AL81" s="255"/>
      <c r="AM81" s="255" t="s">
        <v>50</v>
      </c>
      <c r="AN81" s="255"/>
    </row>
    <row r="82" spans="1:42" ht="15" thickBot="1" x14ac:dyDescent="0.35">
      <c r="A82" s="316"/>
      <c r="B82" s="317" t="s">
        <v>177</v>
      </c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18"/>
      <c r="Z82" s="318"/>
      <c r="AA82" s="318"/>
      <c r="AB82" s="318"/>
      <c r="AC82" s="318"/>
      <c r="AD82" s="318"/>
      <c r="AE82" s="307">
        <f>SUM(C82:AD82)</f>
        <v>0</v>
      </c>
      <c r="AF82" s="272"/>
      <c r="AG82" s="308"/>
      <c r="AH82" s="272"/>
      <c r="AI82" s="182"/>
      <c r="AJ82" s="30"/>
      <c r="AK82" s="255" t="s">
        <v>64</v>
      </c>
      <c r="AL82" s="255" t="s">
        <v>74</v>
      </c>
      <c r="AM82" s="255" t="s">
        <v>170</v>
      </c>
      <c r="AN82" s="255" t="s">
        <v>167</v>
      </c>
      <c r="AO82" s="255"/>
      <c r="AP82" s="255"/>
    </row>
    <row r="83" spans="1:42" x14ac:dyDescent="0.3">
      <c r="A83" s="223" t="s">
        <v>200</v>
      </c>
      <c r="B83" s="224" t="s">
        <v>202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43">
        <f>SUM(C83:AD83)</f>
        <v>0</v>
      </c>
      <c r="AF83" s="123">
        <v>12.83</v>
      </c>
      <c r="AG83" s="71">
        <f t="shared" ref="AG83:AG84" si="69">AE83*AF83</f>
        <v>0</v>
      </c>
      <c r="AH83" s="319"/>
      <c r="AI83" s="163">
        <f t="shared" ref="AI83:AI84" si="70">AE83*AH83</f>
        <v>0</v>
      </c>
      <c r="AJ83" s="249">
        <v>11.62</v>
      </c>
      <c r="AK83">
        <v>3.6166999999999998</v>
      </c>
      <c r="AL83" s="135">
        <f>AK83/0.57</f>
        <v>6.3450877192982462</v>
      </c>
      <c r="AM83" s="39">
        <f>+AL83*(1.46+0.35)</f>
        <v>11.484608771929826</v>
      </c>
      <c r="AN83" s="39">
        <f t="shared" ref="AN83:AN84" si="71">+AL83*0.35</f>
        <v>2.2207807017543861</v>
      </c>
      <c r="AO83" s="200" t="s">
        <v>190</v>
      </c>
    </row>
    <row r="84" spans="1:42" x14ac:dyDescent="0.3">
      <c r="A84" s="225" t="s">
        <v>201</v>
      </c>
      <c r="B84" s="226" t="s">
        <v>202</v>
      </c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43">
        <f>SUM(C84:AD84)</f>
        <v>0</v>
      </c>
      <c r="AF84" s="162">
        <v>12.83</v>
      </c>
      <c r="AG84" s="163">
        <f t="shared" si="69"/>
        <v>0</v>
      </c>
      <c r="AH84" s="319"/>
      <c r="AI84" s="320">
        <f t="shared" si="70"/>
        <v>0</v>
      </c>
      <c r="AJ84" s="249">
        <v>11.62</v>
      </c>
      <c r="AK84">
        <v>3.6166999999999998</v>
      </c>
      <c r="AL84" s="135">
        <f t="shared" ref="AL84" si="72">AK84/0.57</f>
        <v>6.3450877192982462</v>
      </c>
      <c r="AM84" s="39">
        <f t="shared" ref="AM84" si="73">+AL84*(1.46+0.35)</f>
        <v>11.484608771929826</v>
      </c>
      <c r="AN84" s="39">
        <f t="shared" si="71"/>
        <v>2.2207807017543861</v>
      </c>
      <c r="AO84" s="200" t="s">
        <v>190</v>
      </c>
    </row>
    <row r="85" spans="1:42" x14ac:dyDescent="0.3">
      <c r="C85" s="323">
        <f t="shared" ref="C85:E85" si="74">+C83*AC83</f>
        <v>0</v>
      </c>
      <c r="D85" s="323">
        <f t="shared" si="74"/>
        <v>0</v>
      </c>
      <c r="E85" s="323">
        <f t="shared" si="74"/>
        <v>0</v>
      </c>
      <c r="F85" s="323"/>
      <c r="G85" s="323">
        <f t="shared" ref="G85:J85" si="75">+G83*AG83</f>
        <v>0</v>
      </c>
      <c r="H85" s="323">
        <f t="shared" si="75"/>
        <v>0</v>
      </c>
      <c r="I85" s="323">
        <f t="shared" ref="I85" si="76">+I83*AI83</f>
        <v>0</v>
      </c>
      <c r="J85" s="323">
        <f t="shared" si="75"/>
        <v>0</v>
      </c>
      <c r="K85" s="323">
        <f t="shared" ref="K85:K86" si="77">+K83*AK83</f>
        <v>0</v>
      </c>
      <c r="L85" s="323">
        <f t="shared" ref="L85:L86" si="78">+L83*AL83</f>
        <v>0</v>
      </c>
      <c r="M85" s="323">
        <f t="shared" ref="M85:M86" si="79">+M83*AM83</f>
        <v>0</v>
      </c>
      <c r="O85" s="323">
        <f>+N83*AN83</f>
        <v>0</v>
      </c>
      <c r="P85" s="323">
        <f t="shared" ref="P85:P86" si="80">+P83*AP83</f>
        <v>0</v>
      </c>
      <c r="Q85" s="323">
        <f t="shared" ref="Q85:Q86" si="81">+Q83*AQ83</f>
        <v>0</v>
      </c>
      <c r="R85" s="323">
        <f t="shared" ref="R85:R86" si="82">+R83*AR83</f>
        <v>0</v>
      </c>
      <c r="S85" s="323">
        <f t="shared" ref="S85:S86" si="83">+S83*AS83</f>
        <v>0</v>
      </c>
      <c r="T85" s="323">
        <f t="shared" ref="T85:T86" si="84">+T83*AT83</f>
        <v>0</v>
      </c>
      <c r="U85" s="323">
        <f t="shared" ref="U85:U86" si="85">+U83*AU83</f>
        <v>0</v>
      </c>
      <c r="V85" s="323">
        <f t="shared" ref="V85:V86" si="86">+V83*AV83</f>
        <v>0</v>
      </c>
      <c r="W85" s="323">
        <f t="shared" ref="W85:W86" si="87">+W83*AW83</f>
        <v>0</v>
      </c>
      <c r="X85" s="323">
        <f t="shared" ref="X85:X86" si="88">+X83*AX83</f>
        <v>0</v>
      </c>
      <c r="Y85" s="323">
        <f t="shared" ref="Y85:Y86" si="89">+Y83*AY83</f>
        <v>0</v>
      </c>
      <c r="Z85" s="323">
        <f t="shared" ref="Z85:Z86" si="90">+Z83*AZ83</f>
        <v>0</v>
      </c>
      <c r="AA85" s="323">
        <f t="shared" ref="AA85:AA86" si="91">+AA83*BA83</f>
        <v>0</v>
      </c>
      <c r="AB85" s="323">
        <f t="shared" ref="AB85:AB86" si="92">+AB83*BB83</f>
        <v>0</v>
      </c>
      <c r="AC85" s="323">
        <f t="shared" ref="AC85:AC86" si="93">+AC83*BC83</f>
        <v>0</v>
      </c>
      <c r="AD85" s="323">
        <f t="shared" ref="AD85:AD86" si="94">+AD83*BD83</f>
        <v>0</v>
      </c>
      <c r="AG85" s="74">
        <f>SUM(AG83:AG84)</f>
        <v>0</v>
      </c>
      <c r="AH85" s="76"/>
      <c r="AI85" s="74">
        <f>SUM(AI83:AI84)</f>
        <v>0</v>
      </c>
    </row>
    <row r="86" spans="1:42" s="277" customFormat="1" x14ac:dyDescent="0.3">
      <c r="C86" s="323">
        <f t="shared" ref="C86:E86" si="95">+C84*AC84</f>
        <v>0</v>
      </c>
      <c r="D86" s="323">
        <f t="shared" si="95"/>
        <v>0</v>
      </c>
      <c r="E86" s="323">
        <f t="shared" si="95"/>
        <v>0</v>
      </c>
      <c r="F86" s="323"/>
      <c r="G86" s="323">
        <f t="shared" ref="G86:J86" si="96">+G84*AG84</f>
        <v>0</v>
      </c>
      <c r="H86" s="323">
        <f t="shared" si="96"/>
        <v>0</v>
      </c>
      <c r="I86" s="323">
        <f t="shared" ref="I86" si="97">+I84*AI84</f>
        <v>0</v>
      </c>
      <c r="J86" s="323">
        <f t="shared" si="96"/>
        <v>0</v>
      </c>
      <c r="K86" s="323">
        <f t="shared" si="77"/>
        <v>0</v>
      </c>
      <c r="L86" s="323">
        <f t="shared" si="78"/>
        <v>0</v>
      </c>
      <c r="M86" s="323">
        <f t="shared" si="79"/>
        <v>0</v>
      </c>
      <c r="O86" s="323">
        <f>+N84*AN84</f>
        <v>0</v>
      </c>
      <c r="P86" s="323">
        <f t="shared" si="80"/>
        <v>0</v>
      </c>
      <c r="Q86" s="323">
        <f t="shared" si="81"/>
        <v>0</v>
      </c>
      <c r="R86" s="323">
        <f t="shared" si="82"/>
        <v>0</v>
      </c>
      <c r="S86" s="323">
        <f t="shared" si="83"/>
        <v>0</v>
      </c>
      <c r="T86" s="323">
        <f t="shared" si="84"/>
        <v>0</v>
      </c>
      <c r="U86" s="323">
        <f t="shared" si="85"/>
        <v>0</v>
      </c>
      <c r="V86" s="323">
        <f t="shared" si="86"/>
        <v>0</v>
      </c>
      <c r="W86" s="323">
        <f t="shared" si="87"/>
        <v>0</v>
      </c>
      <c r="X86" s="323">
        <f t="shared" si="88"/>
        <v>0</v>
      </c>
      <c r="Y86" s="323">
        <f t="shared" si="89"/>
        <v>0</v>
      </c>
      <c r="Z86" s="323">
        <f t="shared" si="90"/>
        <v>0</v>
      </c>
      <c r="AA86" s="323">
        <f t="shared" si="91"/>
        <v>0</v>
      </c>
      <c r="AB86" s="323">
        <f t="shared" si="92"/>
        <v>0</v>
      </c>
      <c r="AC86" s="323">
        <f t="shared" si="93"/>
        <v>0</v>
      </c>
      <c r="AD86" s="323">
        <f t="shared" si="94"/>
        <v>0</v>
      </c>
      <c r="AG86" s="74"/>
      <c r="AH86" s="76"/>
      <c r="AI86" s="74"/>
    </row>
    <row r="87" spans="1:42" s="277" customFormat="1" x14ac:dyDescent="0.3">
      <c r="C87" s="324">
        <f t="shared" ref="C87:E87" si="98">SUM(C85:C86)</f>
        <v>0</v>
      </c>
      <c r="D87" s="324">
        <f t="shared" si="98"/>
        <v>0</v>
      </c>
      <c r="E87" s="324">
        <f t="shared" si="98"/>
        <v>0</v>
      </c>
      <c r="F87" s="324"/>
      <c r="G87" s="324">
        <f>SUM(G85:G86)</f>
        <v>0</v>
      </c>
      <c r="H87" s="324">
        <f t="shared" ref="H87" si="99">SUM(H85:H86)</f>
        <v>0</v>
      </c>
      <c r="I87" s="76"/>
      <c r="J87" s="324">
        <f>SUM(J85:J86)</f>
        <v>0</v>
      </c>
      <c r="K87" s="324">
        <f t="shared" ref="K87:AD87" si="100">SUM(K85:K86)</f>
        <v>0</v>
      </c>
      <c r="L87" s="324">
        <f t="shared" si="100"/>
        <v>0</v>
      </c>
      <c r="M87" s="324">
        <f t="shared" si="100"/>
        <v>0</v>
      </c>
      <c r="N87" s="324">
        <f>SUM(O85:O86)</f>
        <v>0</v>
      </c>
      <c r="O87" s="324">
        <f>SUM(P85:P86)</f>
        <v>0</v>
      </c>
      <c r="P87" s="324">
        <f t="shared" si="100"/>
        <v>0</v>
      </c>
      <c r="Q87" s="324">
        <f t="shared" si="100"/>
        <v>0</v>
      </c>
      <c r="R87" s="324">
        <f t="shared" si="100"/>
        <v>0</v>
      </c>
      <c r="S87" s="324">
        <f t="shared" si="100"/>
        <v>0</v>
      </c>
      <c r="T87" s="324">
        <f t="shared" si="100"/>
        <v>0</v>
      </c>
      <c r="U87" s="324">
        <f t="shared" si="100"/>
        <v>0</v>
      </c>
      <c r="V87" s="324">
        <f t="shared" si="100"/>
        <v>0</v>
      </c>
      <c r="W87" s="324">
        <f t="shared" si="100"/>
        <v>0</v>
      </c>
      <c r="X87" s="324">
        <f t="shared" si="100"/>
        <v>0</v>
      </c>
      <c r="Y87" s="324">
        <f t="shared" si="100"/>
        <v>0</v>
      </c>
      <c r="Z87" s="324">
        <f t="shared" si="100"/>
        <v>0</v>
      </c>
      <c r="AA87" s="324">
        <f t="shared" si="100"/>
        <v>0</v>
      </c>
      <c r="AB87" s="324">
        <f t="shared" si="100"/>
        <v>0</v>
      </c>
      <c r="AC87" s="324">
        <f t="shared" si="100"/>
        <v>0</v>
      </c>
      <c r="AD87" s="324">
        <f t="shared" si="100"/>
        <v>0</v>
      </c>
      <c r="AG87" s="74"/>
      <c r="AH87" s="76"/>
      <c r="AI87" s="74"/>
    </row>
    <row r="88" spans="1:42" x14ac:dyDescent="0.3">
      <c r="C88" s="324">
        <f t="shared" ref="C88:E88" si="101">+C82-C87</f>
        <v>0</v>
      </c>
      <c r="D88" s="324">
        <f t="shared" si="101"/>
        <v>0</v>
      </c>
      <c r="E88" s="324">
        <f t="shared" si="101"/>
        <v>0</v>
      </c>
      <c r="F88" s="324">
        <f>+F82-F87</f>
        <v>0</v>
      </c>
      <c r="G88" s="324">
        <f t="shared" ref="G88:J88" si="102">+G82-G87</f>
        <v>0</v>
      </c>
      <c r="H88" s="324">
        <f t="shared" si="102"/>
        <v>0</v>
      </c>
      <c r="I88" s="76"/>
      <c r="J88" s="324">
        <f t="shared" si="102"/>
        <v>0</v>
      </c>
      <c r="K88" s="324">
        <f t="shared" ref="K88" si="103">+K82-K87</f>
        <v>0</v>
      </c>
      <c r="L88" s="324">
        <f t="shared" ref="L88" si="104">+L82-L87</f>
        <v>0</v>
      </c>
      <c r="M88" s="324">
        <f t="shared" ref="M88" si="105">+M82-M87</f>
        <v>0</v>
      </c>
      <c r="N88" s="324">
        <f>+N82-N87</f>
        <v>0</v>
      </c>
      <c r="O88" s="324">
        <f t="shared" ref="O88" si="106">+O82-O87</f>
        <v>0</v>
      </c>
      <c r="P88" s="324">
        <f t="shared" ref="P88" si="107">+P82-P87</f>
        <v>0</v>
      </c>
      <c r="Q88" s="324">
        <f t="shared" ref="Q88" si="108">+Q82-Q87</f>
        <v>0</v>
      </c>
      <c r="R88" s="324">
        <f t="shared" ref="R88" si="109">+R82-R87</f>
        <v>0</v>
      </c>
      <c r="S88" s="324">
        <f t="shared" ref="S88" si="110">+S82-S87</f>
        <v>0</v>
      </c>
      <c r="T88" s="324">
        <f t="shared" ref="T88" si="111">+T82-T87</f>
        <v>0</v>
      </c>
      <c r="U88" s="324">
        <f t="shared" ref="U88" si="112">+U82-U87</f>
        <v>0</v>
      </c>
      <c r="V88" s="324">
        <f t="shared" ref="V88" si="113">+V82-V87</f>
        <v>0</v>
      </c>
      <c r="W88" s="324">
        <f t="shared" ref="W88" si="114">+W82-W87</f>
        <v>0</v>
      </c>
      <c r="X88" s="324">
        <f t="shared" ref="X88" si="115">+X82-X87</f>
        <v>0</v>
      </c>
      <c r="Y88" s="324">
        <f t="shared" ref="Y88" si="116">+Y82-Y87</f>
        <v>0</v>
      </c>
      <c r="Z88" s="324">
        <f t="shared" ref="Z88" si="117">+Z82-Z87</f>
        <v>0</v>
      </c>
      <c r="AA88" s="324">
        <f t="shared" ref="AA88" si="118">+AA82-AA87</f>
        <v>0</v>
      </c>
      <c r="AB88" s="324">
        <f t="shared" ref="AB88" si="119">+AB82-AB87</f>
        <v>0</v>
      </c>
      <c r="AC88" s="324">
        <f t="shared" ref="AC88" si="120">+AC82-AC87</f>
        <v>0</v>
      </c>
      <c r="AD88" s="324">
        <f t="shared" ref="AD88" si="121">+AD82-AD87</f>
        <v>0</v>
      </c>
      <c r="AG88" s="33">
        <f>+AE82-AG85</f>
        <v>0</v>
      </c>
    </row>
    <row r="90" spans="1:42" ht="15" thickBot="1" x14ac:dyDescent="0.35">
      <c r="A90" s="287" t="str">
        <f>+A78</f>
        <v>JANUARY</v>
      </c>
      <c r="B90" s="70"/>
      <c r="AJ90" s="249"/>
    </row>
    <row r="91" spans="1:42" x14ac:dyDescent="0.3">
      <c r="A91" s="496" t="s">
        <v>203</v>
      </c>
      <c r="B91" s="312" t="s">
        <v>0</v>
      </c>
      <c r="C91" s="309"/>
      <c r="D91" s="295"/>
      <c r="E91" s="295"/>
      <c r="F91" s="295"/>
      <c r="G91" s="295"/>
      <c r="H91" s="295"/>
      <c r="I91" s="295"/>
      <c r="J91" s="295"/>
      <c r="K91" s="295"/>
      <c r="L91" s="296"/>
      <c r="M91" s="296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487" t="s">
        <v>1</v>
      </c>
      <c r="AF91" s="489" t="s">
        <v>2</v>
      </c>
      <c r="AG91" s="487" t="s">
        <v>3</v>
      </c>
      <c r="AH91" s="489" t="s">
        <v>4</v>
      </c>
      <c r="AI91" s="494" t="s">
        <v>5</v>
      </c>
      <c r="AJ91" s="30"/>
    </row>
    <row r="92" spans="1:42" x14ac:dyDescent="0.3">
      <c r="A92" s="497"/>
      <c r="B92" s="313" t="s">
        <v>6</v>
      </c>
      <c r="C92" s="310"/>
      <c r="D92" s="299"/>
      <c r="E92" s="299"/>
      <c r="F92" s="299"/>
      <c r="G92" s="299"/>
      <c r="H92" s="299"/>
      <c r="I92" s="299"/>
      <c r="J92" s="299"/>
      <c r="K92" s="299"/>
      <c r="L92" s="300"/>
      <c r="M92" s="300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  <c r="AA92" s="299"/>
      <c r="AB92" s="299"/>
      <c r="AC92" s="299"/>
      <c r="AD92" s="299"/>
      <c r="AE92" s="488"/>
      <c r="AF92" s="490"/>
      <c r="AG92" s="488"/>
      <c r="AH92" s="490"/>
      <c r="AI92" s="495"/>
      <c r="AJ92" s="30"/>
    </row>
    <row r="93" spans="1:42" x14ac:dyDescent="0.3">
      <c r="A93" s="497"/>
      <c r="B93" s="313" t="s">
        <v>8</v>
      </c>
      <c r="C93" s="310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299"/>
      <c r="AD93" s="299"/>
      <c r="AE93" s="488"/>
      <c r="AF93" s="490"/>
      <c r="AG93" s="488"/>
      <c r="AH93" s="490"/>
      <c r="AI93" s="495"/>
      <c r="AJ93" s="249"/>
      <c r="AK93" s="258"/>
      <c r="AL93" s="258"/>
      <c r="AM93" s="258" t="s">
        <v>50</v>
      </c>
      <c r="AN93" s="258"/>
    </row>
    <row r="94" spans="1:42" ht="15" thickBot="1" x14ac:dyDescent="0.35">
      <c r="A94" s="321"/>
      <c r="B94" s="313" t="s">
        <v>177</v>
      </c>
      <c r="C94" s="322"/>
      <c r="D94" s="318"/>
      <c r="E94" s="318"/>
      <c r="F94" s="318"/>
      <c r="G94" s="318"/>
      <c r="H94" s="318"/>
      <c r="I94" s="318"/>
      <c r="J94" s="318"/>
      <c r="K94" s="318"/>
      <c r="L94" s="318"/>
      <c r="M94" s="318"/>
      <c r="N94" s="318"/>
      <c r="O94" s="318"/>
      <c r="P94" s="318"/>
      <c r="Q94" s="318"/>
      <c r="R94" s="318"/>
      <c r="S94" s="318"/>
      <c r="T94" s="318"/>
      <c r="U94" s="318"/>
      <c r="V94" s="318"/>
      <c r="W94" s="318"/>
      <c r="X94" s="318"/>
      <c r="Y94" s="318"/>
      <c r="Z94" s="318"/>
      <c r="AA94" s="318"/>
      <c r="AB94" s="318"/>
      <c r="AC94" s="318"/>
      <c r="AD94" s="318"/>
      <c r="AE94" s="307">
        <f>SUM(C94:AD94)</f>
        <v>0</v>
      </c>
      <c r="AF94" s="272"/>
      <c r="AG94" s="308"/>
      <c r="AH94" s="272"/>
      <c r="AI94" s="182"/>
      <c r="AJ94" s="30"/>
      <c r="AK94" s="258" t="s">
        <v>64</v>
      </c>
      <c r="AL94" s="258" t="s">
        <v>74</v>
      </c>
      <c r="AM94" s="258" t="s">
        <v>170</v>
      </c>
      <c r="AN94" s="258" t="s">
        <v>167</v>
      </c>
      <c r="AO94" s="258"/>
      <c r="AP94" s="258"/>
    </row>
    <row r="95" spans="1:42" x14ac:dyDescent="0.3">
      <c r="A95" s="244" t="s">
        <v>204</v>
      </c>
      <c r="B95" s="259" t="s">
        <v>206</v>
      </c>
      <c r="C95" s="144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242"/>
      <c r="AE95" s="143">
        <f>SUM(C95:AD95)</f>
        <v>0</v>
      </c>
      <c r="AF95" s="123">
        <v>11.19</v>
      </c>
      <c r="AG95" s="71">
        <f t="shared" ref="AG95:AG96" si="122">AE95*AF95</f>
        <v>0</v>
      </c>
      <c r="AH95" s="319"/>
      <c r="AI95" s="163">
        <f t="shared" ref="AI95:AI96" si="123">AE95*AH95</f>
        <v>0</v>
      </c>
      <c r="AJ95" s="30"/>
      <c r="AK95">
        <v>3.4184999999999999</v>
      </c>
      <c r="AL95" s="135">
        <f>AK95/0.57</f>
        <v>5.9973684210526317</v>
      </c>
      <c r="AM95" s="39">
        <f>+AL95*(1.46+0.35)</f>
        <v>10.855236842105263</v>
      </c>
      <c r="AN95" s="39">
        <f t="shared" ref="AN95:AN96" si="124">+AL95*0.35</f>
        <v>2.099078947368421</v>
      </c>
      <c r="AO95" s="200" t="s">
        <v>190</v>
      </c>
    </row>
    <row r="96" spans="1:42" ht="15" thickBot="1" x14ac:dyDescent="0.35">
      <c r="A96" s="260" t="s">
        <v>205</v>
      </c>
      <c r="B96" s="261" t="s">
        <v>207</v>
      </c>
      <c r="C96" s="262"/>
      <c r="D96" s="263"/>
      <c r="E96" s="263"/>
      <c r="F96" s="263"/>
      <c r="G96" s="263"/>
      <c r="H96" s="263"/>
      <c r="I96" s="263"/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4"/>
      <c r="AE96" s="143">
        <f>SUM(C96:AD96)</f>
        <v>0</v>
      </c>
      <c r="AF96" s="162">
        <v>11.19</v>
      </c>
      <c r="AG96" s="163">
        <f t="shared" si="122"/>
        <v>0</v>
      </c>
      <c r="AH96" s="319"/>
      <c r="AI96" s="320">
        <f t="shared" si="123"/>
        <v>0</v>
      </c>
      <c r="AJ96" s="249"/>
      <c r="AK96">
        <v>3.4184999999999999</v>
      </c>
      <c r="AL96" s="135">
        <f t="shared" ref="AL96" si="125">AK96/0.57</f>
        <v>5.9973684210526317</v>
      </c>
      <c r="AM96" s="39">
        <f>+AL96*(1.46+0.35)</f>
        <v>10.855236842105263</v>
      </c>
      <c r="AN96" s="39">
        <f t="shared" si="124"/>
        <v>2.099078947368421</v>
      </c>
      <c r="AO96" s="200" t="s">
        <v>190</v>
      </c>
    </row>
    <row r="97" spans="6:35" x14ac:dyDescent="0.3">
      <c r="AG97" s="74">
        <f>SUM(AG95:AG96)</f>
        <v>0</v>
      </c>
      <c r="AH97" s="76"/>
      <c r="AI97" s="74">
        <f>SUM(AI95:AI96)</f>
        <v>0</v>
      </c>
    </row>
    <row r="98" spans="6:35" x14ac:dyDescent="0.3">
      <c r="F98" s="33">
        <f>+F6-F74-F87</f>
        <v>-7.2759576141834259E-12</v>
      </c>
      <c r="AG98" s="33">
        <f>+AE94-AG97</f>
        <v>0</v>
      </c>
    </row>
  </sheetData>
  <mergeCells count="19">
    <mergeCell ref="AG79:AG81"/>
    <mergeCell ref="AH79:AH81"/>
    <mergeCell ref="AF3:AF5"/>
    <mergeCell ref="AG3:AG5"/>
    <mergeCell ref="AH3:AH5"/>
    <mergeCell ref="A3:A6"/>
    <mergeCell ref="A2:B2"/>
    <mergeCell ref="AI91:AI93"/>
    <mergeCell ref="A91:A93"/>
    <mergeCell ref="AE91:AE93"/>
    <mergeCell ref="AF91:AF93"/>
    <mergeCell ref="AG91:AG93"/>
    <mergeCell ref="AH91:AH93"/>
    <mergeCell ref="AI3:AI5"/>
    <mergeCell ref="AE3:AE5"/>
    <mergeCell ref="AI79:AI81"/>
    <mergeCell ref="A79:A81"/>
    <mergeCell ref="AE79:AE81"/>
    <mergeCell ref="AF79:AF81"/>
  </mergeCells>
  <phoneticPr fontId="18" type="noConversion"/>
  <pageMargins left="0.25" right="0.25" top="0.75" bottom="0.75" header="0.3" footer="0.3"/>
  <pageSetup scale="21" fitToHeight="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baseColWidth="10" defaultColWidth="8.88671875" defaultRowHeight="14.4" x14ac:dyDescent="0.3"/>
  <cols>
    <col min="1" max="1" width="18.5546875" bestFit="1" customWidth="1"/>
    <col min="2" max="2" width="38.5546875" bestFit="1" customWidth="1"/>
    <col min="3" max="8" width="14.109375" customWidth="1"/>
    <col min="9" max="10" width="14.109375" bestFit="1" customWidth="1"/>
    <col min="11" max="13" width="13.109375" customWidth="1"/>
    <col min="14" max="14" width="14.109375" bestFit="1" customWidth="1"/>
    <col min="15" max="21" width="13.109375" customWidth="1"/>
    <col min="22" max="22" width="13.6640625" bestFit="1" customWidth="1"/>
    <col min="23" max="23" width="17.109375" customWidth="1"/>
    <col min="24" max="24" width="12" customWidth="1"/>
    <col min="25" max="25" width="16.88671875" customWidth="1"/>
    <col min="26" max="26" width="12.5546875" customWidth="1"/>
    <col min="27" max="27" width="13.33203125" customWidth="1"/>
    <col min="30" max="30" width="17.33203125" customWidth="1"/>
  </cols>
  <sheetData>
    <row r="1" spans="1:32" ht="15" thickBot="1" x14ac:dyDescent="0.35"/>
    <row r="2" spans="1:32" s="253" customFormat="1" ht="15" thickBot="1" x14ac:dyDescent="0.35">
      <c r="A2" s="358" t="str">
        <f>+'TX7'!A2</f>
        <v>JANUARY</v>
      </c>
      <c r="C2" s="507"/>
      <c r="D2" s="508"/>
      <c r="E2" s="498"/>
      <c r="F2" s="498"/>
      <c r="G2" s="498"/>
      <c r="H2" s="498"/>
      <c r="I2" s="359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294"/>
    </row>
    <row r="3" spans="1:32" x14ac:dyDescent="0.3">
      <c r="A3" s="491" t="s">
        <v>52</v>
      </c>
      <c r="B3" s="314" t="s">
        <v>0</v>
      </c>
      <c r="C3" s="295">
        <v>44200</v>
      </c>
      <c r="D3" s="295">
        <v>44201</v>
      </c>
      <c r="E3" s="295">
        <v>44202</v>
      </c>
      <c r="F3" s="295">
        <v>44203</v>
      </c>
      <c r="G3" s="295">
        <v>44207</v>
      </c>
      <c r="H3" s="295">
        <v>44208</v>
      </c>
      <c r="I3" s="295">
        <v>44209</v>
      </c>
      <c r="J3" s="295">
        <v>44210</v>
      </c>
      <c r="K3" s="296">
        <v>44214</v>
      </c>
      <c r="L3" s="296">
        <v>44216</v>
      </c>
      <c r="M3" s="296">
        <v>44218</v>
      </c>
      <c r="N3" s="296">
        <v>44221</v>
      </c>
      <c r="O3" s="295">
        <v>44222</v>
      </c>
      <c r="P3" s="296"/>
      <c r="Q3" s="296"/>
      <c r="R3" s="296"/>
      <c r="S3" s="296"/>
      <c r="T3" s="296"/>
      <c r="U3" s="296"/>
      <c r="V3" s="298"/>
      <c r="W3" s="501" t="s">
        <v>1</v>
      </c>
      <c r="X3" s="503" t="s">
        <v>2</v>
      </c>
      <c r="Y3" s="505" t="s">
        <v>3</v>
      </c>
      <c r="Z3" s="503" t="s">
        <v>4</v>
      </c>
      <c r="AA3" s="499" t="s">
        <v>5</v>
      </c>
    </row>
    <row r="4" spans="1:32" x14ac:dyDescent="0.3">
      <c r="A4" s="492"/>
      <c r="B4" s="315" t="s">
        <v>6</v>
      </c>
      <c r="C4" s="299" t="s">
        <v>211</v>
      </c>
      <c r="D4" s="299" t="s">
        <v>213</v>
      </c>
      <c r="E4" s="299" t="s">
        <v>217</v>
      </c>
      <c r="F4" s="299" t="s">
        <v>219</v>
      </c>
      <c r="G4" s="299" t="s">
        <v>238</v>
      </c>
      <c r="H4" s="299" t="s">
        <v>228</v>
      </c>
      <c r="I4" s="299" t="s">
        <v>231</v>
      </c>
      <c r="J4" s="361" t="s">
        <v>235</v>
      </c>
      <c r="K4" s="362" t="s">
        <v>243</v>
      </c>
      <c r="L4" s="362" t="s">
        <v>327</v>
      </c>
      <c r="M4" s="362" t="s">
        <v>334</v>
      </c>
      <c r="N4" s="362" t="s">
        <v>341</v>
      </c>
      <c r="O4" s="299" t="s">
        <v>345</v>
      </c>
      <c r="P4" s="300"/>
      <c r="Q4" s="300"/>
      <c r="R4" s="300"/>
      <c r="S4" s="300"/>
      <c r="T4" s="300"/>
      <c r="U4" s="300"/>
      <c r="V4" s="302"/>
      <c r="W4" s="502"/>
      <c r="X4" s="504"/>
      <c r="Y4" s="506"/>
      <c r="Z4" s="504"/>
      <c r="AA4" s="500"/>
    </row>
    <row r="5" spans="1:32" x14ac:dyDescent="0.3">
      <c r="A5" s="492"/>
      <c r="B5" s="315" t="s">
        <v>8</v>
      </c>
      <c r="C5" s="299"/>
      <c r="D5" s="299">
        <v>554277</v>
      </c>
      <c r="E5" s="299">
        <v>554280</v>
      </c>
      <c r="F5" s="299">
        <v>554319</v>
      </c>
      <c r="G5" s="299">
        <v>554462</v>
      </c>
      <c r="H5" s="299">
        <v>554464</v>
      </c>
      <c r="I5" s="299">
        <v>554466</v>
      </c>
      <c r="J5" s="299">
        <v>554469</v>
      </c>
      <c r="K5" s="300">
        <v>554492</v>
      </c>
      <c r="L5" s="300">
        <v>554572</v>
      </c>
      <c r="M5" s="300">
        <v>554633</v>
      </c>
      <c r="N5" s="300">
        <v>554674</v>
      </c>
      <c r="O5" s="300"/>
      <c r="P5" s="300"/>
      <c r="Q5" s="300"/>
      <c r="R5" s="300"/>
      <c r="S5" s="300"/>
      <c r="T5" s="300"/>
      <c r="U5" s="300"/>
      <c r="V5" s="302"/>
      <c r="W5" s="502"/>
      <c r="X5" s="504"/>
      <c r="Y5" s="506"/>
      <c r="Z5" s="504"/>
      <c r="AA5" s="500"/>
      <c r="AF5">
        <v>0.35</v>
      </c>
    </row>
    <row r="6" spans="1:32" ht="15" thickBot="1" x14ac:dyDescent="0.35">
      <c r="A6" s="492"/>
      <c r="B6" s="363" t="s">
        <v>9</v>
      </c>
      <c r="C6" s="364"/>
      <c r="D6" s="364">
        <v>2016.9</v>
      </c>
      <c r="E6" s="364">
        <v>2016.9</v>
      </c>
      <c r="F6" s="364">
        <v>8443.7999999999993</v>
      </c>
      <c r="G6" s="364">
        <v>12162</v>
      </c>
      <c r="H6" s="364">
        <v>3953.4</v>
      </c>
      <c r="I6" s="364">
        <v>12735.9</v>
      </c>
      <c r="J6" s="364">
        <v>1704.9</v>
      </c>
      <c r="K6" s="365">
        <v>2047.2</v>
      </c>
      <c r="L6" s="365">
        <v>4033.8</v>
      </c>
      <c r="M6" s="365">
        <v>3704.4</v>
      </c>
      <c r="N6" s="365">
        <v>3745.8</v>
      </c>
      <c r="O6" s="365"/>
      <c r="P6" s="365"/>
      <c r="Q6" s="365"/>
      <c r="R6" s="365"/>
      <c r="S6" s="365"/>
      <c r="T6" s="365"/>
      <c r="U6" s="365"/>
      <c r="V6" s="366"/>
      <c r="W6" s="367">
        <f t="shared" ref="W6:W26" si="0">SUM(C6:V6)</f>
        <v>56565.000000000007</v>
      </c>
      <c r="X6" s="326"/>
      <c r="Y6" s="368"/>
      <c r="Z6" s="326"/>
      <c r="AA6" s="325"/>
      <c r="AC6" s="130" t="s">
        <v>64</v>
      </c>
      <c r="AD6" s="130" t="s">
        <v>74</v>
      </c>
      <c r="AE6" s="130" t="s">
        <v>50</v>
      </c>
      <c r="AF6" s="130" t="s">
        <v>51</v>
      </c>
    </row>
    <row r="7" spans="1:32" x14ac:dyDescent="0.3">
      <c r="A7" s="339" t="s">
        <v>112</v>
      </c>
      <c r="B7" s="351" t="s">
        <v>279</v>
      </c>
      <c r="C7" s="144">
        <v>25</v>
      </c>
      <c r="D7" s="145">
        <v>30</v>
      </c>
      <c r="E7" s="145">
        <v>30</v>
      </c>
      <c r="F7" s="145">
        <v>60</v>
      </c>
      <c r="G7" s="145">
        <v>120</v>
      </c>
      <c r="H7" s="145"/>
      <c r="I7" s="145">
        <v>90</v>
      </c>
      <c r="J7" s="145"/>
      <c r="K7" s="145"/>
      <c r="L7" s="145">
        <v>60</v>
      </c>
      <c r="M7" s="145">
        <v>60</v>
      </c>
      <c r="N7" s="145">
        <v>30</v>
      </c>
      <c r="O7" s="145">
        <v>30</v>
      </c>
      <c r="P7" s="145"/>
      <c r="Q7" s="145"/>
      <c r="R7" s="145"/>
      <c r="S7" s="145"/>
      <c r="T7" s="145"/>
      <c r="U7" s="145"/>
      <c r="V7" s="242"/>
      <c r="W7" s="354">
        <f t="shared" si="0"/>
        <v>535</v>
      </c>
      <c r="X7" s="342">
        <v>5.64</v>
      </c>
      <c r="Y7" s="343">
        <f t="shared" ref="Y7:Y22" si="1">W7*X7</f>
        <v>3017.3999999999996</v>
      </c>
      <c r="Z7" s="344">
        <v>0.98</v>
      </c>
      <c r="AA7" s="345">
        <f t="shared" ref="AA7:AA14" si="2">W7*Z7</f>
        <v>524.29999999999995</v>
      </c>
      <c r="AC7" s="200">
        <v>1.6041000000000001</v>
      </c>
      <c r="AD7" s="247">
        <f t="shared" ref="AD7:AD26" si="3">+AC7/0.57</f>
        <v>2.8142105263157897</v>
      </c>
      <c r="AE7" s="39">
        <f>+AD7*(1.45+0.18+0.35)</f>
        <v>5.5721368421052633</v>
      </c>
      <c r="AF7" s="39">
        <f t="shared" ref="AF7:AF26" si="4">+AD7*0.35</f>
        <v>0.98497368421052633</v>
      </c>
    </row>
    <row r="8" spans="1:32" x14ac:dyDescent="0.3">
      <c r="A8" s="340" t="s">
        <v>113</v>
      </c>
      <c r="B8" s="352" t="s">
        <v>280</v>
      </c>
      <c r="C8" s="56">
        <v>4</v>
      </c>
      <c r="D8" s="57">
        <v>30</v>
      </c>
      <c r="E8" s="57">
        <v>30</v>
      </c>
      <c r="F8" s="57">
        <v>120</v>
      </c>
      <c r="G8" s="57">
        <v>120</v>
      </c>
      <c r="H8" s="256"/>
      <c r="I8" s="256">
        <v>90</v>
      </c>
      <c r="J8" s="256"/>
      <c r="K8" s="57"/>
      <c r="L8" s="57">
        <v>60</v>
      </c>
      <c r="M8" s="57">
        <v>30</v>
      </c>
      <c r="N8" s="57">
        <v>120</v>
      </c>
      <c r="O8" s="57">
        <v>30</v>
      </c>
      <c r="P8" s="57"/>
      <c r="Q8" s="57"/>
      <c r="R8" s="57"/>
      <c r="S8" s="57"/>
      <c r="T8" s="57"/>
      <c r="U8" s="57"/>
      <c r="V8" s="113"/>
      <c r="W8" s="355">
        <f t="shared" si="0"/>
        <v>634</v>
      </c>
      <c r="X8" s="347">
        <v>5.8</v>
      </c>
      <c r="Y8" s="348">
        <f t="shared" si="1"/>
        <v>3677.2</v>
      </c>
      <c r="Z8" s="349">
        <v>1.01</v>
      </c>
      <c r="AA8" s="350">
        <f t="shared" si="2"/>
        <v>640.34</v>
      </c>
      <c r="AC8" s="200">
        <v>1.6488</v>
      </c>
      <c r="AD8" s="247">
        <f t="shared" si="3"/>
        <v>2.8926315789473689</v>
      </c>
      <c r="AE8" s="39">
        <f t="shared" ref="AE8:AE26" si="5">+AD8*(1.67+0.18+0.35)</f>
        <v>6.3637894736842107</v>
      </c>
      <c r="AF8" s="39">
        <f t="shared" si="4"/>
        <v>1.0124210526315791</v>
      </c>
    </row>
    <row r="9" spans="1:32" x14ac:dyDescent="0.3">
      <c r="A9" s="340" t="s">
        <v>61</v>
      </c>
      <c r="B9" s="352" t="s">
        <v>281</v>
      </c>
      <c r="C9" s="56">
        <v>27</v>
      </c>
      <c r="D9" s="57">
        <v>60</v>
      </c>
      <c r="E9" s="57">
        <v>60</v>
      </c>
      <c r="F9" s="57">
        <v>240</v>
      </c>
      <c r="G9" s="57">
        <v>360</v>
      </c>
      <c r="H9" s="57">
        <v>120</v>
      </c>
      <c r="I9" s="57">
        <v>360</v>
      </c>
      <c r="J9" s="57">
        <v>60</v>
      </c>
      <c r="K9" s="57">
        <v>60</v>
      </c>
      <c r="L9" s="57">
        <v>120</v>
      </c>
      <c r="M9" s="57">
        <v>120</v>
      </c>
      <c r="N9" s="57">
        <v>120</v>
      </c>
      <c r="O9" s="57"/>
      <c r="P9" s="57"/>
      <c r="Q9" s="57"/>
      <c r="R9" s="57"/>
      <c r="S9" s="57"/>
      <c r="T9" s="57"/>
      <c r="U9" s="57"/>
      <c r="V9" s="51"/>
      <c r="W9" s="355">
        <f>SUM(C9:V9)</f>
        <v>1707</v>
      </c>
      <c r="X9" s="347">
        <v>10.62</v>
      </c>
      <c r="Y9" s="348">
        <f>W9*X9</f>
        <v>18128.34</v>
      </c>
      <c r="Z9" s="349">
        <v>3.63</v>
      </c>
      <c r="AA9" s="350">
        <f>W9*Z9</f>
        <v>6196.41</v>
      </c>
      <c r="AB9" t="s">
        <v>65</v>
      </c>
      <c r="AC9" s="200">
        <v>2.6473</v>
      </c>
      <c r="AD9" s="247">
        <f>+AC9/0.57</f>
        <v>4.6443859649122814</v>
      </c>
      <c r="AE9" s="39">
        <f>+AD9*(1.67+0.18+0.35)+2</f>
        <v>12.217649122807018</v>
      </c>
      <c r="AF9" s="39">
        <f>+AD9*0.35+2</f>
        <v>3.6255350877192987</v>
      </c>
    </row>
    <row r="10" spans="1:32" x14ac:dyDescent="0.3">
      <c r="A10" s="340" t="s">
        <v>59</v>
      </c>
      <c r="B10" s="352" t="s">
        <v>282</v>
      </c>
      <c r="C10" s="56">
        <v>15</v>
      </c>
      <c r="D10" s="57">
        <v>30</v>
      </c>
      <c r="E10" s="57">
        <v>30</v>
      </c>
      <c r="F10" s="57">
        <v>120</v>
      </c>
      <c r="G10" s="57">
        <v>180</v>
      </c>
      <c r="H10" s="57">
        <v>60</v>
      </c>
      <c r="I10" s="57">
        <v>180</v>
      </c>
      <c r="J10" s="57">
        <v>30</v>
      </c>
      <c r="K10" s="57">
        <v>30</v>
      </c>
      <c r="L10" s="57">
        <v>60</v>
      </c>
      <c r="M10" s="57">
        <v>60</v>
      </c>
      <c r="N10" s="57">
        <v>60</v>
      </c>
      <c r="O10" s="57"/>
      <c r="P10" s="57"/>
      <c r="Q10" s="57"/>
      <c r="R10" s="57"/>
      <c r="S10" s="57"/>
      <c r="T10" s="57"/>
      <c r="U10" s="57"/>
      <c r="V10" s="51"/>
      <c r="W10" s="355">
        <f>SUM(C10:V10)</f>
        <v>855</v>
      </c>
      <c r="X10" s="347">
        <v>12.08</v>
      </c>
      <c r="Y10" s="348">
        <f>W10*X10</f>
        <v>10328.4</v>
      </c>
      <c r="Z10" s="349">
        <v>2.1</v>
      </c>
      <c r="AA10" s="350">
        <f>W10*Z10</f>
        <v>1795.5</v>
      </c>
      <c r="AC10" s="200">
        <v>3.4184999999999999</v>
      </c>
      <c r="AD10" s="247">
        <f>+AC10/0.57</f>
        <v>5.9973684210526317</v>
      </c>
      <c r="AE10" s="39">
        <f>+AD10*(1.67+0.18+0.35)</f>
        <v>13.194210526315787</v>
      </c>
      <c r="AF10" s="39">
        <f>+AD10*0.35</f>
        <v>2.099078947368421</v>
      </c>
    </row>
    <row r="11" spans="1:32" x14ac:dyDescent="0.3">
      <c r="A11" s="340" t="s">
        <v>70</v>
      </c>
      <c r="B11" s="352" t="s">
        <v>283</v>
      </c>
      <c r="C11" s="56">
        <v>20</v>
      </c>
      <c r="D11" s="57"/>
      <c r="E11" s="57"/>
      <c r="F11" s="57"/>
      <c r="G11" s="57"/>
      <c r="H11" s="256"/>
      <c r="I11" s="256"/>
      <c r="J11" s="257"/>
      <c r="K11" s="238"/>
      <c r="L11" s="238"/>
      <c r="M11" s="57"/>
      <c r="N11" s="238"/>
      <c r="O11" s="57"/>
      <c r="P11" s="238"/>
      <c r="Q11" s="238"/>
      <c r="R11" s="238"/>
      <c r="S11" s="238"/>
      <c r="T11" s="238"/>
      <c r="U11" s="238"/>
      <c r="V11" s="113"/>
      <c r="W11" s="355">
        <f t="shared" si="0"/>
        <v>20</v>
      </c>
      <c r="X11" s="347">
        <v>10.39</v>
      </c>
      <c r="Y11" s="348">
        <f t="shared" si="1"/>
        <v>207.8</v>
      </c>
      <c r="Z11" s="349">
        <v>1.86</v>
      </c>
      <c r="AA11" s="350">
        <f t="shared" si="2"/>
        <v>37.200000000000003</v>
      </c>
      <c r="AB11">
        <v>11.52</v>
      </c>
      <c r="AC11" s="200">
        <v>3.0282</v>
      </c>
      <c r="AD11" s="265">
        <f t="shared" si="3"/>
        <v>5.3126315789473688</v>
      </c>
      <c r="AE11" s="39">
        <f t="shared" si="5"/>
        <v>11.687789473684211</v>
      </c>
      <c r="AF11" s="39">
        <f t="shared" si="4"/>
        <v>1.8594210526315789</v>
      </c>
    </row>
    <row r="12" spans="1:32" x14ac:dyDescent="0.3">
      <c r="A12" s="340" t="s">
        <v>60</v>
      </c>
      <c r="B12" s="352" t="s">
        <v>284</v>
      </c>
      <c r="C12" s="56">
        <v>13</v>
      </c>
      <c r="D12" s="57">
        <v>30</v>
      </c>
      <c r="E12" s="57">
        <v>30</v>
      </c>
      <c r="F12" s="57">
        <v>120</v>
      </c>
      <c r="G12" s="57">
        <v>180</v>
      </c>
      <c r="H12" s="57">
        <v>60</v>
      </c>
      <c r="I12" s="57">
        <v>180</v>
      </c>
      <c r="J12" s="57">
        <v>30</v>
      </c>
      <c r="K12" s="57">
        <v>30</v>
      </c>
      <c r="L12" s="57">
        <v>60</v>
      </c>
      <c r="M12" s="57">
        <v>60</v>
      </c>
      <c r="N12" s="57">
        <v>60</v>
      </c>
      <c r="O12" s="57"/>
      <c r="P12" s="57"/>
      <c r="Q12" s="57"/>
      <c r="R12" s="57"/>
      <c r="S12" s="57"/>
      <c r="T12" s="57"/>
      <c r="U12" s="57"/>
      <c r="V12" s="51"/>
      <c r="W12" s="355">
        <f>SUM(C12:V12)</f>
        <v>853</v>
      </c>
      <c r="X12" s="347">
        <v>12.1</v>
      </c>
      <c r="Y12" s="348">
        <f>W12*X12</f>
        <v>10321.299999999999</v>
      </c>
      <c r="Z12" s="349">
        <v>2.1</v>
      </c>
      <c r="AA12" s="350">
        <f>W12*Z12</f>
        <v>1791.3000000000002</v>
      </c>
      <c r="AC12" s="200">
        <v>3.4184999999999999</v>
      </c>
      <c r="AD12" s="247">
        <f>+AC12/0.57</f>
        <v>5.9973684210526317</v>
      </c>
      <c r="AE12" s="39">
        <f>+AD12*(1.67+0.18+0.35)</f>
        <v>13.194210526315787</v>
      </c>
      <c r="AF12" s="39">
        <f>+AD12*0.35</f>
        <v>2.099078947368421</v>
      </c>
    </row>
    <row r="13" spans="1:32" x14ac:dyDescent="0.3">
      <c r="A13" s="340" t="s">
        <v>71</v>
      </c>
      <c r="B13" s="352" t="s">
        <v>285</v>
      </c>
      <c r="C13" s="56">
        <v>9</v>
      </c>
      <c r="D13" s="57"/>
      <c r="E13" s="57"/>
      <c r="F13" s="57"/>
      <c r="G13" s="57"/>
      <c r="H13" s="256"/>
      <c r="I13" s="256"/>
      <c r="J13" s="257"/>
      <c r="K13" s="57"/>
      <c r="L13" s="57"/>
      <c r="M13" s="238"/>
      <c r="N13" s="57"/>
      <c r="O13" s="238"/>
      <c r="P13" s="238"/>
      <c r="Q13" s="57"/>
      <c r="R13" s="57"/>
      <c r="S13" s="57"/>
      <c r="T13" s="57"/>
      <c r="U13" s="238"/>
      <c r="V13" s="113"/>
      <c r="W13" s="355">
        <f t="shared" si="0"/>
        <v>9</v>
      </c>
      <c r="X13" s="347">
        <v>12.09</v>
      </c>
      <c r="Y13" s="348">
        <f t="shared" si="1"/>
        <v>108.81</v>
      </c>
      <c r="Z13" s="349">
        <v>2.11</v>
      </c>
      <c r="AA13" s="350">
        <f t="shared" si="2"/>
        <v>18.989999999999998</v>
      </c>
      <c r="AB13">
        <v>13.39</v>
      </c>
      <c r="AC13" s="200">
        <v>3.4373999999999998</v>
      </c>
      <c r="AD13" s="247">
        <f t="shared" si="3"/>
        <v>6.0305263157894737</v>
      </c>
      <c r="AE13" s="39">
        <f t="shared" si="5"/>
        <v>13.26715789473684</v>
      </c>
      <c r="AF13" s="39">
        <f t="shared" si="4"/>
        <v>2.1106842105263155</v>
      </c>
    </row>
    <row r="14" spans="1:32" x14ac:dyDescent="0.3">
      <c r="A14" s="340" t="s">
        <v>72</v>
      </c>
      <c r="B14" s="352" t="s">
        <v>286</v>
      </c>
      <c r="C14" s="56">
        <v>25</v>
      </c>
      <c r="D14" s="57"/>
      <c r="E14" s="57"/>
      <c r="F14" s="57"/>
      <c r="G14" s="57"/>
      <c r="H14" s="256"/>
      <c r="I14" s="256"/>
      <c r="J14" s="257"/>
      <c r="K14" s="238"/>
      <c r="L14" s="57"/>
      <c r="M14" s="238"/>
      <c r="N14" s="57"/>
      <c r="O14" s="238"/>
      <c r="P14" s="238"/>
      <c r="Q14" s="57"/>
      <c r="R14" s="57"/>
      <c r="S14" s="57"/>
      <c r="T14" s="57"/>
      <c r="U14" s="238"/>
      <c r="V14" s="113"/>
      <c r="W14" s="355">
        <f t="shared" si="0"/>
        <v>25</v>
      </c>
      <c r="X14" s="347">
        <v>12.09</v>
      </c>
      <c r="Y14" s="348">
        <f t="shared" si="1"/>
        <v>302.25</v>
      </c>
      <c r="Z14" s="349">
        <v>2.11</v>
      </c>
      <c r="AA14" s="350">
        <f t="shared" si="2"/>
        <v>52.75</v>
      </c>
      <c r="AB14">
        <v>13.2</v>
      </c>
      <c r="AC14" s="200">
        <v>3.4373999999999998</v>
      </c>
      <c r="AD14" s="247">
        <f t="shared" si="3"/>
        <v>6.0305263157894737</v>
      </c>
      <c r="AE14" s="39">
        <f t="shared" si="5"/>
        <v>13.26715789473684</v>
      </c>
      <c r="AF14" s="39">
        <f t="shared" si="4"/>
        <v>2.1106842105263155</v>
      </c>
    </row>
    <row r="15" spans="1:32" x14ac:dyDescent="0.3">
      <c r="A15" s="340" t="s">
        <v>73</v>
      </c>
      <c r="B15" s="352" t="s">
        <v>287</v>
      </c>
      <c r="C15" s="56">
        <v>21</v>
      </c>
      <c r="D15" s="57"/>
      <c r="E15" s="57"/>
      <c r="F15" s="57"/>
      <c r="G15" s="57"/>
      <c r="H15" s="57"/>
      <c r="I15" s="57"/>
      <c r="J15" s="254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1"/>
      <c r="W15" s="355">
        <f t="shared" si="0"/>
        <v>21</v>
      </c>
      <c r="X15" s="347">
        <v>10.7</v>
      </c>
      <c r="Y15" s="348">
        <f t="shared" si="1"/>
        <v>224.7</v>
      </c>
      <c r="Z15" s="349">
        <v>1.9</v>
      </c>
      <c r="AA15" s="350">
        <f t="shared" ref="AA15:AA26" si="6">W15*Z15</f>
        <v>39.9</v>
      </c>
      <c r="AB15">
        <v>11.79</v>
      </c>
      <c r="AC15" s="200">
        <v>3.0985999999999998</v>
      </c>
      <c r="AD15" s="265">
        <f t="shared" si="3"/>
        <v>5.4361403508771931</v>
      </c>
      <c r="AE15" s="39">
        <f t="shared" si="5"/>
        <v>11.959508771929823</v>
      </c>
      <c r="AF15" s="39">
        <f t="shared" si="4"/>
        <v>1.9026491228070175</v>
      </c>
    </row>
    <row r="16" spans="1:32" x14ac:dyDescent="0.3">
      <c r="A16" s="340" t="s">
        <v>111</v>
      </c>
      <c r="B16" s="352" t="s">
        <v>288</v>
      </c>
      <c r="C16" s="56">
        <v>9</v>
      </c>
      <c r="D16" s="57">
        <v>30</v>
      </c>
      <c r="E16" s="57">
        <v>30</v>
      </c>
      <c r="F16" s="57">
        <v>60</v>
      </c>
      <c r="G16" s="57">
        <v>120</v>
      </c>
      <c r="H16" s="57"/>
      <c r="I16" s="57">
        <v>90</v>
      </c>
      <c r="J16" s="57"/>
      <c r="K16" s="57"/>
      <c r="L16" s="57">
        <v>60</v>
      </c>
      <c r="M16" s="57">
        <v>30</v>
      </c>
      <c r="N16" s="57">
        <v>30</v>
      </c>
      <c r="O16" s="57">
        <v>30</v>
      </c>
      <c r="P16" s="57"/>
      <c r="Q16" s="57"/>
      <c r="R16" s="57"/>
      <c r="S16" s="57"/>
      <c r="T16" s="57"/>
      <c r="U16" s="57"/>
      <c r="V16" s="113"/>
      <c r="W16" s="355">
        <f>SUM(C16:V16)</f>
        <v>489</v>
      </c>
      <c r="X16" s="347">
        <v>5.18</v>
      </c>
      <c r="Y16" s="348">
        <f>W16*X16</f>
        <v>2533.02</v>
      </c>
      <c r="Z16" s="349">
        <v>0.9</v>
      </c>
      <c r="AA16" s="350">
        <f>W16*Z16</f>
        <v>440.1</v>
      </c>
      <c r="AC16" s="200">
        <v>1.4716</v>
      </c>
      <c r="AD16" s="247">
        <f>+AC16/0.57</f>
        <v>2.5817543859649126</v>
      </c>
      <c r="AE16" s="39">
        <f>+AD16*(1.45+0.18+0.35)</f>
        <v>5.1118736842105266</v>
      </c>
      <c r="AF16" s="39">
        <f>+AD16*0.35</f>
        <v>0.90361403508771931</v>
      </c>
    </row>
    <row r="17" spans="1:33" x14ac:dyDescent="0.3">
      <c r="A17" s="340" t="s">
        <v>75</v>
      </c>
      <c r="B17" s="352" t="s">
        <v>289</v>
      </c>
      <c r="C17" s="56">
        <v>16</v>
      </c>
      <c r="D17" s="57">
        <v>30</v>
      </c>
      <c r="E17" s="57">
        <v>30</v>
      </c>
      <c r="F17" s="57">
        <v>60</v>
      </c>
      <c r="G17" s="57">
        <v>120</v>
      </c>
      <c r="H17" s="57"/>
      <c r="I17" s="57">
        <v>90</v>
      </c>
      <c r="J17" s="57"/>
      <c r="K17" s="57"/>
      <c r="L17" s="57">
        <v>60</v>
      </c>
      <c r="M17" s="57">
        <v>60</v>
      </c>
      <c r="N17" s="57"/>
      <c r="O17" s="57">
        <v>30</v>
      </c>
      <c r="P17" s="57"/>
      <c r="Q17" s="57"/>
      <c r="R17" s="57"/>
      <c r="S17" s="57"/>
      <c r="T17" s="57"/>
      <c r="U17" s="57"/>
      <c r="V17" s="113"/>
      <c r="W17" s="355">
        <f>SUM(C17:V17)</f>
        <v>496</v>
      </c>
      <c r="X17" s="347">
        <v>5.19</v>
      </c>
      <c r="Y17" s="348">
        <f>W17*X17</f>
        <v>2574.2400000000002</v>
      </c>
      <c r="Z17" s="349">
        <v>0.91</v>
      </c>
      <c r="AA17" s="350">
        <f>W17*Z17</f>
        <v>451.36</v>
      </c>
      <c r="AC17" s="266">
        <v>1.476</v>
      </c>
      <c r="AD17" s="247">
        <f t="shared" ref="AD17" si="7">+AC17/0.57</f>
        <v>2.5894736842105264</v>
      </c>
      <c r="AE17" s="39">
        <f>+AD17*(1.45+0.18+0.35)</f>
        <v>5.1271578947368424</v>
      </c>
      <c r="AF17" s="39">
        <f t="shared" ref="AF17" si="8">+AD17*0.35</f>
        <v>0.90631578947368419</v>
      </c>
    </row>
    <row r="18" spans="1:33" x14ac:dyDescent="0.3">
      <c r="A18" s="336" t="s">
        <v>186</v>
      </c>
      <c r="B18" s="334" t="s">
        <v>294</v>
      </c>
      <c r="C18" s="56"/>
      <c r="D18" s="57"/>
      <c r="E18" s="57"/>
      <c r="F18" s="57">
        <v>60</v>
      </c>
      <c r="G18" s="57">
        <v>60</v>
      </c>
      <c r="H18" s="57"/>
      <c r="I18" s="57">
        <v>60</v>
      </c>
      <c r="J18" s="57">
        <v>30</v>
      </c>
      <c r="K18" s="57">
        <v>30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1"/>
      <c r="W18" s="369">
        <f t="shared" si="0"/>
        <v>240</v>
      </c>
      <c r="X18" s="356">
        <v>5.84</v>
      </c>
      <c r="Y18" s="357">
        <f t="shared" si="1"/>
        <v>1401.6</v>
      </c>
      <c r="Z18" s="370">
        <v>1.08</v>
      </c>
      <c r="AA18" s="371">
        <f t="shared" si="6"/>
        <v>259.20000000000005</v>
      </c>
      <c r="AC18" s="200">
        <v>1.7644</v>
      </c>
      <c r="AD18" s="248">
        <f t="shared" si="3"/>
        <v>3.0954385964912281</v>
      </c>
      <c r="AE18" s="246">
        <f>+AD18*(1.17+0.18+0.35)</f>
        <v>5.2622456140350868</v>
      </c>
      <c r="AF18" s="246">
        <f>+AD18*0.35</f>
        <v>1.0834035087719298</v>
      </c>
      <c r="AG18" t="s">
        <v>190</v>
      </c>
    </row>
    <row r="19" spans="1:33" x14ac:dyDescent="0.3">
      <c r="A19" s="336" t="s">
        <v>187</v>
      </c>
      <c r="B19" s="334" t="s">
        <v>295</v>
      </c>
      <c r="C19" s="56">
        <v>21</v>
      </c>
      <c r="D19" s="57"/>
      <c r="E19" s="57"/>
      <c r="F19" s="57">
        <v>60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1"/>
      <c r="W19" s="369">
        <f t="shared" si="0"/>
        <v>81</v>
      </c>
      <c r="X19" s="356">
        <v>5.17</v>
      </c>
      <c r="Y19" s="357">
        <f t="shared" si="1"/>
        <v>418.77</v>
      </c>
      <c r="Z19" s="370">
        <v>1.06</v>
      </c>
      <c r="AA19" s="371">
        <f t="shared" si="6"/>
        <v>85.86</v>
      </c>
      <c r="AC19" s="200">
        <v>1.7273000000000001</v>
      </c>
      <c r="AD19" s="248">
        <f t="shared" si="3"/>
        <v>3.030350877192983</v>
      </c>
      <c r="AE19" s="246">
        <f>+AD19*(1.17+0.18+0.35)</f>
        <v>5.1515964912280703</v>
      </c>
      <c r="AF19" s="246">
        <f>+AD19*0.35</f>
        <v>1.0606228070175441</v>
      </c>
      <c r="AG19" t="s">
        <v>190</v>
      </c>
    </row>
    <row r="20" spans="1:33" x14ac:dyDescent="0.3">
      <c r="A20" s="336" t="s">
        <v>187</v>
      </c>
      <c r="B20" s="334" t="s">
        <v>295</v>
      </c>
      <c r="C20" s="56"/>
      <c r="D20" s="57"/>
      <c r="E20" s="57"/>
      <c r="F20" s="57"/>
      <c r="G20" s="57">
        <v>60</v>
      </c>
      <c r="H20" s="57"/>
      <c r="I20" s="57">
        <v>60</v>
      </c>
      <c r="J20" s="57"/>
      <c r="K20" s="57">
        <v>30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1"/>
      <c r="W20" s="369">
        <f t="shared" si="0"/>
        <v>150</v>
      </c>
      <c r="X20" s="356">
        <v>5.71</v>
      </c>
      <c r="Y20" s="357">
        <f t="shared" ref="Y20" si="9">W20*X20</f>
        <v>856.5</v>
      </c>
      <c r="Z20" s="370">
        <v>1.06</v>
      </c>
      <c r="AA20" s="371">
        <f t="shared" ref="AA20" si="10">W20*Z20</f>
        <v>159</v>
      </c>
      <c r="AC20" s="200">
        <v>1.7273000000000001</v>
      </c>
      <c r="AD20" s="248">
        <f t="shared" ref="AD20" si="11">+AC20/0.57</f>
        <v>3.030350877192983</v>
      </c>
      <c r="AE20" s="246">
        <f>+AD20*(1.17+0.18+0.35)</f>
        <v>5.1515964912280703</v>
      </c>
      <c r="AF20" s="246">
        <f>+AD20*0.35</f>
        <v>1.0606228070175441</v>
      </c>
      <c r="AG20" t="s">
        <v>190</v>
      </c>
    </row>
    <row r="21" spans="1:33" x14ac:dyDescent="0.3">
      <c r="A21" s="336" t="s">
        <v>188</v>
      </c>
      <c r="B21" s="334" t="s">
        <v>296</v>
      </c>
      <c r="C21" s="56">
        <v>23</v>
      </c>
      <c r="D21" s="57"/>
      <c r="E21" s="57"/>
      <c r="F21" s="57">
        <v>60</v>
      </c>
      <c r="G21" s="57">
        <v>60</v>
      </c>
      <c r="H21" s="57"/>
      <c r="I21" s="57">
        <v>60</v>
      </c>
      <c r="J21" s="57">
        <v>30</v>
      </c>
      <c r="K21" s="57">
        <v>30</v>
      </c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1"/>
      <c r="W21" s="369">
        <f t="shared" si="0"/>
        <v>263</v>
      </c>
      <c r="X21" s="356">
        <v>5.57</v>
      </c>
      <c r="Y21" s="357">
        <f t="shared" si="1"/>
        <v>1464.91</v>
      </c>
      <c r="Z21" s="370">
        <v>1.04</v>
      </c>
      <c r="AA21" s="371">
        <f t="shared" si="6"/>
        <v>273.52</v>
      </c>
      <c r="AC21" s="200">
        <v>1.7011000000000001</v>
      </c>
      <c r="AD21" s="248">
        <f t="shared" si="3"/>
        <v>2.9843859649122813</v>
      </c>
      <c r="AE21" s="246">
        <f t="shared" ref="AE21:AE22" si="12">+AD21*(1.17+0.18+0.35)</f>
        <v>5.0734561403508778</v>
      </c>
      <c r="AF21" s="246">
        <f>+AD21*0.35</f>
        <v>1.0445350877192985</v>
      </c>
      <c r="AG21" t="s">
        <v>190</v>
      </c>
    </row>
    <row r="22" spans="1:33" x14ac:dyDescent="0.3">
      <c r="A22" s="336" t="s">
        <v>189</v>
      </c>
      <c r="B22" s="334" t="s">
        <v>297</v>
      </c>
      <c r="C22" s="56"/>
      <c r="D22" s="57"/>
      <c r="E22" s="57"/>
      <c r="F22" s="57">
        <v>60</v>
      </c>
      <c r="G22" s="57">
        <v>60</v>
      </c>
      <c r="H22" s="57"/>
      <c r="I22" s="57">
        <v>60</v>
      </c>
      <c r="J22" s="57"/>
      <c r="K22" s="57">
        <v>30</v>
      </c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1"/>
      <c r="W22" s="369">
        <f t="shared" si="0"/>
        <v>210</v>
      </c>
      <c r="X22" s="356">
        <v>5.7</v>
      </c>
      <c r="Y22" s="357">
        <f t="shared" si="1"/>
        <v>1197</v>
      </c>
      <c r="Z22" s="370">
        <v>1.07</v>
      </c>
      <c r="AA22" s="371">
        <f t="shared" si="6"/>
        <v>224.70000000000002</v>
      </c>
      <c r="AC22" s="200">
        <v>1.7393000000000001</v>
      </c>
      <c r="AD22" s="248">
        <f t="shared" si="3"/>
        <v>3.05140350877193</v>
      </c>
      <c r="AE22" s="246">
        <f t="shared" si="12"/>
        <v>5.1873859649122798</v>
      </c>
      <c r="AF22" s="246">
        <f>+AD22*0.35</f>
        <v>1.0679912280701753</v>
      </c>
      <c r="AG22" t="s">
        <v>190</v>
      </c>
    </row>
    <row r="23" spans="1:33" x14ac:dyDescent="0.3">
      <c r="A23" s="337" t="s">
        <v>114</v>
      </c>
      <c r="B23" s="335" t="s">
        <v>290</v>
      </c>
      <c r="C23" s="56">
        <v>28</v>
      </c>
      <c r="D23" s="57"/>
      <c r="E23" s="57"/>
      <c r="F23" s="57"/>
      <c r="G23" s="57"/>
      <c r="H23" s="57">
        <v>60</v>
      </c>
      <c r="I23" s="57">
        <v>60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1"/>
      <c r="W23" s="372">
        <f t="shared" si="0"/>
        <v>148</v>
      </c>
      <c r="X23" s="373">
        <v>5.71</v>
      </c>
      <c r="Y23" s="330">
        <f t="shared" ref="Y23:Y26" si="13">W23*X23</f>
        <v>845.08</v>
      </c>
      <c r="Z23" s="374">
        <v>1</v>
      </c>
      <c r="AA23" s="375">
        <f>W23*Z23</f>
        <v>148</v>
      </c>
      <c r="AC23" s="200">
        <v>1.6291</v>
      </c>
      <c r="AD23" s="247">
        <f t="shared" si="3"/>
        <v>2.8580701754385966</v>
      </c>
      <c r="AE23" s="39">
        <f t="shared" si="5"/>
        <v>6.2877543859649121</v>
      </c>
      <c r="AF23" s="39">
        <f t="shared" si="4"/>
        <v>1.0003245614035088</v>
      </c>
    </row>
    <row r="24" spans="1:33" x14ac:dyDescent="0.3">
      <c r="A24" s="337" t="s">
        <v>115</v>
      </c>
      <c r="B24" s="335" t="s">
        <v>291</v>
      </c>
      <c r="C24" s="56">
        <v>23</v>
      </c>
      <c r="D24" s="57"/>
      <c r="E24" s="57"/>
      <c r="F24" s="57"/>
      <c r="G24" s="57"/>
      <c r="H24" s="57">
        <v>60</v>
      </c>
      <c r="I24" s="57">
        <v>60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1"/>
      <c r="W24" s="372">
        <f t="shared" si="0"/>
        <v>143</v>
      </c>
      <c r="X24" s="373">
        <v>5.7</v>
      </c>
      <c r="Y24" s="330">
        <f t="shared" si="13"/>
        <v>815.1</v>
      </c>
      <c r="Z24" s="374">
        <v>1</v>
      </c>
      <c r="AA24" s="375">
        <f t="shared" si="6"/>
        <v>143</v>
      </c>
      <c r="AC24" s="200">
        <v>1.6291</v>
      </c>
      <c r="AD24" s="247">
        <f t="shared" si="3"/>
        <v>2.8580701754385966</v>
      </c>
      <c r="AE24" s="39">
        <f t="shared" si="5"/>
        <v>6.2877543859649121</v>
      </c>
      <c r="AF24" s="39">
        <f t="shared" si="4"/>
        <v>1.0003245614035088</v>
      </c>
    </row>
    <row r="25" spans="1:33" x14ac:dyDescent="0.3">
      <c r="A25" s="337" t="s">
        <v>62</v>
      </c>
      <c r="B25" s="335" t="s">
        <v>292</v>
      </c>
      <c r="C25" s="56">
        <v>19</v>
      </c>
      <c r="D25" s="57"/>
      <c r="E25" s="57"/>
      <c r="F25" s="57"/>
      <c r="G25" s="57"/>
      <c r="H25" s="57">
        <v>60</v>
      </c>
      <c r="I25" s="57">
        <v>60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1"/>
      <c r="W25" s="372">
        <f t="shared" si="0"/>
        <v>139</v>
      </c>
      <c r="X25" s="373">
        <v>4.53</v>
      </c>
      <c r="Y25" s="330">
        <f t="shared" si="13"/>
        <v>629.67000000000007</v>
      </c>
      <c r="Z25" s="374">
        <v>0.79</v>
      </c>
      <c r="AA25" s="375">
        <f t="shared" si="6"/>
        <v>109.81</v>
      </c>
      <c r="AC25" s="200">
        <v>1.2946</v>
      </c>
      <c r="AD25" s="247">
        <f t="shared" si="3"/>
        <v>2.2712280701754386</v>
      </c>
      <c r="AE25" s="39">
        <f>+AD25*(1.45+0.18+0.35)</f>
        <v>4.497031578947368</v>
      </c>
      <c r="AF25" s="39">
        <f t="shared" si="4"/>
        <v>0.79492982456140349</v>
      </c>
    </row>
    <row r="26" spans="1:33" ht="15" thickBot="1" x14ac:dyDescent="0.35">
      <c r="A26" s="338" t="s">
        <v>63</v>
      </c>
      <c r="B26" s="353" t="s">
        <v>293</v>
      </c>
      <c r="C26" s="58">
        <v>26</v>
      </c>
      <c r="D26" s="59"/>
      <c r="E26" s="59"/>
      <c r="F26" s="59"/>
      <c r="G26" s="59"/>
      <c r="H26" s="59">
        <v>60</v>
      </c>
      <c r="I26" s="59">
        <v>60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2"/>
      <c r="W26" s="376">
        <f t="shared" si="0"/>
        <v>146</v>
      </c>
      <c r="X26" s="377">
        <v>4.53</v>
      </c>
      <c r="Y26" s="331">
        <f t="shared" si="13"/>
        <v>661.38</v>
      </c>
      <c r="Z26" s="378">
        <v>0.79</v>
      </c>
      <c r="AA26" s="379">
        <f t="shared" si="6"/>
        <v>115.34</v>
      </c>
      <c r="AC26" s="200">
        <v>1.2946</v>
      </c>
      <c r="AD26" s="247">
        <f t="shared" si="3"/>
        <v>2.2712280701754386</v>
      </c>
      <c r="AE26" s="39">
        <f t="shared" si="5"/>
        <v>4.9967017543859642</v>
      </c>
      <c r="AF26" s="39">
        <f t="shared" si="4"/>
        <v>0.79492982456140349</v>
      </c>
    </row>
    <row r="27" spans="1:33" ht="15" thickBot="1" x14ac:dyDescent="0.35">
      <c r="A27" s="3"/>
      <c r="B27" s="3"/>
      <c r="C27" s="32"/>
      <c r="D27" s="32"/>
      <c r="E27" s="32"/>
      <c r="F27" s="32"/>
      <c r="G27" s="32"/>
      <c r="H27" s="32"/>
      <c r="I27" s="32"/>
      <c r="W27" s="78">
        <f>SUM(W7:W26)</f>
        <v>7164</v>
      </c>
      <c r="X27" s="5"/>
      <c r="Y27" s="78">
        <f>SUM(Y7:Y26)</f>
        <v>59713.469999999987</v>
      </c>
      <c r="Z27" s="6"/>
      <c r="AA27" s="72">
        <f>SUM(AA7:AA26)</f>
        <v>13506.580000000002</v>
      </c>
    </row>
    <row r="28" spans="1:33" hidden="1" x14ac:dyDescent="0.3">
      <c r="B28" s="3"/>
      <c r="C28" s="32">
        <f>+C7*$X7</f>
        <v>141</v>
      </c>
      <c r="D28" s="32">
        <f>+D7*$X7</f>
        <v>169.2</v>
      </c>
      <c r="E28" s="32">
        <f t="shared" ref="D28:V42" si="14">+E7*$X7</f>
        <v>169.2</v>
      </c>
      <c r="F28" s="32">
        <f t="shared" si="14"/>
        <v>338.4</v>
      </c>
      <c r="G28" s="32">
        <f t="shared" si="14"/>
        <v>676.8</v>
      </c>
      <c r="H28" s="32">
        <f t="shared" si="14"/>
        <v>0</v>
      </c>
      <c r="I28" s="32">
        <f t="shared" si="14"/>
        <v>507.59999999999997</v>
      </c>
      <c r="J28" s="32">
        <f t="shared" si="14"/>
        <v>0</v>
      </c>
      <c r="K28" s="32">
        <f t="shared" si="14"/>
        <v>0</v>
      </c>
      <c r="L28" s="32">
        <f t="shared" si="14"/>
        <v>338.4</v>
      </c>
      <c r="M28" s="32">
        <f t="shared" si="14"/>
        <v>338.4</v>
      </c>
      <c r="N28" s="32">
        <f t="shared" si="14"/>
        <v>169.2</v>
      </c>
      <c r="O28" s="32">
        <f t="shared" si="14"/>
        <v>169.2</v>
      </c>
      <c r="P28" s="32">
        <f t="shared" si="14"/>
        <v>0</v>
      </c>
      <c r="Q28" s="32">
        <f t="shared" si="14"/>
        <v>0</v>
      </c>
      <c r="R28" s="32">
        <f t="shared" si="14"/>
        <v>0</v>
      </c>
      <c r="S28" s="32">
        <f t="shared" si="14"/>
        <v>0</v>
      </c>
      <c r="T28" s="32">
        <f t="shared" si="14"/>
        <v>0</v>
      </c>
      <c r="U28" s="32">
        <f t="shared" si="14"/>
        <v>0</v>
      </c>
      <c r="V28" s="32">
        <f t="shared" si="14"/>
        <v>0</v>
      </c>
      <c r="W28" s="78"/>
      <c r="X28" s="5"/>
      <c r="Y28" s="78"/>
      <c r="Z28" s="6"/>
      <c r="AA28" s="29"/>
    </row>
    <row r="29" spans="1:33" hidden="1" x14ac:dyDescent="0.3">
      <c r="B29" s="3"/>
      <c r="C29" s="32">
        <f t="shared" ref="C29:R46" si="15">+C8*$X8</f>
        <v>23.2</v>
      </c>
      <c r="D29" s="32">
        <f t="shared" si="15"/>
        <v>174</v>
      </c>
      <c r="E29" s="32">
        <f t="shared" si="15"/>
        <v>174</v>
      </c>
      <c r="F29" s="32">
        <f t="shared" si="15"/>
        <v>696</v>
      </c>
      <c r="G29" s="32">
        <f t="shared" si="15"/>
        <v>696</v>
      </c>
      <c r="H29" s="32">
        <f t="shared" si="15"/>
        <v>0</v>
      </c>
      <c r="I29" s="32">
        <f t="shared" si="15"/>
        <v>522</v>
      </c>
      <c r="J29" s="32">
        <f t="shared" si="15"/>
        <v>0</v>
      </c>
      <c r="K29" s="32">
        <f t="shared" si="15"/>
        <v>0</v>
      </c>
      <c r="L29" s="32">
        <f t="shared" si="15"/>
        <v>348</v>
      </c>
      <c r="M29" s="32">
        <f t="shared" si="15"/>
        <v>174</v>
      </c>
      <c r="N29" s="32">
        <f t="shared" si="15"/>
        <v>696</v>
      </c>
      <c r="O29" s="32">
        <f t="shared" si="15"/>
        <v>174</v>
      </c>
      <c r="P29" s="32">
        <f t="shared" si="15"/>
        <v>0</v>
      </c>
      <c r="Q29" s="32">
        <f t="shared" si="15"/>
        <v>0</v>
      </c>
      <c r="R29" s="32">
        <f t="shared" si="15"/>
        <v>0</v>
      </c>
      <c r="S29" s="32">
        <f t="shared" si="14"/>
        <v>0</v>
      </c>
      <c r="T29" s="32">
        <f t="shared" si="14"/>
        <v>0</v>
      </c>
      <c r="U29" s="32">
        <f t="shared" si="14"/>
        <v>0</v>
      </c>
      <c r="V29" s="32">
        <f t="shared" si="14"/>
        <v>0</v>
      </c>
      <c r="W29" s="78"/>
      <c r="X29" s="5"/>
      <c r="Y29" s="78"/>
      <c r="Z29" s="6"/>
      <c r="AA29" s="29"/>
    </row>
    <row r="30" spans="1:33" hidden="1" x14ac:dyDescent="0.3">
      <c r="A30" s="3"/>
      <c r="B30" s="3"/>
      <c r="C30" s="32">
        <f t="shared" si="15"/>
        <v>286.73999999999995</v>
      </c>
      <c r="D30" s="32">
        <f t="shared" si="14"/>
        <v>637.19999999999993</v>
      </c>
      <c r="E30" s="32">
        <f t="shared" si="14"/>
        <v>637.19999999999993</v>
      </c>
      <c r="F30" s="32">
        <f t="shared" si="14"/>
        <v>2548.7999999999997</v>
      </c>
      <c r="G30" s="32">
        <f t="shared" si="14"/>
        <v>3823.2</v>
      </c>
      <c r="H30" s="32">
        <f t="shared" si="14"/>
        <v>1274.3999999999999</v>
      </c>
      <c r="I30" s="32">
        <f t="shared" si="14"/>
        <v>3823.2</v>
      </c>
      <c r="J30" s="32">
        <f t="shared" si="14"/>
        <v>637.19999999999993</v>
      </c>
      <c r="K30" s="32">
        <f t="shared" si="14"/>
        <v>637.19999999999993</v>
      </c>
      <c r="L30" s="32">
        <f t="shared" si="14"/>
        <v>1274.3999999999999</v>
      </c>
      <c r="M30" s="32">
        <f t="shared" si="14"/>
        <v>1274.3999999999999</v>
      </c>
      <c r="N30" s="32">
        <f t="shared" si="14"/>
        <v>1274.3999999999999</v>
      </c>
      <c r="O30" s="32">
        <f t="shared" si="14"/>
        <v>0</v>
      </c>
      <c r="P30" s="32">
        <f t="shared" si="14"/>
        <v>0</v>
      </c>
      <c r="Q30" s="32">
        <f t="shared" si="14"/>
        <v>0</v>
      </c>
      <c r="R30" s="32">
        <f t="shared" si="14"/>
        <v>0</v>
      </c>
      <c r="S30" s="32">
        <f t="shared" si="14"/>
        <v>0</v>
      </c>
      <c r="T30" s="32">
        <f t="shared" si="14"/>
        <v>0</v>
      </c>
      <c r="U30" s="32">
        <f t="shared" si="14"/>
        <v>0</v>
      </c>
      <c r="V30" s="32">
        <f t="shared" si="14"/>
        <v>0</v>
      </c>
      <c r="W30" s="78"/>
      <c r="X30" s="5"/>
      <c r="Y30" s="78"/>
      <c r="Z30" s="6"/>
      <c r="AA30" s="29"/>
    </row>
    <row r="31" spans="1:33" hidden="1" x14ac:dyDescent="0.3">
      <c r="A31" s="3"/>
      <c r="B31" s="3"/>
      <c r="C31" s="32">
        <f t="shared" si="15"/>
        <v>181.2</v>
      </c>
      <c r="D31" s="32">
        <f t="shared" si="14"/>
        <v>362.4</v>
      </c>
      <c r="E31" s="32">
        <f t="shared" si="14"/>
        <v>362.4</v>
      </c>
      <c r="F31" s="32">
        <f t="shared" si="14"/>
        <v>1449.6</v>
      </c>
      <c r="G31" s="32">
        <f t="shared" si="14"/>
        <v>2174.4</v>
      </c>
      <c r="H31" s="32">
        <f t="shared" si="14"/>
        <v>724.8</v>
      </c>
      <c r="I31" s="32">
        <f t="shared" si="14"/>
        <v>2174.4</v>
      </c>
      <c r="J31" s="32">
        <f t="shared" si="14"/>
        <v>362.4</v>
      </c>
      <c r="K31" s="32">
        <f t="shared" si="14"/>
        <v>362.4</v>
      </c>
      <c r="L31" s="32">
        <f t="shared" si="14"/>
        <v>724.8</v>
      </c>
      <c r="M31" s="32">
        <f t="shared" si="14"/>
        <v>724.8</v>
      </c>
      <c r="N31" s="32">
        <f t="shared" si="14"/>
        <v>724.8</v>
      </c>
      <c r="O31" s="32">
        <f t="shared" si="14"/>
        <v>0</v>
      </c>
      <c r="P31" s="32">
        <f t="shared" si="14"/>
        <v>0</v>
      </c>
      <c r="Q31" s="32">
        <f t="shared" si="14"/>
        <v>0</v>
      </c>
      <c r="R31" s="32">
        <f t="shared" si="14"/>
        <v>0</v>
      </c>
      <c r="S31" s="32">
        <f t="shared" si="14"/>
        <v>0</v>
      </c>
      <c r="T31" s="32">
        <f t="shared" si="14"/>
        <v>0</v>
      </c>
      <c r="U31" s="32">
        <f t="shared" si="14"/>
        <v>0</v>
      </c>
      <c r="V31" s="32">
        <f t="shared" si="14"/>
        <v>0</v>
      </c>
      <c r="W31" s="78"/>
      <c r="X31" s="5"/>
      <c r="Y31" s="78"/>
      <c r="Z31" s="6"/>
      <c r="AA31" s="29"/>
    </row>
    <row r="32" spans="1:33" hidden="1" x14ac:dyDescent="0.3">
      <c r="A32" s="3"/>
      <c r="B32" s="3"/>
      <c r="C32" s="32">
        <f t="shared" si="15"/>
        <v>207.8</v>
      </c>
      <c r="D32" s="32">
        <f t="shared" si="14"/>
        <v>0</v>
      </c>
      <c r="E32" s="32">
        <f t="shared" si="14"/>
        <v>0</v>
      </c>
      <c r="F32" s="32">
        <f t="shared" si="14"/>
        <v>0</v>
      </c>
      <c r="G32" s="32">
        <f t="shared" si="14"/>
        <v>0</v>
      </c>
      <c r="H32" s="32">
        <f t="shared" si="14"/>
        <v>0</v>
      </c>
      <c r="I32" s="32">
        <f t="shared" si="14"/>
        <v>0</v>
      </c>
      <c r="J32" s="32">
        <f t="shared" si="14"/>
        <v>0</v>
      </c>
      <c r="K32" s="32">
        <f t="shared" si="14"/>
        <v>0</v>
      </c>
      <c r="L32" s="32">
        <f t="shared" si="14"/>
        <v>0</v>
      </c>
      <c r="M32" s="32">
        <f t="shared" si="14"/>
        <v>0</v>
      </c>
      <c r="N32" s="32">
        <f t="shared" si="14"/>
        <v>0</v>
      </c>
      <c r="O32" s="32">
        <f t="shared" si="14"/>
        <v>0</v>
      </c>
      <c r="P32" s="32">
        <f t="shared" si="14"/>
        <v>0</v>
      </c>
      <c r="Q32" s="32">
        <f t="shared" si="14"/>
        <v>0</v>
      </c>
      <c r="R32" s="32">
        <f t="shared" si="14"/>
        <v>0</v>
      </c>
      <c r="S32" s="32">
        <f t="shared" si="14"/>
        <v>0</v>
      </c>
      <c r="T32" s="32">
        <f t="shared" si="14"/>
        <v>0</v>
      </c>
      <c r="U32" s="32">
        <f t="shared" si="14"/>
        <v>0</v>
      </c>
      <c r="V32" s="32">
        <f t="shared" si="14"/>
        <v>0</v>
      </c>
      <c r="W32" s="78"/>
      <c r="X32" s="5"/>
      <c r="Y32" s="78"/>
      <c r="Z32" s="6"/>
      <c r="AA32" s="29"/>
    </row>
    <row r="33" spans="1:27" hidden="1" x14ac:dyDescent="0.3">
      <c r="A33" s="3"/>
      <c r="B33" s="3"/>
      <c r="C33" s="32">
        <f t="shared" si="15"/>
        <v>157.29999999999998</v>
      </c>
      <c r="D33" s="32">
        <f t="shared" si="14"/>
        <v>363</v>
      </c>
      <c r="E33" s="32">
        <f t="shared" si="14"/>
        <v>363</v>
      </c>
      <c r="F33" s="32">
        <f t="shared" si="14"/>
        <v>1452</v>
      </c>
      <c r="G33" s="32">
        <f t="shared" si="14"/>
        <v>2178</v>
      </c>
      <c r="H33" s="32">
        <f t="shared" si="14"/>
        <v>726</v>
      </c>
      <c r="I33" s="32">
        <f t="shared" si="14"/>
        <v>2178</v>
      </c>
      <c r="J33" s="32">
        <f t="shared" si="14"/>
        <v>363</v>
      </c>
      <c r="K33" s="32">
        <f t="shared" si="14"/>
        <v>363</v>
      </c>
      <c r="L33" s="32">
        <f t="shared" si="14"/>
        <v>726</v>
      </c>
      <c r="M33" s="32">
        <f t="shared" si="14"/>
        <v>726</v>
      </c>
      <c r="N33" s="32">
        <f t="shared" si="14"/>
        <v>726</v>
      </c>
      <c r="O33" s="32">
        <f t="shared" si="14"/>
        <v>0</v>
      </c>
      <c r="P33" s="32">
        <f t="shared" si="14"/>
        <v>0</v>
      </c>
      <c r="Q33" s="32">
        <f t="shared" si="14"/>
        <v>0</v>
      </c>
      <c r="R33" s="32">
        <f t="shared" si="14"/>
        <v>0</v>
      </c>
      <c r="S33" s="32">
        <f t="shared" si="14"/>
        <v>0</v>
      </c>
      <c r="T33" s="32">
        <f t="shared" si="14"/>
        <v>0</v>
      </c>
      <c r="U33" s="32">
        <f t="shared" si="14"/>
        <v>0</v>
      </c>
      <c r="V33" s="32">
        <f t="shared" si="14"/>
        <v>0</v>
      </c>
      <c r="W33" s="78"/>
      <c r="X33" s="5"/>
      <c r="Y33" s="78"/>
      <c r="Z33" s="6"/>
      <c r="AA33" s="29"/>
    </row>
    <row r="34" spans="1:27" hidden="1" x14ac:dyDescent="0.3">
      <c r="A34" s="3"/>
      <c r="B34" s="3"/>
      <c r="C34" s="32">
        <f t="shared" si="15"/>
        <v>108.81</v>
      </c>
      <c r="D34" s="32">
        <f t="shared" si="14"/>
        <v>0</v>
      </c>
      <c r="E34" s="32">
        <f t="shared" si="14"/>
        <v>0</v>
      </c>
      <c r="F34" s="32">
        <f t="shared" si="14"/>
        <v>0</v>
      </c>
      <c r="G34" s="32">
        <f t="shared" si="14"/>
        <v>0</v>
      </c>
      <c r="H34" s="32">
        <f t="shared" si="14"/>
        <v>0</v>
      </c>
      <c r="I34" s="32">
        <f t="shared" si="14"/>
        <v>0</v>
      </c>
      <c r="J34" s="32">
        <f t="shared" si="14"/>
        <v>0</v>
      </c>
      <c r="K34" s="32">
        <f t="shared" si="14"/>
        <v>0</v>
      </c>
      <c r="L34" s="32">
        <f t="shared" si="14"/>
        <v>0</v>
      </c>
      <c r="M34" s="32">
        <f t="shared" si="14"/>
        <v>0</v>
      </c>
      <c r="N34" s="32">
        <f t="shared" si="14"/>
        <v>0</v>
      </c>
      <c r="O34" s="32">
        <f t="shared" si="14"/>
        <v>0</v>
      </c>
      <c r="P34" s="32">
        <f t="shared" si="14"/>
        <v>0</v>
      </c>
      <c r="Q34" s="32">
        <f t="shared" si="14"/>
        <v>0</v>
      </c>
      <c r="R34" s="32">
        <f t="shared" si="14"/>
        <v>0</v>
      </c>
      <c r="S34" s="32">
        <f t="shared" si="14"/>
        <v>0</v>
      </c>
      <c r="T34" s="32">
        <f t="shared" si="14"/>
        <v>0</v>
      </c>
      <c r="U34" s="32">
        <f t="shared" si="14"/>
        <v>0</v>
      </c>
      <c r="V34" s="32">
        <f t="shared" si="14"/>
        <v>0</v>
      </c>
      <c r="W34" s="78"/>
      <c r="X34" s="5"/>
      <c r="Y34" s="78"/>
      <c r="Z34" s="6"/>
      <c r="AA34" s="29"/>
    </row>
    <row r="35" spans="1:27" hidden="1" x14ac:dyDescent="0.3">
      <c r="A35" s="3"/>
      <c r="B35" s="3"/>
      <c r="C35" s="32">
        <f t="shared" si="15"/>
        <v>302.25</v>
      </c>
      <c r="D35" s="32">
        <f t="shared" si="14"/>
        <v>0</v>
      </c>
      <c r="E35" s="32">
        <f t="shared" si="14"/>
        <v>0</v>
      </c>
      <c r="F35" s="32">
        <f t="shared" si="14"/>
        <v>0</v>
      </c>
      <c r="G35" s="32">
        <f t="shared" si="14"/>
        <v>0</v>
      </c>
      <c r="H35" s="32">
        <f t="shared" si="14"/>
        <v>0</v>
      </c>
      <c r="I35" s="32">
        <f t="shared" si="14"/>
        <v>0</v>
      </c>
      <c r="J35" s="32">
        <f t="shared" si="14"/>
        <v>0</v>
      </c>
      <c r="K35" s="32">
        <f t="shared" si="14"/>
        <v>0</v>
      </c>
      <c r="L35" s="32">
        <f t="shared" si="14"/>
        <v>0</v>
      </c>
      <c r="M35" s="32">
        <f t="shared" si="14"/>
        <v>0</v>
      </c>
      <c r="N35" s="32">
        <f t="shared" si="14"/>
        <v>0</v>
      </c>
      <c r="O35" s="32">
        <f t="shared" si="14"/>
        <v>0</v>
      </c>
      <c r="P35" s="32">
        <f t="shared" si="14"/>
        <v>0</v>
      </c>
      <c r="Q35" s="32">
        <f t="shared" si="14"/>
        <v>0</v>
      </c>
      <c r="R35" s="32">
        <f t="shared" si="14"/>
        <v>0</v>
      </c>
      <c r="S35" s="32">
        <f t="shared" si="14"/>
        <v>0</v>
      </c>
      <c r="T35" s="32">
        <f t="shared" si="14"/>
        <v>0</v>
      </c>
      <c r="U35" s="32">
        <f t="shared" si="14"/>
        <v>0</v>
      </c>
      <c r="V35" s="32">
        <f t="shared" si="14"/>
        <v>0</v>
      </c>
      <c r="W35" s="4"/>
      <c r="X35" s="5"/>
      <c r="Z35" s="6"/>
    </row>
    <row r="36" spans="1:27" hidden="1" x14ac:dyDescent="0.3">
      <c r="A36" s="3"/>
      <c r="B36" s="3"/>
      <c r="C36" s="32">
        <f t="shared" si="15"/>
        <v>224.7</v>
      </c>
      <c r="D36" s="32">
        <f t="shared" si="14"/>
        <v>0</v>
      </c>
      <c r="E36" s="32">
        <f t="shared" si="14"/>
        <v>0</v>
      </c>
      <c r="F36" s="32">
        <f t="shared" si="14"/>
        <v>0</v>
      </c>
      <c r="G36" s="32">
        <f t="shared" si="14"/>
        <v>0</v>
      </c>
      <c r="H36" s="32">
        <f t="shared" si="14"/>
        <v>0</v>
      </c>
      <c r="I36" s="32">
        <f t="shared" si="14"/>
        <v>0</v>
      </c>
      <c r="J36" s="32">
        <f t="shared" si="14"/>
        <v>0</v>
      </c>
      <c r="K36" s="32">
        <f t="shared" si="14"/>
        <v>0</v>
      </c>
      <c r="L36" s="32">
        <f t="shared" si="14"/>
        <v>0</v>
      </c>
      <c r="M36" s="32">
        <f t="shared" si="14"/>
        <v>0</v>
      </c>
      <c r="N36" s="32">
        <f t="shared" si="14"/>
        <v>0</v>
      </c>
      <c r="O36" s="32">
        <f t="shared" si="14"/>
        <v>0</v>
      </c>
      <c r="P36" s="32">
        <f t="shared" si="14"/>
        <v>0</v>
      </c>
      <c r="Q36" s="32">
        <f t="shared" si="14"/>
        <v>0</v>
      </c>
      <c r="R36" s="32">
        <f t="shared" si="14"/>
        <v>0</v>
      </c>
      <c r="S36" s="32">
        <f t="shared" si="14"/>
        <v>0</v>
      </c>
      <c r="T36" s="32">
        <f t="shared" si="14"/>
        <v>0</v>
      </c>
      <c r="U36" s="32">
        <f t="shared" si="14"/>
        <v>0</v>
      </c>
      <c r="V36" s="32">
        <f t="shared" si="14"/>
        <v>0</v>
      </c>
      <c r="W36" s="4"/>
      <c r="X36" s="5"/>
      <c r="Y36" s="7"/>
      <c r="Z36" s="6"/>
    </row>
    <row r="37" spans="1:27" hidden="1" x14ac:dyDescent="0.3">
      <c r="A37" s="3"/>
      <c r="B37" s="3"/>
      <c r="C37" s="32">
        <f t="shared" si="15"/>
        <v>46.62</v>
      </c>
      <c r="D37" s="32">
        <f t="shared" si="14"/>
        <v>155.39999999999998</v>
      </c>
      <c r="E37" s="32">
        <f t="shared" si="14"/>
        <v>155.39999999999998</v>
      </c>
      <c r="F37" s="32">
        <f t="shared" si="14"/>
        <v>310.79999999999995</v>
      </c>
      <c r="G37" s="32">
        <f t="shared" si="14"/>
        <v>621.59999999999991</v>
      </c>
      <c r="H37" s="32">
        <f t="shared" si="14"/>
        <v>0</v>
      </c>
      <c r="I37" s="32">
        <f t="shared" si="14"/>
        <v>466.2</v>
      </c>
      <c r="J37" s="32">
        <f t="shared" si="14"/>
        <v>0</v>
      </c>
      <c r="K37" s="32">
        <f t="shared" si="14"/>
        <v>0</v>
      </c>
      <c r="L37" s="32">
        <f t="shared" si="14"/>
        <v>310.79999999999995</v>
      </c>
      <c r="M37" s="32">
        <f t="shared" si="14"/>
        <v>155.39999999999998</v>
      </c>
      <c r="N37" s="32">
        <f t="shared" si="14"/>
        <v>155.39999999999998</v>
      </c>
      <c r="O37" s="32">
        <f t="shared" si="14"/>
        <v>155.39999999999998</v>
      </c>
      <c r="P37" s="32">
        <f t="shared" si="14"/>
        <v>0</v>
      </c>
      <c r="Q37" s="32">
        <f t="shared" si="14"/>
        <v>0</v>
      </c>
      <c r="R37" s="32">
        <f t="shared" si="14"/>
        <v>0</v>
      </c>
      <c r="S37" s="32">
        <f t="shared" si="14"/>
        <v>0</v>
      </c>
      <c r="T37" s="32">
        <f t="shared" si="14"/>
        <v>0</v>
      </c>
      <c r="U37" s="32">
        <f t="shared" si="14"/>
        <v>0</v>
      </c>
      <c r="V37" s="32">
        <f t="shared" si="14"/>
        <v>0</v>
      </c>
      <c r="W37" s="4"/>
      <c r="X37" s="5"/>
      <c r="Y37" s="7"/>
      <c r="Z37" s="6"/>
    </row>
    <row r="38" spans="1:27" hidden="1" x14ac:dyDescent="0.3">
      <c r="C38" s="32">
        <f t="shared" si="15"/>
        <v>83.04</v>
      </c>
      <c r="D38" s="32">
        <f t="shared" si="14"/>
        <v>155.70000000000002</v>
      </c>
      <c r="E38" s="32">
        <f t="shared" si="14"/>
        <v>155.70000000000002</v>
      </c>
      <c r="F38" s="32">
        <f t="shared" si="14"/>
        <v>311.40000000000003</v>
      </c>
      <c r="G38" s="32">
        <f t="shared" si="14"/>
        <v>622.80000000000007</v>
      </c>
      <c r="H38" s="32">
        <f t="shared" si="14"/>
        <v>0</v>
      </c>
      <c r="I38" s="32">
        <f t="shared" si="14"/>
        <v>467.1</v>
      </c>
      <c r="J38" s="32">
        <f t="shared" si="14"/>
        <v>0</v>
      </c>
      <c r="K38" s="32">
        <f t="shared" si="14"/>
        <v>0</v>
      </c>
      <c r="L38" s="32">
        <f t="shared" si="14"/>
        <v>311.40000000000003</v>
      </c>
      <c r="M38" s="32">
        <f t="shared" si="14"/>
        <v>311.40000000000003</v>
      </c>
      <c r="N38" s="32">
        <f t="shared" si="14"/>
        <v>0</v>
      </c>
      <c r="O38" s="32">
        <f t="shared" si="14"/>
        <v>155.70000000000002</v>
      </c>
      <c r="P38" s="32">
        <f t="shared" si="14"/>
        <v>0</v>
      </c>
      <c r="Q38" s="32">
        <f t="shared" si="14"/>
        <v>0</v>
      </c>
      <c r="R38" s="32">
        <f t="shared" si="14"/>
        <v>0</v>
      </c>
      <c r="S38" s="32">
        <f t="shared" si="14"/>
        <v>0</v>
      </c>
      <c r="T38" s="32">
        <f t="shared" si="14"/>
        <v>0</v>
      </c>
      <c r="U38" s="32">
        <f t="shared" si="14"/>
        <v>0</v>
      </c>
      <c r="V38" s="32">
        <f t="shared" si="14"/>
        <v>0</v>
      </c>
      <c r="W38" s="79"/>
    </row>
    <row r="39" spans="1:27" hidden="1" x14ac:dyDescent="0.3">
      <c r="C39" s="32">
        <f t="shared" si="15"/>
        <v>0</v>
      </c>
      <c r="D39" s="32">
        <f t="shared" si="14"/>
        <v>0</v>
      </c>
      <c r="E39" s="32">
        <f t="shared" si="14"/>
        <v>0</v>
      </c>
      <c r="F39" s="32">
        <f t="shared" si="14"/>
        <v>350.4</v>
      </c>
      <c r="G39" s="32">
        <f t="shared" si="14"/>
        <v>350.4</v>
      </c>
      <c r="H39" s="32">
        <f t="shared" si="14"/>
        <v>0</v>
      </c>
      <c r="I39" s="32">
        <f t="shared" si="14"/>
        <v>350.4</v>
      </c>
      <c r="J39" s="32">
        <f t="shared" si="14"/>
        <v>175.2</v>
      </c>
      <c r="K39" s="32">
        <f t="shared" si="14"/>
        <v>175.2</v>
      </c>
      <c r="L39" s="32">
        <f t="shared" si="14"/>
        <v>0</v>
      </c>
      <c r="M39" s="32">
        <f t="shared" si="14"/>
        <v>0</v>
      </c>
      <c r="N39" s="32">
        <f t="shared" si="14"/>
        <v>0</v>
      </c>
      <c r="O39" s="32">
        <f t="shared" si="14"/>
        <v>0</v>
      </c>
      <c r="P39" s="32">
        <f t="shared" si="14"/>
        <v>0</v>
      </c>
      <c r="Q39" s="32">
        <f t="shared" si="14"/>
        <v>0</v>
      </c>
      <c r="R39" s="32">
        <f t="shared" si="14"/>
        <v>0</v>
      </c>
      <c r="S39" s="32">
        <f t="shared" si="14"/>
        <v>0</v>
      </c>
      <c r="T39" s="32">
        <f t="shared" si="14"/>
        <v>0</v>
      </c>
      <c r="U39" s="32">
        <f t="shared" si="14"/>
        <v>0</v>
      </c>
      <c r="V39" s="32">
        <f t="shared" si="14"/>
        <v>0</v>
      </c>
      <c r="W39" s="79"/>
      <c r="Y39" s="245"/>
      <c r="Z39" s="18"/>
      <c r="AA39" s="131"/>
    </row>
    <row r="40" spans="1:27" hidden="1" x14ac:dyDescent="0.3">
      <c r="C40" s="32">
        <f t="shared" si="15"/>
        <v>108.57</v>
      </c>
      <c r="D40" s="32">
        <f t="shared" si="14"/>
        <v>0</v>
      </c>
      <c r="E40" s="32">
        <f t="shared" si="14"/>
        <v>0</v>
      </c>
      <c r="F40" s="32">
        <f t="shared" si="14"/>
        <v>310.2</v>
      </c>
      <c r="G40" s="32">
        <f t="shared" si="14"/>
        <v>0</v>
      </c>
      <c r="H40" s="32">
        <f t="shared" si="14"/>
        <v>0</v>
      </c>
      <c r="I40" s="32">
        <f t="shared" si="14"/>
        <v>0</v>
      </c>
      <c r="J40" s="32">
        <f t="shared" si="14"/>
        <v>0</v>
      </c>
      <c r="K40" s="32">
        <f t="shared" si="14"/>
        <v>0</v>
      </c>
      <c r="L40" s="32">
        <f t="shared" si="14"/>
        <v>0</v>
      </c>
      <c r="M40" s="32">
        <f t="shared" si="14"/>
        <v>0</v>
      </c>
      <c r="N40" s="32">
        <f t="shared" si="14"/>
        <v>0</v>
      </c>
      <c r="O40" s="32">
        <f t="shared" si="14"/>
        <v>0</v>
      </c>
      <c r="P40" s="32">
        <f t="shared" si="14"/>
        <v>0</v>
      </c>
      <c r="Q40" s="32">
        <f t="shared" si="14"/>
        <v>0</v>
      </c>
      <c r="R40" s="32">
        <f t="shared" si="14"/>
        <v>0</v>
      </c>
      <c r="S40" s="32">
        <f t="shared" si="14"/>
        <v>0</v>
      </c>
      <c r="T40" s="32">
        <f t="shared" si="14"/>
        <v>0</v>
      </c>
      <c r="U40" s="32">
        <f t="shared" si="14"/>
        <v>0</v>
      </c>
      <c r="V40" s="32">
        <f t="shared" si="14"/>
        <v>0</v>
      </c>
      <c r="W40" s="79"/>
      <c r="Y40" s="245"/>
      <c r="Z40" s="18"/>
      <c r="AA40" s="131"/>
    </row>
    <row r="41" spans="1:27" hidden="1" x14ac:dyDescent="0.3">
      <c r="C41" s="32">
        <f t="shared" si="15"/>
        <v>0</v>
      </c>
      <c r="D41" s="32">
        <f t="shared" si="14"/>
        <v>0</v>
      </c>
      <c r="E41" s="32">
        <f t="shared" si="14"/>
        <v>0</v>
      </c>
      <c r="F41" s="32">
        <f t="shared" si="14"/>
        <v>0</v>
      </c>
      <c r="G41" s="32">
        <f t="shared" si="14"/>
        <v>342.6</v>
      </c>
      <c r="H41" s="32">
        <f t="shared" si="14"/>
        <v>0</v>
      </c>
      <c r="I41" s="32">
        <f t="shared" si="14"/>
        <v>342.6</v>
      </c>
      <c r="J41" s="32">
        <f t="shared" si="14"/>
        <v>0</v>
      </c>
      <c r="K41" s="32">
        <f t="shared" si="14"/>
        <v>171.3</v>
      </c>
      <c r="L41" s="32">
        <f t="shared" si="14"/>
        <v>0</v>
      </c>
      <c r="M41" s="32">
        <f t="shared" si="14"/>
        <v>0</v>
      </c>
      <c r="N41" s="32">
        <f t="shared" si="14"/>
        <v>0</v>
      </c>
      <c r="O41" s="32">
        <f t="shared" si="14"/>
        <v>0</v>
      </c>
      <c r="P41" s="32">
        <f t="shared" si="14"/>
        <v>0</v>
      </c>
      <c r="Q41" s="32">
        <f t="shared" si="14"/>
        <v>0</v>
      </c>
      <c r="R41" s="32">
        <f t="shared" si="14"/>
        <v>0</v>
      </c>
      <c r="S41" s="32">
        <f t="shared" si="14"/>
        <v>0</v>
      </c>
      <c r="T41" s="32">
        <f t="shared" si="14"/>
        <v>0</v>
      </c>
      <c r="U41" s="32">
        <f t="shared" si="14"/>
        <v>0</v>
      </c>
      <c r="V41" s="32">
        <f t="shared" si="14"/>
        <v>0</v>
      </c>
      <c r="W41" s="79"/>
      <c r="Y41" s="245"/>
      <c r="Z41" s="18"/>
      <c r="AA41" s="131"/>
    </row>
    <row r="42" spans="1:27" hidden="1" x14ac:dyDescent="0.3">
      <c r="C42" s="32">
        <f t="shared" si="15"/>
        <v>128.11000000000001</v>
      </c>
      <c r="D42" s="32">
        <f t="shared" si="14"/>
        <v>0</v>
      </c>
      <c r="E42" s="32">
        <f t="shared" si="14"/>
        <v>0</v>
      </c>
      <c r="F42" s="32">
        <f t="shared" si="14"/>
        <v>334.20000000000005</v>
      </c>
      <c r="G42" s="32">
        <f t="shared" si="14"/>
        <v>334.20000000000005</v>
      </c>
      <c r="H42" s="32">
        <f t="shared" ref="D42:V46" si="16">+H21*$X21</f>
        <v>0</v>
      </c>
      <c r="I42" s="32">
        <f t="shared" si="16"/>
        <v>334.20000000000005</v>
      </c>
      <c r="J42" s="32">
        <f t="shared" si="16"/>
        <v>167.10000000000002</v>
      </c>
      <c r="K42" s="32">
        <f t="shared" si="16"/>
        <v>167.10000000000002</v>
      </c>
      <c r="L42" s="32">
        <f t="shared" si="16"/>
        <v>0</v>
      </c>
      <c r="M42" s="32">
        <f t="shared" si="16"/>
        <v>0</v>
      </c>
      <c r="N42" s="32">
        <f t="shared" si="16"/>
        <v>0</v>
      </c>
      <c r="O42" s="32">
        <f t="shared" si="16"/>
        <v>0</v>
      </c>
      <c r="P42" s="32">
        <f t="shared" si="16"/>
        <v>0</v>
      </c>
      <c r="Q42" s="32">
        <f t="shared" si="16"/>
        <v>0</v>
      </c>
      <c r="R42" s="32">
        <f t="shared" si="16"/>
        <v>0</v>
      </c>
      <c r="S42" s="32">
        <f t="shared" si="16"/>
        <v>0</v>
      </c>
      <c r="T42" s="32">
        <f t="shared" si="16"/>
        <v>0</v>
      </c>
      <c r="U42" s="32">
        <f t="shared" si="16"/>
        <v>0</v>
      </c>
      <c r="V42" s="32">
        <f t="shared" si="16"/>
        <v>0</v>
      </c>
      <c r="W42" s="79"/>
      <c r="Y42" s="245"/>
      <c r="Z42" s="18"/>
      <c r="AA42" s="131"/>
    </row>
    <row r="43" spans="1:27" hidden="1" x14ac:dyDescent="0.3">
      <c r="C43" s="32">
        <f t="shared" si="15"/>
        <v>0</v>
      </c>
      <c r="D43" s="32">
        <f t="shared" si="16"/>
        <v>0</v>
      </c>
      <c r="E43" s="32">
        <f t="shared" si="16"/>
        <v>0</v>
      </c>
      <c r="F43" s="32">
        <f t="shared" si="16"/>
        <v>342</v>
      </c>
      <c r="G43" s="32">
        <f t="shared" si="16"/>
        <v>342</v>
      </c>
      <c r="H43" s="32">
        <f t="shared" si="16"/>
        <v>0</v>
      </c>
      <c r="I43" s="32">
        <f t="shared" si="16"/>
        <v>342</v>
      </c>
      <c r="J43" s="32">
        <f t="shared" si="16"/>
        <v>0</v>
      </c>
      <c r="K43" s="32">
        <f t="shared" si="16"/>
        <v>171</v>
      </c>
      <c r="L43" s="32">
        <f t="shared" si="16"/>
        <v>0</v>
      </c>
      <c r="M43" s="32">
        <f t="shared" si="16"/>
        <v>0</v>
      </c>
      <c r="N43" s="32">
        <f t="shared" si="16"/>
        <v>0</v>
      </c>
      <c r="O43" s="32">
        <f t="shared" si="16"/>
        <v>0</v>
      </c>
      <c r="P43" s="32">
        <f t="shared" si="16"/>
        <v>0</v>
      </c>
      <c r="Q43" s="32">
        <f t="shared" si="16"/>
        <v>0</v>
      </c>
      <c r="R43" s="32">
        <f t="shared" si="16"/>
        <v>0</v>
      </c>
      <c r="S43" s="32">
        <f t="shared" si="16"/>
        <v>0</v>
      </c>
      <c r="T43" s="32">
        <f t="shared" si="16"/>
        <v>0</v>
      </c>
      <c r="U43" s="32">
        <f t="shared" si="16"/>
        <v>0</v>
      </c>
      <c r="V43" s="32">
        <f t="shared" si="16"/>
        <v>0</v>
      </c>
      <c r="W43" s="79"/>
      <c r="Y43" s="245"/>
      <c r="Z43" s="18"/>
      <c r="AA43" s="131"/>
    </row>
    <row r="44" spans="1:27" hidden="1" x14ac:dyDescent="0.3">
      <c r="C44" s="32">
        <f t="shared" si="15"/>
        <v>159.88</v>
      </c>
      <c r="D44" s="32">
        <f t="shared" si="16"/>
        <v>0</v>
      </c>
      <c r="E44" s="32">
        <f t="shared" si="16"/>
        <v>0</v>
      </c>
      <c r="F44" s="32">
        <f t="shared" si="16"/>
        <v>0</v>
      </c>
      <c r="G44" s="32">
        <f t="shared" si="16"/>
        <v>0</v>
      </c>
      <c r="H44" s="32">
        <f t="shared" si="16"/>
        <v>342.6</v>
      </c>
      <c r="I44" s="32">
        <f t="shared" si="16"/>
        <v>342.6</v>
      </c>
      <c r="J44" s="32">
        <f t="shared" si="16"/>
        <v>0</v>
      </c>
      <c r="K44" s="32">
        <f t="shared" si="16"/>
        <v>0</v>
      </c>
      <c r="L44" s="32">
        <f t="shared" si="16"/>
        <v>0</v>
      </c>
      <c r="M44" s="32">
        <f t="shared" si="16"/>
        <v>0</v>
      </c>
      <c r="N44" s="32">
        <f t="shared" si="16"/>
        <v>0</v>
      </c>
      <c r="O44" s="32">
        <f t="shared" si="16"/>
        <v>0</v>
      </c>
      <c r="P44" s="32">
        <f t="shared" si="16"/>
        <v>0</v>
      </c>
      <c r="Q44" s="32">
        <f t="shared" si="16"/>
        <v>0</v>
      </c>
      <c r="R44" s="32">
        <f t="shared" si="16"/>
        <v>0</v>
      </c>
      <c r="S44" s="32">
        <f t="shared" si="16"/>
        <v>0</v>
      </c>
      <c r="T44" s="32">
        <f t="shared" si="16"/>
        <v>0</v>
      </c>
      <c r="U44" s="32">
        <f t="shared" si="16"/>
        <v>0</v>
      </c>
      <c r="V44" s="32">
        <f t="shared" si="16"/>
        <v>0</v>
      </c>
    </row>
    <row r="45" spans="1:27" hidden="1" x14ac:dyDescent="0.3">
      <c r="C45" s="32">
        <f t="shared" si="15"/>
        <v>131.1</v>
      </c>
      <c r="D45" s="32">
        <f t="shared" si="16"/>
        <v>0</v>
      </c>
      <c r="E45" s="32">
        <f t="shared" si="16"/>
        <v>0</v>
      </c>
      <c r="F45" s="32">
        <f t="shared" si="16"/>
        <v>0</v>
      </c>
      <c r="G45" s="32">
        <f t="shared" si="16"/>
        <v>0</v>
      </c>
      <c r="H45" s="32">
        <f t="shared" si="16"/>
        <v>342</v>
      </c>
      <c r="I45" s="32">
        <f t="shared" si="16"/>
        <v>342</v>
      </c>
      <c r="J45" s="32">
        <f t="shared" si="16"/>
        <v>0</v>
      </c>
      <c r="K45" s="32">
        <f t="shared" si="16"/>
        <v>0</v>
      </c>
      <c r="L45" s="32">
        <f t="shared" si="16"/>
        <v>0</v>
      </c>
      <c r="M45" s="32">
        <f t="shared" si="16"/>
        <v>0</v>
      </c>
      <c r="N45" s="32">
        <f t="shared" si="16"/>
        <v>0</v>
      </c>
      <c r="O45" s="32">
        <f t="shared" si="16"/>
        <v>0</v>
      </c>
      <c r="P45" s="32">
        <f t="shared" si="16"/>
        <v>0</v>
      </c>
      <c r="Q45" s="32">
        <f t="shared" si="16"/>
        <v>0</v>
      </c>
      <c r="R45" s="32">
        <f t="shared" si="16"/>
        <v>0</v>
      </c>
      <c r="S45" s="32">
        <f t="shared" si="16"/>
        <v>0</v>
      </c>
      <c r="T45" s="32">
        <f t="shared" si="16"/>
        <v>0</v>
      </c>
      <c r="U45" s="32">
        <f t="shared" si="16"/>
        <v>0</v>
      </c>
      <c r="V45" s="32">
        <f t="shared" si="16"/>
        <v>0</v>
      </c>
    </row>
    <row r="46" spans="1:27" hidden="1" x14ac:dyDescent="0.3">
      <c r="C46" s="32">
        <f t="shared" si="15"/>
        <v>86.070000000000007</v>
      </c>
      <c r="D46" s="32">
        <f t="shared" si="16"/>
        <v>0</v>
      </c>
      <c r="E46" s="32">
        <f t="shared" si="16"/>
        <v>0</v>
      </c>
      <c r="F46" s="32">
        <f t="shared" si="16"/>
        <v>0</v>
      </c>
      <c r="G46" s="32">
        <f t="shared" si="16"/>
        <v>0</v>
      </c>
      <c r="H46" s="32">
        <f t="shared" si="16"/>
        <v>271.8</v>
      </c>
      <c r="I46" s="32">
        <f t="shared" si="16"/>
        <v>271.8</v>
      </c>
      <c r="J46" s="32">
        <f t="shared" si="16"/>
        <v>0</v>
      </c>
      <c r="K46" s="32">
        <f t="shared" si="16"/>
        <v>0</v>
      </c>
      <c r="L46" s="32">
        <f t="shared" si="16"/>
        <v>0</v>
      </c>
      <c r="M46" s="32">
        <f t="shared" si="16"/>
        <v>0</v>
      </c>
      <c r="N46" s="32">
        <f t="shared" si="16"/>
        <v>0</v>
      </c>
      <c r="O46" s="32">
        <f t="shared" si="16"/>
        <v>0</v>
      </c>
      <c r="P46" s="32">
        <f t="shared" si="16"/>
        <v>0</v>
      </c>
      <c r="Q46" s="32">
        <f t="shared" si="16"/>
        <v>0</v>
      </c>
      <c r="R46" s="32">
        <f t="shared" si="16"/>
        <v>0</v>
      </c>
      <c r="S46" s="32">
        <f t="shared" si="16"/>
        <v>0</v>
      </c>
      <c r="T46" s="32">
        <f t="shared" si="16"/>
        <v>0</v>
      </c>
      <c r="U46" s="32">
        <f t="shared" si="16"/>
        <v>0</v>
      </c>
      <c r="V46" s="32">
        <f t="shared" si="16"/>
        <v>0</v>
      </c>
    </row>
    <row r="47" spans="1:27" ht="15" hidden="1" thickBot="1" x14ac:dyDescent="0.35">
      <c r="C47" s="32">
        <f>+C26*$X26</f>
        <v>117.78</v>
      </c>
      <c r="D47" s="32">
        <f t="shared" ref="D47:V47" si="17">+D26*$X26</f>
        <v>0</v>
      </c>
      <c r="E47" s="32">
        <f t="shared" si="17"/>
        <v>0</v>
      </c>
      <c r="F47" s="32">
        <f t="shared" si="17"/>
        <v>0</v>
      </c>
      <c r="G47" s="32">
        <f t="shared" si="17"/>
        <v>0</v>
      </c>
      <c r="H47" s="32">
        <f t="shared" si="17"/>
        <v>271.8</v>
      </c>
      <c r="I47" s="32">
        <f t="shared" si="17"/>
        <v>271.8</v>
      </c>
      <c r="J47" s="32">
        <f t="shared" si="17"/>
        <v>0</v>
      </c>
      <c r="K47" s="32">
        <f t="shared" si="17"/>
        <v>0</v>
      </c>
      <c r="L47" s="32">
        <f t="shared" si="17"/>
        <v>0</v>
      </c>
      <c r="M47" s="32">
        <f t="shared" si="17"/>
        <v>0</v>
      </c>
      <c r="N47" s="32">
        <f t="shared" si="17"/>
        <v>0</v>
      </c>
      <c r="O47" s="32">
        <f t="shared" si="17"/>
        <v>0</v>
      </c>
      <c r="P47" s="32">
        <f t="shared" si="17"/>
        <v>0</v>
      </c>
      <c r="Q47" s="32">
        <f t="shared" si="17"/>
        <v>0</v>
      </c>
      <c r="R47" s="32">
        <f t="shared" si="17"/>
        <v>0</v>
      </c>
      <c r="S47" s="32">
        <f t="shared" si="17"/>
        <v>0</v>
      </c>
      <c r="T47" s="32">
        <f t="shared" si="17"/>
        <v>0</v>
      </c>
      <c r="U47" s="32">
        <f t="shared" si="17"/>
        <v>0</v>
      </c>
      <c r="V47" s="32">
        <f t="shared" si="17"/>
        <v>0</v>
      </c>
    </row>
    <row r="48" spans="1:27" ht="15" thickBot="1" x14ac:dyDescent="0.35">
      <c r="C48" s="74">
        <f>SUM(C28:C47)</f>
        <v>2494.17</v>
      </c>
      <c r="D48" s="74">
        <f>SUM(D28:D47)</f>
        <v>2016.8999999999999</v>
      </c>
      <c r="E48" s="74">
        <f t="shared" ref="E48:I48" si="18">SUM(E28:E47)</f>
        <v>2016.8999999999999</v>
      </c>
      <c r="F48" s="74">
        <f t="shared" si="18"/>
        <v>8443.7999999999993</v>
      </c>
      <c r="G48" s="74">
        <f t="shared" si="18"/>
        <v>12162</v>
      </c>
      <c r="H48" s="74">
        <f t="shared" si="18"/>
        <v>3953.4</v>
      </c>
      <c r="I48" s="74">
        <f t="shared" si="18"/>
        <v>12735.9</v>
      </c>
      <c r="J48" s="74">
        <f t="shared" ref="J48:M48" si="19">SUM(J28:J47)</f>
        <v>1704.9</v>
      </c>
      <c r="K48" s="74">
        <f>SUM(K28:K47)</f>
        <v>2047.1999999999998</v>
      </c>
      <c r="L48" s="74">
        <f t="shared" si="19"/>
        <v>4033.7999999999997</v>
      </c>
      <c r="M48" s="74">
        <f t="shared" si="19"/>
        <v>3704.3999999999996</v>
      </c>
      <c r="N48" s="74">
        <f t="shared" ref="N48:V48" si="20">SUM(N28:N47)</f>
        <v>3745.7999999999997</v>
      </c>
      <c r="O48" s="74">
        <f>SUM(O28:O47)</f>
        <v>654.29999999999995</v>
      </c>
      <c r="P48" s="74">
        <f t="shared" ref="P48" si="21">SUM(P28:P47)</f>
        <v>0</v>
      </c>
      <c r="Q48" s="74">
        <f>SUM(Q28:Q47)</f>
        <v>0</v>
      </c>
      <c r="R48" s="74">
        <f t="shared" ref="R48:S48" si="22">SUM(R28:R47)</f>
        <v>0</v>
      </c>
      <c r="S48" s="74">
        <f t="shared" si="22"/>
        <v>0</v>
      </c>
      <c r="T48" s="74">
        <f t="shared" ref="T48" si="23">SUM(T28:T47)</f>
        <v>0</v>
      </c>
      <c r="U48" s="74">
        <f t="shared" ref="U48" si="24">SUM(U28:U47)</f>
        <v>0</v>
      </c>
      <c r="V48" s="74">
        <f t="shared" si="20"/>
        <v>0</v>
      </c>
      <c r="Y48" s="20">
        <f>+Y27</f>
        <v>59713.469999999987</v>
      </c>
      <c r="Z48" s="18"/>
      <c r="AA48" s="19">
        <f>+AA27</f>
        <v>13506.580000000002</v>
      </c>
    </row>
    <row r="49" spans="3:25" x14ac:dyDescent="0.3">
      <c r="C49" s="74">
        <f t="shared" ref="C49:V49" si="25">+C6-C48</f>
        <v>-2494.17</v>
      </c>
      <c r="D49" s="74">
        <f t="shared" si="25"/>
        <v>0</v>
      </c>
      <c r="E49" s="74">
        <f t="shared" si="25"/>
        <v>0</v>
      </c>
      <c r="F49" s="74">
        <f t="shared" si="25"/>
        <v>0</v>
      </c>
      <c r="G49" s="74">
        <f t="shared" si="25"/>
        <v>0</v>
      </c>
      <c r="H49" s="74">
        <f t="shared" si="25"/>
        <v>0</v>
      </c>
      <c r="I49" s="74">
        <f t="shared" si="25"/>
        <v>0</v>
      </c>
      <c r="J49" s="74">
        <f t="shared" si="25"/>
        <v>0</v>
      </c>
      <c r="K49" s="74">
        <f t="shared" si="25"/>
        <v>0</v>
      </c>
      <c r="L49" s="74">
        <f t="shared" si="25"/>
        <v>0</v>
      </c>
      <c r="M49" s="74">
        <f t="shared" si="25"/>
        <v>0</v>
      </c>
      <c r="N49" s="74">
        <f t="shared" si="25"/>
        <v>0</v>
      </c>
      <c r="O49" s="74">
        <f t="shared" si="25"/>
        <v>-654.29999999999995</v>
      </c>
      <c r="P49" s="74">
        <f t="shared" si="25"/>
        <v>0</v>
      </c>
      <c r="Q49" s="74">
        <f t="shared" si="25"/>
        <v>0</v>
      </c>
      <c r="R49" s="74">
        <f t="shared" si="25"/>
        <v>0</v>
      </c>
      <c r="S49" s="74">
        <f t="shared" si="25"/>
        <v>0</v>
      </c>
      <c r="T49" s="74">
        <f t="shared" si="25"/>
        <v>0</v>
      </c>
      <c r="U49" s="74">
        <f t="shared" si="25"/>
        <v>0</v>
      </c>
      <c r="V49" s="74">
        <f t="shared" si="25"/>
        <v>0</v>
      </c>
      <c r="Y49" s="31">
        <f>+W6-Y27</f>
        <v>-3148.4699999999793</v>
      </c>
    </row>
  </sheetData>
  <mergeCells count="9">
    <mergeCell ref="E2:F2"/>
    <mergeCell ref="G2:H2"/>
    <mergeCell ref="AA3:AA5"/>
    <mergeCell ref="A3:A6"/>
    <mergeCell ref="W3:W5"/>
    <mergeCell ref="X3:X5"/>
    <mergeCell ref="Y3:Y5"/>
    <mergeCell ref="Z3:Z5"/>
    <mergeCell ref="C2:D2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58"/>
  <sheetViews>
    <sheetView zoomScale="80" zoomScaleNormal="80" workbookViewId="0">
      <pane xSplit="2" ySplit="6" topLeftCell="T7" activePane="bottomRight" state="frozen"/>
      <selection pane="topRight" activeCell="C1" sqref="C1"/>
      <selection pane="bottomLeft" activeCell="A7" sqref="A7"/>
      <selection pane="bottomRight" activeCell="AK8" sqref="AK8"/>
    </sheetView>
  </sheetViews>
  <sheetFormatPr baseColWidth="10" defaultColWidth="8.88671875" defaultRowHeight="14.4" x14ac:dyDescent="0.3"/>
  <cols>
    <col min="1" max="1" width="29.44140625" bestFit="1" customWidth="1"/>
    <col min="2" max="2" width="45.88671875" bestFit="1" customWidth="1"/>
    <col min="3" max="6" width="14.109375" bestFit="1" customWidth="1"/>
    <col min="7" max="7" width="14.5546875" bestFit="1" customWidth="1"/>
    <col min="8" max="9" width="14.109375" bestFit="1" customWidth="1"/>
    <col min="10" max="10" width="14.109375" customWidth="1"/>
    <col min="11" max="15" width="14.109375" bestFit="1" customWidth="1"/>
    <col min="16" max="22" width="14.109375" customWidth="1"/>
    <col min="24" max="24" width="19.5546875" customWidth="1"/>
    <col min="25" max="25" width="14" customWidth="1"/>
    <col min="26" max="26" width="15" customWidth="1"/>
    <col min="27" max="27" width="14.44140625" customWidth="1"/>
    <col min="28" max="28" width="13.109375" customWidth="1"/>
    <col min="35" max="35" width="12.6640625" bestFit="1" customWidth="1"/>
    <col min="36" max="36" width="9.6640625" bestFit="1" customWidth="1"/>
    <col min="37" max="37" width="10.88671875" bestFit="1" customWidth="1"/>
    <col min="38" max="38" width="12.44140625" bestFit="1" customWidth="1"/>
    <col min="39" max="39" width="12" customWidth="1"/>
  </cols>
  <sheetData>
    <row r="2" spans="1:39" ht="15" thickBot="1" x14ac:dyDescent="0.35">
      <c r="A2" s="76" t="str">
        <f>+'TX7'!A2</f>
        <v>JANUARY</v>
      </c>
    </row>
    <row r="3" spans="1:39" x14ac:dyDescent="0.3">
      <c r="A3" s="491" t="s">
        <v>82</v>
      </c>
      <c r="B3" s="314" t="s">
        <v>0</v>
      </c>
      <c r="C3" s="295">
        <v>44200</v>
      </c>
      <c r="D3" s="295">
        <v>44201</v>
      </c>
      <c r="E3" s="295">
        <v>44202</v>
      </c>
      <c r="F3" s="295">
        <v>44203</v>
      </c>
      <c r="G3" s="295">
        <v>44204</v>
      </c>
      <c r="H3" s="295">
        <v>44207</v>
      </c>
      <c r="I3" s="295">
        <v>44208</v>
      </c>
      <c r="J3" s="295">
        <v>44209</v>
      </c>
      <c r="K3" s="296">
        <v>44210</v>
      </c>
      <c r="L3" s="296">
        <v>44211</v>
      </c>
      <c r="M3" s="296">
        <v>44214</v>
      </c>
      <c r="N3" s="296">
        <v>44215</v>
      </c>
      <c r="O3" s="296">
        <v>44489</v>
      </c>
      <c r="P3" s="296">
        <v>44217</v>
      </c>
      <c r="Q3" s="296">
        <v>44218</v>
      </c>
      <c r="R3" s="296">
        <v>44221</v>
      </c>
      <c r="S3" s="296">
        <v>44222</v>
      </c>
      <c r="T3" s="296"/>
      <c r="U3" s="297"/>
      <c r="V3" s="296"/>
      <c r="W3" s="298"/>
      <c r="X3" s="501" t="s">
        <v>1</v>
      </c>
      <c r="Y3" s="503" t="s">
        <v>2</v>
      </c>
      <c r="Z3" s="505" t="s">
        <v>3</v>
      </c>
      <c r="AA3" s="503" t="s">
        <v>4</v>
      </c>
      <c r="AB3" s="499" t="s">
        <v>5</v>
      </c>
    </row>
    <row r="4" spans="1:39" x14ac:dyDescent="0.3">
      <c r="A4" s="492"/>
      <c r="B4" s="315" t="s">
        <v>6</v>
      </c>
      <c r="C4" s="299" t="s">
        <v>210</v>
      </c>
      <c r="D4" s="299" t="s">
        <v>214</v>
      </c>
      <c r="E4" s="299" t="s">
        <v>225</v>
      </c>
      <c r="F4" s="299" t="s">
        <v>220</v>
      </c>
      <c r="G4" s="299" t="s">
        <v>223</v>
      </c>
      <c r="H4" s="299" t="s">
        <v>237</v>
      </c>
      <c r="I4" s="361" t="s">
        <v>229</v>
      </c>
      <c r="J4" s="299" t="s">
        <v>232</v>
      </c>
      <c r="K4" s="300" t="s">
        <v>236</v>
      </c>
      <c r="L4" s="300" t="s">
        <v>241</v>
      </c>
      <c r="M4" s="300" t="s">
        <v>244</v>
      </c>
      <c r="N4" s="300" t="s">
        <v>246</v>
      </c>
      <c r="O4" s="300" t="s">
        <v>328</v>
      </c>
      <c r="P4" s="300" t="s">
        <v>331</v>
      </c>
      <c r="Q4" s="300" t="s">
        <v>335</v>
      </c>
      <c r="R4" s="300" t="s">
        <v>342</v>
      </c>
      <c r="S4" s="300" t="s">
        <v>346</v>
      </c>
      <c r="T4" s="300"/>
      <c r="U4" s="301"/>
      <c r="V4" s="300"/>
      <c r="W4" s="302"/>
      <c r="X4" s="502"/>
      <c r="Y4" s="504"/>
      <c r="Z4" s="506"/>
      <c r="AA4" s="504"/>
      <c r="AB4" s="500"/>
    </row>
    <row r="5" spans="1:39" x14ac:dyDescent="0.3">
      <c r="A5" s="492"/>
      <c r="B5" s="315" t="s">
        <v>8</v>
      </c>
      <c r="C5" s="299">
        <v>554242</v>
      </c>
      <c r="D5" s="299">
        <v>554278</v>
      </c>
      <c r="E5" s="299">
        <v>554314</v>
      </c>
      <c r="F5" s="299">
        <v>554320</v>
      </c>
      <c r="G5" s="299">
        <v>554323</v>
      </c>
      <c r="H5" s="299">
        <v>554460</v>
      </c>
      <c r="I5" s="299">
        <v>554465</v>
      </c>
      <c r="J5" s="299">
        <v>554467</v>
      </c>
      <c r="K5" s="300">
        <v>554470</v>
      </c>
      <c r="L5" s="300">
        <v>554474</v>
      </c>
      <c r="M5" s="300">
        <v>554475</v>
      </c>
      <c r="N5" s="300">
        <v>554509</v>
      </c>
      <c r="O5" s="300">
        <v>554573</v>
      </c>
      <c r="P5" s="300">
        <v>554606</v>
      </c>
      <c r="Q5" s="300">
        <v>554634</v>
      </c>
      <c r="R5" s="300">
        <v>554675</v>
      </c>
      <c r="S5" s="300"/>
      <c r="T5" s="300"/>
      <c r="U5" s="301"/>
      <c r="V5" s="300"/>
      <c r="W5" s="302"/>
      <c r="X5" s="502"/>
      <c r="Y5" s="504"/>
      <c r="Z5" s="506"/>
      <c r="AA5" s="504"/>
      <c r="AB5" s="500"/>
      <c r="AG5">
        <v>0.35</v>
      </c>
    </row>
    <row r="6" spans="1:39" ht="15" thickBot="1" x14ac:dyDescent="0.35">
      <c r="A6" s="492"/>
      <c r="B6" s="363" t="s">
        <v>9</v>
      </c>
      <c r="C6" s="364">
        <v>10012.799999999999</v>
      </c>
      <c r="D6" s="364">
        <v>9594.9</v>
      </c>
      <c r="E6" s="364">
        <v>10102.200000000001</v>
      </c>
      <c r="F6" s="364">
        <v>10012.799999999999</v>
      </c>
      <c r="G6" s="364">
        <v>10766.7</v>
      </c>
      <c r="H6" s="364">
        <v>9471.9</v>
      </c>
      <c r="I6" s="364">
        <v>12861</v>
      </c>
      <c r="J6" s="364">
        <v>10141.200000000001</v>
      </c>
      <c r="K6" s="365">
        <v>10200</v>
      </c>
      <c r="L6" s="365">
        <v>10012.799999999999</v>
      </c>
      <c r="M6" s="364">
        <v>16555.2</v>
      </c>
      <c r="N6" s="365">
        <v>11268.3</v>
      </c>
      <c r="O6" s="365">
        <v>9684.2999999999993</v>
      </c>
      <c r="P6" s="365">
        <v>14903.7</v>
      </c>
      <c r="Q6" s="365">
        <v>12490.5</v>
      </c>
      <c r="R6" s="365">
        <v>9684.2999999999993</v>
      </c>
      <c r="S6" s="365"/>
      <c r="T6" s="365"/>
      <c r="U6" s="442"/>
      <c r="V6" s="365"/>
      <c r="W6" s="366"/>
      <c r="X6" s="367">
        <f t="shared" ref="X6:X21" si="0">SUM(C6:W6)</f>
        <v>177762.59999999998</v>
      </c>
      <c r="Y6" s="326"/>
      <c r="Z6" s="368"/>
      <c r="AA6" s="326"/>
      <c r="AB6" s="325"/>
      <c r="AD6" s="202" t="s">
        <v>64</v>
      </c>
      <c r="AE6" s="202" t="s">
        <v>74</v>
      </c>
      <c r="AF6" s="202" t="s">
        <v>50</v>
      </c>
      <c r="AG6" s="202" t="s">
        <v>51</v>
      </c>
      <c r="AH6" s="202" t="s">
        <v>65</v>
      </c>
      <c r="AI6" s="202" t="s">
        <v>89</v>
      </c>
      <c r="AJ6" s="202" t="s">
        <v>90</v>
      </c>
      <c r="AK6" s="202" t="s">
        <v>91</v>
      </c>
      <c r="AL6" s="219" t="s">
        <v>164</v>
      </c>
    </row>
    <row r="7" spans="1:39" x14ac:dyDescent="0.3">
      <c r="A7" s="419" t="s">
        <v>94</v>
      </c>
      <c r="B7" s="437" t="s">
        <v>298</v>
      </c>
      <c r="C7" s="144">
        <v>120</v>
      </c>
      <c r="D7" s="145">
        <v>120</v>
      </c>
      <c r="E7" s="145">
        <v>120</v>
      </c>
      <c r="F7" s="145">
        <v>120</v>
      </c>
      <c r="G7" s="145">
        <v>150</v>
      </c>
      <c r="H7" s="145">
        <v>90</v>
      </c>
      <c r="I7" s="145">
        <v>150</v>
      </c>
      <c r="J7" s="145">
        <v>120</v>
      </c>
      <c r="K7" s="145">
        <v>120</v>
      </c>
      <c r="L7" s="145">
        <v>120</v>
      </c>
      <c r="M7" s="145">
        <v>210</v>
      </c>
      <c r="N7" s="145">
        <v>120</v>
      </c>
      <c r="O7" s="145">
        <v>120</v>
      </c>
      <c r="P7" s="145">
        <v>180</v>
      </c>
      <c r="Q7" s="145">
        <v>180</v>
      </c>
      <c r="R7" s="145">
        <v>120</v>
      </c>
      <c r="S7" s="145">
        <v>120</v>
      </c>
      <c r="T7" s="145"/>
      <c r="U7" s="283"/>
      <c r="V7" s="145"/>
      <c r="W7" s="443"/>
      <c r="X7" s="439">
        <f>SUM(C7:W7)</f>
        <v>2280</v>
      </c>
      <c r="Y7" s="427">
        <v>21.39</v>
      </c>
      <c r="Z7" s="424">
        <f>X7*Y7</f>
        <v>48769.200000000004</v>
      </c>
      <c r="AA7" s="428">
        <f>2.1+2+1.42+5.44</f>
        <v>10.96</v>
      </c>
      <c r="AB7" s="429">
        <f>X7*AA7</f>
        <v>24988.800000000003</v>
      </c>
      <c r="AC7" t="s">
        <v>65</v>
      </c>
      <c r="AD7" s="200">
        <v>2.9411999999999998</v>
      </c>
      <c r="AE7" s="135">
        <f>+AD7/0.49</f>
        <v>6.0024489795918363</v>
      </c>
      <c r="AF7" s="201">
        <f>+AE7*(2.05+0.35)</f>
        <v>14.405877551020406</v>
      </c>
      <c r="AG7" s="201">
        <f>+AE7*0.35</f>
        <v>2.1008571428571425</v>
      </c>
      <c r="AH7">
        <v>2</v>
      </c>
      <c r="AI7">
        <v>1.42</v>
      </c>
      <c r="AJ7">
        <v>5.44</v>
      </c>
      <c r="AK7" s="7">
        <f>SUM(AG7:AJ7)</f>
        <v>10.960857142857144</v>
      </c>
      <c r="AL7" s="7">
        <f>+AF7+AI7+AJ7+AH7</f>
        <v>23.265877551020406</v>
      </c>
      <c r="AM7" s="31"/>
    </row>
    <row r="8" spans="1:39" x14ac:dyDescent="0.3">
      <c r="A8" s="420" t="s">
        <v>180</v>
      </c>
      <c r="B8" s="417" t="s">
        <v>299</v>
      </c>
      <c r="C8" s="56">
        <v>60</v>
      </c>
      <c r="D8" s="57">
        <v>60</v>
      </c>
      <c r="E8" s="57">
        <v>60</v>
      </c>
      <c r="F8" s="57">
        <v>60</v>
      </c>
      <c r="G8" s="57">
        <v>60</v>
      </c>
      <c r="H8" s="57">
        <v>60</v>
      </c>
      <c r="I8" s="57">
        <v>60</v>
      </c>
      <c r="J8" s="57">
        <v>60</v>
      </c>
      <c r="K8" s="57">
        <v>60</v>
      </c>
      <c r="L8" s="57">
        <v>60</v>
      </c>
      <c r="M8" s="57">
        <v>90</v>
      </c>
      <c r="N8" s="57">
        <v>60</v>
      </c>
      <c r="O8" s="57">
        <v>60</v>
      </c>
      <c r="P8" s="57">
        <v>90</v>
      </c>
      <c r="Q8" s="57">
        <v>90</v>
      </c>
      <c r="R8" s="57">
        <v>60</v>
      </c>
      <c r="S8" s="57">
        <v>60</v>
      </c>
      <c r="T8" s="57"/>
      <c r="U8" s="254"/>
      <c r="V8" s="57"/>
      <c r="W8" s="124"/>
      <c r="X8" s="440">
        <f t="shared" si="0"/>
        <v>1110</v>
      </c>
      <c r="Y8" s="430">
        <v>23.97</v>
      </c>
      <c r="Z8" s="425">
        <f t="shared" ref="Z8:Z21" si="1">X8*Y8</f>
        <v>26606.699999999997</v>
      </c>
      <c r="AA8" s="431">
        <f>2.69+1.73+5.44</f>
        <v>9.86</v>
      </c>
      <c r="AB8" s="432">
        <f>X8*AA8</f>
        <v>10944.599999999999</v>
      </c>
      <c r="AD8" s="200">
        <v>3.7644000000000002</v>
      </c>
      <c r="AE8" s="135">
        <f>+AD8/0.49</f>
        <v>7.6824489795918369</v>
      </c>
      <c r="AF8" s="201">
        <f>+AE8*(2.05+0.35)</f>
        <v>18.437877551020406</v>
      </c>
      <c r="AG8" s="201">
        <f>+AE8*0.35</f>
        <v>2.6888571428571426</v>
      </c>
      <c r="AH8">
        <v>0</v>
      </c>
      <c r="AI8">
        <v>1.73</v>
      </c>
      <c r="AJ8">
        <v>5.44</v>
      </c>
      <c r="AK8" s="7">
        <f>SUM(AG8:AJ8)</f>
        <v>9.8588571428571434</v>
      </c>
      <c r="AL8" s="7">
        <f t="shared" ref="AL8:AL9" si="2">+AF8+AI8+AJ8+AH8</f>
        <v>25.607877551020408</v>
      </c>
      <c r="AM8" s="31"/>
    </row>
    <row r="9" spans="1:39" x14ac:dyDescent="0.3">
      <c r="A9" s="420" t="s">
        <v>181</v>
      </c>
      <c r="B9" s="417" t="s">
        <v>300</v>
      </c>
      <c r="C9" s="56">
        <v>60</v>
      </c>
      <c r="D9" s="57">
        <v>60</v>
      </c>
      <c r="E9" s="57">
        <v>60</v>
      </c>
      <c r="F9" s="57">
        <v>60</v>
      </c>
      <c r="G9" s="57">
        <v>90</v>
      </c>
      <c r="H9" s="57">
        <v>30</v>
      </c>
      <c r="I9" s="57">
        <v>90</v>
      </c>
      <c r="J9" s="57">
        <v>60</v>
      </c>
      <c r="K9" s="57">
        <v>60</v>
      </c>
      <c r="L9" s="57">
        <v>60</v>
      </c>
      <c r="M9" s="57">
        <v>120</v>
      </c>
      <c r="N9" s="57">
        <v>60</v>
      </c>
      <c r="O9" s="57">
        <v>60</v>
      </c>
      <c r="P9" s="57">
        <v>90</v>
      </c>
      <c r="Q9" s="57">
        <v>90</v>
      </c>
      <c r="R9" s="57">
        <v>60</v>
      </c>
      <c r="S9" s="57">
        <v>60</v>
      </c>
      <c r="T9" s="57"/>
      <c r="U9" s="254"/>
      <c r="V9" s="57"/>
      <c r="W9" s="51"/>
      <c r="X9" s="440">
        <f t="shared" si="0"/>
        <v>1170</v>
      </c>
      <c r="Y9" s="430">
        <v>23.97</v>
      </c>
      <c r="Z9" s="425">
        <f t="shared" si="1"/>
        <v>28044.899999999998</v>
      </c>
      <c r="AA9" s="431">
        <f>2.69+1.73+5.44</f>
        <v>9.86</v>
      </c>
      <c r="AB9" s="432">
        <f t="shared" ref="AB9:AB21" si="3">X9*AA9</f>
        <v>11536.199999999999</v>
      </c>
      <c r="AD9" s="200">
        <v>3.7644000000000002</v>
      </c>
      <c r="AE9" s="135">
        <f t="shared" ref="AE9:AE17" si="4">+AD9/0.49</f>
        <v>7.6824489795918369</v>
      </c>
      <c r="AF9" s="201">
        <f t="shared" ref="AF9:AF17" si="5">+AE9*(2.05+0.35)</f>
        <v>18.437877551020406</v>
      </c>
      <c r="AG9" s="201">
        <f t="shared" ref="AG9" si="6">+AE9*0.35</f>
        <v>2.6888571428571426</v>
      </c>
      <c r="AH9">
        <v>0</v>
      </c>
      <c r="AI9">
        <v>1.73</v>
      </c>
      <c r="AJ9">
        <v>5.44</v>
      </c>
      <c r="AK9" s="7">
        <f t="shared" ref="AK9:AK19" si="7">SUM(AG9:AJ9)</f>
        <v>9.8588571428571434</v>
      </c>
      <c r="AL9" s="7">
        <f t="shared" si="2"/>
        <v>25.607877551020408</v>
      </c>
      <c r="AM9" s="31"/>
    </row>
    <row r="10" spans="1:39" x14ac:dyDescent="0.3">
      <c r="A10" s="420" t="s">
        <v>107</v>
      </c>
      <c r="B10" s="417" t="s">
        <v>301</v>
      </c>
      <c r="C10" s="56">
        <v>60</v>
      </c>
      <c r="D10" s="57">
        <v>60</v>
      </c>
      <c r="E10" s="57">
        <v>30</v>
      </c>
      <c r="F10" s="57">
        <v>60</v>
      </c>
      <c r="G10" s="57">
        <v>30</v>
      </c>
      <c r="H10" s="57">
        <v>60</v>
      </c>
      <c r="I10" s="57">
        <v>30</v>
      </c>
      <c r="J10" s="57">
        <v>30</v>
      </c>
      <c r="K10" s="57">
        <v>30</v>
      </c>
      <c r="L10" s="57">
        <v>60</v>
      </c>
      <c r="M10" s="57">
        <v>30</v>
      </c>
      <c r="N10" s="57">
        <v>30</v>
      </c>
      <c r="O10" s="57">
        <v>30</v>
      </c>
      <c r="P10" s="57">
        <v>30</v>
      </c>
      <c r="Q10" s="57">
        <v>30</v>
      </c>
      <c r="R10" s="57">
        <v>30</v>
      </c>
      <c r="S10" s="57"/>
      <c r="T10" s="57"/>
      <c r="U10" s="254"/>
      <c r="V10" s="57"/>
      <c r="W10" s="51"/>
      <c r="X10" s="440">
        <f>SUM(C10:W10)</f>
        <v>630</v>
      </c>
      <c r="Y10" s="430">
        <v>12.8</v>
      </c>
      <c r="Z10" s="425">
        <f>X10*Y10</f>
        <v>8064</v>
      </c>
      <c r="AA10" s="431">
        <f>1.49+0.6+2.72</f>
        <v>4.8100000000000005</v>
      </c>
      <c r="AB10" s="432">
        <f>X10*AA10</f>
        <v>3030.3</v>
      </c>
      <c r="AD10" s="266">
        <v>2.0914999999999999</v>
      </c>
      <c r="AE10" s="135">
        <f>+AD10/0.49</f>
        <v>4.2683673469387751</v>
      </c>
      <c r="AF10" s="201">
        <f>+AE10*(2.05+0.35)</f>
        <v>10.24408163265306</v>
      </c>
      <c r="AG10" s="201">
        <f>+AE10*0.35</f>
        <v>1.4939285714285713</v>
      </c>
      <c r="AH10">
        <v>0</v>
      </c>
      <c r="AI10">
        <v>0.6</v>
      </c>
      <c r="AJ10">
        <v>2.72</v>
      </c>
      <c r="AK10" s="7">
        <f>SUM(AG10:AJ10)</f>
        <v>4.8139285714285709</v>
      </c>
      <c r="AL10" s="7">
        <f>+AF10+AI10+AJ10+AH10</f>
        <v>13.56408163265306</v>
      </c>
      <c r="AM10" s="31"/>
    </row>
    <row r="11" spans="1:39" x14ac:dyDescent="0.3">
      <c r="A11" s="420" t="s">
        <v>103</v>
      </c>
      <c r="B11" s="417" t="s">
        <v>302</v>
      </c>
      <c r="C11" s="56">
        <v>60</v>
      </c>
      <c r="D11" s="57">
        <v>30</v>
      </c>
      <c r="E11" s="57">
        <v>60</v>
      </c>
      <c r="F11" s="57">
        <v>60</v>
      </c>
      <c r="G11" s="57">
        <v>30</v>
      </c>
      <c r="H11" s="57">
        <v>60</v>
      </c>
      <c r="I11" s="57">
        <v>30</v>
      </c>
      <c r="J11" s="57">
        <v>30</v>
      </c>
      <c r="K11" s="57">
        <v>30</v>
      </c>
      <c r="L11" s="57">
        <v>60</v>
      </c>
      <c r="M11" s="57">
        <v>30</v>
      </c>
      <c r="N11" s="57">
        <v>30</v>
      </c>
      <c r="O11" s="57">
        <v>30</v>
      </c>
      <c r="P11" s="57">
        <v>30</v>
      </c>
      <c r="Q11" s="57">
        <v>30</v>
      </c>
      <c r="R11" s="57">
        <v>30</v>
      </c>
      <c r="S11" s="57"/>
      <c r="T11" s="57"/>
      <c r="U11" s="254"/>
      <c r="V11" s="57"/>
      <c r="W11" s="51"/>
      <c r="X11" s="440">
        <f>SUM(C11:W11)</f>
        <v>630</v>
      </c>
      <c r="Y11" s="430">
        <v>13.93</v>
      </c>
      <c r="Z11" s="425">
        <f>X11*Y11</f>
        <v>8775.9</v>
      </c>
      <c r="AA11" s="431">
        <f>1.44+0.74+4.07</f>
        <v>6.25</v>
      </c>
      <c r="AB11" s="432">
        <f>X11*AA11</f>
        <v>3937.5</v>
      </c>
      <c r="AD11" s="200">
        <v>2.0145</v>
      </c>
      <c r="AE11" s="135">
        <f>+AD11/0.49</f>
        <v>4.1112244897959185</v>
      </c>
      <c r="AF11" s="201">
        <f>+AE11*(2.05+0.35)</f>
        <v>9.8669387755102047</v>
      </c>
      <c r="AG11" s="201">
        <f>+AE11*0.35</f>
        <v>1.4389285714285713</v>
      </c>
      <c r="AH11">
        <v>0</v>
      </c>
      <c r="AI11">
        <v>0.74</v>
      </c>
      <c r="AJ11">
        <v>4.07</v>
      </c>
      <c r="AK11" s="7">
        <f>SUM(AG11:AJ11)</f>
        <v>6.2489285714285714</v>
      </c>
      <c r="AL11" s="7">
        <f>+AF11+AI11+AJ11+AH11</f>
        <v>14.676938775510205</v>
      </c>
      <c r="AM11" s="31"/>
    </row>
    <row r="12" spans="1:39" s="277" customFormat="1" x14ac:dyDescent="0.3">
      <c r="A12" s="420" t="s">
        <v>105</v>
      </c>
      <c r="B12" s="417" t="s">
        <v>303</v>
      </c>
      <c r="C12" s="56">
        <v>60</v>
      </c>
      <c r="D12" s="57">
        <v>60</v>
      </c>
      <c r="E12" s="57">
        <v>30</v>
      </c>
      <c r="F12" s="57">
        <v>60</v>
      </c>
      <c r="G12" s="57">
        <v>30</v>
      </c>
      <c r="H12" s="57">
        <v>60</v>
      </c>
      <c r="I12" s="57">
        <v>30</v>
      </c>
      <c r="J12" s="57">
        <v>30</v>
      </c>
      <c r="K12" s="57">
        <v>30</v>
      </c>
      <c r="L12" s="57">
        <v>60</v>
      </c>
      <c r="M12" s="57">
        <v>30</v>
      </c>
      <c r="N12" s="57">
        <v>30</v>
      </c>
      <c r="O12" s="57">
        <v>30</v>
      </c>
      <c r="P12" s="57">
        <v>30</v>
      </c>
      <c r="Q12" s="57">
        <v>30</v>
      </c>
      <c r="R12" s="57">
        <v>30</v>
      </c>
      <c r="S12" s="57"/>
      <c r="T12" s="57"/>
      <c r="U12" s="254"/>
      <c r="V12" s="57"/>
      <c r="W12" s="51"/>
      <c r="X12" s="440">
        <f t="shared" ref="X12" si="8">SUM(C12:W12)</f>
        <v>630</v>
      </c>
      <c r="Y12" s="430">
        <v>24.51</v>
      </c>
      <c r="Z12" s="425">
        <f t="shared" ref="Z12" si="9">X12*Y12</f>
        <v>15441.300000000001</v>
      </c>
      <c r="AA12" s="431">
        <f>2+1.8+9.51</f>
        <v>13.309999999999999</v>
      </c>
      <c r="AB12" s="432">
        <f t="shared" ref="AB12" si="10">X12*AA12</f>
        <v>8385.2999999999993</v>
      </c>
      <c r="AD12" s="266">
        <v>2.8010000000000002</v>
      </c>
      <c r="AE12" s="135">
        <f t="shared" ref="AE12" si="11">+AD12/0.49</f>
        <v>5.7163265306122453</v>
      </c>
      <c r="AF12" s="201">
        <f t="shared" ref="AF12" si="12">+AE12*(2.05+0.35)</f>
        <v>13.719183673469388</v>
      </c>
      <c r="AG12" s="201">
        <f t="shared" ref="AG12" si="13">+AE12*0.35</f>
        <v>2.0007142857142859</v>
      </c>
      <c r="AH12" s="277">
        <v>0</v>
      </c>
      <c r="AI12" s="277">
        <v>1.8</v>
      </c>
      <c r="AJ12" s="277">
        <v>9.51</v>
      </c>
      <c r="AK12" s="7">
        <f t="shared" ref="AK12" si="14">SUM(AG12:AJ12)</f>
        <v>13.310714285714287</v>
      </c>
      <c r="AL12" s="7">
        <f t="shared" ref="AL12" si="15">+AF12+AI12+AJ12+AH12</f>
        <v>25.02918367346939</v>
      </c>
      <c r="AM12" s="31"/>
    </row>
    <row r="13" spans="1:39" x14ac:dyDescent="0.3">
      <c r="A13" s="420" t="s">
        <v>109</v>
      </c>
      <c r="B13" s="417" t="s">
        <v>304</v>
      </c>
      <c r="C13" s="56">
        <v>60</v>
      </c>
      <c r="D13" s="57">
        <v>60</v>
      </c>
      <c r="E13" s="57">
        <v>30</v>
      </c>
      <c r="F13" s="57">
        <v>60</v>
      </c>
      <c r="G13" s="57">
        <v>60</v>
      </c>
      <c r="H13" s="57">
        <v>30</v>
      </c>
      <c r="I13" s="57">
        <v>60</v>
      </c>
      <c r="J13" s="57">
        <v>30</v>
      </c>
      <c r="K13" s="57">
        <v>30</v>
      </c>
      <c r="L13" s="57">
        <v>60</v>
      </c>
      <c r="M13" s="57">
        <v>60</v>
      </c>
      <c r="N13" s="57">
        <v>30</v>
      </c>
      <c r="O13" s="57">
        <v>30</v>
      </c>
      <c r="P13" s="57">
        <v>30</v>
      </c>
      <c r="Q13" s="57">
        <v>30</v>
      </c>
      <c r="R13" s="57">
        <v>30</v>
      </c>
      <c r="S13" s="57"/>
      <c r="T13" s="57"/>
      <c r="U13" s="254"/>
      <c r="V13" s="57"/>
      <c r="W13" s="51"/>
      <c r="X13" s="440">
        <f>SUM(C13:W13)</f>
        <v>690</v>
      </c>
      <c r="Y13" s="430">
        <v>24.92</v>
      </c>
      <c r="Z13" s="425">
        <f>X13*Y13</f>
        <v>17194.800000000003</v>
      </c>
      <c r="AA13" s="431">
        <f>2.22+2.01+8.16</f>
        <v>12.39</v>
      </c>
      <c r="AB13" s="432">
        <f>X13*AA13</f>
        <v>8549.1</v>
      </c>
      <c r="AD13" s="266">
        <v>3.1019999999999999</v>
      </c>
      <c r="AE13" s="135">
        <f>+AD13/0.49</f>
        <v>6.3306122448979592</v>
      </c>
      <c r="AF13" s="201">
        <f>+AE13*(2.05+0.35)</f>
        <v>15.193469387755101</v>
      </c>
      <c r="AG13" s="201">
        <f>+AE13*0.35</f>
        <v>2.2157142857142857</v>
      </c>
      <c r="AH13">
        <v>0</v>
      </c>
      <c r="AI13">
        <v>2.0099999999999998</v>
      </c>
      <c r="AJ13">
        <v>8.16</v>
      </c>
      <c r="AK13" s="7">
        <f>SUM(AG13:AJ13)</f>
        <v>12.385714285714286</v>
      </c>
      <c r="AL13" s="7">
        <f>+AF13+AI13+AJ13+AH13</f>
        <v>25.363469387755099</v>
      </c>
      <c r="AM13" s="31"/>
    </row>
    <row r="14" spans="1:39" x14ac:dyDescent="0.3">
      <c r="A14" s="421" t="s">
        <v>97</v>
      </c>
      <c r="B14" s="418" t="s">
        <v>98</v>
      </c>
      <c r="C14" s="56"/>
      <c r="D14" s="57"/>
      <c r="E14" s="57">
        <v>30</v>
      </c>
      <c r="F14" s="57"/>
      <c r="G14" s="57"/>
      <c r="H14" s="57"/>
      <c r="I14" s="57">
        <v>30</v>
      </c>
      <c r="J14" s="57">
        <v>30</v>
      </c>
      <c r="K14" s="57">
        <v>30</v>
      </c>
      <c r="L14" s="57"/>
      <c r="M14" s="57">
        <v>30</v>
      </c>
      <c r="N14" s="57">
        <v>30</v>
      </c>
      <c r="O14" s="57">
        <v>30</v>
      </c>
      <c r="P14" s="57">
        <v>30</v>
      </c>
      <c r="Q14" s="57"/>
      <c r="R14" s="57">
        <v>30</v>
      </c>
      <c r="S14" s="57">
        <v>30</v>
      </c>
      <c r="T14" s="57"/>
      <c r="U14" s="254"/>
      <c r="V14" s="57"/>
      <c r="W14" s="51"/>
      <c r="X14" s="372">
        <f>SUM(C14:W14)</f>
        <v>300</v>
      </c>
      <c r="Y14" s="373">
        <v>15.44</v>
      </c>
      <c r="Z14" s="330">
        <f>X14*Y14</f>
        <v>4632</v>
      </c>
      <c r="AA14" s="374">
        <f>1.51+1.12+5.44</f>
        <v>8.07</v>
      </c>
      <c r="AB14" s="375">
        <f>X14*AA14</f>
        <v>2421</v>
      </c>
      <c r="AD14" s="200">
        <v>2.1145</v>
      </c>
      <c r="AE14" s="135">
        <f>+AD14/0.49</f>
        <v>4.3153061224489795</v>
      </c>
      <c r="AF14" s="201">
        <f>+AE14*(2.05+0.35)</f>
        <v>10.35673469387755</v>
      </c>
      <c r="AG14" s="201">
        <f>+AE14*0.35</f>
        <v>1.5103571428571427</v>
      </c>
      <c r="AH14">
        <v>0</v>
      </c>
      <c r="AI14">
        <v>1.1200000000000001</v>
      </c>
      <c r="AJ14">
        <v>5.44</v>
      </c>
      <c r="AK14" s="7">
        <f>SUM(AG14:AJ14)</f>
        <v>8.0703571428571443</v>
      </c>
      <c r="AL14" s="7">
        <f>+AF14+AI14+AJ14+AH14</f>
        <v>16.916734693877551</v>
      </c>
      <c r="AM14" s="31"/>
    </row>
    <row r="15" spans="1:39" x14ac:dyDescent="0.3">
      <c r="A15" s="421" t="s">
        <v>95</v>
      </c>
      <c r="B15" s="418" t="s">
        <v>96</v>
      </c>
      <c r="C15" s="56"/>
      <c r="D15" s="57"/>
      <c r="E15" s="57">
        <v>30</v>
      </c>
      <c r="F15" s="57"/>
      <c r="G15" s="57"/>
      <c r="H15" s="57">
        <v>30</v>
      </c>
      <c r="I15" s="57"/>
      <c r="J15" s="57">
        <v>60</v>
      </c>
      <c r="K15" s="57">
        <v>30</v>
      </c>
      <c r="L15" s="57"/>
      <c r="M15" s="57">
        <v>30</v>
      </c>
      <c r="N15" s="57"/>
      <c r="O15" s="57">
        <v>30</v>
      </c>
      <c r="P15" s="57">
        <v>60</v>
      </c>
      <c r="Q15" s="57"/>
      <c r="R15" s="57">
        <v>30</v>
      </c>
      <c r="S15" s="57">
        <v>30</v>
      </c>
      <c r="T15" s="57"/>
      <c r="U15" s="254"/>
      <c r="V15" s="57"/>
      <c r="W15" s="51"/>
      <c r="X15" s="372">
        <f t="shared" si="0"/>
        <v>330</v>
      </c>
      <c r="Y15" s="373">
        <v>15.23</v>
      </c>
      <c r="Z15" s="330">
        <f t="shared" ref="Z15" si="16">X15*Y15</f>
        <v>5025.9000000000005</v>
      </c>
      <c r="AA15" s="374">
        <f>1.49+1.07+5.44</f>
        <v>8</v>
      </c>
      <c r="AB15" s="375">
        <f t="shared" si="3"/>
        <v>2640</v>
      </c>
      <c r="AD15" s="200">
        <v>2.0823999999999998</v>
      </c>
      <c r="AE15" s="135">
        <f t="shared" si="4"/>
        <v>4.2497959183673464</v>
      </c>
      <c r="AF15" s="201">
        <f t="shared" si="5"/>
        <v>10.199510204081632</v>
      </c>
      <c r="AG15" s="201">
        <f t="shared" ref="AG15:AG21" si="17">+AE15*0.35</f>
        <v>1.4874285714285711</v>
      </c>
      <c r="AH15">
        <v>0</v>
      </c>
      <c r="AI15">
        <v>1.07</v>
      </c>
      <c r="AJ15">
        <v>5.44</v>
      </c>
      <c r="AK15" s="7">
        <f t="shared" si="7"/>
        <v>7.9974285714285713</v>
      </c>
      <c r="AL15" s="7">
        <f t="shared" ref="AL15:AL21" si="18">+AF15+AI15+AJ15+AH15</f>
        <v>16.709510204081631</v>
      </c>
      <c r="AM15" s="31"/>
    </row>
    <row r="16" spans="1:39" x14ac:dyDescent="0.3">
      <c r="A16" s="421" t="s">
        <v>101</v>
      </c>
      <c r="B16" s="418" t="s">
        <v>102</v>
      </c>
      <c r="C16" s="56"/>
      <c r="D16" s="57"/>
      <c r="E16" s="57">
        <v>30</v>
      </c>
      <c r="F16" s="57"/>
      <c r="G16" s="57"/>
      <c r="H16" s="57"/>
      <c r="I16" s="57"/>
      <c r="J16" s="57">
        <v>30</v>
      </c>
      <c r="K16" s="57">
        <v>60</v>
      </c>
      <c r="L16" s="57"/>
      <c r="M16" s="57">
        <v>30</v>
      </c>
      <c r="N16" s="57">
        <v>30</v>
      </c>
      <c r="O16" s="57">
        <v>30</v>
      </c>
      <c r="P16" s="57">
        <v>30</v>
      </c>
      <c r="Q16" s="57"/>
      <c r="R16" s="57">
        <v>30</v>
      </c>
      <c r="S16" s="57">
        <v>30</v>
      </c>
      <c r="T16" s="57"/>
      <c r="U16" s="254"/>
      <c r="V16" s="57"/>
      <c r="W16" s="51"/>
      <c r="X16" s="372">
        <f>SUM(C16:W16)</f>
        <v>300</v>
      </c>
      <c r="Y16" s="373">
        <v>17.190000000000001</v>
      </c>
      <c r="Z16" s="330">
        <f>X16*Y16</f>
        <v>5157</v>
      </c>
      <c r="AA16" s="374">
        <f>1.75+1.11+5.44</f>
        <v>8.3000000000000007</v>
      </c>
      <c r="AB16" s="375">
        <f>X16*AA16</f>
        <v>2490</v>
      </c>
      <c r="AD16" s="200">
        <v>2.4449000000000001</v>
      </c>
      <c r="AE16" s="135">
        <f>+AD16/0.49</f>
        <v>4.9895918367346939</v>
      </c>
      <c r="AF16" s="201">
        <f>+AE16*(2.05+0.35)</f>
        <v>11.975020408163266</v>
      </c>
      <c r="AG16" s="201">
        <f>+AE16*0.35</f>
        <v>1.7463571428571427</v>
      </c>
      <c r="AH16">
        <v>0</v>
      </c>
      <c r="AI16">
        <v>1.1100000000000001</v>
      </c>
      <c r="AJ16">
        <v>5.44</v>
      </c>
      <c r="AK16" s="7">
        <f>SUM(AG16:AJ16)</f>
        <v>8.2963571428571434</v>
      </c>
      <c r="AL16" s="7">
        <f>+AF16+AI16+AJ16+AH16</f>
        <v>18.525020408163265</v>
      </c>
      <c r="AM16" s="31"/>
    </row>
    <row r="17" spans="1:39" x14ac:dyDescent="0.3">
      <c r="A17" s="421" t="s">
        <v>99</v>
      </c>
      <c r="B17" s="418" t="s">
        <v>100</v>
      </c>
      <c r="C17" s="56"/>
      <c r="D17" s="57"/>
      <c r="E17" s="57">
        <v>30</v>
      </c>
      <c r="F17" s="57"/>
      <c r="G17" s="57"/>
      <c r="H17" s="57"/>
      <c r="I17" s="57">
        <v>30</v>
      </c>
      <c r="J17" s="57">
        <v>30</v>
      </c>
      <c r="K17" s="57">
        <v>30</v>
      </c>
      <c r="L17" s="57"/>
      <c r="M17" s="57">
        <v>30</v>
      </c>
      <c r="N17" s="57">
        <v>30</v>
      </c>
      <c r="O17" s="57">
        <v>30</v>
      </c>
      <c r="P17" s="57">
        <v>30</v>
      </c>
      <c r="Q17" s="57"/>
      <c r="R17" s="57">
        <v>30</v>
      </c>
      <c r="S17" s="57">
        <v>30</v>
      </c>
      <c r="T17" s="57"/>
      <c r="U17" s="254"/>
      <c r="V17" s="57"/>
      <c r="W17" s="51"/>
      <c r="X17" s="372">
        <f t="shared" si="0"/>
        <v>300</v>
      </c>
      <c r="Y17" s="373">
        <v>17.350000000000001</v>
      </c>
      <c r="Z17" s="330">
        <f t="shared" si="1"/>
        <v>5205</v>
      </c>
      <c r="AA17" s="374">
        <f>1.76+1.14+5.44</f>
        <v>8.34</v>
      </c>
      <c r="AB17" s="375">
        <f t="shared" si="3"/>
        <v>2502</v>
      </c>
      <c r="AD17" s="200">
        <v>2.4706000000000001</v>
      </c>
      <c r="AE17" s="135">
        <f t="shared" si="4"/>
        <v>5.0420408163265309</v>
      </c>
      <c r="AF17" s="201">
        <f t="shared" si="5"/>
        <v>12.100897959183675</v>
      </c>
      <c r="AG17" s="201">
        <f t="shared" si="17"/>
        <v>1.7647142857142857</v>
      </c>
      <c r="AH17">
        <v>0</v>
      </c>
      <c r="AI17">
        <v>1.1399999999999999</v>
      </c>
      <c r="AJ17">
        <v>5.44</v>
      </c>
      <c r="AK17" s="7">
        <f t="shared" si="7"/>
        <v>8.3447142857142858</v>
      </c>
      <c r="AL17" s="7">
        <f t="shared" si="18"/>
        <v>18.680897959183675</v>
      </c>
      <c r="AM17" s="31"/>
    </row>
    <row r="18" spans="1:39" x14ac:dyDescent="0.3">
      <c r="A18" s="336" t="s">
        <v>194</v>
      </c>
      <c r="B18" s="333" t="s">
        <v>305</v>
      </c>
      <c r="C18" s="56"/>
      <c r="D18" s="57"/>
      <c r="E18" s="57"/>
      <c r="F18" s="57"/>
      <c r="G18" s="57"/>
      <c r="H18" s="57">
        <v>30</v>
      </c>
      <c r="I18" s="57">
        <v>30</v>
      </c>
      <c r="J18" s="57"/>
      <c r="K18" s="57"/>
      <c r="L18" s="57"/>
      <c r="M18" s="57">
        <v>30</v>
      </c>
      <c r="N18" s="57">
        <v>30</v>
      </c>
      <c r="O18" s="57"/>
      <c r="P18" s="57">
        <v>30</v>
      </c>
      <c r="Q18" s="57">
        <v>30</v>
      </c>
      <c r="R18" s="57"/>
      <c r="S18" s="57">
        <v>30</v>
      </c>
      <c r="T18" s="57"/>
      <c r="U18" s="254"/>
      <c r="V18" s="57"/>
      <c r="W18" s="51"/>
      <c r="X18" s="369">
        <f>SUM(C18:W18)</f>
        <v>210</v>
      </c>
      <c r="Y18" s="356">
        <v>24.28</v>
      </c>
      <c r="Z18" s="357">
        <f>X18*Y18</f>
        <v>5098.8</v>
      </c>
      <c r="AA18" s="370">
        <v>12.59</v>
      </c>
      <c r="AB18" s="371">
        <f>X18*AA18</f>
        <v>2643.9</v>
      </c>
      <c r="AD18" s="200">
        <v>3.2517</v>
      </c>
      <c r="AE18" s="135">
        <f>AD18/0.49</f>
        <v>6.6361224489795925</v>
      </c>
      <c r="AF18" s="39">
        <f>+AE18*(1.86+0.35)</f>
        <v>14.6658306122449</v>
      </c>
      <c r="AG18" s="39">
        <f>+AE18*0.35</f>
        <v>2.3226428571428572</v>
      </c>
      <c r="AH18">
        <v>0</v>
      </c>
      <c r="AI18">
        <v>2.11</v>
      </c>
      <c r="AJ18">
        <v>8.16</v>
      </c>
      <c r="AK18" s="7">
        <f>SUM(AG18:AJ18)</f>
        <v>12.592642857142858</v>
      </c>
      <c r="AL18" s="246">
        <f>+AF18+AI18+AJ18+AH18</f>
        <v>24.935830612244899</v>
      </c>
      <c r="AM18" t="s">
        <v>195</v>
      </c>
    </row>
    <row r="19" spans="1:39" x14ac:dyDescent="0.3">
      <c r="A19" s="336" t="s">
        <v>191</v>
      </c>
      <c r="B19" s="333" t="s">
        <v>306</v>
      </c>
      <c r="C19" s="56"/>
      <c r="D19" s="57"/>
      <c r="E19" s="57"/>
      <c r="F19" s="57"/>
      <c r="G19" s="57"/>
      <c r="H19" s="57">
        <v>30</v>
      </c>
      <c r="I19" s="57">
        <v>30</v>
      </c>
      <c r="J19" s="57"/>
      <c r="K19" s="57"/>
      <c r="L19" s="57"/>
      <c r="M19" s="57">
        <v>30</v>
      </c>
      <c r="N19" s="57">
        <v>30</v>
      </c>
      <c r="O19" s="57"/>
      <c r="P19" s="57">
        <v>30</v>
      </c>
      <c r="Q19" s="57">
        <v>30</v>
      </c>
      <c r="R19" s="57"/>
      <c r="S19" s="57">
        <v>30</v>
      </c>
      <c r="T19" s="57"/>
      <c r="U19" s="254"/>
      <c r="V19" s="57"/>
      <c r="W19" s="51"/>
      <c r="X19" s="369">
        <f t="shared" si="0"/>
        <v>210</v>
      </c>
      <c r="Y19" s="356">
        <v>12.74</v>
      </c>
      <c r="Z19" s="357">
        <f t="shared" si="1"/>
        <v>2675.4</v>
      </c>
      <c r="AA19" s="370">
        <v>5.0599999999999996</v>
      </c>
      <c r="AB19" s="371">
        <f t="shared" si="3"/>
        <v>1062.5999999999999</v>
      </c>
      <c r="AD19" s="200">
        <v>2.2664</v>
      </c>
      <c r="AE19" s="135">
        <f t="shared" ref="AE19:AE21" si="19">AD19/0.49</f>
        <v>4.62530612244898</v>
      </c>
      <c r="AF19" s="39">
        <f t="shared" ref="AF19:AF21" si="20">+AE19*(1.86+0.35)</f>
        <v>10.221926530612246</v>
      </c>
      <c r="AG19" s="39">
        <f t="shared" si="17"/>
        <v>1.618857142857143</v>
      </c>
      <c r="AH19">
        <v>0</v>
      </c>
      <c r="AI19">
        <v>0.72</v>
      </c>
      <c r="AJ19">
        <v>2.72</v>
      </c>
      <c r="AK19" s="7">
        <f t="shared" si="7"/>
        <v>5.0588571428571427</v>
      </c>
      <c r="AL19" s="246">
        <f t="shared" si="18"/>
        <v>13.661926530612247</v>
      </c>
      <c r="AM19" t="s">
        <v>195</v>
      </c>
    </row>
    <row r="20" spans="1:39" x14ac:dyDescent="0.3">
      <c r="A20" s="336" t="s">
        <v>192</v>
      </c>
      <c r="B20" s="333" t="s">
        <v>307</v>
      </c>
      <c r="C20" s="56"/>
      <c r="D20" s="57"/>
      <c r="E20" s="57"/>
      <c r="F20" s="57"/>
      <c r="G20" s="57">
        <v>30</v>
      </c>
      <c r="H20" s="57"/>
      <c r="I20" s="57">
        <v>30</v>
      </c>
      <c r="J20" s="57"/>
      <c r="K20" s="57"/>
      <c r="L20" s="57"/>
      <c r="M20" s="57">
        <v>30</v>
      </c>
      <c r="N20" s="57">
        <v>30</v>
      </c>
      <c r="O20" s="57"/>
      <c r="P20" s="57">
        <v>30</v>
      </c>
      <c r="Q20" s="57">
        <v>30</v>
      </c>
      <c r="R20" s="57"/>
      <c r="S20" s="57">
        <v>30</v>
      </c>
      <c r="T20" s="57"/>
      <c r="U20" s="254"/>
      <c r="V20" s="57"/>
      <c r="W20" s="51"/>
      <c r="X20" s="369">
        <f t="shared" si="0"/>
        <v>210</v>
      </c>
      <c r="Y20" s="356">
        <v>11.09</v>
      </c>
      <c r="Z20" s="357">
        <f t="shared" si="1"/>
        <v>2328.9</v>
      </c>
      <c r="AA20" s="370">
        <v>4.51</v>
      </c>
      <c r="AB20" s="371">
        <f t="shared" si="3"/>
        <v>947.09999999999991</v>
      </c>
      <c r="AD20" s="200">
        <v>1.9952000000000001</v>
      </c>
      <c r="AE20" s="135">
        <f t="shared" si="19"/>
        <v>4.0718367346938775</v>
      </c>
      <c r="AF20" s="201">
        <f t="shared" si="20"/>
        <v>8.9987591836734691</v>
      </c>
      <c r="AG20" s="39">
        <f t="shared" si="17"/>
        <v>1.425142857142857</v>
      </c>
      <c r="AH20">
        <v>0</v>
      </c>
      <c r="AI20">
        <v>0.36</v>
      </c>
      <c r="AJ20">
        <v>2.72</v>
      </c>
      <c r="AK20" s="7">
        <f>SUM(AG20:AJ20)</f>
        <v>4.5051428571428573</v>
      </c>
      <c r="AL20" s="246">
        <f t="shared" si="18"/>
        <v>12.078759183673469</v>
      </c>
      <c r="AM20" t="s">
        <v>195</v>
      </c>
    </row>
    <row r="21" spans="1:39" ht="15" thickBot="1" x14ac:dyDescent="0.35">
      <c r="A21" s="423" t="s">
        <v>193</v>
      </c>
      <c r="B21" s="438" t="s">
        <v>308</v>
      </c>
      <c r="C21" s="58"/>
      <c r="D21" s="59"/>
      <c r="E21" s="59"/>
      <c r="F21" s="59"/>
      <c r="G21" s="59">
        <v>30</v>
      </c>
      <c r="H21" s="59"/>
      <c r="I21" s="59">
        <v>30</v>
      </c>
      <c r="J21" s="59"/>
      <c r="K21" s="59"/>
      <c r="L21" s="59"/>
      <c r="M21" s="59">
        <v>30</v>
      </c>
      <c r="N21" s="59">
        <v>30</v>
      </c>
      <c r="O21" s="59"/>
      <c r="P21" s="59">
        <v>30</v>
      </c>
      <c r="Q21" s="59">
        <v>30</v>
      </c>
      <c r="R21" s="59"/>
      <c r="S21" s="59">
        <v>30</v>
      </c>
      <c r="T21" s="59"/>
      <c r="U21" s="286"/>
      <c r="V21" s="59"/>
      <c r="W21" s="52"/>
      <c r="X21" s="441">
        <f t="shared" si="0"/>
        <v>210</v>
      </c>
      <c r="Y21" s="434">
        <v>19.920000000000002</v>
      </c>
      <c r="Z21" s="426">
        <f t="shared" si="1"/>
        <v>4183.2000000000007</v>
      </c>
      <c r="AA21" s="435">
        <v>11.07</v>
      </c>
      <c r="AB21" s="436">
        <f t="shared" si="3"/>
        <v>2324.7000000000003</v>
      </c>
      <c r="AD21" s="200">
        <v>2.5558000000000001</v>
      </c>
      <c r="AE21" s="135">
        <f t="shared" si="19"/>
        <v>5.2159183673469389</v>
      </c>
      <c r="AF21" s="201">
        <f t="shared" si="20"/>
        <v>11.527179591836735</v>
      </c>
      <c r="AG21" s="39">
        <f t="shared" si="17"/>
        <v>1.8255714285714284</v>
      </c>
      <c r="AH21">
        <v>0</v>
      </c>
      <c r="AI21">
        <v>1.08</v>
      </c>
      <c r="AJ21">
        <v>8.16</v>
      </c>
      <c r="AK21" s="7">
        <f>SUM(AG21:AJ21)</f>
        <v>11.065571428571428</v>
      </c>
      <c r="AL21" s="246">
        <f t="shared" si="18"/>
        <v>20.767179591836737</v>
      </c>
      <c r="AM21" t="s">
        <v>195</v>
      </c>
    </row>
    <row r="23" spans="1:39" ht="15" thickBot="1" x14ac:dyDescent="0.35">
      <c r="X23" s="78">
        <f>SUM(X7:X21)</f>
        <v>9210</v>
      </c>
    </row>
    <row r="24" spans="1:39" hidden="1" x14ac:dyDescent="0.3">
      <c r="B24" s="3"/>
      <c r="C24" s="32">
        <f>+C7*$Y7</f>
        <v>2566.8000000000002</v>
      </c>
      <c r="D24" s="32">
        <f t="shared" ref="D24:W37" si="21">+D7*$Y7</f>
        <v>2566.8000000000002</v>
      </c>
      <c r="E24" s="32">
        <f t="shared" si="21"/>
        <v>2566.8000000000002</v>
      </c>
      <c r="F24" s="32">
        <f t="shared" si="21"/>
        <v>2566.8000000000002</v>
      </c>
      <c r="G24" s="32">
        <f t="shared" si="21"/>
        <v>3208.5</v>
      </c>
      <c r="H24" s="32">
        <f t="shared" si="21"/>
        <v>1925.1000000000001</v>
      </c>
      <c r="I24" s="32">
        <f t="shared" si="21"/>
        <v>3208.5</v>
      </c>
      <c r="J24" s="32">
        <f t="shared" si="21"/>
        <v>2566.8000000000002</v>
      </c>
      <c r="K24" s="32">
        <f t="shared" si="21"/>
        <v>2566.8000000000002</v>
      </c>
      <c r="L24" s="32">
        <f t="shared" si="21"/>
        <v>2566.8000000000002</v>
      </c>
      <c r="M24" s="32">
        <f t="shared" si="21"/>
        <v>4491.9000000000005</v>
      </c>
      <c r="N24" s="32">
        <f t="shared" si="21"/>
        <v>2566.8000000000002</v>
      </c>
      <c r="O24" s="32">
        <f t="shared" si="21"/>
        <v>2566.8000000000002</v>
      </c>
      <c r="P24" s="32">
        <f t="shared" si="21"/>
        <v>3850.2000000000003</v>
      </c>
      <c r="Q24" s="32">
        <f t="shared" si="21"/>
        <v>3850.2000000000003</v>
      </c>
      <c r="R24" s="32">
        <f t="shared" si="21"/>
        <v>2566.8000000000002</v>
      </c>
      <c r="S24" s="32">
        <f t="shared" si="21"/>
        <v>2566.8000000000002</v>
      </c>
      <c r="T24" s="32">
        <f t="shared" si="21"/>
        <v>0</v>
      </c>
      <c r="U24" s="32">
        <f t="shared" si="21"/>
        <v>0</v>
      </c>
      <c r="V24" s="32">
        <f t="shared" si="21"/>
        <v>0</v>
      </c>
      <c r="W24" s="32">
        <f t="shared" si="21"/>
        <v>0</v>
      </c>
      <c r="X24" s="78"/>
      <c r="Y24" s="5"/>
      <c r="Z24" s="78"/>
      <c r="AA24" s="6"/>
      <c r="AB24" s="29"/>
    </row>
    <row r="25" spans="1:39" hidden="1" x14ac:dyDescent="0.3">
      <c r="A25" s="3"/>
      <c r="B25" s="3"/>
      <c r="C25" s="32">
        <f t="shared" ref="C25:R38" si="22">+C8*$Y8</f>
        <v>1438.1999999999998</v>
      </c>
      <c r="D25" s="32">
        <f t="shared" si="22"/>
        <v>1438.1999999999998</v>
      </c>
      <c r="E25" s="32">
        <f t="shared" si="22"/>
        <v>1438.1999999999998</v>
      </c>
      <c r="F25" s="32">
        <f t="shared" si="22"/>
        <v>1438.1999999999998</v>
      </c>
      <c r="G25" s="32">
        <f t="shared" si="22"/>
        <v>1438.1999999999998</v>
      </c>
      <c r="H25" s="32">
        <f t="shared" si="22"/>
        <v>1438.1999999999998</v>
      </c>
      <c r="I25" s="32">
        <f t="shared" si="22"/>
        <v>1438.1999999999998</v>
      </c>
      <c r="J25" s="32">
        <f t="shared" si="22"/>
        <v>1438.1999999999998</v>
      </c>
      <c r="K25" s="32">
        <f t="shared" si="22"/>
        <v>1438.1999999999998</v>
      </c>
      <c r="L25" s="32">
        <f t="shared" si="22"/>
        <v>1438.1999999999998</v>
      </c>
      <c r="M25" s="32">
        <f t="shared" si="22"/>
        <v>2157.2999999999997</v>
      </c>
      <c r="N25" s="32">
        <f t="shared" si="22"/>
        <v>1438.1999999999998</v>
      </c>
      <c r="O25" s="32">
        <f t="shared" si="22"/>
        <v>1438.1999999999998</v>
      </c>
      <c r="P25" s="32">
        <f t="shared" si="22"/>
        <v>2157.2999999999997</v>
      </c>
      <c r="Q25" s="32">
        <f t="shared" si="22"/>
        <v>2157.2999999999997</v>
      </c>
      <c r="R25" s="32">
        <f t="shared" si="22"/>
        <v>1438.1999999999998</v>
      </c>
      <c r="S25" s="32">
        <f t="shared" si="21"/>
        <v>1438.1999999999998</v>
      </c>
      <c r="T25" s="32">
        <f t="shared" si="21"/>
        <v>0</v>
      </c>
      <c r="U25" s="32">
        <f t="shared" si="21"/>
        <v>0</v>
      </c>
      <c r="V25" s="32">
        <f t="shared" si="21"/>
        <v>0</v>
      </c>
      <c r="W25" s="32">
        <f t="shared" si="21"/>
        <v>0</v>
      </c>
      <c r="X25" s="4"/>
      <c r="Y25" s="5"/>
      <c r="AA25" s="6"/>
    </row>
    <row r="26" spans="1:39" hidden="1" x14ac:dyDescent="0.3">
      <c r="C26" s="32">
        <f t="shared" si="22"/>
        <v>1438.1999999999998</v>
      </c>
      <c r="D26" s="32">
        <f t="shared" si="21"/>
        <v>1438.1999999999998</v>
      </c>
      <c r="E26" s="32">
        <f t="shared" si="21"/>
        <v>1438.1999999999998</v>
      </c>
      <c r="F26" s="32">
        <f t="shared" si="21"/>
        <v>1438.1999999999998</v>
      </c>
      <c r="G26" s="32">
        <f t="shared" si="21"/>
        <v>2157.2999999999997</v>
      </c>
      <c r="H26" s="32">
        <f t="shared" si="21"/>
        <v>719.09999999999991</v>
      </c>
      <c r="I26" s="32">
        <f t="shared" si="21"/>
        <v>2157.2999999999997</v>
      </c>
      <c r="J26" s="32">
        <f t="shared" si="21"/>
        <v>1438.1999999999998</v>
      </c>
      <c r="K26" s="32">
        <f t="shared" si="21"/>
        <v>1438.1999999999998</v>
      </c>
      <c r="L26" s="32">
        <f t="shared" si="21"/>
        <v>1438.1999999999998</v>
      </c>
      <c r="M26" s="32">
        <f t="shared" si="21"/>
        <v>2876.3999999999996</v>
      </c>
      <c r="N26" s="32">
        <f t="shared" si="21"/>
        <v>1438.1999999999998</v>
      </c>
      <c r="O26" s="32">
        <f t="shared" si="21"/>
        <v>1438.1999999999998</v>
      </c>
      <c r="P26" s="32">
        <f t="shared" si="21"/>
        <v>2157.2999999999997</v>
      </c>
      <c r="Q26" s="32">
        <f t="shared" si="21"/>
        <v>2157.2999999999997</v>
      </c>
      <c r="R26" s="32">
        <f t="shared" si="21"/>
        <v>1438.1999999999998</v>
      </c>
      <c r="S26" s="32">
        <f t="shared" si="21"/>
        <v>1438.1999999999998</v>
      </c>
      <c r="T26" s="32">
        <f t="shared" si="21"/>
        <v>0</v>
      </c>
      <c r="U26" s="32">
        <f t="shared" si="21"/>
        <v>0</v>
      </c>
      <c r="V26" s="32">
        <f t="shared" si="21"/>
        <v>0</v>
      </c>
      <c r="W26" s="32">
        <f t="shared" si="21"/>
        <v>0</v>
      </c>
      <c r="X26" s="79"/>
    </row>
    <row r="27" spans="1:39" hidden="1" x14ac:dyDescent="0.3">
      <c r="C27" s="32">
        <f t="shared" si="22"/>
        <v>768</v>
      </c>
      <c r="D27" s="32">
        <f t="shared" si="21"/>
        <v>768</v>
      </c>
      <c r="E27" s="32">
        <f t="shared" si="21"/>
        <v>384</v>
      </c>
      <c r="F27" s="32">
        <f t="shared" si="21"/>
        <v>768</v>
      </c>
      <c r="G27" s="32">
        <f t="shared" si="21"/>
        <v>384</v>
      </c>
      <c r="H27" s="32">
        <f t="shared" si="21"/>
        <v>768</v>
      </c>
      <c r="I27" s="32">
        <f t="shared" si="21"/>
        <v>384</v>
      </c>
      <c r="J27" s="32">
        <f t="shared" si="21"/>
        <v>384</v>
      </c>
      <c r="K27" s="32">
        <f t="shared" si="21"/>
        <v>384</v>
      </c>
      <c r="L27" s="32">
        <f t="shared" si="21"/>
        <v>768</v>
      </c>
      <c r="M27" s="32">
        <f t="shared" si="21"/>
        <v>384</v>
      </c>
      <c r="N27" s="32">
        <f t="shared" si="21"/>
        <v>384</v>
      </c>
      <c r="O27" s="32">
        <f t="shared" si="21"/>
        <v>384</v>
      </c>
      <c r="P27" s="32">
        <f t="shared" si="21"/>
        <v>384</v>
      </c>
      <c r="Q27" s="32">
        <f t="shared" si="21"/>
        <v>384</v>
      </c>
      <c r="R27" s="32">
        <f t="shared" si="21"/>
        <v>384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si="21"/>
        <v>0</v>
      </c>
      <c r="W27" s="32">
        <f t="shared" si="21"/>
        <v>0</v>
      </c>
      <c r="X27" s="79"/>
    </row>
    <row r="28" spans="1:39" hidden="1" x14ac:dyDescent="0.3">
      <c r="C28" s="32">
        <f t="shared" si="22"/>
        <v>835.8</v>
      </c>
      <c r="D28" s="32">
        <f t="shared" si="21"/>
        <v>417.9</v>
      </c>
      <c r="E28" s="32">
        <f t="shared" si="21"/>
        <v>835.8</v>
      </c>
      <c r="F28" s="32">
        <f t="shared" si="21"/>
        <v>835.8</v>
      </c>
      <c r="G28" s="32">
        <f t="shared" si="21"/>
        <v>417.9</v>
      </c>
      <c r="H28" s="32">
        <f t="shared" si="21"/>
        <v>835.8</v>
      </c>
      <c r="I28" s="32">
        <f t="shared" si="21"/>
        <v>417.9</v>
      </c>
      <c r="J28" s="32">
        <f t="shared" si="21"/>
        <v>417.9</v>
      </c>
      <c r="K28" s="32">
        <f t="shared" si="21"/>
        <v>417.9</v>
      </c>
      <c r="L28" s="32">
        <f t="shared" si="21"/>
        <v>835.8</v>
      </c>
      <c r="M28" s="32">
        <f t="shared" si="21"/>
        <v>417.9</v>
      </c>
      <c r="N28" s="32">
        <f t="shared" si="21"/>
        <v>417.9</v>
      </c>
      <c r="O28" s="32">
        <f t="shared" si="21"/>
        <v>417.9</v>
      </c>
      <c r="P28" s="32">
        <f t="shared" si="21"/>
        <v>417.9</v>
      </c>
      <c r="Q28" s="32">
        <f t="shared" si="21"/>
        <v>417.9</v>
      </c>
      <c r="R28" s="32">
        <f t="shared" si="21"/>
        <v>417.9</v>
      </c>
      <c r="S28" s="32">
        <f t="shared" si="21"/>
        <v>0</v>
      </c>
      <c r="T28" s="32">
        <f t="shared" si="21"/>
        <v>0</v>
      </c>
      <c r="U28" s="32">
        <f t="shared" si="21"/>
        <v>0</v>
      </c>
      <c r="V28" s="32">
        <f t="shared" si="21"/>
        <v>0</v>
      </c>
      <c r="W28" s="32">
        <f t="shared" si="21"/>
        <v>0</v>
      </c>
      <c r="X28" s="79"/>
      <c r="Z28" s="250"/>
      <c r="AA28" s="251"/>
      <c r="AB28" s="252"/>
    </row>
    <row r="29" spans="1:39" hidden="1" x14ac:dyDescent="0.3">
      <c r="C29" s="32">
        <f t="shared" si="22"/>
        <v>1470.6000000000001</v>
      </c>
      <c r="D29" s="32">
        <f t="shared" si="21"/>
        <v>1470.6000000000001</v>
      </c>
      <c r="E29" s="32">
        <f t="shared" si="21"/>
        <v>735.30000000000007</v>
      </c>
      <c r="F29" s="32">
        <f t="shared" si="21"/>
        <v>1470.6000000000001</v>
      </c>
      <c r="G29" s="32">
        <f t="shared" si="21"/>
        <v>735.30000000000007</v>
      </c>
      <c r="H29" s="32">
        <f t="shared" si="21"/>
        <v>1470.6000000000001</v>
      </c>
      <c r="I29" s="32">
        <f t="shared" si="21"/>
        <v>735.30000000000007</v>
      </c>
      <c r="J29" s="32">
        <f t="shared" si="21"/>
        <v>735.30000000000007</v>
      </c>
      <c r="K29" s="32">
        <f t="shared" si="21"/>
        <v>735.30000000000007</v>
      </c>
      <c r="L29" s="32">
        <f t="shared" si="21"/>
        <v>1470.6000000000001</v>
      </c>
      <c r="M29" s="32">
        <f t="shared" si="21"/>
        <v>735.30000000000007</v>
      </c>
      <c r="N29" s="32">
        <f t="shared" si="21"/>
        <v>735.30000000000007</v>
      </c>
      <c r="O29" s="32">
        <f t="shared" si="21"/>
        <v>735.30000000000007</v>
      </c>
      <c r="P29" s="32">
        <f t="shared" si="21"/>
        <v>735.30000000000007</v>
      </c>
      <c r="Q29" s="32">
        <f t="shared" si="21"/>
        <v>735.30000000000007</v>
      </c>
      <c r="R29" s="32">
        <f t="shared" si="21"/>
        <v>735.30000000000007</v>
      </c>
      <c r="S29" s="32">
        <f t="shared" si="21"/>
        <v>0</v>
      </c>
      <c r="T29" s="32">
        <f t="shared" si="21"/>
        <v>0</v>
      </c>
      <c r="U29" s="32">
        <f t="shared" si="21"/>
        <v>0</v>
      </c>
      <c r="V29" s="32">
        <f t="shared" si="21"/>
        <v>0</v>
      </c>
      <c r="W29" s="32">
        <f t="shared" si="21"/>
        <v>0</v>
      </c>
      <c r="X29" s="79"/>
      <c r="Z29" s="250"/>
      <c r="AA29" s="251"/>
      <c r="AB29" s="252"/>
    </row>
    <row r="30" spans="1:39" hidden="1" x14ac:dyDescent="0.3">
      <c r="C30" s="32">
        <f t="shared" si="22"/>
        <v>1495.2</v>
      </c>
      <c r="D30" s="32">
        <f t="shared" si="21"/>
        <v>1495.2</v>
      </c>
      <c r="E30" s="32">
        <f t="shared" si="21"/>
        <v>747.6</v>
      </c>
      <c r="F30" s="32">
        <f t="shared" si="21"/>
        <v>1495.2</v>
      </c>
      <c r="G30" s="32">
        <f t="shared" si="21"/>
        <v>1495.2</v>
      </c>
      <c r="H30" s="32">
        <f t="shared" si="21"/>
        <v>747.6</v>
      </c>
      <c r="I30" s="32">
        <f t="shared" si="21"/>
        <v>1495.2</v>
      </c>
      <c r="J30" s="32">
        <f t="shared" si="21"/>
        <v>747.6</v>
      </c>
      <c r="K30" s="32">
        <f t="shared" si="21"/>
        <v>747.6</v>
      </c>
      <c r="L30" s="32">
        <f t="shared" si="21"/>
        <v>1495.2</v>
      </c>
      <c r="M30" s="32">
        <f t="shared" si="21"/>
        <v>1495.2</v>
      </c>
      <c r="N30" s="32">
        <f t="shared" si="21"/>
        <v>747.6</v>
      </c>
      <c r="O30" s="32">
        <f t="shared" si="21"/>
        <v>747.6</v>
      </c>
      <c r="P30" s="32">
        <f t="shared" si="21"/>
        <v>747.6</v>
      </c>
      <c r="Q30" s="32">
        <f t="shared" si="21"/>
        <v>747.6</v>
      </c>
      <c r="R30" s="32">
        <f t="shared" si="21"/>
        <v>747.6</v>
      </c>
      <c r="S30" s="32">
        <f t="shared" si="21"/>
        <v>0</v>
      </c>
      <c r="T30" s="32">
        <f t="shared" si="21"/>
        <v>0</v>
      </c>
      <c r="U30" s="32">
        <f t="shared" si="21"/>
        <v>0</v>
      </c>
      <c r="V30" s="32">
        <f t="shared" si="21"/>
        <v>0</v>
      </c>
      <c r="W30" s="32">
        <f t="shared" si="21"/>
        <v>0</v>
      </c>
      <c r="X30" s="79"/>
      <c r="Z30" s="250"/>
      <c r="AA30" s="251"/>
      <c r="AB30" s="252"/>
    </row>
    <row r="31" spans="1:39" hidden="1" x14ac:dyDescent="0.3">
      <c r="C31" s="32">
        <f t="shared" si="22"/>
        <v>0</v>
      </c>
      <c r="D31" s="32">
        <f t="shared" si="21"/>
        <v>0</v>
      </c>
      <c r="E31" s="32">
        <f t="shared" si="21"/>
        <v>463.2</v>
      </c>
      <c r="F31" s="32">
        <f t="shared" si="21"/>
        <v>0</v>
      </c>
      <c r="G31" s="32">
        <f t="shared" si="21"/>
        <v>0</v>
      </c>
      <c r="H31" s="32">
        <f t="shared" si="21"/>
        <v>0</v>
      </c>
      <c r="I31" s="32">
        <f t="shared" si="21"/>
        <v>463.2</v>
      </c>
      <c r="J31" s="32">
        <f t="shared" si="21"/>
        <v>463.2</v>
      </c>
      <c r="K31" s="32">
        <f t="shared" si="21"/>
        <v>463.2</v>
      </c>
      <c r="L31" s="32">
        <f t="shared" si="21"/>
        <v>0</v>
      </c>
      <c r="M31" s="32">
        <f t="shared" si="21"/>
        <v>463.2</v>
      </c>
      <c r="N31" s="32">
        <f t="shared" si="21"/>
        <v>463.2</v>
      </c>
      <c r="O31" s="32">
        <f t="shared" si="21"/>
        <v>463.2</v>
      </c>
      <c r="P31" s="32">
        <f t="shared" si="21"/>
        <v>463.2</v>
      </c>
      <c r="Q31" s="32">
        <f t="shared" si="21"/>
        <v>0</v>
      </c>
      <c r="R31" s="32">
        <f t="shared" si="21"/>
        <v>463.2</v>
      </c>
      <c r="S31" s="32">
        <f t="shared" si="21"/>
        <v>463.2</v>
      </c>
      <c r="T31" s="32">
        <f t="shared" si="21"/>
        <v>0</v>
      </c>
      <c r="U31" s="32">
        <f t="shared" si="21"/>
        <v>0</v>
      </c>
      <c r="V31" s="32">
        <f t="shared" si="21"/>
        <v>0</v>
      </c>
      <c r="W31" s="32">
        <f t="shared" si="21"/>
        <v>0</v>
      </c>
      <c r="X31" s="79"/>
      <c r="Z31" s="250"/>
      <c r="AA31" s="251"/>
      <c r="AB31" s="252"/>
    </row>
    <row r="32" spans="1:39" hidden="1" x14ac:dyDescent="0.3">
      <c r="C32" s="32">
        <f t="shared" si="22"/>
        <v>0</v>
      </c>
      <c r="D32" s="32">
        <f t="shared" si="21"/>
        <v>0</v>
      </c>
      <c r="E32" s="32">
        <f t="shared" si="21"/>
        <v>456.90000000000003</v>
      </c>
      <c r="F32" s="32">
        <f t="shared" si="21"/>
        <v>0</v>
      </c>
      <c r="G32" s="32">
        <f t="shared" si="21"/>
        <v>0</v>
      </c>
      <c r="H32" s="32">
        <f t="shared" si="21"/>
        <v>456.90000000000003</v>
      </c>
      <c r="I32" s="32">
        <f t="shared" si="21"/>
        <v>0</v>
      </c>
      <c r="J32" s="32">
        <f t="shared" si="21"/>
        <v>913.80000000000007</v>
      </c>
      <c r="K32" s="32">
        <f t="shared" si="21"/>
        <v>456.90000000000003</v>
      </c>
      <c r="L32" s="32">
        <f t="shared" si="21"/>
        <v>0</v>
      </c>
      <c r="M32" s="32">
        <f t="shared" si="21"/>
        <v>456.90000000000003</v>
      </c>
      <c r="N32" s="32">
        <f t="shared" si="21"/>
        <v>0</v>
      </c>
      <c r="O32" s="32">
        <f t="shared" si="21"/>
        <v>456.90000000000003</v>
      </c>
      <c r="P32" s="32">
        <f t="shared" si="21"/>
        <v>913.80000000000007</v>
      </c>
      <c r="Q32" s="32">
        <f t="shared" si="21"/>
        <v>0</v>
      </c>
      <c r="R32" s="32">
        <f t="shared" si="21"/>
        <v>456.90000000000003</v>
      </c>
      <c r="S32" s="32">
        <f t="shared" si="21"/>
        <v>456.90000000000003</v>
      </c>
      <c r="T32" s="32">
        <f t="shared" si="21"/>
        <v>0</v>
      </c>
      <c r="U32" s="32">
        <f t="shared" si="21"/>
        <v>0</v>
      </c>
      <c r="V32" s="32">
        <f t="shared" si="21"/>
        <v>0</v>
      </c>
      <c r="W32" s="32">
        <f t="shared" si="21"/>
        <v>0</v>
      </c>
      <c r="X32" s="79"/>
      <c r="Z32" s="250"/>
      <c r="AA32" s="251"/>
      <c r="AB32" s="252"/>
    </row>
    <row r="33" spans="3:28" hidden="1" x14ac:dyDescent="0.3">
      <c r="C33" s="32">
        <f t="shared" si="22"/>
        <v>0</v>
      </c>
      <c r="D33" s="32">
        <f t="shared" si="21"/>
        <v>0</v>
      </c>
      <c r="E33" s="32">
        <f t="shared" si="21"/>
        <v>515.70000000000005</v>
      </c>
      <c r="F33" s="32">
        <f t="shared" si="21"/>
        <v>0</v>
      </c>
      <c r="G33" s="32">
        <f t="shared" si="21"/>
        <v>0</v>
      </c>
      <c r="H33" s="32">
        <f t="shared" si="21"/>
        <v>0</v>
      </c>
      <c r="I33" s="32">
        <f t="shared" si="21"/>
        <v>0</v>
      </c>
      <c r="J33" s="32">
        <f t="shared" si="21"/>
        <v>515.70000000000005</v>
      </c>
      <c r="K33" s="32">
        <f t="shared" si="21"/>
        <v>1031.4000000000001</v>
      </c>
      <c r="L33" s="32">
        <f t="shared" si="21"/>
        <v>0</v>
      </c>
      <c r="M33" s="32">
        <f t="shared" si="21"/>
        <v>515.70000000000005</v>
      </c>
      <c r="N33" s="32">
        <f t="shared" si="21"/>
        <v>515.70000000000005</v>
      </c>
      <c r="O33" s="32">
        <f t="shared" si="21"/>
        <v>515.70000000000005</v>
      </c>
      <c r="P33" s="32">
        <f t="shared" si="21"/>
        <v>515.70000000000005</v>
      </c>
      <c r="Q33" s="32">
        <f t="shared" si="21"/>
        <v>0</v>
      </c>
      <c r="R33" s="32">
        <f t="shared" si="21"/>
        <v>515.70000000000005</v>
      </c>
      <c r="S33" s="32">
        <f t="shared" si="21"/>
        <v>515.70000000000005</v>
      </c>
      <c r="T33" s="32">
        <f t="shared" si="21"/>
        <v>0</v>
      </c>
      <c r="U33" s="32">
        <f t="shared" si="21"/>
        <v>0</v>
      </c>
      <c r="V33" s="32">
        <f t="shared" si="21"/>
        <v>0</v>
      </c>
      <c r="W33" s="32">
        <f t="shared" si="21"/>
        <v>0</v>
      </c>
      <c r="X33" s="79"/>
      <c r="Z33" s="250"/>
      <c r="AA33" s="251"/>
      <c r="AB33" s="252"/>
    </row>
    <row r="34" spans="3:28" hidden="1" x14ac:dyDescent="0.3">
      <c r="C34" s="32">
        <f t="shared" si="22"/>
        <v>0</v>
      </c>
      <c r="D34" s="32">
        <f t="shared" si="21"/>
        <v>0</v>
      </c>
      <c r="E34" s="32">
        <f t="shared" si="21"/>
        <v>520.5</v>
      </c>
      <c r="F34" s="32">
        <f t="shared" si="21"/>
        <v>0</v>
      </c>
      <c r="G34" s="32">
        <f t="shared" si="21"/>
        <v>0</v>
      </c>
      <c r="H34" s="32">
        <f t="shared" si="21"/>
        <v>0</v>
      </c>
      <c r="I34" s="32">
        <f t="shared" si="21"/>
        <v>520.5</v>
      </c>
      <c r="J34" s="32">
        <f t="shared" si="21"/>
        <v>520.5</v>
      </c>
      <c r="K34" s="32">
        <f t="shared" si="21"/>
        <v>520.5</v>
      </c>
      <c r="L34" s="32">
        <f t="shared" si="21"/>
        <v>0</v>
      </c>
      <c r="M34" s="32">
        <f t="shared" si="21"/>
        <v>520.5</v>
      </c>
      <c r="N34" s="32">
        <f t="shared" si="21"/>
        <v>520.5</v>
      </c>
      <c r="O34" s="32">
        <f t="shared" si="21"/>
        <v>520.5</v>
      </c>
      <c r="P34" s="32">
        <f t="shared" si="21"/>
        <v>520.5</v>
      </c>
      <c r="Q34" s="32">
        <f t="shared" si="21"/>
        <v>0</v>
      </c>
      <c r="R34" s="32">
        <f t="shared" si="21"/>
        <v>520.5</v>
      </c>
      <c r="S34" s="32">
        <f t="shared" si="21"/>
        <v>520.5</v>
      </c>
      <c r="T34" s="32">
        <f t="shared" si="21"/>
        <v>0</v>
      </c>
      <c r="U34" s="32">
        <f t="shared" si="21"/>
        <v>0</v>
      </c>
      <c r="V34" s="32">
        <f t="shared" si="21"/>
        <v>0</v>
      </c>
      <c r="W34" s="32">
        <f t="shared" si="21"/>
        <v>0</v>
      </c>
      <c r="X34" s="79"/>
      <c r="Z34" s="250"/>
      <c r="AA34" s="251"/>
      <c r="AB34" s="252"/>
    </row>
    <row r="35" spans="3:28" hidden="1" x14ac:dyDescent="0.3">
      <c r="C35" s="32">
        <f t="shared" si="22"/>
        <v>0</v>
      </c>
      <c r="D35" s="32">
        <f t="shared" si="21"/>
        <v>0</v>
      </c>
      <c r="E35" s="32">
        <f t="shared" si="21"/>
        <v>0</v>
      </c>
      <c r="F35" s="32">
        <f t="shared" si="21"/>
        <v>0</v>
      </c>
      <c r="G35" s="32">
        <f t="shared" si="21"/>
        <v>0</v>
      </c>
      <c r="H35" s="32">
        <f t="shared" si="21"/>
        <v>728.40000000000009</v>
      </c>
      <c r="I35" s="32">
        <f t="shared" si="21"/>
        <v>728.40000000000009</v>
      </c>
      <c r="J35" s="32">
        <f t="shared" si="21"/>
        <v>0</v>
      </c>
      <c r="K35" s="32">
        <f t="shared" si="21"/>
        <v>0</v>
      </c>
      <c r="L35" s="32">
        <f t="shared" si="21"/>
        <v>0</v>
      </c>
      <c r="M35" s="32">
        <f t="shared" si="21"/>
        <v>728.40000000000009</v>
      </c>
      <c r="N35" s="32">
        <f t="shared" si="21"/>
        <v>728.40000000000009</v>
      </c>
      <c r="O35" s="32">
        <f t="shared" si="21"/>
        <v>0</v>
      </c>
      <c r="P35" s="32">
        <f t="shared" si="21"/>
        <v>728.40000000000009</v>
      </c>
      <c r="Q35" s="32">
        <f t="shared" si="21"/>
        <v>728.40000000000009</v>
      </c>
      <c r="R35" s="32">
        <f t="shared" si="21"/>
        <v>0</v>
      </c>
      <c r="S35" s="32">
        <f t="shared" si="21"/>
        <v>728.40000000000009</v>
      </c>
      <c r="T35" s="32">
        <f t="shared" si="21"/>
        <v>0</v>
      </c>
      <c r="U35" s="32">
        <f t="shared" si="21"/>
        <v>0</v>
      </c>
      <c r="V35" s="32">
        <f t="shared" si="21"/>
        <v>0</v>
      </c>
      <c r="W35" s="32">
        <f t="shared" si="21"/>
        <v>0</v>
      </c>
    </row>
    <row r="36" spans="3:28" hidden="1" x14ac:dyDescent="0.3">
      <c r="C36" s="32">
        <f t="shared" si="22"/>
        <v>0</v>
      </c>
      <c r="D36" s="32">
        <f t="shared" si="21"/>
        <v>0</v>
      </c>
      <c r="E36" s="32">
        <f t="shared" si="21"/>
        <v>0</v>
      </c>
      <c r="F36" s="32">
        <f t="shared" si="21"/>
        <v>0</v>
      </c>
      <c r="G36" s="32">
        <f t="shared" si="21"/>
        <v>0</v>
      </c>
      <c r="H36" s="32">
        <f t="shared" si="21"/>
        <v>382.2</v>
      </c>
      <c r="I36" s="32">
        <f t="shared" si="21"/>
        <v>382.2</v>
      </c>
      <c r="J36" s="32">
        <f t="shared" si="21"/>
        <v>0</v>
      </c>
      <c r="K36" s="32">
        <f t="shared" si="21"/>
        <v>0</v>
      </c>
      <c r="L36" s="32">
        <f t="shared" si="21"/>
        <v>0</v>
      </c>
      <c r="M36" s="32">
        <f t="shared" si="21"/>
        <v>382.2</v>
      </c>
      <c r="N36" s="32">
        <f t="shared" si="21"/>
        <v>382.2</v>
      </c>
      <c r="O36" s="32">
        <f t="shared" si="21"/>
        <v>0</v>
      </c>
      <c r="P36" s="32">
        <f t="shared" si="21"/>
        <v>382.2</v>
      </c>
      <c r="Q36" s="32">
        <f t="shared" si="21"/>
        <v>382.2</v>
      </c>
      <c r="R36" s="32">
        <f t="shared" si="21"/>
        <v>0</v>
      </c>
      <c r="S36" s="32">
        <f t="shared" si="21"/>
        <v>382.2</v>
      </c>
      <c r="T36" s="32">
        <f t="shared" si="21"/>
        <v>0</v>
      </c>
      <c r="U36" s="32">
        <f t="shared" si="21"/>
        <v>0</v>
      </c>
      <c r="V36" s="32">
        <f t="shared" si="21"/>
        <v>0</v>
      </c>
      <c r="W36" s="32">
        <f t="shared" si="21"/>
        <v>0</v>
      </c>
    </row>
    <row r="37" spans="3:28" hidden="1" x14ac:dyDescent="0.3">
      <c r="C37" s="32">
        <f t="shared" si="22"/>
        <v>0</v>
      </c>
      <c r="D37" s="32">
        <f t="shared" si="21"/>
        <v>0</v>
      </c>
      <c r="E37" s="32">
        <f t="shared" si="21"/>
        <v>0</v>
      </c>
      <c r="F37" s="32">
        <f t="shared" si="21"/>
        <v>0</v>
      </c>
      <c r="G37" s="32">
        <f t="shared" si="21"/>
        <v>332.7</v>
      </c>
      <c r="H37" s="32">
        <f t="shared" si="21"/>
        <v>0</v>
      </c>
      <c r="I37" s="32">
        <f t="shared" si="21"/>
        <v>332.7</v>
      </c>
      <c r="J37" s="32">
        <f t="shared" si="21"/>
        <v>0</v>
      </c>
      <c r="K37" s="32">
        <f t="shared" si="21"/>
        <v>0</v>
      </c>
      <c r="L37" s="32">
        <f t="shared" si="21"/>
        <v>0</v>
      </c>
      <c r="M37" s="32">
        <f t="shared" si="21"/>
        <v>332.7</v>
      </c>
      <c r="N37" s="32">
        <f t="shared" ref="D37:W38" si="23">+N20*$Y20</f>
        <v>332.7</v>
      </c>
      <c r="O37" s="32">
        <f t="shared" si="23"/>
        <v>0</v>
      </c>
      <c r="P37" s="32">
        <f t="shared" si="23"/>
        <v>332.7</v>
      </c>
      <c r="Q37" s="32">
        <f t="shared" si="23"/>
        <v>332.7</v>
      </c>
      <c r="R37" s="32">
        <f t="shared" si="23"/>
        <v>0</v>
      </c>
      <c r="S37" s="32">
        <f t="shared" si="23"/>
        <v>332.7</v>
      </c>
      <c r="T37" s="32">
        <f t="shared" si="23"/>
        <v>0</v>
      </c>
      <c r="U37" s="32">
        <f t="shared" si="23"/>
        <v>0</v>
      </c>
      <c r="V37" s="32">
        <f t="shared" si="23"/>
        <v>0</v>
      </c>
      <c r="W37" s="32">
        <f t="shared" si="23"/>
        <v>0</v>
      </c>
    </row>
    <row r="38" spans="3:28" ht="15" hidden="1" thickBot="1" x14ac:dyDescent="0.35">
      <c r="C38" s="32">
        <f t="shared" si="22"/>
        <v>0</v>
      </c>
      <c r="D38" s="32">
        <f t="shared" si="23"/>
        <v>0</v>
      </c>
      <c r="E38" s="32">
        <f t="shared" si="23"/>
        <v>0</v>
      </c>
      <c r="F38" s="32">
        <f t="shared" si="23"/>
        <v>0</v>
      </c>
      <c r="G38" s="32">
        <f t="shared" si="23"/>
        <v>597.6</v>
      </c>
      <c r="H38" s="32">
        <f t="shared" si="23"/>
        <v>0</v>
      </c>
      <c r="I38" s="32">
        <f t="shared" si="23"/>
        <v>597.6</v>
      </c>
      <c r="J38" s="32">
        <f t="shared" si="23"/>
        <v>0</v>
      </c>
      <c r="K38" s="32">
        <f t="shared" si="23"/>
        <v>0</v>
      </c>
      <c r="L38" s="32">
        <f t="shared" si="23"/>
        <v>0</v>
      </c>
      <c r="M38" s="32">
        <f t="shared" si="23"/>
        <v>597.6</v>
      </c>
      <c r="N38" s="32">
        <f t="shared" si="23"/>
        <v>597.6</v>
      </c>
      <c r="O38" s="32">
        <f t="shared" si="23"/>
        <v>0</v>
      </c>
      <c r="P38" s="32">
        <f t="shared" si="23"/>
        <v>597.6</v>
      </c>
      <c r="Q38" s="32">
        <f t="shared" si="23"/>
        <v>597.6</v>
      </c>
      <c r="R38" s="32">
        <f t="shared" si="23"/>
        <v>0</v>
      </c>
      <c r="S38" s="32">
        <f t="shared" si="23"/>
        <v>597.6</v>
      </c>
      <c r="T38" s="32">
        <f t="shared" si="23"/>
        <v>0</v>
      </c>
      <c r="U38" s="32">
        <f t="shared" si="23"/>
        <v>0</v>
      </c>
      <c r="V38" s="32">
        <f t="shared" si="23"/>
        <v>0</v>
      </c>
      <c r="W38" s="32">
        <f t="shared" si="23"/>
        <v>0</v>
      </c>
    </row>
    <row r="39" spans="3:28" ht="15" thickBot="1" x14ac:dyDescent="0.35">
      <c r="C39" s="74">
        <f t="shared" ref="C39:W39" si="24">SUM(C24:C38)</f>
        <v>10012.800000000001</v>
      </c>
      <c r="D39" s="74">
        <f>SUM(D24:D38)</f>
        <v>9594.9</v>
      </c>
      <c r="E39" s="74">
        <f t="shared" si="24"/>
        <v>10102.200000000001</v>
      </c>
      <c r="F39" s="74">
        <f t="shared" si="24"/>
        <v>10012.800000000001</v>
      </c>
      <c r="G39" s="74">
        <f t="shared" si="24"/>
        <v>10766.7</v>
      </c>
      <c r="H39" s="74">
        <f t="shared" si="24"/>
        <v>9471.9000000000015</v>
      </c>
      <c r="I39" s="74">
        <f t="shared" si="24"/>
        <v>12861.000000000002</v>
      </c>
      <c r="J39" s="74">
        <f t="shared" si="24"/>
        <v>10141.200000000001</v>
      </c>
      <c r="K39" s="74">
        <f t="shared" si="24"/>
        <v>10200</v>
      </c>
      <c r="L39" s="74">
        <f t="shared" si="24"/>
        <v>10012.800000000001</v>
      </c>
      <c r="M39" s="74">
        <f t="shared" si="24"/>
        <v>16555.2</v>
      </c>
      <c r="N39" s="74">
        <f t="shared" si="24"/>
        <v>11268.300000000001</v>
      </c>
      <c r="O39" s="74">
        <f t="shared" si="24"/>
        <v>9684.3000000000011</v>
      </c>
      <c r="P39" s="74">
        <f t="shared" si="24"/>
        <v>14903.7</v>
      </c>
      <c r="Q39" s="74">
        <f t="shared" si="24"/>
        <v>12490.5</v>
      </c>
      <c r="R39" s="74">
        <f t="shared" si="24"/>
        <v>9684.3000000000011</v>
      </c>
      <c r="S39" s="74">
        <f t="shared" si="24"/>
        <v>9440.4000000000015</v>
      </c>
      <c r="T39" s="74">
        <f t="shared" si="24"/>
        <v>0</v>
      </c>
      <c r="U39" s="74">
        <f t="shared" si="24"/>
        <v>0</v>
      </c>
      <c r="V39" s="74">
        <f t="shared" si="24"/>
        <v>0</v>
      </c>
      <c r="W39" s="74">
        <f t="shared" si="24"/>
        <v>0</v>
      </c>
      <c r="Z39" s="20">
        <f>SUM(Z7:Z38)</f>
        <v>187202.99999999997</v>
      </c>
      <c r="AA39" s="18"/>
      <c r="AB39" s="19">
        <f>SUM(AB7:AB38)</f>
        <v>88403.1</v>
      </c>
    </row>
    <row r="40" spans="3:28" x14ac:dyDescent="0.3">
      <c r="C40" s="33">
        <f t="shared" ref="C40:W40" si="25">+C6-C39</f>
        <v>0</v>
      </c>
      <c r="D40" s="33">
        <f t="shared" si="25"/>
        <v>0</v>
      </c>
      <c r="E40" s="33">
        <f t="shared" si="25"/>
        <v>0</v>
      </c>
      <c r="F40" s="33">
        <f t="shared" si="25"/>
        <v>0</v>
      </c>
      <c r="G40" s="33">
        <f t="shared" si="25"/>
        <v>0</v>
      </c>
      <c r="H40" s="33">
        <f t="shared" si="25"/>
        <v>0</v>
      </c>
      <c r="I40" s="33">
        <f t="shared" si="25"/>
        <v>0</v>
      </c>
      <c r="J40" s="33">
        <f t="shared" si="25"/>
        <v>0</v>
      </c>
      <c r="K40" s="33">
        <f t="shared" si="25"/>
        <v>0</v>
      </c>
      <c r="L40" s="33">
        <f t="shared" si="25"/>
        <v>0</v>
      </c>
      <c r="M40" s="33">
        <f t="shared" si="25"/>
        <v>0</v>
      </c>
      <c r="N40" s="33">
        <f t="shared" si="25"/>
        <v>0</v>
      </c>
      <c r="O40" s="33">
        <f t="shared" si="25"/>
        <v>0</v>
      </c>
      <c r="P40" s="33">
        <f t="shared" si="25"/>
        <v>0</v>
      </c>
      <c r="Q40" s="33">
        <f t="shared" si="25"/>
        <v>0</v>
      </c>
      <c r="R40" s="33">
        <f t="shared" si="25"/>
        <v>0</v>
      </c>
      <c r="S40" s="33">
        <f t="shared" si="25"/>
        <v>-9440.4000000000015</v>
      </c>
      <c r="T40" s="33">
        <f t="shared" si="25"/>
        <v>0</v>
      </c>
      <c r="U40" s="33">
        <f t="shared" si="25"/>
        <v>0</v>
      </c>
      <c r="V40" s="33">
        <f t="shared" si="25"/>
        <v>0</v>
      </c>
      <c r="W40" s="33">
        <f t="shared" si="25"/>
        <v>0</v>
      </c>
      <c r="Z40" s="7">
        <f>+X6-Z39</f>
        <v>-9440.3999999999942</v>
      </c>
    </row>
    <row r="41" spans="3:28" x14ac:dyDescent="0.3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3:28" x14ac:dyDescent="0.3">
      <c r="H42" s="33"/>
    </row>
    <row r="43" spans="3:28" x14ac:dyDescent="0.3">
      <c r="H43" s="33"/>
      <c r="I43" s="33"/>
    </row>
    <row r="44" spans="3:28" x14ac:dyDescent="0.3">
      <c r="H44" s="33"/>
      <c r="I44" s="33"/>
    </row>
    <row r="45" spans="3:28" x14ac:dyDescent="0.3">
      <c r="H45" s="33"/>
      <c r="I45" s="33"/>
    </row>
    <row r="46" spans="3:28" x14ac:dyDescent="0.3">
      <c r="H46" s="33"/>
      <c r="I46" s="33"/>
    </row>
    <row r="47" spans="3:28" x14ac:dyDescent="0.3">
      <c r="H47" s="33"/>
      <c r="I47" s="33"/>
    </row>
    <row r="48" spans="3:28" x14ac:dyDescent="0.3">
      <c r="H48" s="33"/>
      <c r="I48" s="33"/>
    </row>
    <row r="49" spans="8:9" x14ac:dyDescent="0.3">
      <c r="H49" s="33"/>
      <c r="I49" s="33"/>
    </row>
    <row r="50" spans="8:9" x14ac:dyDescent="0.3">
      <c r="H50" s="33"/>
      <c r="I50" s="33"/>
    </row>
    <row r="51" spans="8:9" x14ac:dyDescent="0.3">
      <c r="H51" s="33"/>
      <c r="I51" s="33"/>
    </row>
    <row r="52" spans="8:9" x14ac:dyDescent="0.3">
      <c r="H52" s="33"/>
      <c r="I52" s="33"/>
    </row>
    <row r="53" spans="8:9" x14ac:dyDescent="0.3">
      <c r="H53" s="33"/>
      <c r="I53" s="33"/>
    </row>
    <row r="54" spans="8:9" x14ac:dyDescent="0.3">
      <c r="H54" s="33"/>
      <c r="I54" s="33"/>
    </row>
    <row r="55" spans="8:9" x14ac:dyDescent="0.3">
      <c r="H55" s="33"/>
      <c r="I55" s="33"/>
    </row>
    <row r="56" spans="8:9" x14ac:dyDescent="0.3">
      <c r="H56" s="33"/>
      <c r="I56" s="33"/>
    </row>
    <row r="57" spans="8:9" x14ac:dyDescent="0.3">
      <c r="H57" s="33"/>
      <c r="I57" s="33"/>
    </row>
    <row r="58" spans="8:9" x14ac:dyDescent="0.3">
      <c r="I58" s="33"/>
    </row>
  </sheetData>
  <mergeCells count="6">
    <mergeCell ref="AB3:AB5"/>
    <mergeCell ref="A3:A6"/>
    <mergeCell ref="X3:X5"/>
    <mergeCell ref="Y3:Y5"/>
    <mergeCell ref="Z3:Z5"/>
    <mergeCell ref="AA3:AA5"/>
  </mergeCells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FBDF-71A9-4595-B9C4-193EF01D5CCF}">
  <dimension ref="A1:Y2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A6"/>
    </sheetView>
  </sheetViews>
  <sheetFormatPr baseColWidth="10" defaultColWidth="8.88671875" defaultRowHeight="14.4" x14ac:dyDescent="0.3"/>
  <cols>
    <col min="1" max="1" width="29.109375" customWidth="1"/>
    <col min="2" max="2" width="39.109375" bestFit="1" customWidth="1"/>
    <col min="3" max="9" width="14.109375" customWidth="1"/>
    <col min="10" max="12" width="13.109375" customWidth="1"/>
    <col min="13" max="13" width="12.6640625" customWidth="1"/>
    <col min="14" max="14" width="17.109375" customWidth="1"/>
    <col min="15" max="15" width="12" customWidth="1"/>
    <col min="16" max="16" width="12.88671875" customWidth="1"/>
    <col min="17" max="17" width="12.5546875" customWidth="1"/>
    <col min="18" max="18" width="13.33203125" customWidth="1"/>
  </cols>
  <sheetData>
    <row r="1" spans="1:25" ht="15" thickBot="1" x14ac:dyDescent="0.35"/>
    <row r="2" spans="1:25" ht="15" thickBot="1" x14ac:dyDescent="0.35">
      <c r="A2" s="76" t="str">
        <f>+'TX7'!A2</f>
        <v>JANUARY</v>
      </c>
      <c r="C2" s="227"/>
      <c r="D2" s="228"/>
      <c r="E2" s="509"/>
      <c r="F2" s="509"/>
      <c r="G2" s="509"/>
      <c r="H2" s="218"/>
      <c r="I2" s="198"/>
      <c r="J2" s="199"/>
      <c r="K2" s="239"/>
      <c r="L2" s="239"/>
      <c r="M2" s="185"/>
    </row>
    <row r="3" spans="1:25" x14ac:dyDescent="0.3">
      <c r="A3" s="491" t="s">
        <v>165</v>
      </c>
      <c r="B3" s="314" t="s">
        <v>0</v>
      </c>
      <c r="C3" s="295">
        <v>44201</v>
      </c>
      <c r="D3" s="295">
        <v>44203</v>
      </c>
      <c r="E3" s="452"/>
      <c r="F3" s="452"/>
      <c r="G3" s="295"/>
      <c r="H3" s="295"/>
      <c r="I3" s="295"/>
      <c r="J3" s="295"/>
      <c r="K3" s="296"/>
      <c r="L3" s="296"/>
      <c r="M3" s="298"/>
      <c r="N3" s="501" t="s">
        <v>1</v>
      </c>
      <c r="O3" s="503" t="s">
        <v>2</v>
      </c>
      <c r="P3" s="505" t="s">
        <v>3</v>
      </c>
      <c r="Q3" s="503" t="s">
        <v>4</v>
      </c>
      <c r="R3" s="499" t="s">
        <v>5</v>
      </c>
    </row>
    <row r="4" spans="1:25" x14ac:dyDescent="0.3">
      <c r="A4" s="492"/>
      <c r="B4" s="315" t="s">
        <v>6</v>
      </c>
      <c r="C4" s="299" t="s">
        <v>215</v>
      </c>
      <c r="D4" s="299" t="s">
        <v>221</v>
      </c>
      <c r="E4" s="299"/>
      <c r="F4" s="299"/>
      <c r="G4" s="299"/>
      <c r="H4" s="299"/>
      <c r="I4" s="299"/>
      <c r="J4" s="299"/>
      <c r="K4" s="300"/>
      <c r="L4" s="300"/>
      <c r="M4" s="302"/>
      <c r="N4" s="502"/>
      <c r="O4" s="504"/>
      <c r="P4" s="506"/>
      <c r="Q4" s="504"/>
      <c r="R4" s="500"/>
    </row>
    <row r="5" spans="1:25" x14ac:dyDescent="0.3">
      <c r="A5" s="492"/>
      <c r="B5" s="315" t="s">
        <v>8</v>
      </c>
      <c r="C5" s="299">
        <v>554279</v>
      </c>
      <c r="D5" s="299">
        <v>554321</v>
      </c>
      <c r="E5" s="299"/>
      <c r="F5" s="299"/>
      <c r="G5" s="299"/>
      <c r="H5" s="299"/>
      <c r="I5" s="299"/>
      <c r="J5" s="299"/>
      <c r="K5" s="300"/>
      <c r="L5" s="300"/>
      <c r="M5" s="302"/>
      <c r="N5" s="502"/>
      <c r="O5" s="504"/>
      <c r="P5" s="506"/>
      <c r="Q5" s="504"/>
      <c r="R5" s="500"/>
      <c r="W5">
        <v>0.35</v>
      </c>
      <c r="Y5" s="219" t="s">
        <v>166</v>
      </c>
    </row>
    <row r="6" spans="1:25" ht="15" thickBot="1" x14ac:dyDescent="0.35">
      <c r="A6" s="492"/>
      <c r="B6" s="363" t="s">
        <v>9</v>
      </c>
      <c r="C6" s="414">
        <v>4011</v>
      </c>
      <c r="D6" s="414">
        <v>2005.5</v>
      </c>
      <c r="E6" s="414"/>
      <c r="F6" s="414"/>
      <c r="G6" s="414"/>
      <c r="H6" s="414"/>
      <c r="I6" s="414"/>
      <c r="J6" s="414"/>
      <c r="K6" s="415"/>
      <c r="L6" s="415"/>
      <c r="M6" s="416"/>
      <c r="N6" s="367">
        <f t="shared" ref="N6:N13" si="0">SUM(C6:M6)</f>
        <v>6016.5</v>
      </c>
      <c r="O6" s="326"/>
      <c r="P6" s="368"/>
      <c r="Q6" s="326"/>
      <c r="R6" s="325"/>
      <c r="T6" s="207" t="s">
        <v>64</v>
      </c>
      <c r="U6" s="207" t="s">
        <v>74</v>
      </c>
      <c r="V6" s="207" t="s">
        <v>50</v>
      </c>
      <c r="W6" s="207" t="s">
        <v>51</v>
      </c>
      <c r="X6" s="222" t="s">
        <v>65</v>
      </c>
      <c r="Y6" s="222" t="s">
        <v>167</v>
      </c>
    </row>
    <row r="7" spans="1:25" x14ac:dyDescent="0.3">
      <c r="A7" s="448" t="s">
        <v>182</v>
      </c>
      <c r="B7" s="449" t="s">
        <v>309</v>
      </c>
      <c r="C7" s="144">
        <v>60</v>
      </c>
      <c r="D7" s="145">
        <v>30</v>
      </c>
      <c r="E7" s="145"/>
      <c r="F7" s="145"/>
      <c r="G7" s="145"/>
      <c r="H7" s="145"/>
      <c r="I7" s="145"/>
      <c r="J7" s="145"/>
      <c r="K7" s="243"/>
      <c r="L7" s="243"/>
      <c r="M7" s="467"/>
      <c r="N7" s="445">
        <f t="shared" si="0"/>
        <v>90</v>
      </c>
      <c r="O7" s="466">
        <v>12.57</v>
      </c>
      <c r="P7" s="444">
        <f t="shared" ref="P7:P12" si="1">N7*O7</f>
        <v>1131.3</v>
      </c>
      <c r="Q7" s="446">
        <v>2.2200000000000002</v>
      </c>
      <c r="R7" s="447">
        <f>N7*Q7</f>
        <v>199.8</v>
      </c>
      <c r="T7" s="200">
        <v>3.6166999999999998</v>
      </c>
      <c r="U7">
        <f>+T7/0.57</f>
        <v>6.3450877192982462</v>
      </c>
      <c r="V7" s="39">
        <f>+U7*(1.67+0.18+0.35)</f>
        <v>13.959192982456139</v>
      </c>
      <c r="W7" s="39">
        <f>+U7*0.35</f>
        <v>2.2207807017543861</v>
      </c>
      <c r="Y7" s="7">
        <f>+W7+X7</f>
        <v>2.2207807017543861</v>
      </c>
    </row>
    <row r="8" spans="1:25" x14ac:dyDescent="0.3">
      <c r="A8" s="450" t="s">
        <v>183</v>
      </c>
      <c r="B8" s="422" t="s">
        <v>310</v>
      </c>
      <c r="C8" s="56">
        <v>60</v>
      </c>
      <c r="D8" s="57">
        <v>30</v>
      </c>
      <c r="E8" s="57"/>
      <c r="F8" s="57"/>
      <c r="G8" s="57"/>
      <c r="H8" s="57"/>
      <c r="I8" s="57"/>
      <c r="J8" s="57"/>
      <c r="K8" s="167"/>
      <c r="L8" s="167"/>
      <c r="M8" s="124"/>
      <c r="N8" s="433">
        <f t="shared" si="0"/>
        <v>90</v>
      </c>
      <c r="O8" s="356">
        <v>12.57</v>
      </c>
      <c r="P8" s="357">
        <f t="shared" si="1"/>
        <v>1131.3</v>
      </c>
      <c r="Q8" s="370">
        <v>2.2200000000000002</v>
      </c>
      <c r="R8" s="371">
        <f t="shared" ref="R8:R13" si="2">N8*Q8</f>
        <v>199.8</v>
      </c>
      <c r="T8" s="266">
        <v>3.6166999999999998</v>
      </c>
      <c r="U8">
        <f t="shared" ref="U8:U13" si="3">+T8/0.57</f>
        <v>6.3450877192982462</v>
      </c>
      <c r="V8" s="39">
        <f t="shared" ref="V8" si="4">+U8*(1.67+0.18+0.35)</f>
        <v>13.959192982456139</v>
      </c>
      <c r="W8" s="39">
        <f t="shared" ref="W8:W13" si="5">+U8*0.35</f>
        <v>2.2207807017543861</v>
      </c>
      <c r="Y8" s="7">
        <f t="shared" ref="Y8:Y13" si="6">+W8+X8</f>
        <v>2.2207807017543861</v>
      </c>
    </row>
    <row r="9" spans="1:25" x14ac:dyDescent="0.3">
      <c r="A9" s="453" t="s">
        <v>136</v>
      </c>
      <c r="B9" s="451" t="s">
        <v>312</v>
      </c>
      <c r="C9" s="56">
        <v>60</v>
      </c>
      <c r="D9" s="57">
        <v>30</v>
      </c>
      <c r="E9" s="57"/>
      <c r="F9" s="57"/>
      <c r="G9" s="57"/>
      <c r="H9" s="57"/>
      <c r="I9" s="57"/>
      <c r="J9" s="57"/>
      <c r="K9" s="167"/>
      <c r="L9" s="167"/>
      <c r="M9" s="124"/>
      <c r="N9" s="456">
        <f>SUM(C9:M9)</f>
        <v>90</v>
      </c>
      <c r="O9" s="457">
        <v>5.71</v>
      </c>
      <c r="P9" s="458">
        <f t="shared" si="1"/>
        <v>513.9</v>
      </c>
      <c r="Q9" s="459">
        <v>1</v>
      </c>
      <c r="R9" s="460">
        <f>N9*Q9</f>
        <v>90</v>
      </c>
      <c r="T9" s="200">
        <v>1.6291</v>
      </c>
      <c r="U9">
        <f>+T9/0.57</f>
        <v>2.8580701754385966</v>
      </c>
      <c r="V9" s="39">
        <f>+U9*(1.67+0.18+0.35)</f>
        <v>6.2877543859649121</v>
      </c>
      <c r="W9" s="39">
        <f>+U9*0.35</f>
        <v>1.0003245614035088</v>
      </c>
      <c r="Y9" s="7">
        <f>+W9+X9</f>
        <v>1.0003245614035088</v>
      </c>
    </row>
    <row r="10" spans="1:25" x14ac:dyDescent="0.3">
      <c r="A10" s="453" t="s">
        <v>134</v>
      </c>
      <c r="B10" s="451" t="s">
        <v>313</v>
      </c>
      <c r="C10" s="56">
        <v>60</v>
      </c>
      <c r="D10" s="57">
        <v>30</v>
      </c>
      <c r="E10" s="57"/>
      <c r="F10" s="57"/>
      <c r="G10" s="57"/>
      <c r="H10" s="57"/>
      <c r="I10" s="57"/>
      <c r="J10" s="57"/>
      <c r="K10" s="167"/>
      <c r="L10" s="167"/>
      <c r="M10" s="124"/>
      <c r="N10" s="456">
        <f>SUM(C10:M10)</f>
        <v>90</v>
      </c>
      <c r="O10" s="457">
        <v>5.7</v>
      </c>
      <c r="P10" s="458">
        <f t="shared" si="1"/>
        <v>513</v>
      </c>
      <c r="Q10" s="459">
        <v>1</v>
      </c>
      <c r="R10" s="460">
        <f>N10*Q10</f>
        <v>90</v>
      </c>
      <c r="T10" s="200">
        <v>1.6291</v>
      </c>
      <c r="U10">
        <f>+T10/0.57</f>
        <v>2.8580701754385966</v>
      </c>
      <c r="V10" s="39">
        <f>+U10*(1.67+0.18+0.35)</f>
        <v>6.2877543859649121</v>
      </c>
      <c r="W10" s="39">
        <f>+U10*0.35</f>
        <v>1.0003245614035088</v>
      </c>
      <c r="Y10" s="7">
        <f>+W10+X10</f>
        <v>1.0003245614035088</v>
      </c>
    </row>
    <row r="11" spans="1:25" x14ac:dyDescent="0.3">
      <c r="A11" s="453" t="s">
        <v>132</v>
      </c>
      <c r="B11" s="451" t="s">
        <v>314</v>
      </c>
      <c r="C11" s="56">
        <v>60</v>
      </c>
      <c r="D11" s="57">
        <v>30</v>
      </c>
      <c r="E11" s="57"/>
      <c r="F11" s="57"/>
      <c r="G11" s="57"/>
      <c r="H11" s="57"/>
      <c r="I11" s="57"/>
      <c r="J11" s="57"/>
      <c r="K11" s="167"/>
      <c r="L11" s="167"/>
      <c r="M11" s="124"/>
      <c r="N11" s="456">
        <f>SUM(C11:M11)</f>
        <v>90</v>
      </c>
      <c r="O11" s="457">
        <v>4.53</v>
      </c>
      <c r="P11" s="458">
        <f t="shared" si="1"/>
        <v>407.70000000000005</v>
      </c>
      <c r="Q11" s="459">
        <v>0.79</v>
      </c>
      <c r="R11" s="460">
        <f>N11*Q11</f>
        <v>71.100000000000009</v>
      </c>
      <c r="T11" s="200">
        <v>1.2946</v>
      </c>
      <c r="U11">
        <f>+T11/0.57</f>
        <v>2.2712280701754386</v>
      </c>
      <c r="V11" s="39">
        <f>+U11*(1.67+0.18+0.35)</f>
        <v>4.9967017543859642</v>
      </c>
      <c r="W11" s="39">
        <f>+U11*0.35</f>
        <v>0.79492982456140349</v>
      </c>
      <c r="Y11" s="7">
        <f>+W11+X11</f>
        <v>0.79492982456140349</v>
      </c>
    </row>
    <row r="12" spans="1:25" x14ac:dyDescent="0.3">
      <c r="A12" s="453" t="s">
        <v>130</v>
      </c>
      <c r="B12" s="451" t="s">
        <v>315</v>
      </c>
      <c r="C12" s="56">
        <v>60</v>
      </c>
      <c r="D12" s="57">
        <v>30</v>
      </c>
      <c r="E12" s="57"/>
      <c r="F12" s="57"/>
      <c r="G12" s="57"/>
      <c r="H12" s="57"/>
      <c r="I12" s="57"/>
      <c r="J12" s="57"/>
      <c r="K12" s="167"/>
      <c r="L12" s="167"/>
      <c r="M12" s="124"/>
      <c r="N12" s="456">
        <f>SUM(C12:M12)</f>
        <v>90</v>
      </c>
      <c r="O12" s="457">
        <v>4.53</v>
      </c>
      <c r="P12" s="458">
        <f t="shared" si="1"/>
        <v>407.70000000000005</v>
      </c>
      <c r="Q12" s="459">
        <v>0.79</v>
      </c>
      <c r="R12" s="460">
        <f>N12*Q12</f>
        <v>71.100000000000009</v>
      </c>
      <c r="T12" s="200">
        <v>1.2946</v>
      </c>
      <c r="U12">
        <f>+T12/0.57</f>
        <v>2.2712280701754386</v>
      </c>
      <c r="V12" s="39">
        <f>+U12*(1.67+0.18+0.35)</f>
        <v>4.9967017543859642</v>
      </c>
      <c r="W12" s="39">
        <f>+U12*0.35</f>
        <v>0.79492982456140349</v>
      </c>
      <c r="Y12" s="7">
        <f>+W12+X12</f>
        <v>0.79492982456140349</v>
      </c>
    </row>
    <row r="13" spans="1:25" ht="15" thickBot="1" x14ac:dyDescent="0.35">
      <c r="A13" s="454" t="s">
        <v>128</v>
      </c>
      <c r="B13" s="455" t="s">
        <v>311</v>
      </c>
      <c r="C13" s="58">
        <v>120</v>
      </c>
      <c r="D13" s="59">
        <v>60</v>
      </c>
      <c r="E13" s="59"/>
      <c r="F13" s="59"/>
      <c r="G13" s="59"/>
      <c r="H13" s="59"/>
      <c r="I13" s="59"/>
      <c r="J13" s="59"/>
      <c r="K13" s="168"/>
      <c r="L13" s="168"/>
      <c r="M13" s="468"/>
      <c r="N13" s="461">
        <f t="shared" si="0"/>
        <v>180</v>
      </c>
      <c r="O13" s="462">
        <v>10.62</v>
      </c>
      <c r="P13" s="463">
        <f t="shared" ref="P13" si="7">N13*O13</f>
        <v>1911.6</v>
      </c>
      <c r="Q13" s="464">
        <v>3.63</v>
      </c>
      <c r="R13" s="465">
        <f t="shared" si="2"/>
        <v>653.4</v>
      </c>
      <c r="S13" t="s">
        <v>65</v>
      </c>
      <c r="T13" s="200">
        <v>2.6473</v>
      </c>
      <c r="U13">
        <f t="shared" si="3"/>
        <v>4.6443859649122814</v>
      </c>
      <c r="V13" s="39">
        <f>+U13*(1.67+0.18+0.35)+2</f>
        <v>12.217649122807018</v>
      </c>
      <c r="W13" s="39">
        <f t="shared" si="5"/>
        <v>1.6255350877192984</v>
      </c>
      <c r="X13">
        <v>2</v>
      </c>
      <c r="Y13" s="7">
        <f t="shared" si="6"/>
        <v>3.6255350877192987</v>
      </c>
    </row>
    <row r="14" spans="1:25" ht="15" thickBot="1" x14ac:dyDescent="0.35">
      <c r="A14" s="3"/>
      <c r="B14" s="3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78">
        <f>SUM(N7:N13)</f>
        <v>720</v>
      </c>
      <c r="O14" s="5"/>
      <c r="P14" s="78">
        <f>SUM(P7:P13)</f>
        <v>6016.5</v>
      </c>
      <c r="Q14" s="6"/>
      <c r="R14" s="72">
        <f>SUM(R7:R13)</f>
        <v>1375.2</v>
      </c>
    </row>
    <row r="15" spans="1:25" hidden="1" x14ac:dyDescent="0.3">
      <c r="B15" s="3"/>
      <c r="C15" s="32">
        <f>+C7*$O7</f>
        <v>754.2</v>
      </c>
      <c r="D15" s="32">
        <f>+D7*$O7</f>
        <v>377.1</v>
      </c>
      <c r="E15" s="32">
        <f t="shared" ref="E15:M15" si="8">+E7*$O7</f>
        <v>0</v>
      </c>
      <c r="F15" s="32">
        <f t="shared" si="8"/>
        <v>0</v>
      </c>
      <c r="G15" s="32">
        <f t="shared" si="8"/>
        <v>0</v>
      </c>
      <c r="H15" s="32">
        <f t="shared" si="8"/>
        <v>0</v>
      </c>
      <c r="I15" s="32">
        <f t="shared" si="8"/>
        <v>0</v>
      </c>
      <c r="J15" s="32">
        <f t="shared" si="8"/>
        <v>0</v>
      </c>
      <c r="K15" s="32">
        <f t="shared" si="8"/>
        <v>0</v>
      </c>
      <c r="L15" s="32">
        <f t="shared" si="8"/>
        <v>0</v>
      </c>
      <c r="M15" s="32">
        <f t="shared" si="8"/>
        <v>0</v>
      </c>
      <c r="N15" s="78"/>
      <c r="O15" s="5"/>
      <c r="P15" s="78"/>
      <c r="Q15" s="6"/>
      <c r="R15" s="29"/>
    </row>
    <row r="16" spans="1:25" hidden="1" x14ac:dyDescent="0.3">
      <c r="B16" s="3"/>
      <c r="C16" s="32">
        <f>+C8*$O8</f>
        <v>754.2</v>
      </c>
      <c r="D16" s="32">
        <f t="shared" ref="D16" si="9">+D8*$O8</f>
        <v>377.1</v>
      </c>
      <c r="E16" s="32">
        <f t="shared" ref="E16:M16" si="10">+E8*$O8</f>
        <v>0</v>
      </c>
      <c r="F16" s="32">
        <f t="shared" si="10"/>
        <v>0</v>
      </c>
      <c r="G16" s="32">
        <f t="shared" si="10"/>
        <v>0</v>
      </c>
      <c r="H16" s="32">
        <f t="shared" si="10"/>
        <v>0</v>
      </c>
      <c r="I16" s="32">
        <f t="shared" si="10"/>
        <v>0</v>
      </c>
      <c r="J16" s="32">
        <f t="shared" si="10"/>
        <v>0</v>
      </c>
      <c r="K16" s="32">
        <f t="shared" si="10"/>
        <v>0</v>
      </c>
      <c r="L16" s="32">
        <f t="shared" si="10"/>
        <v>0</v>
      </c>
      <c r="M16" s="32">
        <f t="shared" si="10"/>
        <v>0</v>
      </c>
      <c r="N16" s="78"/>
      <c r="O16" s="5"/>
      <c r="Q16" s="6"/>
    </row>
    <row r="17" spans="1:18" hidden="1" x14ac:dyDescent="0.3">
      <c r="A17" s="3"/>
      <c r="B17" s="3"/>
      <c r="C17" s="32">
        <f>+C9*$O9</f>
        <v>342.6</v>
      </c>
      <c r="D17" s="32">
        <f t="shared" ref="D17" si="11">+D9*$O9</f>
        <v>171.3</v>
      </c>
      <c r="E17" s="32">
        <f t="shared" ref="E17:M17" si="12">+E9*$O9</f>
        <v>0</v>
      </c>
      <c r="F17" s="32">
        <f t="shared" si="12"/>
        <v>0</v>
      </c>
      <c r="G17" s="32">
        <f t="shared" si="12"/>
        <v>0</v>
      </c>
      <c r="H17" s="32">
        <f t="shared" si="12"/>
        <v>0</v>
      </c>
      <c r="I17" s="32">
        <f t="shared" si="12"/>
        <v>0</v>
      </c>
      <c r="J17" s="32">
        <f t="shared" si="12"/>
        <v>0</v>
      </c>
      <c r="K17" s="32">
        <f t="shared" si="12"/>
        <v>0</v>
      </c>
      <c r="L17" s="32">
        <f t="shared" si="12"/>
        <v>0</v>
      </c>
      <c r="M17" s="32">
        <f t="shared" si="12"/>
        <v>0</v>
      </c>
      <c r="N17" s="78"/>
      <c r="O17" s="5"/>
    </row>
    <row r="18" spans="1:18" hidden="1" x14ac:dyDescent="0.3">
      <c r="A18" s="3"/>
      <c r="B18" s="3"/>
      <c r="C18" s="32">
        <f>+C10*$O10</f>
        <v>342</v>
      </c>
      <c r="D18" s="32">
        <f t="shared" ref="D18" si="13">+D10*$O10</f>
        <v>171</v>
      </c>
      <c r="E18" s="32">
        <f t="shared" ref="E18:M18" si="14">+E10*$O10</f>
        <v>0</v>
      </c>
      <c r="F18" s="32">
        <f t="shared" si="14"/>
        <v>0</v>
      </c>
      <c r="G18" s="32">
        <f t="shared" si="14"/>
        <v>0</v>
      </c>
      <c r="H18" s="32">
        <f t="shared" si="14"/>
        <v>0</v>
      </c>
      <c r="I18" s="32">
        <f t="shared" si="14"/>
        <v>0</v>
      </c>
      <c r="J18" s="32">
        <f t="shared" si="14"/>
        <v>0</v>
      </c>
      <c r="K18" s="32">
        <f t="shared" si="14"/>
        <v>0</v>
      </c>
      <c r="L18" s="32">
        <f t="shared" si="14"/>
        <v>0</v>
      </c>
      <c r="M18" s="32">
        <f t="shared" si="14"/>
        <v>0</v>
      </c>
      <c r="N18" s="78"/>
      <c r="O18" s="5"/>
    </row>
    <row r="19" spans="1:18" hidden="1" x14ac:dyDescent="0.3">
      <c r="A19" s="3"/>
      <c r="B19" s="3"/>
      <c r="C19" s="32">
        <f>+C11*$O11</f>
        <v>271.8</v>
      </c>
      <c r="D19" s="32">
        <f t="shared" ref="D19:E19" si="15">+D11*$O11</f>
        <v>135.9</v>
      </c>
      <c r="E19" s="32">
        <f t="shared" si="15"/>
        <v>0</v>
      </c>
      <c r="F19" s="32">
        <f t="shared" ref="F19:M19" si="16">+F11*$O11</f>
        <v>0</v>
      </c>
      <c r="G19" s="32">
        <f t="shared" si="16"/>
        <v>0</v>
      </c>
      <c r="H19" s="32">
        <f t="shared" si="16"/>
        <v>0</v>
      </c>
      <c r="I19" s="32">
        <f t="shared" si="16"/>
        <v>0</v>
      </c>
      <c r="J19" s="32">
        <f t="shared" si="16"/>
        <v>0</v>
      </c>
      <c r="K19" s="32">
        <f t="shared" si="16"/>
        <v>0</v>
      </c>
      <c r="L19" s="32">
        <f t="shared" si="16"/>
        <v>0</v>
      </c>
      <c r="M19" s="32">
        <f t="shared" si="16"/>
        <v>0</v>
      </c>
      <c r="N19" s="78"/>
      <c r="O19" s="5"/>
      <c r="P19" s="203"/>
      <c r="Q19" s="18"/>
      <c r="R19" s="204"/>
    </row>
    <row r="20" spans="1:18" hidden="1" x14ac:dyDescent="0.3">
      <c r="A20" s="3"/>
      <c r="B20" s="3"/>
      <c r="C20" s="32">
        <f>+C12*O12</f>
        <v>271.8</v>
      </c>
      <c r="D20" s="32">
        <f>+D12*O12</f>
        <v>135.9</v>
      </c>
      <c r="E20" s="32">
        <f t="shared" ref="E20:M20" si="17">+E12*$O12</f>
        <v>0</v>
      </c>
      <c r="F20" s="32">
        <f t="shared" si="17"/>
        <v>0</v>
      </c>
      <c r="G20" s="32">
        <f t="shared" si="17"/>
        <v>0</v>
      </c>
      <c r="H20" s="32">
        <f t="shared" si="17"/>
        <v>0</v>
      </c>
      <c r="I20" s="32">
        <f t="shared" si="17"/>
        <v>0</v>
      </c>
      <c r="J20" s="32">
        <f t="shared" si="17"/>
        <v>0</v>
      </c>
      <c r="K20" s="32">
        <f t="shared" si="17"/>
        <v>0</v>
      </c>
      <c r="L20" s="32">
        <f t="shared" si="17"/>
        <v>0</v>
      </c>
      <c r="M20" s="32">
        <f t="shared" si="17"/>
        <v>0</v>
      </c>
      <c r="N20" s="78"/>
      <c r="O20" s="5"/>
      <c r="P20" s="78"/>
      <c r="Q20" s="6"/>
      <c r="R20" s="29"/>
    </row>
    <row r="21" spans="1:18" ht="15" hidden="1" thickBot="1" x14ac:dyDescent="0.35">
      <c r="A21" s="3"/>
      <c r="B21" s="3"/>
      <c r="C21" s="32">
        <f>+C13*O13</f>
        <v>1274.3999999999999</v>
      </c>
      <c r="D21" s="32">
        <f>+D13*O13</f>
        <v>637.19999999999993</v>
      </c>
      <c r="E21" s="32">
        <f t="shared" ref="E21:M21" si="18">+E13*$O13</f>
        <v>0</v>
      </c>
      <c r="F21" s="32">
        <f t="shared" si="18"/>
        <v>0</v>
      </c>
      <c r="G21" s="32">
        <f t="shared" si="18"/>
        <v>0</v>
      </c>
      <c r="H21" s="32">
        <f t="shared" si="18"/>
        <v>0</v>
      </c>
      <c r="I21" s="32">
        <f t="shared" si="18"/>
        <v>0</v>
      </c>
      <c r="J21" s="32">
        <f t="shared" si="18"/>
        <v>0</v>
      </c>
      <c r="K21" s="32">
        <f t="shared" si="18"/>
        <v>0</v>
      </c>
      <c r="L21" s="32">
        <f t="shared" si="18"/>
        <v>0</v>
      </c>
      <c r="M21" s="32">
        <f t="shared" si="18"/>
        <v>0</v>
      </c>
      <c r="N21" s="78"/>
      <c r="O21" s="5"/>
      <c r="P21" s="78"/>
      <c r="Q21" s="6"/>
      <c r="R21" s="29"/>
    </row>
    <row r="22" spans="1:18" ht="15" thickBot="1" x14ac:dyDescent="0.35">
      <c r="C22" s="74">
        <f t="shared" ref="C22:M22" si="19">SUM(C15:C21)</f>
        <v>4011</v>
      </c>
      <c r="D22" s="74">
        <f>SUM(D15:D21)</f>
        <v>2005.5</v>
      </c>
      <c r="E22" s="74">
        <f t="shared" si="19"/>
        <v>0</v>
      </c>
      <c r="F22" s="74">
        <f t="shared" ref="F22:G22" si="20">SUM(F15:F21)</f>
        <v>0</v>
      </c>
      <c r="G22" s="74">
        <f t="shared" si="20"/>
        <v>0</v>
      </c>
      <c r="H22" s="74">
        <f t="shared" si="19"/>
        <v>0</v>
      </c>
      <c r="I22" s="74">
        <f t="shared" si="19"/>
        <v>0</v>
      </c>
      <c r="J22" s="74">
        <f t="shared" si="19"/>
        <v>0</v>
      </c>
      <c r="K22" s="74">
        <f t="shared" ref="K22:L22" si="21">SUM(K15:K21)</f>
        <v>0</v>
      </c>
      <c r="L22" s="74">
        <f t="shared" si="21"/>
        <v>0</v>
      </c>
      <c r="M22" s="74">
        <f t="shared" si="19"/>
        <v>0</v>
      </c>
      <c r="P22" s="20">
        <f>+P14</f>
        <v>6016.5</v>
      </c>
      <c r="Q22" s="18"/>
      <c r="R22" s="19">
        <f>+R14</f>
        <v>1375.2</v>
      </c>
    </row>
    <row r="23" spans="1:18" x14ac:dyDescent="0.3">
      <c r="C23" s="74">
        <f t="shared" ref="C23:M23" si="22">+C6-C22</f>
        <v>0</v>
      </c>
      <c r="D23" s="74">
        <f t="shared" si="22"/>
        <v>0</v>
      </c>
      <c r="E23" s="74">
        <f t="shared" si="22"/>
        <v>0</v>
      </c>
      <c r="F23" s="74">
        <f t="shared" si="22"/>
        <v>0</v>
      </c>
      <c r="G23" s="74">
        <f t="shared" si="22"/>
        <v>0</v>
      </c>
      <c r="H23" s="74">
        <f t="shared" si="22"/>
        <v>0</v>
      </c>
      <c r="I23" s="74">
        <f t="shared" si="22"/>
        <v>0</v>
      </c>
      <c r="J23" s="74">
        <f t="shared" si="22"/>
        <v>0</v>
      </c>
      <c r="K23" s="74">
        <f t="shared" si="22"/>
        <v>0</v>
      </c>
      <c r="L23" s="74">
        <f t="shared" si="22"/>
        <v>0</v>
      </c>
      <c r="M23" s="74">
        <f t="shared" si="22"/>
        <v>0</v>
      </c>
      <c r="P23" s="7">
        <f>+N6-P14</f>
        <v>0</v>
      </c>
    </row>
  </sheetData>
  <mergeCells count="7">
    <mergeCell ref="R3:R5"/>
    <mergeCell ref="E2:G2"/>
    <mergeCell ref="A3:A6"/>
    <mergeCell ref="N3:N5"/>
    <mergeCell ref="O3:O5"/>
    <mergeCell ref="P3:P5"/>
    <mergeCell ref="Q3:Q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2EBB-C2DE-4209-AB8E-83251C1D358B}">
  <dimension ref="A2:AA48"/>
  <sheetViews>
    <sheetView zoomScale="80" zoomScaleNormal="80" workbookViewId="0">
      <pane xSplit="2" ySplit="6" topLeftCell="J7" activePane="bottomRight" state="frozen"/>
      <selection pane="topRight" activeCell="C1" sqref="C1"/>
      <selection pane="bottomLeft" activeCell="A7" sqref="A7"/>
      <selection pane="bottomRight" activeCell="O7" sqref="O7"/>
    </sheetView>
  </sheetViews>
  <sheetFormatPr baseColWidth="10" defaultColWidth="8.88671875" defaultRowHeight="14.4" x14ac:dyDescent="0.3"/>
  <cols>
    <col min="1" max="1" width="19.44140625" bestFit="1" customWidth="1"/>
    <col min="2" max="2" width="45.88671875" bestFit="1" customWidth="1"/>
    <col min="3" max="3" width="16.33203125" bestFit="1" customWidth="1"/>
    <col min="4" max="4" width="13.88671875" customWidth="1"/>
    <col min="5" max="5" width="13.109375" bestFit="1" customWidth="1"/>
    <col min="6" max="6" width="12.88671875" bestFit="1" customWidth="1"/>
    <col min="7" max="7" width="13.109375" bestFit="1" customWidth="1"/>
    <col min="8" max="9" width="12.33203125" customWidth="1"/>
    <col min="10" max="10" width="12.6640625" bestFit="1" customWidth="1"/>
    <col min="12" max="12" width="17" customWidth="1"/>
    <col min="13" max="13" width="14" customWidth="1"/>
    <col min="14" max="14" width="12.33203125" customWidth="1"/>
    <col min="16" max="16" width="13.109375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12.44140625" bestFit="1" customWidth="1"/>
  </cols>
  <sheetData>
    <row r="2" spans="1:27" ht="15" thickBot="1" x14ac:dyDescent="0.35">
      <c r="A2" s="76" t="str">
        <f>+'TX7'!A2</f>
        <v>JANUARY</v>
      </c>
    </row>
    <row r="3" spans="1:27" x14ac:dyDescent="0.3">
      <c r="A3" s="491" t="s">
        <v>125</v>
      </c>
      <c r="B3" s="314" t="s">
        <v>0</v>
      </c>
      <c r="C3" s="295">
        <v>44204</v>
      </c>
      <c r="D3" s="295">
        <v>44209</v>
      </c>
      <c r="E3" s="295">
        <v>44216</v>
      </c>
      <c r="F3" s="295">
        <v>44217</v>
      </c>
      <c r="G3" s="295">
        <v>44218</v>
      </c>
      <c r="H3" s="295">
        <v>44221</v>
      </c>
      <c r="I3" s="295">
        <v>44222</v>
      </c>
      <c r="J3" s="295"/>
      <c r="K3" s="298"/>
      <c r="L3" s="501" t="s">
        <v>1</v>
      </c>
      <c r="M3" s="503" t="s">
        <v>2</v>
      </c>
      <c r="N3" s="505" t="s">
        <v>3</v>
      </c>
      <c r="O3" s="503" t="s">
        <v>4</v>
      </c>
      <c r="P3" s="499" t="s">
        <v>5</v>
      </c>
    </row>
    <row r="4" spans="1:27" x14ac:dyDescent="0.3">
      <c r="A4" s="492"/>
      <c r="B4" s="315" t="s">
        <v>6</v>
      </c>
      <c r="C4" s="299" t="s">
        <v>224</v>
      </c>
      <c r="D4" s="299" t="s">
        <v>233</v>
      </c>
      <c r="E4" s="299" t="s">
        <v>330</v>
      </c>
      <c r="F4" s="299" t="s">
        <v>332</v>
      </c>
      <c r="G4" s="299" t="s">
        <v>336</v>
      </c>
      <c r="H4" s="299" t="s">
        <v>343</v>
      </c>
      <c r="I4" s="299" t="s">
        <v>347</v>
      </c>
      <c r="J4" s="299"/>
      <c r="K4" s="302"/>
      <c r="L4" s="502"/>
      <c r="M4" s="504"/>
      <c r="N4" s="506"/>
      <c r="O4" s="504"/>
      <c r="P4" s="500"/>
    </row>
    <row r="5" spans="1:27" x14ac:dyDescent="0.3">
      <c r="A5" s="492"/>
      <c r="B5" s="315" t="s">
        <v>8</v>
      </c>
      <c r="C5" s="299">
        <v>554324</v>
      </c>
      <c r="D5" s="299">
        <v>554468</v>
      </c>
      <c r="E5" s="299">
        <v>554574</v>
      </c>
      <c r="F5" s="299">
        <v>554607</v>
      </c>
      <c r="G5" s="299">
        <v>554647</v>
      </c>
      <c r="H5" s="299">
        <v>554676</v>
      </c>
      <c r="I5" s="299"/>
      <c r="J5" s="299"/>
      <c r="K5" s="302"/>
      <c r="L5" s="502"/>
      <c r="M5" s="504"/>
      <c r="N5" s="506"/>
      <c r="O5" s="504"/>
      <c r="P5" s="500"/>
      <c r="U5">
        <v>0.35</v>
      </c>
    </row>
    <row r="6" spans="1:27" ht="15" thickBot="1" x14ac:dyDescent="0.35">
      <c r="A6" s="492"/>
      <c r="B6" s="363" t="s">
        <v>9</v>
      </c>
      <c r="C6" s="303">
        <v>5021.7</v>
      </c>
      <c r="D6" s="364">
        <v>1726.2</v>
      </c>
      <c r="E6" s="364">
        <v>3090</v>
      </c>
      <c r="F6" s="364">
        <v>1931.7</v>
      </c>
      <c r="G6" s="364">
        <v>3405.6</v>
      </c>
      <c r="H6" s="364">
        <v>5021.7</v>
      </c>
      <c r="I6" s="364"/>
      <c r="J6" s="364"/>
      <c r="K6" s="366"/>
      <c r="L6" s="367">
        <f t="shared" ref="L6:L21" si="0">SUM(C6:K6)</f>
        <v>20196.900000000001</v>
      </c>
      <c r="M6" s="326"/>
      <c r="N6" s="368"/>
      <c r="O6" s="326"/>
      <c r="P6" s="325"/>
      <c r="R6" s="219" t="s">
        <v>64</v>
      </c>
      <c r="S6" s="219" t="s">
        <v>74</v>
      </c>
      <c r="T6" s="219" t="s">
        <v>50</v>
      </c>
      <c r="U6" s="219" t="s">
        <v>51</v>
      </c>
      <c r="V6" s="219" t="s">
        <v>65</v>
      </c>
      <c r="W6" s="219" t="s">
        <v>89</v>
      </c>
      <c r="X6" s="219" t="s">
        <v>90</v>
      </c>
      <c r="Y6" s="219" t="s">
        <v>91</v>
      </c>
      <c r="Z6" s="219" t="s">
        <v>164</v>
      </c>
    </row>
    <row r="7" spans="1:27" x14ac:dyDescent="0.3">
      <c r="A7" s="419" t="s">
        <v>151</v>
      </c>
      <c r="B7" s="470" t="s">
        <v>316</v>
      </c>
      <c r="C7" s="144">
        <v>60</v>
      </c>
      <c r="D7" s="145"/>
      <c r="E7" s="145">
        <v>60</v>
      </c>
      <c r="F7" s="145"/>
      <c r="G7" s="145">
        <v>60</v>
      </c>
      <c r="H7" s="145">
        <v>60</v>
      </c>
      <c r="I7" s="145"/>
      <c r="J7" s="145"/>
      <c r="K7" s="443"/>
      <c r="L7" s="439">
        <f>SUM(C7:K7)</f>
        <v>240</v>
      </c>
      <c r="M7" s="427">
        <v>22.49</v>
      </c>
      <c r="N7" s="424">
        <f>L7*M7</f>
        <v>5397.5999999999995</v>
      </c>
      <c r="O7" s="428">
        <f>2.1+2+1.42+5.44</f>
        <v>10.96</v>
      </c>
      <c r="P7" s="429">
        <f>L7*O7</f>
        <v>2630.4</v>
      </c>
      <c r="Q7" t="s">
        <v>65</v>
      </c>
      <c r="R7" s="200">
        <v>2.9411999999999998</v>
      </c>
      <c r="S7" s="135">
        <f>+R7/0.49</f>
        <v>6.0024489795918363</v>
      </c>
      <c r="T7" s="201">
        <f>+S7*(1.86+0.35+0.18)</f>
        <v>14.34585306122449</v>
      </c>
      <c r="U7" s="201">
        <f>+S7*0.35</f>
        <v>2.1008571428571425</v>
      </c>
      <c r="V7">
        <v>2</v>
      </c>
      <c r="W7">
        <v>1.42</v>
      </c>
      <c r="X7">
        <v>5.44</v>
      </c>
      <c r="Y7" s="221">
        <f>SUM(U7:X7)</f>
        <v>10.960857142857144</v>
      </c>
      <c r="Z7" s="221">
        <f>+T7+W7+X7+V7</f>
        <v>23.205853061224492</v>
      </c>
      <c r="AA7" s="33"/>
    </row>
    <row r="8" spans="1:27" x14ac:dyDescent="0.3">
      <c r="A8" s="420" t="s">
        <v>184</v>
      </c>
      <c r="B8" s="469" t="s">
        <v>317</v>
      </c>
      <c r="C8" s="56">
        <v>30</v>
      </c>
      <c r="D8" s="57"/>
      <c r="E8" s="57">
        <v>30</v>
      </c>
      <c r="F8" s="57"/>
      <c r="G8" s="57"/>
      <c r="H8" s="57">
        <v>30</v>
      </c>
      <c r="I8" s="57"/>
      <c r="J8" s="57"/>
      <c r="K8" s="124"/>
      <c r="L8" s="440">
        <f>SUM(C8:K8)</f>
        <v>90</v>
      </c>
      <c r="M8" s="430">
        <v>25.34</v>
      </c>
      <c r="N8" s="425">
        <f>L8*M8</f>
        <v>2280.6</v>
      </c>
      <c r="O8" s="431">
        <f>2.69+1.73+5.44</f>
        <v>9.86</v>
      </c>
      <c r="P8" s="432">
        <f>L8*O8</f>
        <v>887.4</v>
      </c>
      <c r="R8" s="200">
        <v>3.7644000000000002</v>
      </c>
      <c r="S8" s="135">
        <f>+R8/0.49</f>
        <v>7.6824489795918369</v>
      </c>
      <c r="T8" s="201">
        <f>+S8*(1.86+0.35+0.18)</f>
        <v>18.361053061224492</v>
      </c>
      <c r="U8" s="201">
        <f>+S8*0.35</f>
        <v>2.6888571428571426</v>
      </c>
      <c r="V8">
        <v>0</v>
      </c>
      <c r="W8">
        <v>1.73</v>
      </c>
      <c r="X8">
        <v>5.44</v>
      </c>
      <c r="Y8" s="221">
        <f>SUM(U8:X8)</f>
        <v>9.8588571428571434</v>
      </c>
      <c r="Z8" s="221">
        <f>+T8+W8+X8+V8</f>
        <v>25.531053061224494</v>
      </c>
    </row>
    <row r="9" spans="1:27" x14ac:dyDescent="0.3">
      <c r="A9" s="420" t="s">
        <v>185</v>
      </c>
      <c r="B9" s="469" t="s">
        <v>318</v>
      </c>
      <c r="C9" s="56">
        <v>30</v>
      </c>
      <c r="D9" s="57">
        <v>30</v>
      </c>
      <c r="E9" s="57"/>
      <c r="F9" s="57">
        <v>30</v>
      </c>
      <c r="G9" s="57"/>
      <c r="H9" s="57">
        <v>30</v>
      </c>
      <c r="I9" s="57"/>
      <c r="J9" s="57"/>
      <c r="K9" s="51"/>
      <c r="L9" s="440">
        <f t="shared" si="0"/>
        <v>120</v>
      </c>
      <c r="M9" s="430">
        <v>25.34</v>
      </c>
      <c r="N9" s="425">
        <f t="shared" ref="N9:N21" si="1">L9*M9</f>
        <v>3040.8</v>
      </c>
      <c r="O9" s="431">
        <f>2.69+1.73+5.44</f>
        <v>9.86</v>
      </c>
      <c r="P9" s="432">
        <f t="shared" ref="P9:P21" si="2">L9*O9</f>
        <v>1183.1999999999998</v>
      </c>
      <c r="R9" s="200">
        <v>3.7644000000000002</v>
      </c>
      <c r="S9" s="135">
        <f t="shared" ref="S9:S21" si="3">+R9/0.49</f>
        <v>7.6824489795918369</v>
      </c>
      <c r="T9" s="201">
        <f>+S9*(1.86+0.35+0.18)</f>
        <v>18.361053061224492</v>
      </c>
      <c r="U9" s="201">
        <f t="shared" ref="U9:U21" si="4">+S9*0.35</f>
        <v>2.6888571428571426</v>
      </c>
      <c r="V9">
        <v>0</v>
      </c>
      <c r="W9">
        <v>1.73</v>
      </c>
      <c r="X9">
        <v>5.44</v>
      </c>
      <c r="Y9" s="221">
        <f t="shared" ref="Y9:Y21" si="5">SUM(U9:X9)</f>
        <v>9.8588571428571434</v>
      </c>
      <c r="Z9" s="221">
        <f t="shared" ref="Z9" si="6">+T9+W9+X9+V9</f>
        <v>25.531053061224494</v>
      </c>
    </row>
    <row r="10" spans="1:27" x14ac:dyDescent="0.3">
      <c r="A10" s="450" t="s">
        <v>197</v>
      </c>
      <c r="B10" s="333" t="s">
        <v>319</v>
      </c>
      <c r="C10" s="56">
        <v>30</v>
      </c>
      <c r="D10" s="57"/>
      <c r="E10" s="57"/>
      <c r="F10" s="57">
        <v>30</v>
      </c>
      <c r="G10" s="57"/>
      <c r="H10" s="57">
        <v>30</v>
      </c>
      <c r="I10" s="57"/>
      <c r="J10" s="57"/>
      <c r="K10" s="51"/>
      <c r="L10" s="369">
        <f>SUM(C10:K10)</f>
        <v>90</v>
      </c>
      <c r="M10" s="356">
        <v>25.48</v>
      </c>
      <c r="N10" s="357">
        <f>L10*M10</f>
        <v>2293.1999999999998</v>
      </c>
      <c r="O10" s="370">
        <v>12.59</v>
      </c>
      <c r="P10" s="371">
        <f>L10*O10</f>
        <v>1133.0999999999999</v>
      </c>
      <c r="R10" s="200">
        <v>3.2517</v>
      </c>
      <c r="S10" s="135">
        <f>+R10/0.49</f>
        <v>6.6361224489795925</v>
      </c>
      <c r="T10" s="201">
        <f>+S10*(1.86+0.35+0.18)</f>
        <v>15.860332653061226</v>
      </c>
      <c r="U10" s="201">
        <f>+S10*0.35</f>
        <v>2.3226428571428572</v>
      </c>
      <c r="V10">
        <v>0</v>
      </c>
      <c r="W10">
        <v>2.11</v>
      </c>
      <c r="X10">
        <v>8.16</v>
      </c>
      <c r="Y10" s="221">
        <f>SUM(U10:X10)</f>
        <v>12.592642857142858</v>
      </c>
      <c r="Z10" s="221">
        <f>+T10+W10+X10+V10</f>
        <v>26.130332653061227</v>
      </c>
      <c r="AA10" s="200" t="s">
        <v>195</v>
      </c>
    </row>
    <row r="11" spans="1:27" x14ac:dyDescent="0.3">
      <c r="A11" s="450" t="s">
        <v>196</v>
      </c>
      <c r="B11" s="333" t="s">
        <v>320</v>
      </c>
      <c r="C11" s="56">
        <v>30</v>
      </c>
      <c r="D11" s="57"/>
      <c r="E11" s="57"/>
      <c r="F11" s="57">
        <v>30</v>
      </c>
      <c r="G11" s="57"/>
      <c r="H11" s="57">
        <v>30</v>
      </c>
      <c r="I11" s="57"/>
      <c r="J11" s="57"/>
      <c r="K11" s="51"/>
      <c r="L11" s="369">
        <f t="shared" si="0"/>
        <v>90</v>
      </c>
      <c r="M11" s="356">
        <v>13.57</v>
      </c>
      <c r="N11" s="357">
        <f t="shared" si="1"/>
        <v>1221.3</v>
      </c>
      <c r="O11" s="370">
        <v>5.0599999999999996</v>
      </c>
      <c r="P11" s="371">
        <f t="shared" si="2"/>
        <v>455.4</v>
      </c>
      <c r="R11" s="200">
        <v>2.2664</v>
      </c>
      <c r="S11" s="135">
        <f t="shared" ref="S11:S15" si="7">+R11/0.49</f>
        <v>4.62530612244898</v>
      </c>
      <c r="T11" s="201">
        <f t="shared" ref="T11:T21" si="8">+S11*(1.86+0.35+0.18)</f>
        <v>11.054481632653063</v>
      </c>
      <c r="U11" s="201">
        <f t="shared" ref="U11:U13" si="9">+S11*0.35</f>
        <v>1.618857142857143</v>
      </c>
      <c r="V11">
        <v>0</v>
      </c>
      <c r="W11">
        <v>0.72</v>
      </c>
      <c r="X11">
        <v>2.72</v>
      </c>
      <c r="Y11" s="221">
        <f t="shared" ref="Y11:Y15" si="10">SUM(U11:X11)</f>
        <v>5.0588571428571427</v>
      </c>
      <c r="Z11" s="221">
        <f t="shared" ref="Z11:Z15" si="11">+T11+W11+X11+V11</f>
        <v>14.494481632653065</v>
      </c>
      <c r="AA11" s="200" t="s">
        <v>195</v>
      </c>
    </row>
    <row r="12" spans="1:27" x14ac:dyDescent="0.3">
      <c r="A12" s="450" t="s">
        <v>198</v>
      </c>
      <c r="B12" s="333" t="s">
        <v>321</v>
      </c>
      <c r="C12" s="56">
        <v>30</v>
      </c>
      <c r="D12" s="57"/>
      <c r="E12" s="57">
        <v>30</v>
      </c>
      <c r="F12" s="57"/>
      <c r="G12" s="57"/>
      <c r="H12" s="57">
        <v>30</v>
      </c>
      <c r="I12" s="57"/>
      <c r="J12" s="57"/>
      <c r="K12" s="51"/>
      <c r="L12" s="369">
        <f t="shared" si="0"/>
        <v>90</v>
      </c>
      <c r="M12" s="356">
        <v>11.81</v>
      </c>
      <c r="N12" s="357">
        <f t="shared" si="1"/>
        <v>1062.9000000000001</v>
      </c>
      <c r="O12" s="370">
        <v>4.51</v>
      </c>
      <c r="P12" s="371">
        <f t="shared" si="2"/>
        <v>405.9</v>
      </c>
      <c r="R12" s="200">
        <v>1.9952000000000001</v>
      </c>
      <c r="S12" s="135">
        <f t="shared" si="7"/>
        <v>4.0718367346938775</v>
      </c>
      <c r="T12" s="201">
        <f t="shared" si="8"/>
        <v>9.731689795918367</v>
      </c>
      <c r="U12" s="201">
        <f t="shared" si="9"/>
        <v>1.425142857142857</v>
      </c>
      <c r="V12">
        <v>0</v>
      </c>
      <c r="W12">
        <v>0.36</v>
      </c>
      <c r="X12">
        <v>2.72</v>
      </c>
      <c r="Y12" s="221">
        <f t="shared" si="10"/>
        <v>4.5051428571428573</v>
      </c>
      <c r="Z12" s="221">
        <f t="shared" si="11"/>
        <v>12.811689795918367</v>
      </c>
      <c r="AA12" s="200" t="s">
        <v>195</v>
      </c>
    </row>
    <row r="13" spans="1:27" x14ac:dyDescent="0.3">
      <c r="A13" s="450" t="s">
        <v>199</v>
      </c>
      <c r="B13" s="333" t="s">
        <v>322</v>
      </c>
      <c r="C13" s="56">
        <v>30</v>
      </c>
      <c r="D13" s="57"/>
      <c r="E13" s="57">
        <v>30</v>
      </c>
      <c r="F13" s="57"/>
      <c r="G13" s="57"/>
      <c r="H13" s="57">
        <v>30</v>
      </c>
      <c r="I13" s="57"/>
      <c r="J13" s="57"/>
      <c r="K13" s="51"/>
      <c r="L13" s="369">
        <f t="shared" si="0"/>
        <v>90</v>
      </c>
      <c r="M13" s="356">
        <v>20.87</v>
      </c>
      <c r="N13" s="357">
        <f t="shared" si="1"/>
        <v>1878.3000000000002</v>
      </c>
      <c r="O13" s="370">
        <v>11.07</v>
      </c>
      <c r="P13" s="371">
        <f t="shared" si="2"/>
        <v>996.30000000000007</v>
      </c>
      <c r="R13" s="200">
        <v>2.5558000000000001</v>
      </c>
      <c r="S13" s="135">
        <f t="shared" si="7"/>
        <v>5.2159183673469389</v>
      </c>
      <c r="T13" s="201">
        <f t="shared" si="8"/>
        <v>12.466044897959184</v>
      </c>
      <c r="U13" s="201">
        <f t="shared" si="9"/>
        <v>1.8255714285714284</v>
      </c>
      <c r="V13">
        <v>0</v>
      </c>
      <c r="W13">
        <v>1.08</v>
      </c>
      <c r="X13">
        <v>8.16</v>
      </c>
      <c r="Y13" s="221">
        <f t="shared" si="10"/>
        <v>11.065571428571428</v>
      </c>
      <c r="Z13" s="221">
        <f t="shared" si="11"/>
        <v>21.706044897959185</v>
      </c>
      <c r="AA13" s="200" t="s">
        <v>195</v>
      </c>
    </row>
    <row r="14" spans="1:27" x14ac:dyDescent="0.3">
      <c r="A14" s="421" t="s">
        <v>157</v>
      </c>
      <c r="B14" s="418" t="s">
        <v>323</v>
      </c>
      <c r="C14" s="56"/>
      <c r="D14" s="57">
        <v>30</v>
      </c>
      <c r="E14" s="57"/>
      <c r="F14" s="57"/>
      <c r="G14" s="57">
        <v>30</v>
      </c>
      <c r="H14" s="57"/>
      <c r="I14" s="57"/>
      <c r="J14" s="57"/>
      <c r="K14" s="51"/>
      <c r="L14" s="372">
        <f>SUM(C14:K14)</f>
        <v>60</v>
      </c>
      <c r="M14" s="373">
        <v>16.21</v>
      </c>
      <c r="N14" s="330">
        <f>L14*M14</f>
        <v>972.6</v>
      </c>
      <c r="O14" s="374">
        <f>1.51+1.12+5.44</f>
        <v>8.07</v>
      </c>
      <c r="P14" s="375">
        <f>L14*O14</f>
        <v>484.20000000000005</v>
      </c>
      <c r="R14" s="200">
        <v>2.1145</v>
      </c>
      <c r="S14" s="135">
        <f>+R14/0.49</f>
        <v>4.3153061224489795</v>
      </c>
      <c r="T14" s="201">
        <f>+S14*(1.86+0.35+0.18)</f>
        <v>10.313581632653062</v>
      </c>
      <c r="U14" s="201">
        <f>+S14*0.35</f>
        <v>1.5103571428571427</v>
      </c>
      <c r="V14">
        <v>0</v>
      </c>
      <c r="W14">
        <v>1.1200000000000001</v>
      </c>
      <c r="X14">
        <v>5.44</v>
      </c>
      <c r="Y14" s="221">
        <f>SUM(U14:X14)</f>
        <v>8.0703571428571443</v>
      </c>
      <c r="Z14" s="221">
        <f>+T14+W14+X14+V14</f>
        <v>16.873581632653064</v>
      </c>
    </row>
    <row r="15" spans="1:27" x14ac:dyDescent="0.3">
      <c r="A15" s="421" t="s">
        <v>156</v>
      </c>
      <c r="B15" s="418" t="s">
        <v>324</v>
      </c>
      <c r="C15" s="56"/>
      <c r="D15" s="57">
        <v>30</v>
      </c>
      <c r="E15" s="57"/>
      <c r="F15" s="57"/>
      <c r="G15" s="57">
        <v>30</v>
      </c>
      <c r="H15" s="57"/>
      <c r="I15" s="57"/>
      <c r="J15" s="57"/>
      <c r="K15" s="51"/>
      <c r="L15" s="372">
        <f t="shared" si="0"/>
        <v>60</v>
      </c>
      <c r="M15" s="373">
        <v>15.99</v>
      </c>
      <c r="N15" s="330">
        <f t="shared" si="1"/>
        <v>959.4</v>
      </c>
      <c r="O15" s="374">
        <f>1.49+1.07+5.44</f>
        <v>8</v>
      </c>
      <c r="P15" s="375">
        <f t="shared" si="2"/>
        <v>480</v>
      </c>
      <c r="R15" s="200">
        <v>2.0823999999999998</v>
      </c>
      <c r="S15" s="135">
        <f t="shared" si="7"/>
        <v>4.2497959183673464</v>
      </c>
      <c r="T15" s="201">
        <f t="shared" si="8"/>
        <v>10.157012244897958</v>
      </c>
      <c r="U15" s="201">
        <f t="shared" ref="U15:U17" si="12">+S15*0.35</f>
        <v>1.4874285714285711</v>
      </c>
      <c r="V15">
        <v>0</v>
      </c>
      <c r="W15">
        <v>1.07</v>
      </c>
      <c r="X15">
        <v>5.44</v>
      </c>
      <c r="Y15" s="221">
        <f t="shared" si="10"/>
        <v>7.9974285714285713</v>
      </c>
      <c r="Z15" s="221">
        <f t="shared" si="11"/>
        <v>16.667012244897958</v>
      </c>
    </row>
    <row r="16" spans="1:27" x14ac:dyDescent="0.3">
      <c r="A16" s="421" t="s">
        <v>159</v>
      </c>
      <c r="B16" s="418" t="s">
        <v>337</v>
      </c>
      <c r="C16" s="56"/>
      <c r="D16" s="57"/>
      <c r="E16" s="57"/>
      <c r="F16" s="57"/>
      <c r="G16" s="57">
        <v>30</v>
      </c>
      <c r="H16" s="57"/>
      <c r="I16" s="57"/>
      <c r="J16" s="57"/>
      <c r="K16" s="51"/>
      <c r="L16" s="372">
        <f>SUM(C16:K16)</f>
        <v>30</v>
      </c>
      <c r="M16" s="373">
        <v>18.09</v>
      </c>
      <c r="N16" s="330">
        <f>L16*M16</f>
        <v>542.70000000000005</v>
      </c>
      <c r="O16" s="374">
        <f>1.75+1.11+5.44</f>
        <v>8.3000000000000007</v>
      </c>
      <c r="P16" s="375">
        <f>L16*O16</f>
        <v>249.00000000000003</v>
      </c>
      <c r="R16" s="200">
        <v>2.4449000000000001</v>
      </c>
      <c r="S16" s="135">
        <f>+R16/0.49</f>
        <v>4.9895918367346939</v>
      </c>
      <c r="T16" s="201">
        <f>+S16*(1.86+0.35+0.18)</f>
        <v>11.92512448979592</v>
      </c>
      <c r="U16" s="201">
        <f>+S16*0.35</f>
        <v>1.7463571428571427</v>
      </c>
      <c r="V16">
        <v>0</v>
      </c>
      <c r="W16">
        <v>1.1100000000000001</v>
      </c>
      <c r="X16">
        <v>5.44</v>
      </c>
      <c r="Y16" s="221">
        <f>SUM(U16:X16)</f>
        <v>8.2963571428571434</v>
      </c>
      <c r="Z16" s="221">
        <f>+T16+W16+X16+V16</f>
        <v>18.47512448979592</v>
      </c>
    </row>
    <row r="17" spans="1:26" x14ac:dyDescent="0.3">
      <c r="A17" s="421" t="s">
        <v>158</v>
      </c>
      <c r="B17" s="418" t="s">
        <v>338</v>
      </c>
      <c r="C17" s="56"/>
      <c r="D17" s="57"/>
      <c r="E17" s="57"/>
      <c r="F17" s="57"/>
      <c r="G17" s="57">
        <v>30</v>
      </c>
      <c r="H17" s="57"/>
      <c r="I17" s="57"/>
      <c r="J17" s="57"/>
      <c r="K17" s="51"/>
      <c r="L17" s="372">
        <f t="shared" si="0"/>
        <v>30</v>
      </c>
      <c r="M17" s="373">
        <v>18.25</v>
      </c>
      <c r="N17" s="330">
        <f t="shared" si="1"/>
        <v>547.5</v>
      </c>
      <c r="O17" s="374">
        <f>1.76+1.14+5.44</f>
        <v>8.34</v>
      </c>
      <c r="P17" s="375">
        <f t="shared" si="2"/>
        <v>250.2</v>
      </c>
      <c r="R17" s="200">
        <v>2.4706000000000001</v>
      </c>
      <c r="S17" s="135">
        <f t="shared" si="3"/>
        <v>5.0420408163265309</v>
      </c>
      <c r="T17" s="201">
        <f t="shared" si="8"/>
        <v>12.050477551020409</v>
      </c>
      <c r="U17" s="201">
        <f t="shared" si="12"/>
        <v>1.7647142857142857</v>
      </c>
      <c r="V17">
        <v>0</v>
      </c>
      <c r="W17">
        <v>1.1399999999999999</v>
      </c>
      <c r="X17">
        <v>5.44</v>
      </c>
      <c r="Y17" s="221">
        <f t="shared" si="5"/>
        <v>8.3447142857142858</v>
      </c>
      <c r="Z17" s="221">
        <f t="shared" ref="Z17:Z21" si="13">+T17+W17+X17+V17</f>
        <v>18.630477551020409</v>
      </c>
    </row>
    <row r="18" spans="1:26" x14ac:dyDescent="0.3">
      <c r="A18" s="483" t="s">
        <v>152</v>
      </c>
      <c r="B18" s="484" t="s">
        <v>104</v>
      </c>
      <c r="C18" s="56"/>
      <c r="D18" s="57"/>
      <c r="E18" s="57"/>
      <c r="F18" s="57"/>
      <c r="G18" s="57"/>
      <c r="H18" s="57"/>
      <c r="I18" s="57"/>
      <c r="J18" s="57"/>
      <c r="K18" s="51"/>
      <c r="L18" s="475">
        <f t="shared" si="0"/>
        <v>0</v>
      </c>
      <c r="M18" s="476">
        <v>14.64</v>
      </c>
      <c r="N18" s="473">
        <f t="shared" si="1"/>
        <v>0</v>
      </c>
      <c r="O18" s="477">
        <f>1.44+0.74+4.07</f>
        <v>6.25</v>
      </c>
      <c r="P18" s="478">
        <f t="shared" si="2"/>
        <v>0</v>
      </c>
      <c r="R18" s="200">
        <v>2.0145</v>
      </c>
      <c r="S18" s="135">
        <f t="shared" si="3"/>
        <v>4.1112244897959185</v>
      </c>
      <c r="T18" s="201">
        <f t="shared" si="8"/>
        <v>9.825826530612245</v>
      </c>
      <c r="U18" s="201">
        <f t="shared" si="4"/>
        <v>1.4389285714285713</v>
      </c>
      <c r="V18">
        <v>0</v>
      </c>
      <c r="W18">
        <v>0.74</v>
      </c>
      <c r="X18">
        <v>4.07</v>
      </c>
      <c r="Y18" s="221">
        <f t="shared" si="5"/>
        <v>6.2489285714285714</v>
      </c>
      <c r="Z18" s="221">
        <f t="shared" si="13"/>
        <v>14.635826530612245</v>
      </c>
    </row>
    <row r="19" spans="1:26" x14ac:dyDescent="0.3">
      <c r="A19" s="483" t="s">
        <v>153</v>
      </c>
      <c r="B19" s="484" t="s">
        <v>106</v>
      </c>
      <c r="C19" s="56"/>
      <c r="D19" s="57"/>
      <c r="E19" s="57"/>
      <c r="F19" s="57"/>
      <c r="G19" s="57"/>
      <c r="H19" s="57"/>
      <c r="I19" s="57">
        <v>30</v>
      </c>
      <c r="J19" s="57"/>
      <c r="K19" s="51"/>
      <c r="L19" s="475">
        <f>SUM(C19:K19)</f>
        <v>30</v>
      </c>
      <c r="M19" s="476">
        <v>24.97</v>
      </c>
      <c r="N19" s="473">
        <f t="shared" si="1"/>
        <v>749.09999999999991</v>
      </c>
      <c r="O19" s="477">
        <f>2+1.8+9.51</f>
        <v>13.309999999999999</v>
      </c>
      <c r="P19" s="478">
        <f t="shared" si="2"/>
        <v>399.29999999999995</v>
      </c>
      <c r="R19" s="266">
        <v>2.8010000000000002</v>
      </c>
      <c r="S19" s="135">
        <f t="shared" si="3"/>
        <v>5.7163265306122453</v>
      </c>
      <c r="T19" s="201">
        <f t="shared" si="8"/>
        <v>13.662020408163267</v>
      </c>
      <c r="U19" s="201">
        <f t="shared" si="4"/>
        <v>2.0007142857142859</v>
      </c>
      <c r="V19">
        <v>0</v>
      </c>
      <c r="W19">
        <v>1.8</v>
      </c>
      <c r="X19">
        <v>9.51</v>
      </c>
      <c r="Y19" s="221">
        <f t="shared" si="5"/>
        <v>13.310714285714287</v>
      </c>
      <c r="Z19" s="221">
        <f t="shared" si="13"/>
        <v>24.972020408163267</v>
      </c>
    </row>
    <row r="20" spans="1:26" x14ac:dyDescent="0.3">
      <c r="A20" s="483" t="s">
        <v>154</v>
      </c>
      <c r="B20" s="484" t="s">
        <v>108</v>
      </c>
      <c r="C20" s="56"/>
      <c r="D20" s="57"/>
      <c r="E20" s="57"/>
      <c r="F20" s="57"/>
      <c r="G20" s="57"/>
      <c r="H20" s="57"/>
      <c r="I20" s="57"/>
      <c r="J20" s="57"/>
      <c r="K20" s="51"/>
      <c r="L20" s="475">
        <f t="shared" si="0"/>
        <v>0</v>
      </c>
      <c r="M20" s="476">
        <v>12.98</v>
      </c>
      <c r="N20" s="473">
        <f t="shared" si="1"/>
        <v>0</v>
      </c>
      <c r="O20" s="477">
        <f>1.49+0.6+2.72</f>
        <v>4.8100000000000005</v>
      </c>
      <c r="P20" s="478">
        <f t="shared" si="2"/>
        <v>0</v>
      </c>
      <c r="R20" s="266">
        <v>2.0914999999999999</v>
      </c>
      <c r="S20" s="135">
        <f t="shared" si="3"/>
        <v>4.2683673469387751</v>
      </c>
      <c r="T20" s="201">
        <f t="shared" si="8"/>
        <v>10.201397959183673</v>
      </c>
      <c r="U20" s="201">
        <f t="shared" si="4"/>
        <v>1.4939285714285713</v>
      </c>
      <c r="V20">
        <v>0</v>
      </c>
      <c r="W20">
        <v>0.6</v>
      </c>
      <c r="X20">
        <v>2.72</v>
      </c>
      <c r="Y20" s="221">
        <f t="shared" si="5"/>
        <v>4.8139285714285709</v>
      </c>
      <c r="Z20" s="221">
        <f t="shared" si="13"/>
        <v>13.521397959183673</v>
      </c>
    </row>
    <row r="21" spans="1:26" ht="15" thickBot="1" x14ac:dyDescent="0.35">
      <c r="A21" s="485" t="s">
        <v>155</v>
      </c>
      <c r="B21" s="486" t="s">
        <v>110</v>
      </c>
      <c r="C21" s="58"/>
      <c r="D21" s="59"/>
      <c r="E21" s="59"/>
      <c r="F21" s="59"/>
      <c r="G21" s="59"/>
      <c r="H21" s="59"/>
      <c r="I21" s="59"/>
      <c r="J21" s="59"/>
      <c r="K21" s="52"/>
      <c r="L21" s="479">
        <f t="shared" si="0"/>
        <v>0</v>
      </c>
      <c r="M21" s="480">
        <v>24.48</v>
      </c>
      <c r="N21" s="474">
        <f t="shared" si="1"/>
        <v>0</v>
      </c>
      <c r="O21" s="481">
        <f>2.22+2.01+8.16</f>
        <v>12.39</v>
      </c>
      <c r="P21" s="482">
        <f t="shared" si="2"/>
        <v>0</v>
      </c>
      <c r="R21" s="266">
        <v>3.1019999999999999</v>
      </c>
      <c r="S21" s="135">
        <f t="shared" si="3"/>
        <v>6.3306122448979592</v>
      </c>
      <c r="T21" s="201">
        <f t="shared" si="8"/>
        <v>15.130163265306123</v>
      </c>
      <c r="U21" s="201">
        <f t="shared" si="4"/>
        <v>2.2157142857142857</v>
      </c>
      <c r="V21">
        <v>0</v>
      </c>
      <c r="W21">
        <v>2.0099999999999998</v>
      </c>
      <c r="X21">
        <v>8.16</v>
      </c>
      <c r="Y21" s="221">
        <f t="shared" si="5"/>
        <v>12.385714285714286</v>
      </c>
      <c r="Z21" s="221">
        <f t="shared" si="13"/>
        <v>25.300163265306121</v>
      </c>
    </row>
    <row r="22" spans="1:26" ht="15" thickBot="1" x14ac:dyDescent="0.35">
      <c r="A22" s="3"/>
      <c r="B22" s="3"/>
      <c r="C22" s="32"/>
      <c r="D22" s="32"/>
      <c r="E22" s="32"/>
      <c r="F22" s="32"/>
      <c r="G22" s="32"/>
      <c r="H22" s="32"/>
      <c r="I22" s="32"/>
      <c r="J22" s="32"/>
      <c r="L22" s="78">
        <f>SUM(L7:L21)</f>
        <v>1020</v>
      </c>
      <c r="M22" s="5"/>
      <c r="N22" s="78">
        <f>SUM(N7:N21)</f>
        <v>20946</v>
      </c>
      <c r="O22" s="6"/>
      <c r="P22" s="72">
        <f>SUM(P7:P21)</f>
        <v>9554.4</v>
      </c>
    </row>
    <row r="23" spans="1:26" hidden="1" x14ac:dyDescent="0.3">
      <c r="B23" s="3"/>
      <c r="C23" s="32">
        <f t="shared" ref="C23:K23" si="14">+C7*$M7</f>
        <v>1349.3999999999999</v>
      </c>
      <c r="D23" s="32">
        <f t="shared" si="14"/>
        <v>0</v>
      </c>
      <c r="E23" s="32">
        <f t="shared" si="14"/>
        <v>1349.3999999999999</v>
      </c>
      <c r="F23" s="32">
        <f t="shared" si="14"/>
        <v>0</v>
      </c>
      <c r="G23" s="32">
        <f t="shared" si="14"/>
        <v>1349.3999999999999</v>
      </c>
      <c r="H23" s="32">
        <f t="shared" si="14"/>
        <v>1349.3999999999999</v>
      </c>
      <c r="I23" s="32">
        <f t="shared" si="14"/>
        <v>0</v>
      </c>
      <c r="J23" s="32">
        <f t="shared" si="14"/>
        <v>0</v>
      </c>
      <c r="K23" s="32">
        <f t="shared" si="14"/>
        <v>0</v>
      </c>
      <c r="L23" s="78"/>
      <c r="M23" s="5"/>
      <c r="N23" s="78"/>
      <c r="O23" s="6"/>
      <c r="P23" s="29"/>
    </row>
    <row r="24" spans="1:26" hidden="1" x14ac:dyDescent="0.3">
      <c r="A24" s="3"/>
      <c r="B24" s="3"/>
      <c r="C24" s="32">
        <f t="shared" ref="C24:K24" si="15">+C8*$M8</f>
        <v>760.2</v>
      </c>
      <c r="D24" s="32">
        <f t="shared" si="15"/>
        <v>0</v>
      </c>
      <c r="E24" s="32">
        <f t="shared" si="15"/>
        <v>760.2</v>
      </c>
      <c r="F24" s="32">
        <f t="shared" si="15"/>
        <v>0</v>
      </c>
      <c r="G24" s="32">
        <f t="shared" si="15"/>
        <v>0</v>
      </c>
      <c r="H24" s="32">
        <f t="shared" si="15"/>
        <v>760.2</v>
      </c>
      <c r="I24" s="32">
        <f t="shared" si="15"/>
        <v>0</v>
      </c>
      <c r="J24" s="32">
        <f t="shared" si="15"/>
        <v>0</v>
      </c>
      <c r="K24" s="32">
        <f t="shared" si="15"/>
        <v>0</v>
      </c>
      <c r="L24" s="4"/>
      <c r="M24" s="5"/>
      <c r="O24" s="6"/>
    </row>
    <row r="25" spans="1:26" hidden="1" x14ac:dyDescent="0.3">
      <c r="C25" s="32">
        <f t="shared" ref="C25:K25" si="16">+C9*$M9</f>
        <v>760.2</v>
      </c>
      <c r="D25" s="32">
        <f t="shared" si="16"/>
        <v>760.2</v>
      </c>
      <c r="E25" s="32">
        <f t="shared" si="16"/>
        <v>0</v>
      </c>
      <c r="F25" s="32">
        <f t="shared" si="16"/>
        <v>760.2</v>
      </c>
      <c r="G25" s="32">
        <f t="shared" si="16"/>
        <v>0</v>
      </c>
      <c r="H25" s="32">
        <f t="shared" si="16"/>
        <v>760.2</v>
      </c>
      <c r="I25" s="32">
        <f t="shared" si="16"/>
        <v>0</v>
      </c>
      <c r="J25" s="32">
        <f t="shared" si="16"/>
        <v>0</v>
      </c>
      <c r="K25" s="32">
        <f t="shared" si="16"/>
        <v>0</v>
      </c>
      <c r="L25" s="79"/>
    </row>
    <row r="26" spans="1:26" hidden="1" x14ac:dyDescent="0.3">
      <c r="C26" s="32">
        <f t="shared" ref="C26:K26" si="17">+C10*$M10</f>
        <v>764.4</v>
      </c>
      <c r="D26" s="32">
        <f t="shared" si="17"/>
        <v>0</v>
      </c>
      <c r="E26" s="32">
        <f t="shared" si="17"/>
        <v>0</v>
      </c>
      <c r="F26" s="32">
        <f t="shared" si="17"/>
        <v>764.4</v>
      </c>
      <c r="G26" s="32">
        <f t="shared" si="17"/>
        <v>0</v>
      </c>
      <c r="H26" s="32">
        <f t="shared" si="17"/>
        <v>764.4</v>
      </c>
      <c r="I26" s="32">
        <f t="shared" si="17"/>
        <v>0</v>
      </c>
      <c r="J26" s="32">
        <f t="shared" si="17"/>
        <v>0</v>
      </c>
      <c r="K26" s="32">
        <f t="shared" si="17"/>
        <v>0</v>
      </c>
      <c r="L26" s="79"/>
    </row>
    <row r="27" spans="1:26" hidden="1" x14ac:dyDescent="0.3">
      <c r="C27" s="32">
        <f t="shared" ref="C27:K27" si="18">+C11*$M11</f>
        <v>407.1</v>
      </c>
      <c r="D27" s="32">
        <f t="shared" si="18"/>
        <v>0</v>
      </c>
      <c r="E27" s="32">
        <f t="shared" si="18"/>
        <v>0</v>
      </c>
      <c r="F27" s="32">
        <f t="shared" si="18"/>
        <v>407.1</v>
      </c>
      <c r="G27" s="32">
        <f t="shared" si="18"/>
        <v>0</v>
      </c>
      <c r="H27" s="32">
        <f t="shared" si="18"/>
        <v>407.1</v>
      </c>
      <c r="I27" s="32">
        <f t="shared" si="18"/>
        <v>0</v>
      </c>
      <c r="J27" s="32">
        <f t="shared" si="18"/>
        <v>0</v>
      </c>
      <c r="K27" s="32">
        <f t="shared" si="18"/>
        <v>0</v>
      </c>
      <c r="L27" s="79"/>
    </row>
    <row r="28" spans="1:26" hidden="1" x14ac:dyDescent="0.3">
      <c r="C28" s="32">
        <f t="shared" ref="C28:K28" si="19">+C12*$M12</f>
        <v>354.3</v>
      </c>
      <c r="D28" s="32">
        <f t="shared" si="19"/>
        <v>0</v>
      </c>
      <c r="E28" s="32">
        <f t="shared" si="19"/>
        <v>354.3</v>
      </c>
      <c r="F28" s="32">
        <f t="shared" si="19"/>
        <v>0</v>
      </c>
      <c r="G28" s="32">
        <f t="shared" si="19"/>
        <v>0</v>
      </c>
      <c r="H28" s="32">
        <f t="shared" si="19"/>
        <v>354.3</v>
      </c>
      <c r="I28" s="32">
        <f t="shared" si="19"/>
        <v>0</v>
      </c>
      <c r="J28" s="32">
        <f t="shared" si="19"/>
        <v>0</v>
      </c>
      <c r="K28" s="32">
        <f t="shared" si="19"/>
        <v>0</v>
      </c>
      <c r="L28" s="79"/>
    </row>
    <row r="29" spans="1:26" hidden="1" x14ac:dyDescent="0.3">
      <c r="C29" s="32">
        <f t="shared" ref="C29:K29" si="20">+C13*$M13</f>
        <v>626.1</v>
      </c>
      <c r="D29" s="32">
        <f t="shared" si="20"/>
        <v>0</v>
      </c>
      <c r="E29" s="32">
        <f t="shared" si="20"/>
        <v>626.1</v>
      </c>
      <c r="F29" s="32">
        <f t="shared" si="20"/>
        <v>0</v>
      </c>
      <c r="G29" s="32">
        <f t="shared" si="20"/>
        <v>0</v>
      </c>
      <c r="H29" s="32">
        <f t="shared" si="20"/>
        <v>626.1</v>
      </c>
      <c r="I29" s="32">
        <f t="shared" si="20"/>
        <v>0</v>
      </c>
      <c r="J29" s="32">
        <f t="shared" si="20"/>
        <v>0</v>
      </c>
      <c r="K29" s="32">
        <f t="shared" si="20"/>
        <v>0</v>
      </c>
      <c r="L29" s="79"/>
    </row>
    <row r="30" spans="1:26" hidden="1" x14ac:dyDescent="0.3">
      <c r="C30" s="32">
        <f t="shared" ref="C30:K30" si="21">+C14*$M14</f>
        <v>0</v>
      </c>
      <c r="D30" s="32">
        <f t="shared" si="21"/>
        <v>486.3</v>
      </c>
      <c r="E30" s="32">
        <f t="shared" si="21"/>
        <v>0</v>
      </c>
      <c r="F30" s="32">
        <f t="shared" si="21"/>
        <v>0</v>
      </c>
      <c r="G30" s="32">
        <f t="shared" si="21"/>
        <v>486.3</v>
      </c>
      <c r="H30" s="32">
        <f t="shared" si="21"/>
        <v>0</v>
      </c>
      <c r="I30" s="32">
        <f t="shared" si="21"/>
        <v>0</v>
      </c>
      <c r="J30" s="32">
        <f t="shared" si="21"/>
        <v>0</v>
      </c>
      <c r="K30" s="32">
        <f t="shared" si="21"/>
        <v>0</v>
      </c>
      <c r="L30" s="79"/>
    </row>
    <row r="31" spans="1:26" hidden="1" x14ac:dyDescent="0.3">
      <c r="C31" s="32">
        <f t="shared" ref="C31:K31" si="22">+C15*$M15</f>
        <v>0</v>
      </c>
      <c r="D31" s="32">
        <f t="shared" si="22"/>
        <v>479.7</v>
      </c>
      <c r="E31" s="32">
        <f t="shared" si="22"/>
        <v>0</v>
      </c>
      <c r="F31" s="32">
        <f t="shared" si="22"/>
        <v>0</v>
      </c>
      <c r="G31" s="32">
        <f t="shared" si="22"/>
        <v>479.7</v>
      </c>
      <c r="H31" s="32">
        <f t="shared" si="22"/>
        <v>0</v>
      </c>
      <c r="I31" s="32">
        <f t="shared" si="22"/>
        <v>0</v>
      </c>
      <c r="J31" s="32">
        <f t="shared" si="22"/>
        <v>0</v>
      </c>
      <c r="K31" s="32">
        <f t="shared" si="22"/>
        <v>0</v>
      </c>
      <c r="L31" s="79"/>
      <c r="N31" s="250"/>
      <c r="O31" s="251"/>
      <c r="P31" s="252"/>
    </row>
    <row r="32" spans="1:26" hidden="1" x14ac:dyDescent="0.3">
      <c r="C32" s="32">
        <f t="shared" ref="C32:K32" si="23">+C17*$M17</f>
        <v>0</v>
      </c>
      <c r="D32" s="32">
        <f t="shared" si="23"/>
        <v>0</v>
      </c>
      <c r="E32" s="32">
        <f t="shared" si="23"/>
        <v>0</v>
      </c>
      <c r="F32" s="32">
        <f t="shared" si="23"/>
        <v>0</v>
      </c>
      <c r="G32" s="32">
        <f t="shared" si="23"/>
        <v>547.5</v>
      </c>
      <c r="H32" s="32">
        <f t="shared" si="23"/>
        <v>0</v>
      </c>
      <c r="I32" s="32">
        <f t="shared" si="23"/>
        <v>0</v>
      </c>
      <c r="J32" s="32">
        <f t="shared" si="23"/>
        <v>0</v>
      </c>
      <c r="K32" s="32">
        <f t="shared" si="23"/>
        <v>0</v>
      </c>
      <c r="L32" s="79"/>
      <c r="N32" s="250"/>
      <c r="O32" s="251"/>
      <c r="P32" s="252"/>
    </row>
    <row r="33" spans="1:16" hidden="1" x14ac:dyDescent="0.3">
      <c r="C33" s="32">
        <f t="shared" ref="C33:K33" si="24">+C16*$M16</f>
        <v>0</v>
      </c>
      <c r="D33" s="32">
        <f t="shared" si="24"/>
        <v>0</v>
      </c>
      <c r="E33" s="32">
        <f t="shared" si="24"/>
        <v>0</v>
      </c>
      <c r="F33" s="32">
        <f t="shared" si="24"/>
        <v>0</v>
      </c>
      <c r="G33" s="32">
        <f t="shared" si="24"/>
        <v>542.70000000000005</v>
      </c>
      <c r="H33" s="32">
        <f t="shared" si="24"/>
        <v>0</v>
      </c>
      <c r="I33" s="32">
        <f t="shared" si="24"/>
        <v>0</v>
      </c>
      <c r="J33" s="32">
        <f t="shared" si="24"/>
        <v>0</v>
      </c>
      <c r="K33" s="32">
        <f t="shared" si="24"/>
        <v>0</v>
      </c>
      <c r="L33" s="79"/>
      <c r="N33" s="250"/>
      <c r="O33" s="251"/>
      <c r="P33" s="252"/>
    </row>
    <row r="34" spans="1:16" hidden="1" x14ac:dyDescent="0.3">
      <c r="C34" s="32">
        <f t="shared" ref="C34:K37" si="25">+C18*$M18</f>
        <v>0</v>
      </c>
      <c r="D34" s="32">
        <f t="shared" si="25"/>
        <v>0</v>
      </c>
      <c r="E34" s="32">
        <f t="shared" si="25"/>
        <v>0</v>
      </c>
      <c r="F34" s="32">
        <f t="shared" si="25"/>
        <v>0</v>
      </c>
      <c r="G34" s="32">
        <f t="shared" si="25"/>
        <v>0</v>
      </c>
      <c r="H34" s="32">
        <f t="shared" si="25"/>
        <v>0</v>
      </c>
      <c r="I34" s="32">
        <f t="shared" si="25"/>
        <v>0</v>
      </c>
      <c r="J34" s="32">
        <f t="shared" si="25"/>
        <v>0</v>
      </c>
      <c r="K34" s="32">
        <f t="shared" si="25"/>
        <v>0</v>
      </c>
      <c r="N34" s="253"/>
      <c r="O34" s="253"/>
      <c r="P34" s="253"/>
    </row>
    <row r="35" spans="1:16" hidden="1" x14ac:dyDescent="0.3">
      <c r="C35" s="32">
        <f t="shared" si="25"/>
        <v>0</v>
      </c>
      <c r="D35" s="32">
        <f t="shared" si="25"/>
        <v>0</v>
      </c>
      <c r="E35" s="32">
        <f t="shared" si="25"/>
        <v>0</v>
      </c>
      <c r="F35" s="32">
        <f t="shared" si="25"/>
        <v>0</v>
      </c>
      <c r="G35" s="32">
        <f t="shared" si="25"/>
        <v>0</v>
      </c>
      <c r="H35" s="32">
        <f t="shared" si="25"/>
        <v>0</v>
      </c>
      <c r="I35" s="32">
        <f t="shared" si="25"/>
        <v>749.09999999999991</v>
      </c>
      <c r="J35" s="32">
        <f t="shared" si="25"/>
        <v>0</v>
      </c>
      <c r="K35" s="32">
        <f t="shared" si="25"/>
        <v>0</v>
      </c>
    </row>
    <row r="36" spans="1:16" hidden="1" x14ac:dyDescent="0.3">
      <c r="C36" s="32">
        <f t="shared" si="25"/>
        <v>0</v>
      </c>
      <c r="D36" s="32">
        <f t="shared" si="25"/>
        <v>0</v>
      </c>
      <c r="E36" s="32">
        <f t="shared" si="25"/>
        <v>0</v>
      </c>
      <c r="F36" s="32">
        <f t="shared" si="25"/>
        <v>0</v>
      </c>
      <c r="G36" s="32">
        <f t="shared" si="25"/>
        <v>0</v>
      </c>
      <c r="H36" s="32">
        <f t="shared" si="25"/>
        <v>0</v>
      </c>
      <c r="I36" s="32">
        <f t="shared" si="25"/>
        <v>0</v>
      </c>
      <c r="J36" s="32">
        <f t="shared" si="25"/>
        <v>0</v>
      </c>
      <c r="K36" s="32">
        <f t="shared" si="25"/>
        <v>0</v>
      </c>
    </row>
    <row r="37" spans="1:16" ht="15" hidden="1" thickBot="1" x14ac:dyDescent="0.35">
      <c r="C37" s="32">
        <f t="shared" si="25"/>
        <v>0</v>
      </c>
      <c r="D37" s="32">
        <f t="shared" si="25"/>
        <v>0</v>
      </c>
      <c r="E37" s="32">
        <f t="shared" si="25"/>
        <v>0</v>
      </c>
      <c r="F37" s="32">
        <f t="shared" si="25"/>
        <v>0</v>
      </c>
      <c r="G37" s="32">
        <f t="shared" si="25"/>
        <v>0</v>
      </c>
      <c r="H37" s="32">
        <f t="shared" si="25"/>
        <v>0</v>
      </c>
      <c r="I37" s="32">
        <f t="shared" si="25"/>
        <v>0</v>
      </c>
      <c r="J37" s="32">
        <f t="shared" si="25"/>
        <v>0</v>
      </c>
      <c r="K37" s="32">
        <f t="shared" si="25"/>
        <v>0</v>
      </c>
    </row>
    <row r="38" spans="1:16" ht="15" thickBot="1" x14ac:dyDescent="0.35">
      <c r="C38" s="471">
        <f>SUM(C23:C37)</f>
        <v>5021.7000000000007</v>
      </c>
      <c r="D38" s="471">
        <f>SUM(D23:D37)</f>
        <v>1726.2</v>
      </c>
      <c r="E38" s="471">
        <f t="shared" ref="E38:K38" si="26">SUM(E23:E37)</f>
        <v>3090</v>
      </c>
      <c r="F38" s="471">
        <f t="shared" si="26"/>
        <v>1931.6999999999998</v>
      </c>
      <c r="G38" s="471">
        <f t="shared" si="26"/>
        <v>3405.5999999999995</v>
      </c>
      <c r="H38" s="471">
        <f t="shared" ref="H38:I38" si="27">SUM(H23:H37)</f>
        <v>5021.7000000000007</v>
      </c>
      <c r="I38" s="471">
        <f t="shared" si="27"/>
        <v>749.09999999999991</v>
      </c>
      <c r="J38" s="471">
        <f t="shared" si="26"/>
        <v>0</v>
      </c>
      <c r="K38" s="471">
        <f t="shared" si="26"/>
        <v>0</v>
      </c>
      <c r="N38" s="20">
        <f>+N22</f>
        <v>20946</v>
      </c>
      <c r="O38" s="18"/>
      <c r="P38" s="19">
        <f>+P22</f>
        <v>9554.4</v>
      </c>
    </row>
    <row r="39" spans="1:16" x14ac:dyDescent="0.3">
      <c r="C39" s="472">
        <f t="shared" ref="C39:K39" si="28">+C6-C38</f>
        <v>0</v>
      </c>
      <c r="D39" s="472">
        <f t="shared" si="28"/>
        <v>0</v>
      </c>
      <c r="E39" s="472">
        <f t="shared" si="28"/>
        <v>0</v>
      </c>
      <c r="F39" s="472">
        <f t="shared" si="28"/>
        <v>0</v>
      </c>
      <c r="G39" s="472">
        <f t="shared" si="28"/>
        <v>0</v>
      </c>
      <c r="H39" s="472">
        <f t="shared" si="28"/>
        <v>0</v>
      </c>
      <c r="I39" s="472">
        <f t="shared" si="28"/>
        <v>-749.09999999999991</v>
      </c>
      <c r="J39" s="472">
        <f t="shared" si="28"/>
        <v>0</v>
      </c>
      <c r="K39" s="472">
        <f t="shared" si="28"/>
        <v>0</v>
      </c>
      <c r="N39" s="7">
        <f>+L6-N22</f>
        <v>-749.09999999999854</v>
      </c>
    </row>
    <row r="40" spans="1:16" x14ac:dyDescent="0.3">
      <c r="O40" s="205"/>
    </row>
    <row r="41" spans="1:16" x14ac:dyDescent="0.3">
      <c r="O41" s="205"/>
    </row>
    <row r="42" spans="1:16" x14ac:dyDescent="0.3">
      <c r="A42" s="206"/>
      <c r="B42" s="206"/>
      <c r="C42" s="206"/>
      <c r="D42" s="206"/>
      <c r="E42" s="206"/>
      <c r="F42" s="206"/>
      <c r="O42" s="205"/>
    </row>
    <row r="43" spans="1:16" x14ac:dyDescent="0.3">
      <c r="A43" s="206"/>
      <c r="B43" s="206"/>
      <c r="C43" s="206"/>
      <c r="D43" s="206"/>
      <c r="E43" s="206"/>
      <c r="F43" s="206"/>
      <c r="O43" s="205"/>
    </row>
    <row r="44" spans="1:16" x14ac:dyDescent="0.3">
      <c r="A44" s="206"/>
      <c r="B44" s="206"/>
      <c r="C44" s="206"/>
      <c r="D44" s="206"/>
      <c r="E44" s="206"/>
      <c r="F44" s="206"/>
      <c r="N44" s="135"/>
      <c r="O44" s="205"/>
    </row>
    <row r="45" spans="1:16" x14ac:dyDescent="0.3">
      <c r="A45" s="206"/>
      <c r="B45" s="206"/>
      <c r="C45" s="206"/>
      <c r="D45" s="206"/>
      <c r="E45" s="206"/>
      <c r="F45" s="206"/>
      <c r="O45" s="205"/>
    </row>
    <row r="46" spans="1:16" x14ac:dyDescent="0.3">
      <c r="A46" s="206"/>
      <c r="B46" s="206"/>
      <c r="C46" s="206"/>
      <c r="D46" s="206"/>
      <c r="E46" s="206"/>
      <c r="F46" s="206"/>
      <c r="N46" s="135"/>
      <c r="O46" s="205"/>
    </row>
    <row r="47" spans="1:16" x14ac:dyDescent="0.3">
      <c r="A47" s="206"/>
      <c r="B47" s="206"/>
      <c r="C47" s="206"/>
      <c r="D47" s="206"/>
      <c r="E47" s="206"/>
      <c r="F47" s="206"/>
    </row>
    <row r="48" spans="1:16" x14ac:dyDescent="0.3">
      <c r="A48" s="206"/>
      <c r="B48" s="206"/>
      <c r="C48" s="206"/>
      <c r="D48" s="206"/>
      <c r="E48" s="206"/>
      <c r="F48" s="206"/>
    </row>
  </sheetData>
  <mergeCells count="6">
    <mergeCell ref="P3:P5"/>
    <mergeCell ref="A3:A6"/>
    <mergeCell ref="L3:L5"/>
    <mergeCell ref="M3:M5"/>
    <mergeCell ref="N3:N5"/>
    <mergeCell ref="O3:O5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5"/>
  <sheetViews>
    <sheetView zoomScale="80" zoomScaleNormal="80" workbookViewId="0">
      <pane xSplit="2" ySplit="1" topLeftCell="C2" activePane="bottomRight" state="frozen"/>
      <selection activeCell="P34" activeCellId="2" sqref="U30:V40 A35 P34"/>
      <selection pane="topRight" activeCell="P34" activeCellId="2" sqref="U30:V40 A35 P34"/>
      <selection pane="bottomLeft" activeCell="P34" activeCellId="2" sqref="U30:V40 A35 P34"/>
      <selection pane="bottomRight" activeCell="E45" sqref="E45"/>
    </sheetView>
  </sheetViews>
  <sheetFormatPr baseColWidth="10" defaultColWidth="9.109375" defaultRowHeight="14.4" x14ac:dyDescent="0.3"/>
  <cols>
    <col min="1" max="1" width="19.33203125" style="34" customWidth="1"/>
    <col min="2" max="2" width="23" style="34" bestFit="1" customWidth="1"/>
    <col min="3" max="3" width="14.109375" style="34" bestFit="1" customWidth="1"/>
    <col min="4" max="6" width="14.109375" style="34" customWidth="1"/>
    <col min="7" max="7" width="17.109375" style="34" customWidth="1"/>
    <col min="8" max="8" width="14.109375" style="34" bestFit="1" customWidth="1"/>
    <col min="9" max="9" width="18.109375" style="34" bestFit="1" customWidth="1"/>
    <col min="10" max="11" width="14.5546875" style="34" bestFit="1" customWidth="1"/>
    <col min="12" max="12" width="14.109375" style="34" bestFit="1" customWidth="1"/>
    <col min="13" max="13" width="15.5546875" style="34" bestFit="1" customWidth="1"/>
    <col min="14" max="15" width="14.109375" style="34" customWidth="1"/>
    <col min="16" max="16" width="14.109375" style="34" bestFit="1" customWidth="1"/>
    <col min="17" max="17" width="13.33203125" style="34" customWidth="1"/>
    <col min="18" max="18" width="16.44140625" style="34" customWidth="1"/>
    <col min="19" max="19" width="12.109375" style="34" customWidth="1"/>
    <col min="20" max="20" width="14" style="34" customWidth="1"/>
    <col min="21" max="21" width="13.44140625" style="34" customWidth="1"/>
    <col min="22" max="22" width="14.33203125" style="34" customWidth="1"/>
    <col min="23" max="23" width="12.88671875" style="34" customWidth="1"/>
    <col min="24" max="24" width="9.109375" style="34"/>
    <col min="25" max="25" width="8.5546875" style="34" customWidth="1"/>
    <col min="26" max="16384" width="9.109375" style="34"/>
  </cols>
  <sheetData>
    <row r="1" spans="1:27" ht="15" thickBot="1" x14ac:dyDescent="0.35"/>
    <row r="2" spans="1:27" ht="15" thickBot="1" x14ac:dyDescent="0.35">
      <c r="A2" s="62" t="str">
        <f>+'TX7'!A2</f>
        <v>JANUARY</v>
      </c>
      <c r="B2" s="63"/>
      <c r="C2" s="186"/>
      <c r="D2" s="512"/>
      <c r="E2" s="512"/>
      <c r="F2" s="187"/>
      <c r="G2" s="188"/>
      <c r="H2" s="188"/>
      <c r="I2" s="188"/>
      <c r="J2" s="189"/>
      <c r="K2" s="189"/>
      <c r="L2" s="189"/>
      <c r="M2" s="189"/>
      <c r="N2" s="190"/>
      <c r="O2" s="190"/>
      <c r="P2" s="190"/>
      <c r="Q2" s="191"/>
      <c r="R2" s="37"/>
      <c r="S2" s="38"/>
      <c r="T2" s="39"/>
      <c r="U2" s="40"/>
    </row>
    <row r="3" spans="1:27" x14ac:dyDescent="0.3">
      <c r="A3" s="46"/>
      <c r="B3" s="115" t="s">
        <v>0</v>
      </c>
      <c r="C3" s="146"/>
      <c r="D3" s="184"/>
      <c r="E3" s="184"/>
      <c r="F3" s="184"/>
      <c r="G3" s="184"/>
      <c r="H3" s="192"/>
      <c r="I3" s="184"/>
      <c r="J3" s="184"/>
      <c r="K3" s="184"/>
      <c r="L3" s="184"/>
      <c r="M3" s="193"/>
      <c r="N3" s="194"/>
      <c r="O3" s="193"/>
      <c r="P3" s="193"/>
      <c r="Q3" s="195"/>
      <c r="R3" s="513" t="s">
        <v>1</v>
      </c>
      <c r="S3" s="515" t="s">
        <v>2</v>
      </c>
      <c r="T3" s="513" t="s">
        <v>3</v>
      </c>
      <c r="U3" s="517" t="s">
        <v>4</v>
      </c>
      <c r="V3" s="510" t="s">
        <v>5</v>
      </c>
      <c r="W3"/>
    </row>
    <row r="4" spans="1:27" x14ac:dyDescent="0.3">
      <c r="A4" s="47" t="s">
        <v>29</v>
      </c>
      <c r="B4" s="116" t="s">
        <v>6</v>
      </c>
      <c r="C4" s="114"/>
      <c r="D4" s="55"/>
      <c r="E4" s="55"/>
      <c r="F4" s="55"/>
      <c r="G4" s="55"/>
      <c r="H4" s="55"/>
      <c r="I4" s="55"/>
      <c r="J4" s="55"/>
      <c r="K4" s="55"/>
      <c r="L4" s="55"/>
      <c r="M4" s="73"/>
      <c r="N4" s="73"/>
      <c r="O4" s="73"/>
      <c r="P4" s="73"/>
      <c r="Q4" s="121"/>
      <c r="R4" s="514"/>
      <c r="S4" s="516"/>
      <c r="T4" s="514"/>
      <c r="U4" s="518"/>
      <c r="V4" s="511"/>
    </row>
    <row r="5" spans="1:27" x14ac:dyDescent="0.3">
      <c r="A5" s="47" t="s">
        <v>7</v>
      </c>
      <c r="B5" s="116" t="s">
        <v>8</v>
      </c>
      <c r="C5" s="82"/>
      <c r="D5" s="55"/>
      <c r="E5" s="55"/>
      <c r="F5" s="55"/>
      <c r="G5" s="55"/>
      <c r="H5" s="55"/>
      <c r="I5" s="55"/>
      <c r="J5" s="55"/>
      <c r="K5" s="55"/>
      <c r="L5" s="55"/>
      <c r="M5" s="73"/>
      <c r="N5" s="73"/>
      <c r="O5" s="53"/>
      <c r="P5" s="53"/>
      <c r="Q5" s="122"/>
      <c r="R5" s="514"/>
      <c r="S5" s="516"/>
      <c r="T5" s="514"/>
      <c r="U5" s="518"/>
      <c r="V5" s="511"/>
    </row>
    <row r="6" spans="1:27" ht="15" thickBot="1" x14ac:dyDescent="0.35">
      <c r="A6" s="88"/>
      <c r="B6" s="117" t="s">
        <v>9</v>
      </c>
      <c r="C6" s="110"/>
      <c r="D6" s="60"/>
      <c r="E6" s="60"/>
      <c r="F6" s="60"/>
      <c r="G6" s="60"/>
      <c r="H6" s="60"/>
      <c r="I6" s="60"/>
      <c r="J6" s="60"/>
      <c r="K6" s="60"/>
      <c r="L6" s="60"/>
      <c r="M6" s="196"/>
      <c r="N6" s="196"/>
      <c r="O6" s="196"/>
      <c r="P6" s="196"/>
      <c r="Q6" s="197"/>
      <c r="R6" s="183">
        <f>SUM(C6:Q6)</f>
        <v>0</v>
      </c>
      <c r="S6" s="94"/>
      <c r="T6" s="95"/>
      <c r="U6" s="96"/>
      <c r="V6" s="97"/>
      <c r="X6" s="130" t="s">
        <v>64</v>
      </c>
      <c r="Y6" s="130" t="s">
        <v>74</v>
      </c>
      <c r="Z6" s="130" t="s">
        <v>50</v>
      </c>
      <c r="AA6" s="130" t="s">
        <v>51</v>
      </c>
    </row>
    <row r="7" spans="1:27" x14ac:dyDescent="0.3">
      <c r="A7" s="90" t="s">
        <v>45</v>
      </c>
      <c r="B7" s="119" t="s">
        <v>12</v>
      </c>
      <c r="C7" s="1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7"/>
      <c r="P7" s="147"/>
      <c r="Q7" s="148"/>
      <c r="R7" s="120">
        <f>SUM(C7:Q7)</f>
        <v>0</v>
      </c>
      <c r="S7" s="85">
        <v>11.7</v>
      </c>
      <c r="T7" s="64">
        <f t="shared" ref="T7:T10" si="0">R7*S7</f>
        <v>0</v>
      </c>
      <c r="U7" s="86">
        <v>1.86</v>
      </c>
      <c r="V7" s="93">
        <f t="shared" ref="V7:V10" si="1">R7*U7</f>
        <v>0</v>
      </c>
      <c r="X7" s="34">
        <v>3.0282</v>
      </c>
      <c r="Y7" s="136">
        <f>+X7/0.57</f>
        <v>5.3126315789473688</v>
      </c>
      <c r="Z7" s="39">
        <f>+Y7*(1.67+0.18+0.35)</f>
        <v>11.687789473684211</v>
      </c>
      <c r="AA7" s="39">
        <f>+Y7*0.35</f>
        <v>1.8594210526315789</v>
      </c>
    </row>
    <row r="8" spans="1:27" x14ac:dyDescent="0.3">
      <c r="A8" s="83" t="s">
        <v>40</v>
      </c>
      <c r="B8" s="87" t="s">
        <v>13</v>
      </c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125"/>
      <c r="P8" s="125"/>
      <c r="Q8" s="126"/>
      <c r="R8" s="120">
        <f>SUM(C8:Q8)</f>
        <v>0</v>
      </c>
      <c r="S8" s="89">
        <v>13.41</v>
      </c>
      <c r="T8" s="41">
        <f t="shared" si="0"/>
        <v>0</v>
      </c>
      <c r="U8" s="68">
        <v>2.13</v>
      </c>
      <c r="V8" s="65">
        <f t="shared" si="1"/>
        <v>0</v>
      </c>
      <c r="X8" s="34">
        <v>3.4712000000000001</v>
      </c>
      <c r="Y8" s="136">
        <f t="shared" ref="Y8:Y17" si="2">+X8/0.57</f>
        <v>6.0898245614035096</v>
      </c>
      <c r="Z8" s="39">
        <f t="shared" ref="Z8:Z17" si="3">+Y8*(1.67+0.18+0.35)</f>
        <v>13.39761403508772</v>
      </c>
      <c r="AA8" s="39">
        <f t="shared" ref="AA8:AA17" si="4">+Y8*0.35</f>
        <v>2.1314385964912281</v>
      </c>
    </row>
    <row r="9" spans="1:27" x14ac:dyDescent="0.3">
      <c r="A9" s="83" t="s">
        <v>41</v>
      </c>
      <c r="B9" s="87" t="s">
        <v>27</v>
      </c>
      <c r="C9" s="56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125"/>
      <c r="P9" s="125"/>
      <c r="Q9" s="126"/>
      <c r="R9" s="120">
        <f t="shared" ref="R9:R17" si="5">SUM(C9:Q9)</f>
        <v>0</v>
      </c>
      <c r="S9" s="89">
        <v>13.41</v>
      </c>
      <c r="T9" s="41">
        <f t="shared" si="0"/>
        <v>0</v>
      </c>
      <c r="U9" s="68">
        <v>2.13</v>
      </c>
      <c r="V9" s="65">
        <f t="shared" si="1"/>
        <v>0</v>
      </c>
      <c r="X9" s="34">
        <v>3.4712000000000001</v>
      </c>
      <c r="Y9" s="136">
        <f t="shared" si="2"/>
        <v>6.0898245614035096</v>
      </c>
      <c r="Z9" s="39">
        <f t="shared" si="3"/>
        <v>13.39761403508772</v>
      </c>
      <c r="AA9" s="39">
        <f t="shared" si="4"/>
        <v>2.1314385964912281</v>
      </c>
    </row>
    <row r="10" spans="1:27" x14ac:dyDescent="0.3">
      <c r="A10" s="91" t="s">
        <v>42</v>
      </c>
      <c r="B10" s="87" t="s">
        <v>11</v>
      </c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125"/>
      <c r="P10" s="125"/>
      <c r="Q10" s="126"/>
      <c r="R10" s="120">
        <f t="shared" si="5"/>
        <v>0</v>
      </c>
      <c r="S10" s="89">
        <v>11.97</v>
      </c>
      <c r="T10" s="41">
        <f t="shared" si="0"/>
        <v>0</v>
      </c>
      <c r="U10" s="68">
        <v>1.9</v>
      </c>
      <c r="V10" s="65">
        <f t="shared" si="1"/>
        <v>0</v>
      </c>
      <c r="X10" s="134">
        <v>3.0985999999999998</v>
      </c>
      <c r="Y10" s="136">
        <f t="shared" si="2"/>
        <v>5.4361403508771931</v>
      </c>
      <c r="Z10" s="39">
        <f t="shared" si="3"/>
        <v>11.959508771929823</v>
      </c>
      <c r="AA10" s="39">
        <f t="shared" si="4"/>
        <v>1.9026491228070175</v>
      </c>
    </row>
    <row r="11" spans="1:27" x14ac:dyDescent="0.3">
      <c r="A11" s="92" t="s">
        <v>46</v>
      </c>
      <c r="B11" s="118" t="s">
        <v>17</v>
      </c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125"/>
      <c r="Q11" s="126"/>
      <c r="R11" s="120">
        <f t="shared" si="5"/>
        <v>0</v>
      </c>
      <c r="S11" s="84">
        <v>6.2</v>
      </c>
      <c r="T11" s="41">
        <f>R11*S11</f>
        <v>0</v>
      </c>
      <c r="U11" s="42">
        <v>0.98</v>
      </c>
      <c r="V11" s="65">
        <f t="shared" ref="V11:V15" si="6">R11*U11</f>
        <v>0</v>
      </c>
      <c r="X11" s="134">
        <v>1.6041000000000001</v>
      </c>
      <c r="Y11" s="136">
        <f t="shared" si="2"/>
        <v>2.8142105263157897</v>
      </c>
      <c r="Z11" s="39">
        <f t="shared" si="3"/>
        <v>6.1912631578947366</v>
      </c>
      <c r="AA11" s="39">
        <f t="shared" si="4"/>
        <v>0.98497368421052633</v>
      </c>
    </row>
    <row r="12" spans="1:27" ht="14.25" customHeight="1" x14ac:dyDescent="0.3">
      <c r="A12" s="92" t="s">
        <v>47</v>
      </c>
      <c r="B12" s="118" t="s">
        <v>18</v>
      </c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125"/>
      <c r="Q12" s="126"/>
      <c r="R12" s="120">
        <f t="shared" si="5"/>
        <v>0</v>
      </c>
      <c r="S12" s="84">
        <v>6.37</v>
      </c>
      <c r="T12" s="41">
        <f t="shared" ref="T12:T15" si="7">R12*S12</f>
        <v>0</v>
      </c>
      <c r="U12" s="42">
        <v>1.01</v>
      </c>
      <c r="V12" s="65">
        <f t="shared" si="6"/>
        <v>0</v>
      </c>
      <c r="X12" s="134">
        <v>1.6488</v>
      </c>
      <c r="Y12" s="136">
        <f t="shared" si="2"/>
        <v>2.8926315789473689</v>
      </c>
      <c r="Z12" s="39">
        <f t="shared" si="3"/>
        <v>6.3637894736842107</v>
      </c>
      <c r="AA12" s="39">
        <f t="shared" si="4"/>
        <v>1.0124210526315791</v>
      </c>
    </row>
    <row r="13" spans="1:27" x14ac:dyDescent="0.3">
      <c r="A13" s="91" t="s">
        <v>38</v>
      </c>
      <c r="B13" s="118" t="s">
        <v>14</v>
      </c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125"/>
      <c r="Q13" s="126"/>
      <c r="R13" s="120">
        <f t="shared" si="5"/>
        <v>0</v>
      </c>
      <c r="S13" s="89">
        <v>12.23</v>
      </c>
      <c r="T13" s="41">
        <f t="shared" si="7"/>
        <v>0</v>
      </c>
      <c r="U13" s="42">
        <f>1.63+2</f>
        <v>3.63</v>
      </c>
      <c r="V13" s="65">
        <f t="shared" si="6"/>
        <v>0</v>
      </c>
      <c r="W13" t="s">
        <v>43</v>
      </c>
      <c r="X13" s="134">
        <v>2.6482999999999999</v>
      </c>
      <c r="Y13" s="136">
        <f t="shared" si="2"/>
        <v>4.646140350877193</v>
      </c>
      <c r="Z13" s="39">
        <f>+Y13*(1.67+0.18+0.35)+2</f>
        <v>12.221508771929823</v>
      </c>
      <c r="AA13" s="39">
        <f>+Y13*0.35+2</f>
        <v>3.6261491228070177</v>
      </c>
    </row>
    <row r="14" spans="1:27" x14ac:dyDescent="0.3">
      <c r="A14" s="91" t="s">
        <v>36</v>
      </c>
      <c r="B14" s="118" t="s">
        <v>10</v>
      </c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25"/>
      <c r="Q14" s="126"/>
      <c r="R14" s="120">
        <f t="shared" si="5"/>
        <v>0</v>
      </c>
      <c r="S14" s="89">
        <v>13.39</v>
      </c>
      <c r="T14" s="41">
        <f t="shared" si="7"/>
        <v>0</v>
      </c>
      <c r="U14" s="42">
        <v>2.13</v>
      </c>
      <c r="V14" s="65">
        <f t="shared" si="6"/>
        <v>0</v>
      </c>
      <c r="X14" s="134">
        <v>3.4659</v>
      </c>
      <c r="Y14" s="136">
        <f t="shared" si="2"/>
        <v>6.0805263157894744</v>
      </c>
      <c r="Z14" s="39">
        <f t="shared" si="3"/>
        <v>13.377157894736841</v>
      </c>
      <c r="AA14" s="39">
        <f t="shared" si="4"/>
        <v>2.128184210526316</v>
      </c>
    </row>
    <row r="15" spans="1:27" s="157" customFormat="1" x14ac:dyDescent="0.3">
      <c r="A15" s="149" t="s">
        <v>37</v>
      </c>
      <c r="B15" s="150" t="s">
        <v>32</v>
      </c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3"/>
      <c r="Q15" s="154"/>
      <c r="R15" s="120">
        <f t="shared" si="5"/>
        <v>0</v>
      </c>
      <c r="S15" s="89">
        <v>13.39</v>
      </c>
      <c r="T15" s="41">
        <f t="shared" si="7"/>
        <v>0</v>
      </c>
      <c r="U15" s="155">
        <v>2.13</v>
      </c>
      <c r="V15" s="156">
        <f t="shared" si="6"/>
        <v>0</v>
      </c>
      <c r="X15" s="158">
        <v>3.4659</v>
      </c>
      <c r="Y15" s="159">
        <f t="shared" si="2"/>
        <v>6.0805263157894744</v>
      </c>
      <c r="Z15" s="160">
        <f t="shared" si="3"/>
        <v>13.377157894736841</v>
      </c>
      <c r="AA15" s="160">
        <f t="shared" si="4"/>
        <v>2.128184210526316</v>
      </c>
    </row>
    <row r="16" spans="1:27" x14ac:dyDescent="0.3">
      <c r="A16" s="98" t="s">
        <v>54</v>
      </c>
      <c r="B16" s="118" t="s">
        <v>19</v>
      </c>
      <c r="C16" s="56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125"/>
      <c r="Q16" s="126"/>
      <c r="R16" s="120">
        <f t="shared" si="5"/>
        <v>0</v>
      </c>
      <c r="S16" s="89">
        <v>5.68</v>
      </c>
      <c r="T16" s="41">
        <f t="shared" ref="T16:T17" si="8">R16*S16</f>
        <v>0</v>
      </c>
      <c r="U16" s="77">
        <v>0.9</v>
      </c>
      <c r="V16" s="65">
        <f t="shared" ref="V16:V17" si="9">R16*U16</f>
        <v>0</v>
      </c>
      <c r="X16" s="134">
        <v>1.4716</v>
      </c>
      <c r="Y16" s="136">
        <f t="shared" si="2"/>
        <v>2.5817543859649126</v>
      </c>
      <c r="Z16" s="39">
        <f t="shared" si="3"/>
        <v>5.6798596491228066</v>
      </c>
      <c r="AA16" s="39">
        <f t="shared" si="4"/>
        <v>0.90361403508771931</v>
      </c>
    </row>
    <row r="17" spans="1:27" ht="15" thickBot="1" x14ac:dyDescent="0.35">
      <c r="A17" s="99" t="s">
        <v>55</v>
      </c>
      <c r="B17" s="118" t="s">
        <v>20</v>
      </c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127"/>
      <c r="Q17" s="128"/>
      <c r="R17" s="120">
        <f t="shared" si="5"/>
        <v>0</v>
      </c>
      <c r="S17" s="129">
        <v>5.7</v>
      </c>
      <c r="T17" s="66">
        <f t="shared" si="8"/>
        <v>0</v>
      </c>
      <c r="U17" s="100">
        <v>0.91</v>
      </c>
      <c r="V17" s="67">
        <f t="shared" si="9"/>
        <v>0</v>
      </c>
      <c r="X17" s="137">
        <v>1.476</v>
      </c>
      <c r="Y17" s="136">
        <f t="shared" si="2"/>
        <v>2.5894736842105264</v>
      </c>
      <c r="Z17" s="39">
        <f t="shared" si="3"/>
        <v>5.6968421052631575</v>
      </c>
      <c r="AA17" s="39">
        <f t="shared" si="4"/>
        <v>0.90631578947368419</v>
      </c>
    </row>
    <row r="18" spans="1:27" x14ac:dyDescent="0.3">
      <c r="A18" s="35"/>
      <c r="B18" s="35"/>
      <c r="M18" s="36"/>
      <c r="N18" s="36"/>
      <c r="O18" s="36"/>
      <c r="P18" s="36"/>
      <c r="Q18" s="36"/>
      <c r="R18" s="43">
        <f>SUM(R7:R17)</f>
        <v>0</v>
      </c>
      <c r="S18" s="38"/>
      <c r="T18" s="44">
        <f>SUM(T7:T17)</f>
        <v>0</v>
      </c>
      <c r="U18" s="40"/>
      <c r="V18" s="45">
        <f>SUM(V7:V17)</f>
        <v>0</v>
      </c>
    </row>
    <row r="19" spans="1:27" x14ac:dyDescent="0.3">
      <c r="A19" s="35"/>
      <c r="B19" s="35"/>
      <c r="C19" s="61">
        <f t="shared" ref="C19:Q19" si="10">+C7*$S7</f>
        <v>0</v>
      </c>
      <c r="D19" s="61">
        <f t="shared" si="10"/>
        <v>0</v>
      </c>
      <c r="E19" s="61">
        <f t="shared" si="10"/>
        <v>0</v>
      </c>
      <c r="F19" s="61">
        <f t="shared" ref="F19" si="11">+F7*$S7</f>
        <v>0</v>
      </c>
      <c r="G19" s="61">
        <f t="shared" si="10"/>
        <v>0</v>
      </c>
      <c r="H19" s="61">
        <f t="shared" si="10"/>
        <v>0</v>
      </c>
      <c r="I19" s="61">
        <f t="shared" si="10"/>
        <v>0</v>
      </c>
      <c r="J19" s="61">
        <f t="shared" si="10"/>
        <v>0</v>
      </c>
      <c r="K19" s="61">
        <f t="shared" si="10"/>
        <v>0</v>
      </c>
      <c r="L19" s="61">
        <f t="shared" si="10"/>
        <v>0</v>
      </c>
      <c r="M19" s="61">
        <f t="shared" si="10"/>
        <v>0</v>
      </c>
      <c r="N19" s="61">
        <f t="shared" si="10"/>
        <v>0</v>
      </c>
      <c r="O19" s="61">
        <f t="shared" si="10"/>
        <v>0</v>
      </c>
      <c r="P19" s="61">
        <f t="shared" si="10"/>
        <v>0</v>
      </c>
      <c r="Q19" s="61">
        <f t="shared" si="10"/>
        <v>0</v>
      </c>
      <c r="R19" s="37"/>
      <c r="S19" s="38"/>
      <c r="T19" s="39">
        <f>+R6-T18</f>
        <v>0</v>
      </c>
      <c r="U19" s="40"/>
    </row>
    <row r="20" spans="1:27" ht="15" thickBot="1" x14ac:dyDescent="0.35">
      <c r="A20" s="35"/>
      <c r="B20" s="35"/>
      <c r="C20" s="61">
        <f t="shared" ref="C20:Q20" si="12">+C8*$S8</f>
        <v>0</v>
      </c>
      <c r="D20" s="61">
        <f t="shared" si="12"/>
        <v>0</v>
      </c>
      <c r="E20" s="61">
        <f t="shared" si="12"/>
        <v>0</v>
      </c>
      <c r="F20" s="61">
        <f t="shared" ref="F20" si="13">+F8*$S8</f>
        <v>0</v>
      </c>
      <c r="G20" s="61">
        <f t="shared" si="12"/>
        <v>0</v>
      </c>
      <c r="H20" s="61">
        <f t="shared" si="12"/>
        <v>0</v>
      </c>
      <c r="I20" s="61">
        <f t="shared" si="12"/>
        <v>0</v>
      </c>
      <c r="J20" s="61">
        <f t="shared" si="12"/>
        <v>0</v>
      </c>
      <c r="K20" s="61">
        <f t="shared" si="12"/>
        <v>0</v>
      </c>
      <c r="L20" s="61">
        <f t="shared" si="12"/>
        <v>0</v>
      </c>
      <c r="M20" s="61">
        <f t="shared" si="12"/>
        <v>0</v>
      </c>
      <c r="N20" s="61">
        <f t="shared" si="12"/>
        <v>0</v>
      </c>
      <c r="O20" s="61">
        <f t="shared" si="12"/>
        <v>0</v>
      </c>
      <c r="P20" s="61">
        <f t="shared" si="12"/>
        <v>0</v>
      </c>
      <c r="Q20" s="61">
        <f t="shared" si="12"/>
        <v>0</v>
      </c>
      <c r="R20" s="37"/>
      <c r="S20" s="38"/>
      <c r="T20" s="39"/>
      <c r="U20" s="40"/>
    </row>
    <row r="21" spans="1:27" ht="15" thickBot="1" x14ac:dyDescent="0.35">
      <c r="C21" s="61">
        <f t="shared" ref="C21:Q21" si="14">+C9*$S9</f>
        <v>0</v>
      </c>
      <c r="D21" s="61">
        <f t="shared" si="14"/>
        <v>0</v>
      </c>
      <c r="E21" s="61">
        <f t="shared" si="14"/>
        <v>0</v>
      </c>
      <c r="F21" s="61">
        <f t="shared" ref="F21" si="15">+F9*$S9</f>
        <v>0</v>
      </c>
      <c r="G21" s="61">
        <f t="shared" si="14"/>
        <v>0</v>
      </c>
      <c r="H21" s="61">
        <f t="shared" si="14"/>
        <v>0</v>
      </c>
      <c r="I21" s="61">
        <f t="shared" si="14"/>
        <v>0</v>
      </c>
      <c r="J21" s="61">
        <f t="shared" si="14"/>
        <v>0</v>
      </c>
      <c r="K21" s="61">
        <f t="shared" si="14"/>
        <v>0</v>
      </c>
      <c r="L21" s="61">
        <f t="shared" si="14"/>
        <v>0</v>
      </c>
      <c r="M21" s="61">
        <f t="shared" si="14"/>
        <v>0</v>
      </c>
      <c r="N21" s="61">
        <f t="shared" si="14"/>
        <v>0</v>
      </c>
      <c r="O21" s="61">
        <f t="shared" si="14"/>
        <v>0</v>
      </c>
      <c r="P21" s="61">
        <f t="shared" si="14"/>
        <v>0</v>
      </c>
      <c r="Q21" s="61">
        <f t="shared" si="14"/>
        <v>0</v>
      </c>
      <c r="R21" s="27">
        <f>+R18</f>
        <v>0</v>
      </c>
      <c r="T21" s="48">
        <f>+T18</f>
        <v>0</v>
      </c>
      <c r="U21" s="49"/>
      <c r="V21" s="50">
        <f>+V18</f>
        <v>0</v>
      </c>
    </row>
    <row r="22" spans="1:27" x14ac:dyDescent="0.3">
      <c r="C22" s="61">
        <f t="shared" ref="C22:Q22" si="16">+C10*$S10</f>
        <v>0</v>
      </c>
      <c r="D22" s="61">
        <f t="shared" si="16"/>
        <v>0</v>
      </c>
      <c r="E22" s="61">
        <f t="shared" si="16"/>
        <v>0</v>
      </c>
      <c r="F22" s="61">
        <f t="shared" ref="F22" si="17">+F10*$S10</f>
        <v>0</v>
      </c>
      <c r="G22" s="61">
        <f t="shared" si="16"/>
        <v>0</v>
      </c>
      <c r="H22" s="61">
        <f t="shared" si="16"/>
        <v>0</v>
      </c>
      <c r="I22" s="61">
        <f t="shared" si="16"/>
        <v>0</v>
      </c>
      <c r="J22" s="61">
        <f t="shared" si="16"/>
        <v>0</v>
      </c>
      <c r="K22" s="61">
        <f t="shared" si="16"/>
        <v>0</v>
      </c>
      <c r="L22" s="61">
        <f t="shared" si="16"/>
        <v>0</v>
      </c>
      <c r="M22" s="61">
        <f t="shared" si="16"/>
        <v>0</v>
      </c>
      <c r="N22" s="61">
        <f t="shared" si="16"/>
        <v>0</v>
      </c>
      <c r="O22" s="61">
        <f t="shared" si="16"/>
        <v>0</v>
      </c>
      <c r="P22" s="61">
        <f t="shared" si="16"/>
        <v>0</v>
      </c>
      <c r="Q22" s="61">
        <f t="shared" si="16"/>
        <v>0</v>
      </c>
    </row>
    <row r="23" spans="1:27" x14ac:dyDescent="0.3">
      <c r="C23" s="61">
        <f t="shared" ref="C23:Q23" si="18">+C11*$S11</f>
        <v>0</v>
      </c>
      <c r="D23" s="61">
        <f t="shared" si="18"/>
        <v>0</v>
      </c>
      <c r="E23" s="61">
        <f>+E11*$S11</f>
        <v>0</v>
      </c>
      <c r="F23" s="61">
        <f>+F11*$S11</f>
        <v>0</v>
      </c>
      <c r="G23" s="61">
        <f t="shared" si="18"/>
        <v>0</v>
      </c>
      <c r="H23" s="61">
        <f t="shared" si="18"/>
        <v>0</v>
      </c>
      <c r="I23" s="61">
        <f t="shared" si="18"/>
        <v>0</v>
      </c>
      <c r="J23" s="61">
        <f t="shared" si="18"/>
        <v>0</v>
      </c>
      <c r="K23" s="61">
        <f t="shared" si="18"/>
        <v>0</v>
      </c>
      <c r="L23" s="61">
        <f t="shared" si="18"/>
        <v>0</v>
      </c>
      <c r="M23" s="61">
        <f t="shared" si="18"/>
        <v>0</v>
      </c>
      <c r="N23" s="61">
        <f t="shared" si="18"/>
        <v>0</v>
      </c>
      <c r="O23" s="61">
        <f t="shared" si="18"/>
        <v>0</v>
      </c>
      <c r="P23" s="61">
        <f t="shared" si="18"/>
        <v>0</v>
      </c>
      <c r="Q23" s="61">
        <f t="shared" si="18"/>
        <v>0</v>
      </c>
    </row>
    <row r="24" spans="1:27" x14ac:dyDescent="0.3">
      <c r="C24" s="61">
        <f t="shared" ref="C24:Q24" si="19">+C12*$S12</f>
        <v>0</v>
      </c>
      <c r="D24" s="61">
        <f t="shared" si="19"/>
        <v>0</v>
      </c>
      <c r="E24" s="61">
        <f t="shared" si="19"/>
        <v>0</v>
      </c>
      <c r="F24" s="61">
        <f t="shared" ref="F24" si="20">+F12*$S12</f>
        <v>0</v>
      </c>
      <c r="G24" s="61">
        <f t="shared" si="19"/>
        <v>0</v>
      </c>
      <c r="H24" s="61">
        <f t="shared" si="19"/>
        <v>0</v>
      </c>
      <c r="I24" s="61">
        <f t="shared" si="19"/>
        <v>0</v>
      </c>
      <c r="J24" s="61">
        <f t="shared" si="19"/>
        <v>0</v>
      </c>
      <c r="K24" s="61">
        <f t="shared" si="19"/>
        <v>0</v>
      </c>
      <c r="L24" s="61">
        <f t="shared" si="19"/>
        <v>0</v>
      </c>
      <c r="M24" s="61">
        <f t="shared" si="19"/>
        <v>0</v>
      </c>
      <c r="N24" s="61">
        <f t="shared" si="19"/>
        <v>0</v>
      </c>
      <c r="O24" s="61">
        <f t="shared" si="19"/>
        <v>0</v>
      </c>
      <c r="P24" s="61">
        <f t="shared" si="19"/>
        <v>0</v>
      </c>
      <c r="Q24" s="61">
        <f t="shared" si="19"/>
        <v>0</v>
      </c>
    </row>
    <row r="25" spans="1:27" x14ac:dyDescent="0.3">
      <c r="C25" s="61">
        <f t="shared" ref="C25:Q25" si="21">+C13*$S13</f>
        <v>0</v>
      </c>
      <c r="D25" s="61">
        <f t="shared" si="21"/>
        <v>0</v>
      </c>
      <c r="E25" s="61">
        <f t="shared" si="21"/>
        <v>0</v>
      </c>
      <c r="F25" s="61">
        <f t="shared" ref="F25" si="22">+F13*$S13</f>
        <v>0</v>
      </c>
      <c r="G25" s="61">
        <f t="shared" si="21"/>
        <v>0</v>
      </c>
      <c r="H25" s="61">
        <f t="shared" si="21"/>
        <v>0</v>
      </c>
      <c r="I25" s="61">
        <f t="shared" si="21"/>
        <v>0</v>
      </c>
      <c r="J25" s="61">
        <f t="shared" si="21"/>
        <v>0</v>
      </c>
      <c r="K25" s="61">
        <f t="shared" si="21"/>
        <v>0</v>
      </c>
      <c r="L25" s="61">
        <f t="shared" si="21"/>
        <v>0</v>
      </c>
      <c r="M25" s="61">
        <f t="shared" si="21"/>
        <v>0</v>
      </c>
      <c r="N25" s="61">
        <f t="shared" si="21"/>
        <v>0</v>
      </c>
      <c r="O25" s="61">
        <f t="shared" si="21"/>
        <v>0</v>
      </c>
      <c r="P25" s="61">
        <f t="shared" si="21"/>
        <v>0</v>
      </c>
      <c r="Q25" s="61">
        <f t="shared" si="21"/>
        <v>0</v>
      </c>
    </row>
    <row r="26" spans="1:27" x14ac:dyDescent="0.3">
      <c r="C26" s="61">
        <f t="shared" ref="C26:Q26" si="23">+C14*$S14</f>
        <v>0</v>
      </c>
      <c r="D26" s="61">
        <f t="shared" si="23"/>
        <v>0</v>
      </c>
      <c r="E26" s="61">
        <f t="shared" si="23"/>
        <v>0</v>
      </c>
      <c r="F26" s="61">
        <f t="shared" ref="F26" si="24">+F14*$S14</f>
        <v>0</v>
      </c>
      <c r="G26" s="61">
        <f t="shared" si="23"/>
        <v>0</v>
      </c>
      <c r="H26" s="61">
        <f t="shared" si="23"/>
        <v>0</v>
      </c>
      <c r="I26" s="61">
        <f t="shared" si="23"/>
        <v>0</v>
      </c>
      <c r="J26" s="61">
        <f t="shared" si="23"/>
        <v>0</v>
      </c>
      <c r="K26" s="61">
        <f t="shared" si="23"/>
        <v>0</v>
      </c>
      <c r="L26" s="61">
        <f t="shared" si="23"/>
        <v>0</v>
      </c>
      <c r="M26" s="61">
        <f t="shared" si="23"/>
        <v>0</v>
      </c>
      <c r="N26" s="61">
        <f t="shared" si="23"/>
        <v>0</v>
      </c>
      <c r="O26" s="61">
        <f t="shared" si="23"/>
        <v>0</v>
      </c>
      <c r="P26" s="61">
        <f t="shared" si="23"/>
        <v>0</v>
      </c>
      <c r="Q26" s="61">
        <f t="shared" si="23"/>
        <v>0</v>
      </c>
    </row>
    <row r="27" spans="1:27" x14ac:dyDescent="0.3">
      <c r="C27" s="61">
        <f t="shared" ref="C27:Q27" si="25">+C15*$S15</f>
        <v>0</v>
      </c>
      <c r="D27" s="61">
        <f t="shared" si="25"/>
        <v>0</v>
      </c>
      <c r="E27" s="61">
        <f t="shared" si="25"/>
        <v>0</v>
      </c>
      <c r="F27" s="61">
        <f t="shared" ref="F27" si="26">+F15*$S15</f>
        <v>0</v>
      </c>
      <c r="G27" s="61">
        <f t="shared" si="25"/>
        <v>0</v>
      </c>
      <c r="H27" s="61">
        <f t="shared" si="25"/>
        <v>0</v>
      </c>
      <c r="I27" s="61">
        <f t="shared" si="25"/>
        <v>0</v>
      </c>
      <c r="J27" s="61">
        <f t="shared" si="25"/>
        <v>0</v>
      </c>
      <c r="K27" s="61">
        <f t="shared" si="25"/>
        <v>0</v>
      </c>
      <c r="L27" s="61">
        <f t="shared" si="25"/>
        <v>0</v>
      </c>
      <c r="M27" s="61">
        <f t="shared" si="25"/>
        <v>0</v>
      </c>
      <c r="N27" s="61">
        <f t="shared" si="25"/>
        <v>0</v>
      </c>
      <c r="O27" s="61">
        <f t="shared" si="25"/>
        <v>0</v>
      </c>
      <c r="P27" s="61">
        <f t="shared" si="25"/>
        <v>0</v>
      </c>
      <c r="Q27" s="61">
        <f t="shared" si="25"/>
        <v>0</v>
      </c>
    </row>
    <row r="28" spans="1:27" x14ac:dyDescent="0.3">
      <c r="C28" s="61">
        <f t="shared" ref="C28:Q28" si="27">+C16*$S16</f>
        <v>0</v>
      </c>
      <c r="D28" s="61">
        <f t="shared" si="27"/>
        <v>0</v>
      </c>
      <c r="E28" s="61">
        <f t="shared" si="27"/>
        <v>0</v>
      </c>
      <c r="F28" s="61">
        <f t="shared" ref="F28" si="28">+F16*$S16</f>
        <v>0</v>
      </c>
      <c r="G28" s="61">
        <f t="shared" si="27"/>
        <v>0</v>
      </c>
      <c r="H28" s="61">
        <f t="shared" si="27"/>
        <v>0</v>
      </c>
      <c r="I28" s="61">
        <f t="shared" si="27"/>
        <v>0</v>
      </c>
      <c r="J28" s="61">
        <f t="shared" si="27"/>
        <v>0</v>
      </c>
      <c r="K28" s="61">
        <f t="shared" si="27"/>
        <v>0</v>
      </c>
      <c r="L28" s="61">
        <f t="shared" si="27"/>
        <v>0</v>
      </c>
      <c r="M28" s="61">
        <f t="shared" si="27"/>
        <v>0</v>
      </c>
      <c r="N28" s="61">
        <f t="shared" si="27"/>
        <v>0</v>
      </c>
      <c r="O28" s="61">
        <f t="shared" si="27"/>
        <v>0</v>
      </c>
      <c r="P28" s="61">
        <f t="shared" si="27"/>
        <v>0</v>
      </c>
      <c r="Q28" s="61">
        <f t="shared" si="27"/>
        <v>0</v>
      </c>
    </row>
    <row r="29" spans="1:27" x14ac:dyDescent="0.3">
      <c r="C29" s="61">
        <f t="shared" ref="C29:Q29" si="29">+C17*$S17</f>
        <v>0</v>
      </c>
      <c r="D29" s="61">
        <f t="shared" si="29"/>
        <v>0</v>
      </c>
      <c r="E29" s="61">
        <f t="shared" si="29"/>
        <v>0</v>
      </c>
      <c r="F29" s="61">
        <f t="shared" ref="F29" si="30">+F17*$S17</f>
        <v>0</v>
      </c>
      <c r="G29" s="61">
        <f t="shared" si="29"/>
        <v>0</v>
      </c>
      <c r="H29" s="61">
        <f t="shared" si="29"/>
        <v>0</v>
      </c>
      <c r="I29" s="61">
        <f>+I17*$S17</f>
        <v>0</v>
      </c>
      <c r="J29" s="61">
        <f t="shared" si="29"/>
        <v>0</v>
      </c>
      <c r="K29" s="61">
        <f t="shared" si="29"/>
        <v>0</v>
      </c>
      <c r="L29" s="61">
        <f t="shared" si="29"/>
        <v>0</v>
      </c>
      <c r="M29" s="61">
        <f t="shared" si="29"/>
        <v>0</v>
      </c>
      <c r="N29" s="61">
        <f t="shared" si="29"/>
        <v>0</v>
      </c>
      <c r="O29" s="61">
        <f t="shared" si="29"/>
        <v>0</v>
      </c>
      <c r="P29" s="61">
        <f t="shared" si="29"/>
        <v>0</v>
      </c>
      <c r="Q29" s="61">
        <f t="shared" si="29"/>
        <v>0</v>
      </c>
    </row>
    <row r="30" spans="1:27" x14ac:dyDescent="0.3">
      <c r="C30" s="69">
        <f t="shared" ref="C30:Q30" si="31">SUM(C19:C29)</f>
        <v>0</v>
      </c>
      <c r="D30" s="69">
        <f t="shared" si="31"/>
        <v>0</v>
      </c>
      <c r="E30" s="69">
        <f t="shared" si="31"/>
        <v>0</v>
      </c>
      <c r="F30" s="69">
        <f>SUM(F19:F29)</f>
        <v>0</v>
      </c>
      <c r="G30" s="69">
        <f t="shared" si="31"/>
        <v>0</v>
      </c>
      <c r="H30" s="69">
        <f t="shared" si="31"/>
        <v>0</v>
      </c>
      <c r="I30" s="69">
        <f>SUM(I19:I29)</f>
        <v>0</v>
      </c>
      <c r="J30" s="69">
        <f t="shared" si="31"/>
        <v>0</v>
      </c>
      <c r="K30" s="69">
        <f t="shared" si="31"/>
        <v>0</v>
      </c>
      <c r="L30" s="69">
        <f t="shared" si="31"/>
        <v>0</v>
      </c>
      <c r="M30" s="69">
        <f t="shared" si="31"/>
        <v>0</v>
      </c>
      <c r="N30" s="69">
        <f t="shared" si="31"/>
        <v>0</v>
      </c>
      <c r="O30" s="69">
        <f t="shared" si="31"/>
        <v>0</v>
      </c>
      <c r="P30" s="69">
        <f t="shared" si="31"/>
        <v>0</v>
      </c>
      <c r="Q30" s="69">
        <f t="shared" si="31"/>
        <v>0</v>
      </c>
    </row>
    <row r="31" spans="1:27" x14ac:dyDescent="0.3">
      <c r="C31" s="69">
        <f t="shared" ref="C31:Q31" si="32">+C6-C30</f>
        <v>0</v>
      </c>
      <c r="D31" s="69">
        <f t="shared" si="32"/>
        <v>0</v>
      </c>
      <c r="E31" s="69">
        <f t="shared" si="32"/>
        <v>0</v>
      </c>
      <c r="F31" s="69">
        <f t="shared" ref="F31" si="33">+F6-F30</f>
        <v>0</v>
      </c>
      <c r="G31" s="69">
        <f t="shared" si="32"/>
        <v>0</v>
      </c>
      <c r="H31" s="69">
        <f t="shared" si="32"/>
        <v>0</v>
      </c>
      <c r="I31" s="69">
        <f t="shared" si="32"/>
        <v>0</v>
      </c>
      <c r="J31" s="69">
        <f t="shared" si="32"/>
        <v>0</v>
      </c>
      <c r="K31" s="69">
        <f t="shared" si="32"/>
        <v>0</v>
      </c>
      <c r="L31" s="69">
        <f t="shared" si="32"/>
        <v>0</v>
      </c>
      <c r="M31" s="69">
        <f t="shared" si="32"/>
        <v>0</v>
      </c>
      <c r="N31" s="69">
        <f t="shared" si="32"/>
        <v>0</v>
      </c>
      <c r="O31" s="69">
        <f t="shared" si="32"/>
        <v>0</v>
      </c>
      <c r="P31" s="69">
        <f t="shared" si="32"/>
        <v>0</v>
      </c>
      <c r="Q31" s="69">
        <f t="shared" si="32"/>
        <v>0</v>
      </c>
    </row>
    <row r="32" spans="1:27" x14ac:dyDescent="0.3">
      <c r="C32" s="61"/>
    </row>
    <row r="33" spans="3:3" x14ac:dyDescent="0.3">
      <c r="C33" s="61"/>
    </row>
    <row r="34" spans="3:3" x14ac:dyDescent="0.3">
      <c r="C34" s="61"/>
    </row>
    <row r="35" spans="3:3" x14ac:dyDescent="0.3">
      <c r="C35" s="61"/>
    </row>
  </sheetData>
  <mergeCells count="6">
    <mergeCell ref="V3:V5"/>
    <mergeCell ref="D2:E2"/>
    <mergeCell ref="R3:R5"/>
    <mergeCell ref="S3:S5"/>
    <mergeCell ref="T3:T5"/>
    <mergeCell ref="U3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pane xSplit="2" topLeftCell="C1" activePane="topRight" state="frozen"/>
      <selection pane="topRight" activeCell="H17" sqref="H17"/>
    </sheetView>
  </sheetViews>
  <sheetFormatPr baseColWidth="10" defaultColWidth="8.88671875" defaultRowHeight="14.4" x14ac:dyDescent="0.3"/>
  <cols>
    <col min="1" max="1" width="17" customWidth="1"/>
    <col min="2" max="2" width="14.88671875" customWidth="1"/>
    <col min="3" max="3" width="14" customWidth="1"/>
    <col min="4" max="4" width="10.5546875" customWidth="1"/>
    <col min="5" max="5" width="13.6640625" bestFit="1" customWidth="1"/>
    <col min="6" max="6" width="12.33203125" customWidth="1"/>
    <col min="7" max="7" width="12" bestFit="1" customWidth="1"/>
    <col min="8" max="8" width="9.5546875" bestFit="1" customWidth="1"/>
    <col min="13" max="13" width="12.88671875" customWidth="1"/>
    <col min="14" max="14" width="10.5546875" bestFit="1" customWidth="1"/>
  </cols>
  <sheetData>
    <row r="1" spans="1:14" ht="15" thickBot="1" x14ac:dyDescent="0.35">
      <c r="K1" s="180"/>
    </row>
    <row r="2" spans="1:14" x14ac:dyDescent="0.3">
      <c r="A2" s="521" t="s">
        <v>15</v>
      </c>
      <c r="B2" s="101" t="s">
        <v>0</v>
      </c>
      <c r="C2" s="102"/>
      <c r="D2" s="102"/>
      <c r="E2" s="164"/>
      <c r="F2" s="102"/>
      <c r="G2" s="103"/>
      <c r="H2" s="103"/>
      <c r="I2" s="103"/>
      <c r="J2" s="103"/>
      <c r="K2" s="103"/>
      <c r="L2" s="104"/>
      <c r="M2" s="519" t="s">
        <v>16</v>
      </c>
    </row>
    <row r="3" spans="1:14" x14ac:dyDescent="0.3">
      <c r="A3" s="522"/>
      <c r="B3" s="105" t="s">
        <v>6</v>
      </c>
      <c r="C3" s="106"/>
      <c r="D3" s="106"/>
      <c r="E3" s="165"/>
      <c r="F3" s="106"/>
      <c r="G3" s="107"/>
      <c r="H3" s="107"/>
      <c r="I3" s="107"/>
      <c r="J3" s="107"/>
      <c r="K3" s="107"/>
      <c r="L3" s="108"/>
      <c r="M3" s="520"/>
    </row>
    <row r="4" spans="1:14" ht="15" thickBot="1" x14ac:dyDescent="0.35">
      <c r="A4" s="522"/>
      <c r="B4" s="105" t="s">
        <v>8</v>
      </c>
      <c r="C4" s="106"/>
      <c r="D4" s="106"/>
      <c r="E4" s="165"/>
      <c r="F4" s="106"/>
      <c r="G4" s="107"/>
      <c r="H4" s="107"/>
      <c r="I4" s="107"/>
      <c r="J4" s="107"/>
      <c r="K4" s="107"/>
      <c r="L4" s="108"/>
      <c r="M4" s="520"/>
      <c r="N4" s="76" t="s">
        <v>58</v>
      </c>
    </row>
    <row r="5" spans="1:14" ht="15" thickBot="1" x14ac:dyDescent="0.35">
      <c r="A5" s="523"/>
      <c r="B5" s="109" t="s">
        <v>9</v>
      </c>
      <c r="C5" s="110"/>
      <c r="D5" s="110"/>
      <c r="E5" s="166"/>
      <c r="F5" s="110"/>
      <c r="G5" s="60"/>
      <c r="H5" s="60"/>
      <c r="I5" s="60"/>
      <c r="J5" s="60"/>
      <c r="K5" s="60"/>
      <c r="L5" s="111"/>
      <c r="M5" s="112">
        <f>SUM(C5:L5)</f>
        <v>0</v>
      </c>
      <c r="N5" s="33"/>
    </row>
    <row r="6" spans="1:14" x14ac:dyDescent="0.3">
      <c r="A6" s="1" t="s">
        <v>21</v>
      </c>
      <c r="B6" s="9" t="s">
        <v>22</v>
      </c>
      <c r="C6" s="232"/>
      <c r="D6" s="75"/>
      <c r="E6" s="75"/>
      <c r="F6" s="75"/>
      <c r="G6" s="75"/>
      <c r="H6" s="75"/>
      <c r="I6" s="75"/>
      <c r="J6" s="75"/>
      <c r="K6" s="11"/>
      <c r="L6" s="172"/>
      <c r="M6" s="13">
        <f>SUM(C6:L6)</f>
        <v>0</v>
      </c>
      <c r="N6" s="230">
        <f>+M6*0.35</f>
        <v>0</v>
      </c>
    </row>
    <row r="7" spans="1:14" x14ac:dyDescent="0.3">
      <c r="A7" s="138" t="s">
        <v>76</v>
      </c>
      <c r="B7" s="139" t="s">
        <v>77</v>
      </c>
      <c r="C7" s="233"/>
      <c r="D7" s="140"/>
      <c r="E7" s="140"/>
      <c r="F7" s="140"/>
      <c r="G7" s="140"/>
      <c r="H7" s="140"/>
      <c r="I7" s="140"/>
      <c r="J7" s="140"/>
      <c r="K7" s="141"/>
      <c r="L7" s="173"/>
      <c r="M7" s="142">
        <f>SUM(C7:L7)</f>
        <v>0</v>
      </c>
      <c r="N7" s="230">
        <f>+(M7*0.35)</f>
        <v>0</v>
      </c>
    </row>
    <row r="8" spans="1:14" x14ac:dyDescent="0.3">
      <c r="A8" s="87" t="s">
        <v>168</v>
      </c>
      <c r="B8" s="169" t="s">
        <v>80</v>
      </c>
      <c r="C8" s="234"/>
      <c r="D8" s="170"/>
      <c r="E8" s="170"/>
      <c r="F8" s="170"/>
      <c r="G8" s="170"/>
      <c r="H8" s="170"/>
      <c r="I8" s="170"/>
      <c r="J8" s="170"/>
      <c r="K8" s="171"/>
      <c r="L8" s="174"/>
      <c r="M8" s="142">
        <f t="shared" ref="M8:M9" si="0">SUM(C8:L8)</f>
        <v>0</v>
      </c>
      <c r="N8" s="230">
        <f>+M8*0.35</f>
        <v>0</v>
      </c>
    </row>
    <row r="9" spans="1:14" x14ac:dyDescent="0.3">
      <c r="A9" s="54" t="s">
        <v>81</v>
      </c>
      <c r="B9" s="176" t="s">
        <v>82</v>
      </c>
      <c r="C9" s="235"/>
      <c r="D9" s="177"/>
      <c r="E9" s="177"/>
      <c r="F9" s="177"/>
      <c r="G9" s="177"/>
      <c r="H9" s="177"/>
      <c r="I9" s="177"/>
      <c r="J9" s="177"/>
      <c r="K9" s="178"/>
      <c r="L9" s="179"/>
      <c r="M9" s="142">
        <f t="shared" si="0"/>
        <v>0</v>
      </c>
      <c r="N9" s="230">
        <f>+M9*0.35</f>
        <v>0</v>
      </c>
    </row>
    <row r="10" spans="1:14" x14ac:dyDescent="0.3">
      <c r="A10" s="54" t="s">
        <v>169</v>
      </c>
      <c r="B10" s="176" t="s">
        <v>125</v>
      </c>
      <c r="C10" s="235"/>
      <c r="D10" s="177"/>
      <c r="E10" s="177"/>
      <c r="F10" s="177"/>
      <c r="G10" s="177"/>
      <c r="H10" s="177"/>
      <c r="I10" s="177"/>
      <c r="J10" s="177"/>
      <c r="K10" s="178"/>
      <c r="L10" s="179"/>
      <c r="M10" s="142">
        <f t="shared" ref="M10:M11" si="1">SUM(C10:L10)</f>
        <v>0</v>
      </c>
      <c r="N10" s="230">
        <f>+M10*0.35</f>
        <v>0</v>
      </c>
    </row>
    <row r="11" spans="1:14" ht="15" thickBot="1" x14ac:dyDescent="0.35">
      <c r="A11" s="2" t="s">
        <v>56</v>
      </c>
      <c r="B11" s="10" t="s">
        <v>57</v>
      </c>
      <c r="C11" s="236"/>
      <c r="D11" s="14"/>
      <c r="E11" s="14"/>
      <c r="F11" s="14"/>
      <c r="G11" s="12"/>
      <c r="H11" s="12"/>
      <c r="I11" s="12"/>
      <c r="J11" s="12"/>
      <c r="K11" s="12"/>
      <c r="L11" s="175"/>
      <c r="M11" s="142">
        <f t="shared" si="1"/>
        <v>0</v>
      </c>
      <c r="N11" s="230">
        <f t="shared" ref="N11" si="2">+M11*0.35</f>
        <v>0</v>
      </c>
    </row>
    <row r="12" spans="1:14" x14ac:dyDescent="0.3">
      <c r="A12" s="15"/>
      <c r="B12" s="15"/>
      <c r="C12" s="220"/>
      <c r="D12" s="229"/>
      <c r="E12" s="231"/>
      <c r="F12" s="231"/>
      <c r="G12" s="231"/>
      <c r="H12" s="229"/>
      <c r="I12" s="15"/>
      <c r="J12" s="15"/>
      <c r="K12" s="15"/>
      <c r="L12" s="15"/>
      <c r="M12" s="15"/>
    </row>
    <row r="13" spans="1:1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>
        <f>+M5</f>
        <v>0</v>
      </c>
      <c r="N13" s="17">
        <f>SUM(N5:N11)</f>
        <v>0</v>
      </c>
    </row>
    <row r="14" spans="1:14" x14ac:dyDescent="0.3">
      <c r="A14" s="16"/>
      <c r="B14" s="16"/>
      <c r="C14" s="17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2">
    <mergeCell ref="M2:M4"/>
    <mergeCell ref="A2:A5"/>
  </mergeCells>
  <phoneticPr fontId="1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E34" sqref="E33:E34"/>
    </sheetView>
  </sheetViews>
  <sheetFormatPr baseColWidth="10" defaultColWidth="8.88671875" defaultRowHeight="14.4" x14ac:dyDescent="0.3"/>
  <cols>
    <col min="1" max="1" width="30.109375" bestFit="1" customWidth="1"/>
    <col min="2" max="2" width="17.109375" customWidth="1"/>
    <col min="3" max="3" width="14.5546875" customWidth="1"/>
    <col min="4" max="4" width="12.33203125" bestFit="1" customWidth="1"/>
    <col min="5" max="5" width="15.44140625" customWidth="1"/>
  </cols>
  <sheetData>
    <row r="1" spans="1:5" x14ac:dyDescent="0.3">
      <c r="A1" s="524" t="s">
        <v>25</v>
      </c>
      <c r="B1" s="524"/>
      <c r="C1" s="524"/>
    </row>
    <row r="2" spans="1:5" ht="15" thickBot="1" x14ac:dyDescent="0.35">
      <c r="A2" s="525">
        <v>44227</v>
      </c>
      <c r="B2" s="526"/>
      <c r="C2" s="526"/>
    </row>
    <row r="3" spans="1:5" ht="29.4" thickBot="1" x14ac:dyDescent="0.35">
      <c r="A3" s="81" t="s">
        <v>23</v>
      </c>
      <c r="B3" s="80" t="s">
        <v>3</v>
      </c>
      <c r="C3" s="80" t="s">
        <v>78</v>
      </c>
      <c r="D3" s="76" t="s">
        <v>53</v>
      </c>
    </row>
    <row r="4" spans="1:5" ht="15" thickBot="1" x14ac:dyDescent="0.35">
      <c r="A4" s="22" t="s">
        <v>26</v>
      </c>
      <c r="B4" s="23">
        <v>0</v>
      </c>
      <c r="C4" s="23">
        <v>0</v>
      </c>
    </row>
    <row r="5" spans="1:5" ht="15" thickBot="1" x14ac:dyDescent="0.35">
      <c r="A5" s="22" t="s">
        <v>30</v>
      </c>
      <c r="B5" s="23">
        <f>+'TX7'!AG40</f>
        <v>477922.41000000003</v>
      </c>
      <c r="C5" s="23">
        <f>+'TX7'!AI40</f>
        <v>119027.29999999999</v>
      </c>
    </row>
    <row r="6" spans="1:5" ht="15" thickBot="1" x14ac:dyDescent="0.35">
      <c r="A6" s="22" t="s">
        <v>31</v>
      </c>
      <c r="B6" s="23">
        <f>+STT!T21</f>
        <v>0</v>
      </c>
      <c r="C6" s="23">
        <f>+STT!V21</f>
        <v>0</v>
      </c>
    </row>
    <row r="7" spans="1:5" ht="15" thickBot="1" x14ac:dyDescent="0.35">
      <c r="A7" s="22" t="s">
        <v>52</v>
      </c>
      <c r="B7" s="23">
        <f>+'VT9'!Y48</f>
        <v>59713.469999999987</v>
      </c>
      <c r="C7" s="23">
        <f>+'VT9'!AA48</f>
        <v>13506.580000000002</v>
      </c>
    </row>
    <row r="8" spans="1:5" ht="15" thickBot="1" x14ac:dyDescent="0.35">
      <c r="A8" s="22" t="s">
        <v>82</v>
      </c>
      <c r="B8" s="23">
        <f>+'NAPPA TX7'!Z39</f>
        <v>187202.99999999997</v>
      </c>
      <c r="C8" s="23">
        <f>+'NAPPA TX7'!AB39</f>
        <v>88403.1</v>
      </c>
    </row>
    <row r="9" spans="1:5" ht="15" thickBot="1" x14ac:dyDescent="0.35">
      <c r="A9" s="22" t="s">
        <v>125</v>
      </c>
      <c r="B9" s="23">
        <f>+'NAPPA SA5'!N22</f>
        <v>20946</v>
      </c>
      <c r="C9" s="23">
        <f>+'NAPPA SA5'!P22</f>
        <v>9554.4</v>
      </c>
    </row>
    <row r="10" spans="1:5" ht="15" thickBot="1" x14ac:dyDescent="0.35">
      <c r="A10" s="22" t="s">
        <v>80</v>
      </c>
      <c r="B10" s="23">
        <f>+'MCKINLEY SA5'!P14</f>
        <v>6016.5</v>
      </c>
      <c r="C10" s="23">
        <f>+'MCKINLEY SA5'!R14</f>
        <v>1375.2</v>
      </c>
    </row>
    <row r="11" spans="1:5" ht="15" thickBot="1" x14ac:dyDescent="0.35">
      <c r="A11" s="22" t="s">
        <v>83</v>
      </c>
      <c r="B11" s="23">
        <f>+'FULL HIDES'!M13</f>
        <v>0</v>
      </c>
      <c r="C11" s="23">
        <f>+'FULL HIDES'!N13</f>
        <v>0</v>
      </c>
    </row>
    <row r="12" spans="1:5" ht="15" thickBot="1" x14ac:dyDescent="0.35">
      <c r="A12" s="22"/>
      <c r="B12" s="23"/>
      <c r="C12" s="23"/>
    </row>
    <row r="13" spans="1:5" ht="15" thickBot="1" x14ac:dyDescent="0.35">
      <c r="A13" s="21" t="s">
        <v>24</v>
      </c>
      <c r="B13" s="24">
        <f>SUM(B4:B12)</f>
        <v>751801.38</v>
      </c>
      <c r="C13" s="24">
        <f>SUM(C4:C12)</f>
        <v>231866.58000000002</v>
      </c>
      <c r="E13" s="33"/>
    </row>
    <row r="14" spans="1:5" x14ac:dyDescent="0.3">
      <c r="B14" s="8"/>
      <c r="C14" s="28"/>
    </row>
    <row r="15" spans="1:5" x14ac:dyDescent="0.3">
      <c r="A15" s="25" t="s">
        <v>24</v>
      </c>
      <c r="B15" s="26">
        <f>'TX7'!AG40+STT!T21+'FULL HIDES'!M13+'VT9'!Y48+'NAPPA TX7'!Z39+'NAPPA SA5'!N38+'MCKINLEY SA5'!P22</f>
        <v>751801.38</v>
      </c>
      <c r="C15" s="27">
        <f>'TX7'!AI40+STT!V21+'VT9'!AA48+'FULL HIDES'!N13+'NAPPA TX7'!AB39+'NAPPA SA5'!P38+'MCKINLEY SA5'!R22</f>
        <v>231866.58000000002</v>
      </c>
      <c r="D15" s="30">
        <f>'TX7'!AG74+STT!T19+'VT9'!Y49+'NAPPA TX7'!Z40+'NAPPA SA5'!N39+'MCKINLEY SA5'!P23</f>
        <v>-26681.97000000003</v>
      </c>
      <c r="E15" s="79"/>
    </row>
    <row r="16" spans="1:5" x14ac:dyDescent="0.3">
      <c r="A16" s="76"/>
      <c r="B16" s="79">
        <f>+B13-B15</f>
        <v>0</v>
      </c>
      <c r="C16" s="79">
        <f>+C13-C15</f>
        <v>0</v>
      </c>
      <c r="D16" s="30"/>
      <c r="E16" s="30"/>
    </row>
    <row r="17" spans="1:4" x14ac:dyDescent="0.3">
      <c r="A17" s="267" t="s">
        <v>239</v>
      </c>
      <c r="B17" s="267"/>
      <c r="C17" s="268">
        <v>-76065</v>
      </c>
      <c r="D17" s="267"/>
    </row>
    <row r="18" spans="1:4" x14ac:dyDescent="0.3">
      <c r="A18" s="267"/>
      <c r="B18" s="267"/>
      <c r="C18" s="267"/>
      <c r="D18" s="267"/>
    </row>
    <row r="19" spans="1:4" x14ac:dyDescent="0.3">
      <c r="A19" s="267" t="s">
        <v>339</v>
      </c>
      <c r="C19" s="31">
        <v>-70195.399999999994</v>
      </c>
      <c r="D19" s="267"/>
    </row>
    <row r="20" spans="1:4" x14ac:dyDescent="0.3">
      <c r="A20" s="267"/>
      <c r="B20" s="267"/>
      <c r="C20" s="267"/>
      <c r="D20" s="267"/>
    </row>
    <row r="21" spans="1:4" ht="15" thickBot="1" x14ac:dyDescent="0.35">
      <c r="A21" s="269" t="s">
        <v>50</v>
      </c>
      <c r="B21" s="269"/>
      <c r="C21" s="271">
        <f>+C15+C17+C19</f>
        <v>85606.180000000022</v>
      </c>
      <c r="D21" s="267"/>
    </row>
    <row r="22" spans="1:4" ht="15" thickTop="1" x14ac:dyDescent="0.3">
      <c r="A22" s="267"/>
      <c r="B22" s="267"/>
      <c r="C22" s="267"/>
      <c r="D22" s="267"/>
    </row>
    <row r="23" spans="1:4" x14ac:dyDescent="0.3">
      <c r="A23" s="269"/>
      <c r="B23" s="269"/>
      <c r="C23" s="270"/>
      <c r="D23" s="267"/>
    </row>
    <row r="24" spans="1:4" x14ac:dyDescent="0.3">
      <c r="A24" s="267"/>
      <c r="B24" s="267"/>
      <c r="C24" s="267"/>
      <c r="D24" s="267"/>
    </row>
    <row r="25" spans="1:4" x14ac:dyDescent="0.3">
      <c r="A25" s="267"/>
      <c r="B25" s="267"/>
      <c r="C25" s="267"/>
      <c r="D25" s="267"/>
    </row>
  </sheetData>
  <mergeCells count="2">
    <mergeCell ref="A1:C1"/>
    <mergeCell ref="A2:C2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7955-CC49-4CD1-82EC-810CBA7961C6}">
  <dimension ref="B1:H39"/>
  <sheetViews>
    <sheetView workbookViewId="0">
      <selection activeCell="G1" sqref="G1:I11"/>
    </sheetView>
  </sheetViews>
  <sheetFormatPr baseColWidth="10" defaultColWidth="8.88671875" defaultRowHeight="14.4" x14ac:dyDescent="0.3"/>
  <cols>
    <col min="2" max="2" width="24" bestFit="1" customWidth="1"/>
    <col min="3" max="3" width="10.6640625" bestFit="1" customWidth="1"/>
    <col min="4" max="4" width="26.44140625" bestFit="1" customWidth="1"/>
    <col min="7" max="7" width="18.6640625" bestFit="1" customWidth="1"/>
    <col min="8" max="8" width="11.33203125" bestFit="1" customWidth="1"/>
    <col min="9" max="9" width="11.5546875" bestFit="1" customWidth="1"/>
  </cols>
  <sheetData>
    <row r="1" spans="2:8" ht="15.6" x14ac:dyDescent="0.3">
      <c r="B1" s="211" t="s">
        <v>162</v>
      </c>
      <c r="C1" s="212" t="s">
        <v>22</v>
      </c>
      <c r="D1" s="213"/>
    </row>
    <row r="2" spans="2:8" ht="15.6" x14ac:dyDescent="0.3">
      <c r="B2" s="208" t="s">
        <v>120</v>
      </c>
      <c r="C2" s="209" t="s">
        <v>121</v>
      </c>
      <c r="D2" s="210" t="s">
        <v>122</v>
      </c>
      <c r="H2" s="230"/>
    </row>
    <row r="3" spans="2:8" ht="15.6" x14ac:dyDescent="0.3">
      <c r="B3" s="208" t="s">
        <v>123</v>
      </c>
      <c r="C3" s="209" t="s">
        <v>121</v>
      </c>
      <c r="D3" s="210" t="s">
        <v>124</v>
      </c>
      <c r="H3" s="230"/>
    </row>
    <row r="4" spans="2:8" x14ac:dyDescent="0.3">
      <c r="H4" s="230"/>
    </row>
    <row r="5" spans="2:8" ht="15.6" x14ac:dyDescent="0.3">
      <c r="B5" s="211" t="s">
        <v>163</v>
      </c>
      <c r="C5" s="212" t="s">
        <v>80</v>
      </c>
      <c r="D5" s="213"/>
      <c r="H5" s="33"/>
    </row>
    <row r="6" spans="2:8" ht="15.6" x14ac:dyDescent="0.3">
      <c r="B6" s="214" t="s">
        <v>126</v>
      </c>
      <c r="C6" s="215" t="s">
        <v>79</v>
      </c>
      <c r="D6" s="216" t="s">
        <v>122</v>
      </c>
      <c r="H6" s="240"/>
    </row>
    <row r="7" spans="2:8" ht="15.6" x14ac:dyDescent="0.3">
      <c r="B7" s="214" t="s">
        <v>127</v>
      </c>
      <c r="C7" s="215" t="s">
        <v>79</v>
      </c>
      <c r="D7" s="216" t="s">
        <v>124</v>
      </c>
      <c r="G7" s="76"/>
      <c r="H7" s="237"/>
    </row>
    <row r="8" spans="2:8" ht="15.6" x14ac:dyDescent="0.3">
      <c r="B8" s="214" t="s">
        <v>128</v>
      </c>
      <c r="C8" s="215" t="s">
        <v>79</v>
      </c>
      <c r="D8" s="216" t="s">
        <v>129</v>
      </c>
      <c r="H8" s="240"/>
    </row>
    <row r="9" spans="2:8" ht="16.2" thickBot="1" x14ac:dyDescent="0.35">
      <c r="B9" s="214" t="s">
        <v>130</v>
      </c>
      <c r="C9" s="215" t="s">
        <v>79</v>
      </c>
      <c r="D9" s="216" t="s">
        <v>131</v>
      </c>
      <c r="G9" s="76"/>
      <c r="H9" s="241"/>
    </row>
    <row r="10" spans="2:8" ht="16.2" thickTop="1" x14ac:dyDescent="0.3">
      <c r="B10" s="214" t="s">
        <v>132</v>
      </c>
      <c r="C10" s="215" t="s">
        <v>79</v>
      </c>
      <c r="D10" s="216" t="s">
        <v>133</v>
      </c>
    </row>
    <row r="11" spans="2:8" ht="16.2" thickBot="1" x14ac:dyDescent="0.35">
      <c r="B11" s="214" t="s">
        <v>134</v>
      </c>
      <c r="C11" s="215" t="s">
        <v>79</v>
      </c>
      <c r="D11" s="216" t="s">
        <v>135</v>
      </c>
      <c r="G11" s="76"/>
      <c r="H11" s="241"/>
    </row>
    <row r="12" spans="2:8" ht="16.2" thickTop="1" x14ac:dyDescent="0.3">
      <c r="B12" s="214" t="s">
        <v>136</v>
      </c>
      <c r="C12" s="215" t="s">
        <v>79</v>
      </c>
      <c r="D12" s="216" t="s">
        <v>137</v>
      </c>
    </row>
    <row r="14" spans="2:8" ht="15.6" x14ac:dyDescent="0.3">
      <c r="B14" s="211" t="s">
        <v>161</v>
      </c>
      <c r="C14" s="217"/>
      <c r="D14" s="213"/>
    </row>
    <row r="15" spans="2:8" ht="15.6" x14ac:dyDescent="0.3">
      <c r="B15" s="214" t="s">
        <v>92</v>
      </c>
      <c r="C15" s="215" t="s">
        <v>121</v>
      </c>
      <c r="D15" s="216" t="s">
        <v>138</v>
      </c>
    </row>
    <row r="16" spans="2:8" ht="15.6" x14ac:dyDescent="0.3">
      <c r="B16" s="214" t="s">
        <v>93</v>
      </c>
      <c r="C16" s="215" t="s">
        <v>121</v>
      </c>
      <c r="D16" s="216" t="s">
        <v>139</v>
      </c>
    </row>
    <row r="17" spans="2:4" ht="15.6" x14ac:dyDescent="0.3">
      <c r="B17" s="214" t="s">
        <v>94</v>
      </c>
      <c r="C17" s="215" t="s">
        <v>121</v>
      </c>
      <c r="D17" s="216" t="s">
        <v>140</v>
      </c>
    </row>
    <row r="18" spans="2:4" ht="15.6" x14ac:dyDescent="0.3">
      <c r="B18" s="214" t="s">
        <v>103</v>
      </c>
      <c r="C18" s="215" t="s">
        <v>121</v>
      </c>
      <c r="D18" s="216" t="s">
        <v>141</v>
      </c>
    </row>
    <row r="19" spans="2:4" ht="15.6" x14ac:dyDescent="0.3">
      <c r="B19" s="214" t="s">
        <v>105</v>
      </c>
      <c r="C19" s="215" t="s">
        <v>121</v>
      </c>
      <c r="D19" s="216" t="s">
        <v>142</v>
      </c>
    </row>
    <row r="20" spans="2:4" ht="15.6" x14ac:dyDescent="0.3">
      <c r="B20" s="214" t="s">
        <v>107</v>
      </c>
      <c r="C20" s="215" t="s">
        <v>121</v>
      </c>
      <c r="D20" s="216" t="s">
        <v>143</v>
      </c>
    </row>
    <row r="21" spans="2:4" ht="15.6" x14ac:dyDescent="0.3">
      <c r="B21" s="214" t="s">
        <v>109</v>
      </c>
      <c r="C21" s="215" t="s">
        <v>121</v>
      </c>
      <c r="D21" s="216" t="s">
        <v>144</v>
      </c>
    </row>
    <row r="22" spans="2:4" ht="15.6" x14ac:dyDescent="0.3">
      <c r="B22" s="211" t="s">
        <v>161</v>
      </c>
      <c r="C22" s="212" t="s">
        <v>82</v>
      </c>
      <c r="D22" s="213"/>
    </row>
    <row r="23" spans="2:4" ht="15.6" x14ac:dyDescent="0.3">
      <c r="B23" s="214" t="s">
        <v>95</v>
      </c>
      <c r="C23" s="215" t="s">
        <v>121</v>
      </c>
      <c r="D23" s="216" t="s">
        <v>145</v>
      </c>
    </row>
    <row r="24" spans="2:4" ht="15.6" x14ac:dyDescent="0.3">
      <c r="B24" s="214" t="s">
        <v>97</v>
      </c>
      <c r="C24" s="215" t="s">
        <v>121</v>
      </c>
      <c r="D24" s="216" t="s">
        <v>146</v>
      </c>
    </row>
    <row r="25" spans="2:4" ht="15.6" x14ac:dyDescent="0.3">
      <c r="B25" s="214" t="s">
        <v>99</v>
      </c>
      <c r="C25" s="215" t="s">
        <v>121</v>
      </c>
      <c r="D25" s="216" t="s">
        <v>147</v>
      </c>
    </row>
    <row r="26" spans="2:4" ht="15.6" x14ac:dyDescent="0.3">
      <c r="B26" s="214" t="s">
        <v>101</v>
      </c>
      <c r="C26" s="215" t="s">
        <v>121</v>
      </c>
      <c r="D26" s="216" t="s">
        <v>148</v>
      </c>
    </row>
    <row r="27" spans="2:4" ht="15.6" x14ac:dyDescent="0.3">
      <c r="B27" s="211" t="s">
        <v>160</v>
      </c>
      <c r="C27" s="212" t="s">
        <v>82</v>
      </c>
      <c r="D27" s="213"/>
    </row>
    <row r="28" spans="2:4" ht="15.6" x14ac:dyDescent="0.3">
      <c r="B28" s="214" t="s">
        <v>149</v>
      </c>
      <c r="C28" s="215" t="s">
        <v>79</v>
      </c>
      <c r="D28" s="216" t="s">
        <v>138</v>
      </c>
    </row>
    <row r="29" spans="2:4" ht="15.6" x14ac:dyDescent="0.3">
      <c r="B29" s="214" t="s">
        <v>150</v>
      </c>
      <c r="C29" s="215" t="s">
        <v>79</v>
      </c>
      <c r="D29" s="216" t="s">
        <v>139</v>
      </c>
    </row>
    <row r="30" spans="2:4" ht="15.6" x14ac:dyDescent="0.3">
      <c r="B30" s="214" t="s">
        <v>151</v>
      </c>
      <c r="C30" s="215" t="s">
        <v>79</v>
      </c>
      <c r="D30" s="216" t="s">
        <v>140</v>
      </c>
    </row>
    <row r="31" spans="2:4" ht="15.6" x14ac:dyDescent="0.3">
      <c r="B31" s="214" t="s">
        <v>152</v>
      </c>
      <c r="C31" s="215" t="s">
        <v>79</v>
      </c>
      <c r="D31" s="216" t="s">
        <v>141</v>
      </c>
    </row>
    <row r="32" spans="2:4" ht="15.6" x14ac:dyDescent="0.3">
      <c r="B32" s="214" t="s">
        <v>153</v>
      </c>
      <c r="C32" s="215" t="s">
        <v>79</v>
      </c>
      <c r="D32" s="216" t="s">
        <v>142</v>
      </c>
    </row>
    <row r="33" spans="2:4" ht="15.6" x14ac:dyDescent="0.3">
      <c r="B33" s="214" t="s">
        <v>154</v>
      </c>
      <c r="C33" s="215" t="s">
        <v>79</v>
      </c>
      <c r="D33" s="216" t="s">
        <v>143</v>
      </c>
    </row>
    <row r="34" spans="2:4" ht="15.6" x14ac:dyDescent="0.3">
      <c r="B34" s="214" t="s">
        <v>155</v>
      </c>
      <c r="C34" s="215" t="s">
        <v>79</v>
      </c>
      <c r="D34" s="216" t="s">
        <v>144</v>
      </c>
    </row>
    <row r="35" spans="2:4" ht="15.6" x14ac:dyDescent="0.3">
      <c r="B35" s="211" t="s">
        <v>160</v>
      </c>
      <c r="C35" s="212" t="s">
        <v>125</v>
      </c>
      <c r="D35" s="213"/>
    </row>
    <row r="36" spans="2:4" ht="15.6" x14ac:dyDescent="0.3">
      <c r="B36" s="214" t="s">
        <v>156</v>
      </c>
      <c r="C36" s="215" t="s">
        <v>79</v>
      </c>
      <c r="D36" s="216" t="s">
        <v>145</v>
      </c>
    </row>
    <row r="37" spans="2:4" ht="15.6" x14ac:dyDescent="0.3">
      <c r="B37" s="214" t="s">
        <v>157</v>
      </c>
      <c r="C37" s="215" t="s">
        <v>79</v>
      </c>
      <c r="D37" s="216" t="s">
        <v>146</v>
      </c>
    </row>
    <row r="38" spans="2:4" ht="15.6" x14ac:dyDescent="0.3">
      <c r="B38" s="214" t="s">
        <v>158</v>
      </c>
      <c r="C38" s="215" t="s">
        <v>79</v>
      </c>
      <c r="D38" s="216" t="s">
        <v>147</v>
      </c>
    </row>
    <row r="39" spans="2:4" ht="15.6" x14ac:dyDescent="0.3">
      <c r="B39" s="214" t="s">
        <v>159</v>
      </c>
      <c r="C39" s="215" t="s">
        <v>79</v>
      </c>
      <c r="D39" s="21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TX7</vt:lpstr>
      <vt:lpstr>VT9</vt:lpstr>
      <vt:lpstr>NAPPA TX7</vt:lpstr>
      <vt:lpstr>MCKINLEY SA5</vt:lpstr>
      <vt:lpstr>NAPPA SA5</vt:lpstr>
      <vt:lpstr>STT</vt:lpstr>
      <vt:lpstr>FULL HIDES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adrianad</dc:creator>
  <cp:lastModifiedBy>Francisco Esteban</cp:lastModifiedBy>
  <cp:lastPrinted>2017-05-15T22:53:23Z</cp:lastPrinted>
  <dcterms:created xsi:type="dcterms:W3CDTF">2016-06-28T00:29:01Z</dcterms:created>
  <dcterms:modified xsi:type="dcterms:W3CDTF">2021-02-02T00:23:05Z</dcterms:modified>
</cp:coreProperties>
</file>